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updateLinks="never" codeName="ThisWorkbook"/>
  <mc:AlternateContent xmlns:mc="http://schemas.openxmlformats.org/markup-compatibility/2006">
    <mc:Choice Requires="x15">
      <x15ac:absPath xmlns:x15ac="http://schemas.microsoft.com/office/spreadsheetml/2010/11/ac" url="C:\laragon\www\traxel\public\excel\"/>
    </mc:Choice>
  </mc:AlternateContent>
  <xr:revisionPtr revIDLastSave="0" documentId="13_ncr:1_{5321C617-F9F0-4693-9221-818AAA0B0EFE}" xr6:coauthVersionLast="45" xr6:coauthVersionMax="47" xr10:uidLastSave="{00000000-0000-0000-0000-000000000000}"/>
  <bookViews>
    <workbookView xWindow="-28920" yWindow="-120" windowWidth="29040" windowHeight="15720" tabRatio="781" firstSheet="2" activeTab="2" xr2:uid="{00000000-000D-0000-FFFF-FFFF00000000}"/>
  </bookViews>
  <sheets>
    <sheet name="Lembar Kerja" sheetId="1" r:id="rId1"/>
    <sheet name="Riwayat Revisi" sheetId="22" r:id="rId2"/>
    <sheet name="ID" sheetId="23" r:id="rId3"/>
    <sheet name="Uncertainty Budget" sheetId="3" r:id="rId4"/>
    <sheet name="Lembar Penyelia" sheetId="4" r:id="rId5"/>
    <sheet name="Laporan." sheetId="27" r:id="rId6"/>
    <sheet name="LH" sheetId="31" r:id="rId7"/>
    <sheet name="SERTIFIKAT" sheetId="32" r:id="rId8"/>
    <sheet name="DB Tipe K" sheetId="30" r:id="rId9"/>
    <sheet name="DB Standar" sheetId="28" r:id="rId10"/>
    <sheet name="List " sheetId="26" state="hidden" r:id="rId11"/>
    <sheet name="Db Thermohygro" sheetId="29" state="hidden" r:id="rId12"/>
  </sheets>
  <externalReferences>
    <externalReference r:id="rId13"/>
  </externalReferences>
  <definedNames>
    <definedName name="_xlnm.Print_Area" localSheetId="2">ID!$A$1:$M$104</definedName>
    <definedName name="_xlnm.Print_Area" localSheetId="5">Laporan.!$A$1:$L$80</definedName>
    <definedName name="_xlnm.Print_Area" localSheetId="0">'Lembar Kerja'!$A$1:$N$100</definedName>
    <definedName name="_xlnm.Print_Area" localSheetId="4">'Lembar Penyelia'!$A$1:$L$70</definedName>
    <definedName name="_xlnm.Print_Area" localSheetId="6">LH!$A$1:$N$80</definedName>
    <definedName name="_xlnm.Print_Area" localSheetId="7">SERTIFIKAT!$A$1:$F$30</definedName>
    <definedName name="_xlnm.Print_Area" localSheetId="3">'Uncertainty Budget'!$A$1:$M$216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90" i="23" l="1"/>
  <c r="B59" i="31"/>
  <c r="M82" i="23"/>
  <c r="M75" i="23"/>
  <c r="M68" i="23"/>
  <c r="M66" i="23"/>
  <c r="M65" i="23"/>
  <c r="M35" i="23"/>
  <c r="AZ278" i="30"/>
  <c r="BA278" i="30"/>
  <c r="BB278" i="30"/>
  <c r="BY110" i="30" l="1"/>
  <c r="BY111" i="30" l="1"/>
  <c r="V156" i="30" l="1"/>
  <c r="V173" i="30" s="1"/>
  <c r="V190" i="30" s="1"/>
  <c r="V207" i="30" s="1"/>
  <c r="V223" i="30" s="1"/>
  <c r="W156" i="30"/>
  <c r="W173" i="30" s="1"/>
  <c r="W190" i="30" s="1"/>
  <c r="W207" i="30" s="1"/>
  <c r="W223" i="30" s="1"/>
  <c r="X156" i="30"/>
  <c r="X173" i="30" s="1"/>
  <c r="X190" i="30" s="1"/>
  <c r="X207" i="30" s="1"/>
  <c r="X223" i="30" s="1"/>
  <c r="Y156" i="30"/>
  <c r="Y173" i="30" s="1"/>
  <c r="Y190" i="30" s="1"/>
  <c r="Y207" i="30" s="1"/>
  <c r="Y223" i="30" s="1"/>
  <c r="Z156" i="30"/>
  <c r="Z173" i="30" s="1"/>
  <c r="Z190" i="30" s="1"/>
  <c r="Z207" i="30" s="1"/>
  <c r="Z223" i="30" s="1"/>
  <c r="AA156" i="30"/>
  <c r="AA173" i="30" s="1"/>
  <c r="AA190" i="30" s="1"/>
  <c r="AA207" i="30" s="1"/>
  <c r="AA223" i="30" s="1"/>
  <c r="AB156" i="30"/>
  <c r="AB173" i="30" s="1"/>
  <c r="AB190" i="30" s="1"/>
  <c r="AB207" i="30" s="1"/>
  <c r="AB223" i="30" s="1"/>
  <c r="AC156" i="30"/>
  <c r="AC173" i="30" s="1"/>
  <c r="AC190" i="30" s="1"/>
  <c r="AC207" i="30" s="1"/>
  <c r="AC223" i="30" s="1"/>
  <c r="AD156" i="30"/>
  <c r="AD173" i="30" s="1"/>
  <c r="AD190" i="30" s="1"/>
  <c r="AD207" i="30" s="1"/>
  <c r="AD223" i="30" s="1"/>
  <c r="AE156" i="30"/>
  <c r="AE173" i="30" s="1"/>
  <c r="AE190" i="30" s="1"/>
  <c r="AE207" i="30" s="1"/>
  <c r="AE223" i="30" s="1"/>
  <c r="AF156" i="30"/>
  <c r="AF173" i="30" s="1"/>
  <c r="AF190" i="30" s="1"/>
  <c r="AF207" i="30" s="1"/>
  <c r="AF223" i="30" s="1"/>
  <c r="AG156" i="30"/>
  <c r="AG173" i="30" s="1"/>
  <c r="AG190" i="30" s="1"/>
  <c r="AG207" i="30" s="1"/>
  <c r="AG223" i="30" s="1"/>
  <c r="AH156" i="30"/>
  <c r="AH173" i="30" s="1"/>
  <c r="AH190" i="30" s="1"/>
  <c r="AH207" i="30" s="1"/>
  <c r="AH223" i="30" s="1"/>
  <c r="AI156" i="30"/>
  <c r="AI173" i="30" s="1"/>
  <c r="AI190" i="30" s="1"/>
  <c r="AI207" i="30" s="1"/>
  <c r="AI223" i="30" s="1"/>
  <c r="AJ156" i="30"/>
  <c r="AJ173" i="30" s="1"/>
  <c r="AJ190" i="30" s="1"/>
  <c r="AJ207" i="30" s="1"/>
  <c r="AJ223" i="30" s="1"/>
  <c r="U156" i="30"/>
  <c r="U173" i="30" s="1"/>
  <c r="U190" i="30" s="1"/>
  <c r="U207" i="30" s="1"/>
  <c r="U223" i="30" s="1"/>
  <c r="U239" i="30" s="1"/>
  <c r="U278" i="30" s="1"/>
  <c r="AM278" i="30" s="1"/>
  <c r="E173" i="30"/>
  <c r="E190" i="30" s="1"/>
  <c r="E207" i="30" s="1"/>
  <c r="F173" i="30"/>
  <c r="F190" i="30" s="1"/>
  <c r="F207" i="30" s="1"/>
  <c r="G173" i="30"/>
  <c r="G190" i="30" s="1"/>
  <c r="G207" i="30" s="1"/>
  <c r="H173" i="30"/>
  <c r="H190" i="30" s="1"/>
  <c r="H207" i="30" s="1"/>
  <c r="I173" i="30"/>
  <c r="I190" i="30" s="1"/>
  <c r="I207" i="30" s="1"/>
  <c r="J173" i="30"/>
  <c r="J190" i="30" s="1"/>
  <c r="J207" i="30" s="1"/>
  <c r="K173" i="30"/>
  <c r="K190" i="30" s="1"/>
  <c r="K207" i="30" s="1"/>
  <c r="L173" i="30"/>
  <c r="L190" i="30" s="1"/>
  <c r="L207" i="30" s="1"/>
  <c r="M173" i="30"/>
  <c r="M190" i="30" s="1"/>
  <c r="M207" i="30" s="1"/>
  <c r="N173" i="30"/>
  <c r="N190" i="30" s="1"/>
  <c r="N207" i="30" s="1"/>
  <c r="O173" i="30"/>
  <c r="O190" i="30" s="1"/>
  <c r="O207" i="30" s="1"/>
  <c r="P173" i="30"/>
  <c r="P190" i="30" s="1"/>
  <c r="P207" i="30" s="1"/>
  <c r="Q173" i="30"/>
  <c r="Q190" i="30" s="1"/>
  <c r="Q207" i="30" s="1"/>
  <c r="R173" i="30"/>
  <c r="R190" i="30" s="1"/>
  <c r="R207" i="30" s="1"/>
  <c r="D173" i="30"/>
  <c r="D190" i="30" s="1"/>
  <c r="D207" i="30" s="1"/>
  <c r="C173" i="30"/>
  <c r="C190" i="30" s="1"/>
  <c r="C207" i="30" s="1"/>
  <c r="C223" i="30" s="1"/>
  <c r="C239" i="30" s="1"/>
  <c r="AI142" i="30"/>
  <c r="AI141" i="30"/>
  <c r="AI140" i="30"/>
  <c r="BG20" i="30"/>
  <c r="AI151" i="30"/>
  <c r="AI150" i="30"/>
  <c r="AI149" i="30"/>
  <c r="AI148" i="30"/>
  <c r="AI147" i="30"/>
  <c r="AI146" i="30"/>
  <c r="AI145" i="30"/>
  <c r="AI144" i="30"/>
  <c r="AI143" i="30"/>
  <c r="G17" i="23"/>
  <c r="T378" i="29" s="1"/>
  <c r="R35" i="28"/>
  <c r="R37" i="28"/>
  <c r="R36" i="28"/>
  <c r="Q37" i="28"/>
  <c r="Q36" i="28"/>
  <c r="Q35" i="28"/>
  <c r="J58" i="23" l="1"/>
  <c r="K42" i="28"/>
  <c r="M58" i="23"/>
  <c r="L42" i="28"/>
  <c r="M67" i="23" l="1"/>
  <c r="F174" i="3"/>
  <c r="J60" i="23"/>
  <c r="F8" i="31"/>
  <c r="F7" i="31"/>
  <c r="C39" i="31"/>
  <c r="F8" i="4"/>
  <c r="D4" i="32"/>
  <c r="D20" i="32" s="1"/>
  <c r="D19" i="32"/>
  <c r="D18" i="32"/>
  <c r="D17" i="32"/>
  <c r="D16" i="32"/>
  <c r="D15" i="32"/>
  <c r="D10" i="32"/>
  <c r="D9" i="32"/>
  <c r="D8" i="32"/>
  <c r="A3" i="32"/>
  <c r="F6" i="32" s="1"/>
  <c r="E23" i="32"/>
  <c r="A19" i="32"/>
  <c r="A18" i="32"/>
  <c r="A17" i="32"/>
  <c r="A15" i="32"/>
  <c r="A58" i="31" l="1"/>
  <c r="B55" i="31"/>
  <c r="B51" i="31"/>
  <c r="A51" i="31"/>
  <c r="B44" i="31"/>
  <c r="B43" i="31"/>
  <c r="A43" i="31"/>
  <c r="C41" i="31"/>
  <c r="C40" i="31"/>
  <c r="C38" i="31"/>
  <c r="F21" i="31"/>
  <c r="F20" i="31"/>
  <c r="V378" i="29" l="1"/>
  <c r="V377" i="29"/>
  <c r="A389" i="29"/>
  <c r="B373" i="29" s="1"/>
  <c r="H373" i="29" s="1"/>
  <c r="T373" i="29" s="1"/>
  <c r="K409" i="29"/>
  <c r="J409" i="29"/>
  <c r="I409" i="29"/>
  <c r="K408" i="29"/>
  <c r="J408" i="29"/>
  <c r="K407" i="29"/>
  <c r="J407" i="29"/>
  <c r="I407" i="29"/>
  <c r="K406" i="29"/>
  <c r="J406" i="29"/>
  <c r="I406" i="29"/>
  <c r="K405" i="29"/>
  <c r="J405" i="29"/>
  <c r="I405" i="29"/>
  <c r="K404" i="29"/>
  <c r="J404" i="29"/>
  <c r="I404" i="29"/>
  <c r="K403" i="29"/>
  <c r="J403" i="29"/>
  <c r="I403" i="29"/>
  <c r="K402" i="29"/>
  <c r="J402" i="29"/>
  <c r="I402" i="29"/>
  <c r="K401" i="29"/>
  <c r="J401" i="29"/>
  <c r="I401" i="29"/>
  <c r="K400" i="29"/>
  <c r="J400" i="29"/>
  <c r="I400" i="29"/>
  <c r="K399" i="29"/>
  <c r="J399" i="29"/>
  <c r="I399" i="29"/>
  <c r="K398" i="29"/>
  <c r="J398" i="29"/>
  <c r="I398" i="29"/>
  <c r="K397" i="29"/>
  <c r="J397" i="29"/>
  <c r="I397" i="29"/>
  <c r="K396" i="29"/>
  <c r="J396" i="29"/>
  <c r="I396" i="29"/>
  <c r="K395" i="29"/>
  <c r="J395" i="29"/>
  <c r="I395" i="29"/>
  <c r="K394" i="29"/>
  <c r="J394" i="29"/>
  <c r="I394" i="29"/>
  <c r="K393" i="29"/>
  <c r="J393" i="29"/>
  <c r="I393" i="29"/>
  <c r="K392" i="29"/>
  <c r="J392" i="29"/>
  <c r="I392" i="29"/>
  <c r="K391" i="29"/>
  <c r="J391" i="29"/>
  <c r="I391" i="29"/>
  <c r="K390" i="29"/>
  <c r="J390" i="29"/>
  <c r="I390" i="29"/>
  <c r="A410" i="29"/>
  <c r="A373" i="29" s="1"/>
  <c r="V371" i="29"/>
  <c r="U371" i="29"/>
  <c r="T371" i="29"/>
  <c r="S371" i="29"/>
  <c r="N371" i="29"/>
  <c r="M371" i="29"/>
  <c r="L371" i="29"/>
  <c r="K371" i="29"/>
  <c r="F371" i="29"/>
  <c r="E371" i="29"/>
  <c r="D371" i="29"/>
  <c r="C371" i="29"/>
  <c r="V370" i="29"/>
  <c r="U370" i="29"/>
  <c r="T370" i="29"/>
  <c r="S370" i="29"/>
  <c r="N370" i="29"/>
  <c r="M370" i="29"/>
  <c r="L370" i="29"/>
  <c r="K370" i="29"/>
  <c r="F370" i="29"/>
  <c r="E370" i="29"/>
  <c r="D370" i="29"/>
  <c r="C370" i="29"/>
  <c r="V369" i="29"/>
  <c r="U369" i="29"/>
  <c r="T369" i="29"/>
  <c r="S369" i="29"/>
  <c r="N369" i="29"/>
  <c r="M369" i="29"/>
  <c r="L369" i="29"/>
  <c r="K369" i="29"/>
  <c r="F369" i="29"/>
  <c r="E369" i="29"/>
  <c r="D369" i="29"/>
  <c r="C369" i="29"/>
  <c r="V368" i="29"/>
  <c r="U368" i="29"/>
  <c r="T368" i="29"/>
  <c r="S368" i="29"/>
  <c r="N368" i="29"/>
  <c r="M368" i="29"/>
  <c r="L368" i="29"/>
  <c r="K368" i="29"/>
  <c r="F368" i="29"/>
  <c r="E368" i="29"/>
  <c r="D368" i="29"/>
  <c r="C368" i="29"/>
  <c r="V367" i="29"/>
  <c r="U367" i="29"/>
  <c r="T367" i="29"/>
  <c r="S367" i="29"/>
  <c r="N367" i="29"/>
  <c r="M367" i="29"/>
  <c r="L367" i="29"/>
  <c r="K367" i="29"/>
  <c r="F367" i="29"/>
  <c r="E367" i="29"/>
  <c r="D367" i="29"/>
  <c r="C367" i="29"/>
  <c r="V366" i="29"/>
  <c r="U366" i="29"/>
  <c r="T366" i="29"/>
  <c r="S366" i="29"/>
  <c r="N366" i="29"/>
  <c r="M366" i="29"/>
  <c r="L366" i="29"/>
  <c r="K366" i="29"/>
  <c r="F366" i="29"/>
  <c r="E366" i="29"/>
  <c r="D366" i="29"/>
  <c r="C366" i="29"/>
  <c r="V365" i="29"/>
  <c r="U365" i="29"/>
  <c r="T365" i="29"/>
  <c r="S365" i="29"/>
  <c r="N365" i="29"/>
  <c r="M365" i="29"/>
  <c r="L365" i="29"/>
  <c r="K365" i="29"/>
  <c r="F365" i="29"/>
  <c r="E365" i="29"/>
  <c r="D365" i="29"/>
  <c r="C365" i="29"/>
  <c r="V364" i="29"/>
  <c r="U364" i="29"/>
  <c r="T364" i="29"/>
  <c r="S364" i="29"/>
  <c r="N364" i="29"/>
  <c r="M364" i="29"/>
  <c r="L364" i="29"/>
  <c r="K364" i="29"/>
  <c r="F364" i="29"/>
  <c r="E364" i="29"/>
  <c r="D364" i="29"/>
  <c r="C364" i="29"/>
  <c r="V363" i="29"/>
  <c r="U363" i="29"/>
  <c r="T363" i="29"/>
  <c r="S363" i="29"/>
  <c r="N363" i="29"/>
  <c r="M363" i="29"/>
  <c r="L363" i="29"/>
  <c r="K363" i="29"/>
  <c r="F363" i="29"/>
  <c r="E363" i="29"/>
  <c r="D363" i="29"/>
  <c r="C363" i="29"/>
  <c r="V362" i="29"/>
  <c r="U362" i="29"/>
  <c r="T362" i="29"/>
  <c r="S362" i="29"/>
  <c r="N362" i="29"/>
  <c r="M362" i="29"/>
  <c r="L362" i="29"/>
  <c r="K362" i="29"/>
  <c r="F362" i="29"/>
  <c r="E362" i="29"/>
  <c r="D362" i="29"/>
  <c r="C362" i="29"/>
  <c r="V361" i="29"/>
  <c r="U361" i="29"/>
  <c r="T361" i="29"/>
  <c r="S361" i="29"/>
  <c r="N361" i="29"/>
  <c r="M361" i="29"/>
  <c r="L361" i="29"/>
  <c r="K361" i="29"/>
  <c r="F361" i="29"/>
  <c r="E361" i="29"/>
  <c r="D361" i="29"/>
  <c r="C361" i="29"/>
  <c r="V360" i="29"/>
  <c r="U360" i="29"/>
  <c r="T360" i="29"/>
  <c r="S360" i="29"/>
  <c r="N360" i="29"/>
  <c r="M360" i="29"/>
  <c r="L360" i="29"/>
  <c r="K360" i="29"/>
  <c r="F360" i="29"/>
  <c r="E360" i="29"/>
  <c r="D360" i="29"/>
  <c r="C360" i="29"/>
  <c r="V359" i="29"/>
  <c r="U359" i="29"/>
  <c r="T359" i="29"/>
  <c r="S359" i="29"/>
  <c r="N359" i="29"/>
  <c r="M359" i="29"/>
  <c r="L359" i="29"/>
  <c r="K359" i="29"/>
  <c r="F359" i="29"/>
  <c r="E359" i="29"/>
  <c r="D359" i="29"/>
  <c r="C359" i="29"/>
  <c r="V358" i="29"/>
  <c r="U358" i="29"/>
  <c r="T358" i="29"/>
  <c r="S358" i="29"/>
  <c r="N358" i="29"/>
  <c r="M358" i="29"/>
  <c r="L358" i="29"/>
  <c r="K358" i="29"/>
  <c r="F358" i="29"/>
  <c r="E358" i="29"/>
  <c r="D358" i="29"/>
  <c r="C358" i="29"/>
  <c r="V357" i="29"/>
  <c r="U357" i="29"/>
  <c r="T357" i="29"/>
  <c r="S357" i="29"/>
  <c r="N357" i="29"/>
  <c r="M357" i="29"/>
  <c r="L357" i="29"/>
  <c r="K357" i="29"/>
  <c r="F357" i="29"/>
  <c r="E357" i="29"/>
  <c r="D357" i="29"/>
  <c r="C357" i="29"/>
  <c r="V356" i="29"/>
  <c r="U356" i="29"/>
  <c r="T356" i="29"/>
  <c r="S356" i="29"/>
  <c r="N356" i="29"/>
  <c r="M356" i="29"/>
  <c r="L356" i="29"/>
  <c r="K356" i="29"/>
  <c r="F356" i="29"/>
  <c r="E356" i="29"/>
  <c r="D356" i="29"/>
  <c r="C356" i="29"/>
  <c r="V355" i="29"/>
  <c r="U355" i="29"/>
  <c r="T355" i="29"/>
  <c r="S355" i="29"/>
  <c r="N355" i="29"/>
  <c r="M355" i="29"/>
  <c r="L355" i="29"/>
  <c r="K355" i="29"/>
  <c r="F355" i="29"/>
  <c r="E355" i="29"/>
  <c r="D355" i="29"/>
  <c r="C355" i="29"/>
  <c r="V354" i="29"/>
  <c r="U354" i="29"/>
  <c r="T354" i="29"/>
  <c r="S354" i="29"/>
  <c r="N354" i="29"/>
  <c r="M354" i="29"/>
  <c r="L354" i="29"/>
  <c r="K354" i="29"/>
  <c r="F354" i="29"/>
  <c r="E354" i="29"/>
  <c r="D354" i="29"/>
  <c r="C354" i="29"/>
  <c r="V353" i="29"/>
  <c r="U353" i="29"/>
  <c r="T353" i="29"/>
  <c r="S353" i="29"/>
  <c r="N353" i="29"/>
  <c r="M353" i="29"/>
  <c r="L353" i="29"/>
  <c r="K353" i="29"/>
  <c r="F353" i="29"/>
  <c r="E353" i="29"/>
  <c r="D353" i="29"/>
  <c r="C353" i="29"/>
  <c r="V352" i="29"/>
  <c r="U352" i="29"/>
  <c r="T352" i="29"/>
  <c r="S352" i="29"/>
  <c r="N352" i="29"/>
  <c r="M352" i="29"/>
  <c r="L352" i="29"/>
  <c r="K352" i="29"/>
  <c r="F352" i="29"/>
  <c r="E352" i="29"/>
  <c r="D352" i="29"/>
  <c r="C352" i="29"/>
  <c r="V350" i="29"/>
  <c r="U350" i="29"/>
  <c r="T350" i="29"/>
  <c r="S350" i="29"/>
  <c r="N350" i="29"/>
  <c r="M350" i="29"/>
  <c r="L350" i="29"/>
  <c r="K350" i="29"/>
  <c r="F350" i="29"/>
  <c r="E350" i="29"/>
  <c r="D350" i="29"/>
  <c r="C350" i="29"/>
  <c r="V349" i="29"/>
  <c r="U349" i="29"/>
  <c r="T349" i="29"/>
  <c r="S349" i="29"/>
  <c r="N349" i="29"/>
  <c r="M349" i="29"/>
  <c r="L349" i="29"/>
  <c r="K349" i="29"/>
  <c r="F349" i="29"/>
  <c r="E349" i="29"/>
  <c r="D349" i="29"/>
  <c r="C349" i="29"/>
  <c r="V348" i="29"/>
  <c r="U348" i="29"/>
  <c r="T348" i="29"/>
  <c r="S348" i="29"/>
  <c r="N348" i="29"/>
  <c r="M348" i="29"/>
  <c r="L348" i="29"/>
  <c r="K348" i="29"/>
  <c r="F348" i="29"/>
  <c r="E348" i="29"/>
  <c r="D348" i="29"/>
  <c r="C348" i="29"/>
  <c r="V347" i="29"/>
  <c r="U347" i="29"/>
  <c r="T347" i="29"/>
  <c r="S347" i="29"/>
  <c r="N347" i="29"/>
  <c r="M347" i="29"/>
  <c r="L347" i="29"/>
  <c r="K347" i="29"/>
  <c r="F347" i="29"/>
  <c r="E347" i="29"/>
  <c r="D347" i="29"/>
  <c r="C347" i="29"/>
  <c r="V346" i="29"/>
  <c r="U346" i="29"/>
  <c r="T346" i="29"/>
  <c r="S346" i="29"/>
  <c r="N346" i="29"/>
  <c r="M346" i="29"/>
  <c r="L346" i="29"/>
  <c r="K346" i="29"/>
  <c r="F346" i="29"/>
  <c r="E346" i="29"/>
  <c r="D346" i="29"/>
  <c r="C346" i="29"/>
  <c r="V345" i="29"/>
  <c r="U345" i="29"/>
  <c r="T345" i="29"/>
  <c r="S345" i="29"/>
  <c r="N345" i="29"/>
  <c r="M345" i="29"/>
  <c r="L345" i="29"/>
  <c r="K345" i="29"/>
  <c r="F345" i="29"/>
  <c r="E345" i="29"/>
  <c r="D345" i="29"/>
  <c r="C345" i="29"/>
  <c r="V344" i="29"/>
  <c r="U344" i="29"/>
  <c r="T344" i="29"/>
  <c r="S344" i="29"/>
  <c r="N344" i="29"/>
  <c r="M344" i="29"/>
  <c r="L344" i="29"/>
  <c r="K344" i="29"/>
  <c r="F344" i="29"/>
  <c r="E344" i="29"/>
  <c r="D344" i="29"/>
  <c r="C344" i="29"/>
  <c r="V343" i="29"/>
  <c r="U343" i="29"/>
  <c r="T343" i="29"/>
  <c r="S343" i="29"/>
  <c r="N343" i="29"/>
  <c r="M343" i="29"/>
  <c r="L343" i="29"/>
  <c r="K343" i="29"/>
  <c r="F343" i="29"/>
  <c r="E343" i="29"/>
  <c r="D343" i="29"/>
  <c r="C343" i="29"/>
  <c r="V342" i="29"/>
  <c r="U342" i="29"/>
  <c r="T342" i="29"/>
  <c r="S342" i="29"/>
  <c r="N342" i="29"/>
  <c r="M342" i="29"/>
  <c r="L342" i="29"/>
  <c r="K342" i="29"/>
  <c r="F342" i="29"/>
  <c r="E342" i="29"/>
  <c r="D342" i="29"/>
  <c r="C342" i="29"/>
  <c r="V341" i="29"/>
  <c r="U341" i="29"/>
  <c r="T341" i="29"/>
  <c r="S341" i="29"/>
  <c r="N341" i="29"/>
  <c r="M341" i="29"/>
  <c r="L341" i="29"/>
  <c r="K341" i="29"/>
  <c r="F341" i="29"/>
  <c r="E341" i="29"/>
  <c r="D341" i="29"/>
  <c r="C341" i="29"/>
  <c r="V340" i="29"/>
  <c r="U340" i="29"/>
  <c r="T340" i="29"/>
  <c r="S340" i="29"/>
  <c r="N340" i="29"/>
  <c r="M340" i="29"/>
  <c r="L340" i="29"/>
  <c r="K340" i="29"/>
  <c r="F340" i="29"/>
  <c r="E340" i="29"/>
  <c r="D340" i="29"/>
  <c r="C340" i="29"/>
  <c r="V339" i="29"/>
  <c r="U339" i="29"/>
  <c r="T339" i="29"/>
  <c r="S339" i="29"/>
  <c r="N339" i="29"/>
  <c r="M339" i="29"/>
  <c r="L339" i="29"/>
  <c r="K339" i="29"/>
  <c r="F339" i="29"/>
  <c r="E339" i="29"/>
  <c r="D339" i="29"/>
  <c r="C339" i="29"/>
  <c r="V338" i="29"/>
  <c r="U338" i="29"/>
  <c r="T338" i="29"/>
  <c r="S338" i="29"/>
  <c r="N338" i="29"/>
  <c r="M338" i="29"/>
  <c r="L338" i="29"/>
  <c r="K338" i="29"/>
  <c r="F338" i="29"/>
  <c r="E338" i="29"/>
  <c r="D338" i="29"/>
  <c r="C338" i="29"/>
  <c r="V337" i="29"/>
  <c r="U337" i="29"/>
  <c r="T337" i="29"/>
  <c r="S337" i="29"/>
  <c r="N337" i="29"/>
  <c r="M337" i="29"/>
  <c r="L337" i="29"/>
  <c r="K337" i="29"/>
  <c r="F337" i="29"/>
  <c r="E337" i="29"/>
  <c r="D337" i="29"/>
  <c r="C337" i="29"/>
  <c r="V336" i="29"/>
  <c r="U336" i="29"/>
  <c r="T336" i="29"/>
  <c r="S336" i="29"/>
  <c r="N336" i="29"/>
  <c r="M336" i="29"/>
  <c r="L336" i="29"/>
  <c r="K336" i="29"/>
  <c r="F336" i="29"/>
  <c r="E336" i="29"/>
  <c r="D336" i="29"/>
  <c r="C336" i="29"/>
  <c r="V335" i="29"/>
  <c r="U335" i="29"/>
  <c r="T335" i="29"/>
  <c r="S335" i="29"/>
  <c r="N335" i="29"/>
  <c r="M335" i="29"/>
  <c r="L335" i="29"/>
  <c r="K335" i="29"/>
  <c r="F335" i="29"/>
  <c r="E335" i="29"/>
  <c r="D335" i="29"/>
  <c r="C335" i="29"/>
  <c r="V334" i="29"/>
  <c r="U334" i="29"/>
  <c r="T334" i="29"/>
  <c r="S334" i="29"/>
  <c r="N334" i="29"/>
  <c r="M334" i="29"/>
  <c r="L334" i="29"/>
  <c r="K334" i="29"/>
  <c r="F334" i="29"/>
  <c r="E334" i="29"/>
  <c r="D334" i="29"/>
  <c r="C334" i="29"/>
  <c r="V333" i="29"/>
  <c r="U333" i="29"/>
  <c r="T333" i="29"/>
  <c r="S333" i="29"/>
  <c r="N333" i="29"/>
  <c r="M333" i="29"/>
  <c r="L333" i="29"/>
  <c r="K333" i="29"/>
  <c r="F333" i="29"/>
  <c r="E333" i="29"/>
  <c r="D333" i="29"/>
  <c r="C333" i="29"/>
  <c r="V332" i="29"/>
  <c r="U332" i="29"/>
  <c r="T332" i="29"/>
  <c r="S332" i="29"/>
  <c r="N332" i="29"/>
  <c r="M332" i="29"/>
  <c r="L332" i="29"/>
  <c r="K332" i="29"/>
  <c r="F332" i="29"/>
  <c r="E332" i="29"/>
  <c r="D332" i="29"/>
  <c r="C332" i="29"/>
  <c r="V331" i="29"/>
  <c r="U331" i="29"/>
  <c r="T331" i="29"/>
  <c r="S331" i="29"/>
  <c r="N331" i="29"/>
  <c r="M331" i="29"/>
  <c r="L331" i="29"/>
  <c r="K331" i="29"/>
  <c r="F331" i="29"/>
  <c r="E331" i="29"/>
  <c r="D331" i="29"/>
  <c r="C331" i="29"/>
  <c r="V329" i="29"/>
  <c r="U329" i="29"/>
  <c r="T329" i="29"/>
  <c r="S329" i="29"/>
  <c r="N329" i="29"/>
  <c r="M329" i="29"/>
  <c r="L329" i="29"/>
  <c r="K329" i="29"/>
  <c r="F329" i="29"/>
  <c r="E329" i="29"/>
  <c r="D329" i="29"/>
  <c r="C329" i="29"/>
  <c r="V328" i="29"/>
  <c r="U328" i="29"/>
  <c r="T328" i="29"/>
  <c r="S328" i="29"/>
  <c r="N328" i="29"/>
  <c r="M328" i="29"/>
  <c r="L328" i="29"/>
  <c r="K328" i="29"/>
  <c r="F328" i="29"/>
  <c r="E328" i="29"/>
  <c r="D328" i="29"/>
  <c r="C328" i="29"/>
  <c r="V327" i="29"/>
  <c r="U327" i="29"/>
  <c r="T327" i="29"/>
  <c r="S327" i="29"/>
  <c r="N327" i="29"/>
  <c r="M327" i="29"/>
  <c r="L327" i="29"/>
  <c r="K327" i="29"/>
  <c r="F327" i="29"/>
  <c r="E327" i="29"/>
  <c r="D327" i="29"/>
  <c r="C327" i="29"/>
  <c r="V326" i="29"/>
  <c r="U326" i="29"/>
  <c r="T326" i="29"/>
  <c r="S326" i="29"/>
  <c r="N326" i="29"/>
  <c r="M326" i="29"/>
  <c r="L326" i="29"/>
  <c r="K326" i="29"/>
  <c r="F326" i="29"/>
  <c r="E326" i="29"/>
  <c r="D326" i="29"/>
  <c r="C326" i="29"/>
  <c r="V325" i="29"/>
  <c r="U325" i="29"/>
  <c r="T325" i="29"/>
  <c r="S325" i="29"/>
  <c r="N325" i="29"/>
  <c r="M325" i="29"/>
  <c r="L325" i="29"/>
  <c r="K325" i="29"/>
  <c r="F325" i="29"/>
  <c r="E325" i="29"/>
  <c r="D325" i="29"/>
  <c r="C325" i="29"/>
  <c r="V324" i="29"/>
  <c r="U324" i="29"/>
  <c r="T324" i="29"/>
  <c r="S324" i="29"/>
  <c r="N324" i="29"/>
  <c r="M324" i="29"/>
  <c r="L324" i="29"/>
  <c r="K324" i="29"/>
  <c r="F324" i="29"/>
  <c r="E324" i="29"/>
  <c r="D324" i="29"/>
  <c r="C324" i="29"/>
  <c r="V323" i="29"/>
  <c r="U323" i="29"/>
  <c r="T323" i="29"/>
  <c r="S323" i="29"/>
  <c r="N323" i="29"/>
  <c r="M323" i="29"/>
  <c r="L323" i="29"/>
  <c r="K323" i="29"/>
  <c r="F323" i="29"/>
  <c r="E323" i="29"/>
  <c r="D323" i="29"/>
  <c r="C323" i="29"/>
  <c r="V322" i="29"/>
  <c r="U322" i="29"/>
  <c r="T322" i="29"/>
  <c r="S322" i="29"/>
  <c r="N322" i="29"/>
  <c r="M322" i="29"/>
  <c r="L322" i="29"/>
  <c r="K322" i="29"/>
  <c r="F322" i="29"/>
  <c r="E322" i="29"/>
  <c r="D322" i="29"/>
  <c r="C322" i="29"/>
  <c r="V321" i="29"/>
  <c r="U321" i="29"/>
  <c r="T321" i="29"/>
  <c r="S321" i="29"/>
  <c r="N321" i="29"/>
  <c r="M321" i="29"/>
  <c r="L321" i="29"/>
  <c r="K321" i="29"/>
  <c r="F321" i="29"/>
  <c r="E321" i="29"/>
  <c r="D321" i="29"/>
  <c r="C321" i="29"/>
  <c r="V320" i="29"/>
  <c r="U320" i="29"/>
  <c r="T320" i="29"/>
  <c r="S320" i="29"/>
  <c r="N320" i="29"/>
  <c r="M320" i="29"/>
  <c r="L320" i="29"/>
  <c r="K320" i="29"/>
  <c r="F320" i="29"/>
  <c r="E320" i="29"/>
  <c r="D320" i="29"/>
  <c r="C320" i="29"/>
  <c r="V319" i="29"/>
  <c r="U319" i="29"/>
  <c r="T319" i="29"/>
  <c r="S319" i="29"/>
  <c r="N319" i="29"/>
  <c r="M319" i="29"/>
  <c r="L319" i="29"/>
  <c r="K319" i="29"/>
  <c r="F319" i="29"/>
  <c r="E319" i="29"/>
  <c r="D319" i="29"/>
  <c r="C319" i="29"/>
  <c r="V318" i="29"/>
  <c r="U318" i="29"/>
  <c r="T318" i="29"/>
  <c r="S318" i="29"/>
  <c r="N318" i="29"/>
  <c r="M318" i="29"/>
  <c r="L318" i="29"/>
  <c r="K318" i="29"/>
  <c r="F318" i="29"/>
  <c r="E318" i="29"/>
  <c r="D318" i="29"/>
  <c r="C318" i="29"/>
  <c r="V317" i="29"/>
  <c r="U317" i="29"/>
  <c r="T317" i="29"/>
  <c r="S317" i="29"/>
  <c r="N317" i="29"/>
  <c r="M317" i="29"/>
  <c r="L317" i="29"/>
  <c r="K317" i="29"/>
  <c r="F317" i="29"/>
  <c r="E317" i="29"/>
  <c r="D317" i="29"/>
  <c r="C317" i="29"/>
  <c r="V316" i="29"/>
  <c r="U316" i="29"/>
  <c r="T316" i="29"/>
  <c r="S316" i="29"/>
  <c r="N316" i="29"/>
  <c r="M316" i="29"/>
  <c r="L316" i="29"/>
  <c r="K316" i="29"/>
  <c r="F316" i="29"/>
  <c r="E316" i="29"/>
  <c r="D316" i="29"/>
  <c r="C316" i="29"/>
  <c r="V315" i="29"/>
  <c r="U315" i="29"/>
  <c r="T315" i="29"/>
  <c r="S315" i="29"/>
  <c r="N315" i="29"/>
  <c r="M315" i="29"/>
  <c r="L315" i="29"/>
  <c r="K315" i="29"/>
  <c r="F315" i="29"/>
  <c r="E315" i="29"/>
  <c r="D315" i="29"/>
  <c r="C315" i="29"/>
  <c r="V314" i="29"/>
  <c r="U314" i="29"/>
  <c r="T314" i="29"/>
  <c r="S314" i="29"/>
  <c r="N314" i="29"/>
  <c r="M314" i="29"/>
  <c r="L314" i="29"/>
  <c r="K314" i="29"/>
  <c r="F314" i="29"/>
  <c r="E314" i="29"/>
  <c r="D314" i="29"/>
  <c r="C314" i="29"/>
  <c r="V313" i="29"/>
  <c r="U313" i="29"/>
  <c r="T313" i="29"/>
  <c r="S313" i="29"/>
  <c r="N313" i="29"/>
  <c r="M313" i="29"/>
  <c r="L313" i="29"/>
  <c r="K313" i="29"/>
  <c r="F313" i="29"/>
  <c r="E313" i="29"/>
  <c r="D313" i="29"/>
  <c r="C313" i="29"/>
  <c r="V312" i="29"/>
  <c r="U312" i="29"/>
  <c r="T312" i="29"/>
  <c r="S312" i="29"/>
  <c r="N312" i="29"/>
  <c r="M312" i="29"/>
  <c r="L312" i="29"/>
  <c r="K312" i="29"/>
  <c r="F312" i="29"/>
  <c r="E312" i="29"/>
  <c r="D312" i="29"/>
  <c r="C312" i="29"/>
  <c r="V311" i="29"/>
  <c r="U311" i="29"/>
  <c r="T311" i="29"/>
  <c r="S311" i="29"/>
  <c r="N311" i="29"/>
  <c r="M311" i="29"/>
  <c r="L311" i="29"/>
  <c r="K311" i="29"/>
  <c r="F311" i="29"/>
  <c r="E311" i="29"/>
  <c r="D311" i="29"/>
  <c r="C311" i="29"/>
  <c r="V310" i="29"/>
  <c r="U310" i="29"/>
  <c r="T310" i="29"/>
  <c r="S310" i="29"/>
  <c r="N310" i="29"/>
  <c r="M310" i="29"/>
  <c r="L310" i="29"/>
  <c r="K310" i="29"/>
  <c r="F310" i="29"/>
  <c r="E310" i="29"/>
  <c r="D310" i="29"/>
  <c r="C310" i="29"/>
  <c r="V308" i="29"/>
  <c r="U308" i="29"/>
  <c r="T308" i="29"/>
  <c r="S308" i="29"/>
  <c r="N308" i="29"/>
  <c r="M308" i="29"/>
  <c r="L308" i="29"/>
  <c r="K308" i="29"/>
  <c r="F308" i="29"/>
  <c r="E308" i="29"/>
  <c r="D308" i="29"/>
  <c r="C308" i="29"/>
  <c r="V307" i="29"/>
  <c r="U307" i="29"/>
  <c r="T307" i="29"/>
  <c r="S307" i="29"/>
  <c r="N307" i="29"/>
  <c r="M307" i="29"/>
  <c r="L307" i="29"/>
  <c r="K307" i="29"/>
  <c r="F307" i="29"/>
  <c r="E307" i="29"/>
  <c r="D307" i="29"/>
  <c r="C307" i="29"/>
  <c r="V306" i="29"/>
  <c r="U306" i="29"/>
  <c r="T306" i="29"/>
  <c r="S306" i="29"/>
  <c r="N306" i="29"/>
  <c r="M306" i="29"/>
  <c r="L306" i="29"/>
  <c r="K306" i="29"/>
  <c r="F306" i="29"/>
  <c r="E306" i="29"/>
  <c r="D306" i="29"/>
  <c r="C306" i="29"/>
  <c r="V305" i="29"/>
  <c r="U305" i="29"/>
  <c r="T305" i="29"/>
  <c r="S305" i="29"/>
  <c r="N305" i="29"/>
  <c r="M305" i="29"/>
  <c r="L305" i="29"/>
  <c r="K305" i="29"/>
  <c r="F305" i="29"/>
  <c r="E305" i="29"/>
  <c r="D305" i="29"/>
  <c r="C305" i="29"/>
  <c r="V304" i="29"/>
  <c r="U304" i="29"/>
  <c r="T304" i="29"/>
  <c r="S304" i="29"/>
  <c r="N304" i="29"/>
  <c r="M304" i="29"/>
  <c r="L304" i="29"/>
  <c r="K304" i="29"/>
  <c r="F304" i="29"/>
  <c r="E304" i="29"/>
  <c r="D304" i="29"/>
  <c r="C304" i="29"/>
  <c r="V303" i="29"/>
  <c r="U303" i="29"/>
  <c r="T303" i="29"/>
  <c r="S303" i="29"/>
  <c r="N303" i="29"/>
  <c r="M303" i="29"/>
  <c r="L303" i="29"/>
  <c r="K303" i="29"/>
  <c r="F303" i="29"/>
  <c r="E303" i="29"/>
  <c r="D303" i="29"/>
  <c r="C303" i="29"/>
  <c r="V302" i="29"/>
  <c r="U302" i="29"/>
  <c r="T302" i="29"/>
  <c r="S302" i="29"/>
  <c r="N302" i="29"/>
  <c r="M302" i="29"/>
  <c r="L302" i="29"/>
  <c r="K302" i="29"/>
  <c r="F302" i="29"/>
  <c r="E302" i="29"/>
  <c r="D302" i="29"/>
  <c r="C302" i="29"/>
  <c r="V301" i="29"/>
  <c r="U301" i="29"/>
  <c r="T301" i="29"/>
  <c r="S301" i="29"/>
  <c r="N301" i="29"/>
  <c r="M301" i="29"/>
  <c r="L301" i="29"/>
  <c r="K301" i="29"/>
  <c r="F301" i="29"/>
  <c r="E301" i="29"/>
  <c r="D301" i="29"/>
  <c r="C301" i="29"/>
  <c r="V300" i="29"/>
  <c r="U300" i="29"/>
  <c r="T300" i="29"/>
  <c r="S300" i="29"/>
  <c r="N300" i="29"/>
  <c r="M300" i="29"/>
  <c r="L300" i="29"/>
  <c r="K300" i="29"/>
  <c r="F300" i="29"/>
  <c r="E300" i="29"/>
  <c r="D300" i="29"/>
  <c r="C300" i="29"/>
  <c r="V299" i="29"/>
  <c r="U299" i="29"/>
  <c r="T299" i="29"/>
  <c r="S299" i="29"/>
  <c r="N299" i="29"/>
  <c r="M299" i="29"/>
  <c r="L299" i="29"/>
  <c r="K299" i="29"/>
  <c r="F299" i="29"/>
  <c r="E299" i="29"/>
  <c r="D299" i="29"/>
  <c r="C299" i="29"/>
  <c r="V298" i="29"/>
  <c r="U298" i="29"/>
  <c r="T298" i="29"/>
  <c r="S298" i="29"/>
  <c r="N298" i="29"/>
  <c r="M298" i="29"/>
  <c r="L298" i="29"/>
  <c r="K298" i="29"/>
  <c r="F298" i="29"/>
  <c r="E298" i="29"/>
  <c r="D298" i="29"/>
  <c r="C298" i="29"/>
  <c r="V297" i="29"/>
  <c r="U297" i="29"/>
  <c r="T297" i="29"/>
  <c r="S297" i="29"/>
  <c r="N297" i="29"/>
  <c r="M297" i="29"/>
  <c r="L297" i="29"/>
  <c r="K297" i="29"/>
  <c r="F297" i="29"/>
  <c r="E297" i="29"/>
  <c r="D297" i="29"/>
  <c r="C297" i="29"/>
  <c r="V296" i="29"/>
  <c r="U296" i="29"/>
  <c r="T296" i="29"/>
  <c r="S296" i="29"/>
  <c r="N296" i="29"/>
  <c r="M296" i="29"/>
  <c r="L296" i="29"/>
  <c r="K296" i="29"/>
  <c r="F296" i="29"/>
  <c r="E296" i="29"/>
  <c r="D296" i="29"/>
  <c r="C296" i="29"/>
  <c r="V295" i="29"/>
  <c r="U295" i="29"/>
  <c r="T295" i="29"/>
  <c r="S295" i="29"/>
  <c r="N295" i="29"/>
  <c r="M295" i="29"/>
  <c r="L295" i="29"/>
  <c r="K295" i="29"/>
  <c r="F295" i="29"/>
  <c r="E295" i="29"/>
  <c r="D295" i="29"/>
  <c r="C295" i="29"/>
  <c r="V294" i="29"/>
  <c r="U294" i="29"/>
  <c r="T294" i="29"/>
  <c r="S294" i="29"/>
  <c r="N294" i="29"/>
  <c r="M294" i="29"/>
  <c r="L294" i="29"/>
  <c r="K294" i="29"/>
  <c r="F294" i="29"/>
  <c r="E294" i="29"/>
  <c r="D294" i="29"/>
  <c r="C294" i="29"/>
  <c r="V293" i="29"/>
  <c r="U293" i="29"/>
  <c r="T293" i="29"/>
  <c r="S293" i="29"/>
  <c r="N293" i="29"/>
  <c r="M293" i="29"/>
  <c r="L293" i="29"/>
  <c r="K293" i="29"/>
  <c r="F293" i="29"/>
  <c r="E293" i="29"/>
  <c r="D293" i="29"/>
  <c r="C293" i="29"/>
  <c r="Z292" i="29"/>
  <c r="V292" i="29"/>
  <c r="U292" i="29"/>
  <c r="T292" i="29"/>
  <c r="S292" i="29"/>
  <c r="N292" i="29"/>
  <c r="M292" i="29"/>
  <c r="L292" i="29"/>
  <c r="K292" i="29"/>
  <c r="F292" i="29"/>
  <c r="E292" i="29"/>
  <c r="D292" i="29"/>
  <c r="C292" i="29"/>
  <c r="Z291" i="29"/>
  <c r="V291" i="29"/>
  <c r="U291" i="29"/>
  <c r="T291" i="29"/>
  <c r="S291" i="29"/>
  <c r="N291" i="29"/>
  <c r="M291" i="29"/>
  <c r="L291" i="29"/>
  <c r="K291" i="29"/>
  <c r="F291" i="29"/>
  <c r="E291" i="29"/>
  <c r="D291" i="29"/>
  <c r="C291" i="29"/>
  <c r="Z290" i="29"/>
  <c r="V290" i="29"/>
  <c r="U290" i="29"/>
  <c r="T290" i="29"/>
  <c r="S290" i="29"/>
  <c r="N290" i="29"/>
  <c r="M290" i="29"/>
  <c r="L290" i="29"/>
  <c r="K290" i="29"/>
  <c r="F290" i="29"/>
  <c r="E290" i="29"/>
  <c r="D290" i="29"/>
  <c r="C290" i="29"/>
  <c r="Z289" i="29"/>
  <c r="V289" i="29"/>
  <c r="U289" i="29"/>
  <c r="T289" i="29"/>
  <c r="S289" i="29"/>
  <c r="N289" i="29"/>
  <c r="M289" i="29"/>
  <c r="L289" i="29"/>
  <c r="K289" i="29"/>
  <c r="F289" i="29"/>
  <c r="E289" i="29"/>
  <c r="D289" i="29"/>
  <c r="C289" i="29"/>
  <c r="Z288" i="29"/>
  <c r="Z287" i="29"/>
  <c r="V287" i="29"/>
  <c r="U287" i="29"/>
  <c r="T287" i="29"/>
  <c r="S287" i="29"/>
  <c r="N287" i="29"/>
  <c r="M287" i="29"/>
  <c r="L287" i="29"/>
  <c r="K287" i="29"/>
  <c r="F287" i="29"/>
  <c r="E287" i="29"/>
  <c r="D287" i="29"/>
  <c r="C287" i="29"/>
  <c r="Z286" i="29"/>
  <c r="V286" i="29"/>
  <c r="U286" i="29"/>
  <c r="T286" i="29"/>
  <c r="S286" i="29"/>
  <c r="N286" i="29"/>
  <c r="M286" i="29"/>
  <c r="L286" i="29"/>
  <c r="K286" i="29"/>
  <c r="F286" i="29"/>
  <c r="E286" i="29"/>
  <c r="D286" i="29"/>
  <c r="C286" i="29"/>
  <c r="Z285" i="29"/>
  <c r="V285" i="29"/>
  <c r="U285" i="29"/>
  <c r="T285" i="29"/>
  <c r="S285" i="29"/>
  <c r="N285" i="29"/>
  <c r="M285" i="29"/>
  <c r="L285" i="29"/>
  <c r="K285" i="29"/>
  <c r="F285" i="29"/>
  <c r="E285" i="29"/>
  <c r="D285" i="29"/>
  <c r="C285" i="29"/>
  <c r="Z284" i="29"/>
  <c r="V284" i="29"/>
  <c r="U284" i="29"/>
  <c r="T284" i="29"/>
  <c r="S284" i="29"/>
  <c r="N284" i="29"/>
  <c r="M284" i="29"/>
  <c r="L284" i="29"/>
  <c r="K284" i="29"/>
  <c r="F284" i="29"/>
  <c r="E284" i="29"/>
  <c r="D284" i="29"/>
  <c r="C284" i="29"/>
  <c r="Z283" i="29"/>
  <c r="V283" i="29"/>
  <c r="U283" i="29"/>
  <c r="T283" i="29"/>
  <c r="S283" i="29"/>
  <c r="N283" i="29"/>
  <c r="M283" i="29"/>
  <c r="L283" i="29"/>
  <c r="K283" i="29"/>
  <c r="F283" i="29"/>
  <c r="E283" i="29"/>
  <c r="D283" i="29"/>
  <c r="C283" i="29"/>
  <c r="Z282" i="29"/>
  <c r="V282" i="29"/>
  <c r="U282" i="29"/>
  <c r="T282" i="29"/>
  <c r="S282" i="29"/>
  <c r="N282" i="29"/>
  <c r="M282" i="29"/>
  <c r="L282" i="29"/>
  <c r="K282" i="29"/>
  <c r="F282" i="29"/>
  <c r="E282" i="29"/>
  <c r="D282" i="29"/>
  <c r="C282" i="29"/>
  <c r="Z281" i="29"/>
  <c r="V281" i="29"/>
  <c r="U281" i="29"/>
  <c r="T281" i="29"/>
  <c r="S281" i="29"/>
  <c r="N281" i="29"/>
  <c r="M281" i="29"/>
  <c r="L281" i="29"/>
  <c r="K281" i="29"/>
  <c r="F281" i="29"/>
  <c r="E281" i="29"/>
  <c r="D281" i="29"/>
  <c r="C281" i="29"/>
  <c r="Z280" i="29"/>
  <c r="V280" i="29"/>
  <c r="U280" i="29"/>
  <c r="T280" i="29"/>
  <c r="S280" i="29"/>
  <c r="N280" i="29"/>
  <c r="M280" i="29"/>
  <c r="L280" i="29"/>
  <c r="K280" i="29"/>
  <c r="F280" i="29"/>
  <c r="E280" i="29"/>
  <c r="D280" i="29"/>
  <c r="C280" i="29"/>
  <c r="Z279" i="29"/>
  <c r="V279" i="29"/>
  <c r="U279" i="29"/>
  <c r="T279" i="29"/>
  <c r="S279" i="29"/>
  <c r="N279" i="29"/>
  <c r="M279" i="29"/>
  <c r="L279" i="29"/>
  <c r="K279" i="29"/>
  <c r="F279" i="29"/>
  <c r="E279" i="29"/>
  <c r="D279" i="29"/>
  <c r="C279" i="29"/>
  <c r="Z278" i="29"/>
  <c r="V278" i="29"/>
  <c r="U278" i="29"/>
  <c r="T278" i="29"/>
  <c r="S278" i="29"/>
  <c r="N278" i="29"/>
  <c r="M278" i="29"/>
  <c r="L278" i="29"/>
  <c r="K278" i="29"/>
  <c r="F278" i="29"/>
  <c r="E278" i="29"/>
  <c r="D278" i="29"/>
  <c r="C278" i="29"/>
  <c r="Z277" i="29"/>
  <c r="V277" i="29"/>
  <c r="U277" i="29"/>
  <c r="T277" i="29"/>
  <c r="S277" i="29"/>
  <c r="N277" i="29"/>
  <c r="M277" i="29"/>
  <c r="L277" i="29"/>
  <c r="K277" i="29"/>
  <c r="F277" i="29"/>
  <c r="E277" i="29"/>
  <c r="D277" i="29"/>
  <c r="C277" i="29"/>
  <c r="Z276" i="29"/>
  <c r="V276" i="29"/>
  <c r="U276" i="29"/>
  <c r="T276" i="29"/>
  <c r="S276" i="29"/>
  <c r="N276" i="29"/>
  <c r="M276" i="29"/>
  <c r="L276" i="29"/>
  <c r="K276" i="29"/>
  <c r="F276" i="29"/>
  <c r="E276" i="29"/>
  <c r="D276" i="29"/>
  <c r="C276" i="29"/>
  <c r="Z275" i="29"/>
  <c r="V275" i="29"/>
  <c r="U275" i="29"/>
  <c r="T275" i="29"/>
  <c r="S275" i="29"/>
  <c r="N275" i="29"/>
  <c r="M275" i="29"/>
  <c r="L275" i="29"/>
  <c r="K275" i="29"/>
  <c r="F275" i="29"/>
  <c r="E275" i="29"/>
  <c r="D275" i="29"/>
  <c r="C275" i="29"/>
  <c r="Z274" i="29"/>
  <c r="V274" i="29"/>
  <c r="U274" i="29"/>
  <c r="T274" i="29"/>
  <c r="S274" i="29"/>
  <c r="N274" i="29"/>
  <c r="M274" i="29"/>
  <c r="L274" i="29"/>
  <c r="K274" i="29"/>
  <c r="F274" i="29"/>
  <c r="E274" i="29"/>
  <c r="D274" i="29"/>
  <c r="C274" i="29"/>
  <c r="Z273" i="29"/>
  <c r="V273" i="29"/>
  <c r="U273" i="29"/>
  <c r="T273" i="29"/>
  <c r="S273" i="29"/>
  <c r="N273" i="29"/>
  <c r="M273" i="29"/>
  <c r="L273" i="29"/>
  <c r="K273" i="29"/>
  <c r="F273" i="29"/>
  <c r="E273" i="29"/>
  <c r="D273" i="29"/>
  <c r="C273" i="29"/>
  <c r="V272" i="29"/>
  <c r="U272" i="29"/>
  <c r="T272" i="29"/>
  <c r="S272" i="29"/>
  <c r="N272" i="29"/>
  <c r="M272" i="29"/>
  <c r="L272" i="29"/>
  <c r="K272" i="29"/>
  <c r="F272" i="29"/>
  <c r="E272" i="29"/>
  <c r="D272" i="29"/>
  <c r="C272" i="29"/>
  <c r="V271" i="29"/>
  <c r="U271" i="29"/>
  <c r="T271" i="29"/>
  <c r="S271" i="29"/>
  <c r="N271" i="29"/>
  <c r="M271" i="29"/>
  <c r="L271" i="29"/>
  <c r="K271" i="29"/>
  <c r="F271" i="29"/>
  <c r="E271" i="29"/>
  <c r="D271" i="29"/>
  <c r="C271" i="29"/>
  <c r="V270" i="29"/>
  <c r="U270" i="29"/>
  <c r="T270" i="29"/>
  <c r="S270" i="29"/>
  <c r="N270" i="29"/>
  <c r="M270" i="29"/>
  <c r="L270" i="29"/>
  <c r="K270" i="29"/>
  <c r="F270" i="29"/>
  <c r="E270" i="29"/>
  <c r="D270" i="29"/>
  <c r="C270" i="29"/>
  <c r="V269" i="29"/>
  <c r="U269" i="29"/>
  <c r="T269" i="29"/>
  <c r="S269" i="29"/>
  <c r="N269" i="29"/>
  <c r="M269" i="29"/>
  <c r="L269" i="29"/>
  <c r="K269" i="29"/>
  <c r="F269" i="29"/>
  <c r="E269" i="29"/>
  <c r="D269" i="29"/>
  <c r="C269" i="29"/>
  <c r="Z268" i="29"/>
  <c r="V268" i="29"/>
  <c r="U268" i="29"/>
  <c r="T268" i="29"/>
  <c r="S268" i="29"/>
  <c r="N268" i="29"/>
  <c r="M268" i="29"/>
  <c r="L268" i="29"/>
  <c r="K268" i="29"/>
  <c r="F268" i="29"/>
  <c r="E268" i="29"/>
  <c r="D268" i="29"/>
  <c r="C268" i="29"/>
  <c r="Z267" i="29"/>
  <c r="Z266" i="29"/>
  <c r="V266" i="29"/>
  <c r="U266" i="29"/>
  <c r="T266" i="29"/>
  <c r="S266" i="29"/>
  <c r="N266" i="29"/>
  <c r="M266" i="29"/>
  <c r="L266" i="29"/>
  <c r="K266" i="29"/>
  <c r="F266" i="29"/>
  <c r="E266" i="29"/>
  <c r="D266" i="29"/>
  <c r="C266" i="29"/>
  <c r="Z265" i="29"/>
  <c r="V265" i="29"/>
  <c r="U265" i="29"/>
  <c r="T265" i="29"/>
  <c r="S265" i="29"/>
  <c r="N265" i="29"/>
  <c r="M265" i="29"/>
  <c r="L265" i="29"/>
  <c r="K265" i="29"/>
  <c r="F265" i="29"/>
  <c r="E265" i="29"/>
  <c r="D265" i="29"/>
  <c r="C265" i="29"/>
  <c r="Z264" i="29"/>
  <c r="V264" i="29"/>
  <c r="U264" i="29"/>
  <c r="T264" i="29"/>
  <c r="S264" i="29"/>
  <c r="N264" i="29"/>
  <c r="M264" i="29"/>
  <c r="L264" i="29"/>
  <c r="K264" i="29"/>
  <c r="F264" i="29"/>
  <c r="E264" i="29"/>
  <c r="D264" i="29"/>
  <c r="C264" i="29"/>
  <c r="Z263" i="29"/>
  <c r="V263" i="29"/>
  <c r="U263" i="29"/>
  <c r="T263" i="29"/>
  <c r="S263" i="29"/>
  <c r="N263" i="29"/>
  <c r="M263" i="29"/>
  <c r="L263" i="29"/>
  <c r="K263" i="29"/>
  <c r="F263" i="29"/>
  <c r="E263" i="29"/>
  <c r="D263" i="29"/>
  <c r="C263" i="29"/>
  <c r="Z262" i="29"/>
  <c r="V262" i="29"/>
  <c r="U262" i="29"/>
  <c r="T262" i="29"/>
  <c r="S262" i="29"/>
  <c r="N262" i="29"/>
  <c r="M262" i="29"/>
  <c r="L262" i="29"/>
  <c r="K262" i="29"/>
  <c r="F262" i="29"/>
  <c r="E262" i="29"/>
  <c r="D262" i="29"/>
  <c r="C262" i="29"/>
  <c r="Z261" i="29"/>
  <c r="V261" i="29"/>
  <c r="U261" i="29"/>
  <c r="T261" i="29"/>
  <c r="S261" i="29"/>
  <c r="N261" i="29"/>
  <c r="M261" i="29"/>
  <c r="L261" i="29"/>
  <c r="K261" i="29"/>
  <c r="F261" i="29"/>
  <c r="E261" i="29"/>
  <c r="D261" i="29"/>
  <c r="C261" i="29"/>
  <c r="Z260" i="29"/>
  <c r="V260" i="29"/>
  <c r="U260" i="29"/>
  <c r="T260" i="29"/>
  <c r="S260" i="29"/>
  <c r="N260" i="29"/>
  <c r="M260" i="29"/>
  <c r="L260" i="29"/>
  <c r="K260" i="29"/>
  <c r="F260" i="29"/>
  <c r="E260" i="29"/>
  <c r="D260" i="29"/>
  <c r="C260" i="29"/>
  <c r="Z259" i="29"/>
  <c r="V259" i="29"/>
  <c r="U259" i="29"/>
  <c r="T259" i="29"/>
  <c r="S259" i="29"/>
  <c r="N259" i="29"/>
  <c r="M259" i="29"/>
  <c r="L259" i="29"/>
  <c r="K259" i="29"/>
  <c r="F259" i="29"/>
  <c r="E259" i="29"/>
  <c r="D259" i="29"/>
  <c r="C259" i="29"/>
  <c r="Z258" i="29"/>
  <c r="V258" i="29"/>
  <c r="U258" i="29"/>
  <c r="T258" i="29"/>
  <c r="S258" i="29"/>
  <c r="N258" i="29"/>
  <c r="M258" i="29"/>
  <c r="L258" i="29"/>
  <c r="K258" i="29"/>
  <c r="F258" i="29"/>
  <c r="E258" i="29"/>
  <c r="D258" i="29"/>
  <c r="C258" i="29"/>
  <c r="Z257" i="29"/>
  <c r="V257" i="29"/>
  <c r="U257" i="29"/>
  <c r="T257" i="29"/>
  <c r="S257" i="29"/>
  <c r="N257" i="29"/>
  <c r="M257" i="29"/>
  <c r="L257" i="29"/>
  <c r="K257" i="29"/>
  <c r="F257" i="29"/>
  <c r="E257" i="29"/>
  <c r="D257" i="29"/>
  <c r="C257" i="29"/>
  <c r="Z256" i="29"/>
  <c r="V256" i="29"/>
  <c r="U256" i="29"/>
  <c r="T256" i="29"/>
  <c r="S256" i="29"/>
  <c r="N256" i="29"/>
  <c r="M256" i="29"/>
  <c r="L256" i="29"/>
  <c r="K256" i="29"/>
  <c r="F256" i="29"/>
  <c r="E256" i="29"/>
  <c r="D256" i="29"/>
  <c r="C256" i="29"/>
  <c r="Z255" i="29"/>
  <c r="V255" i="29"/>
  <c r="U255" i="29"/>
  <c r="T255" i="29"/>
  <c r="S255" i="29"/>
  <c r="N255" i="29"/>
  <c r="M255" i="29"/>
  <c r="L255" i="29"/>
  <c r="K255" i="29"/>
  <c r="F255" i="29"/>
  <c r="E255" i="29"/>
  <c r="D255" i="29"/>
  <c r="C255" i="29"/>
  <c r="Z254" i="29"/>
  <c r="V254" i="29"/>
  <c r="U254" i="29"/>
  <c r="T254" i="29"/>
  <c r="S254" i="29"/>
  <c r="N254" i="29"/>
  <c r="M254" i="29"/>
  <c r="L254" i="29"/>
  <c r="K254" i="29"/>
  <c r="F254" i="29"/>
  <c r="E254" i="29"/>
  <c r="D254" i="29"/>
  <c r="C254" i="29"/>
  <c r="Z253" i="29"/>
  <c r="V253" i="29"/>
  <c r="U253" i="29"/>
  <c r="T253" i="29"/>
  <c r="S253" i="29"/>
  <c r="N253" i="29"/>
  <c r="M253" i="29"/>
  <c r="L253" i="29"/>
  <c r="K253" i="29"/>
  <c r="F253" i="29"/>
  <c r="E253" i="29"/>
  <c r="D253" i="29"/>
  <c r="C253" i="29"/>
  <c r="Z252" i="29"/>
  <c r="V252" i="29"/>
  <c r="U252" i="29"/>
  <c r="T252" i="29"/>
  <c r="S252" i="29"/>
  <c r="N252" i="29"/>
  <c r="M252" i="29"/>
  <c r="L252" i="29"/>
  <c r="K252" i="29"/>
  <c r="F252" i="29"/>
  <c r="E252" i="29"/>
  <c r="D252" i="29"/>
  <c r="C252" i="29"/>
  <c r="Z251" i="29"/>
  <c r="V251" i="29"/>
  <c r="U251" i="29"/>
  <c r="T251" i="29"/>
  <c r="S251" i="29"/>
  <c r="N251" i="29"/>
  <c r="M251" i="29"/>
  <c r="L251" i="29"/>
  <c r="K251" i="29"/>
  <c r="F251" i="29"/>
  <c r="E251" i="29"/>
  <c r="D251" i="29"/>
  <c r="C251" i="29"/>
  <c r="Z250" i="29"/>
  <c r="V250" i="29"/>
  <c r="U250" i="29"/>
  <c r="T250" i="29"/>
  <c r="S250" i="29"/>
  <c r="N250" i="29"/>
  <c r="M250" i="29"/>
  <c r="L250" i="29"/>
  <c r="K250" i="29"/>
  <c r="F250" i="29"/>
  <c r="E250" i="29"/>
  <c r="D250" i="29"/>
  <c r="C250" i="29"/>
  <c r="Z249" i="29"/>
  <c r="V249" i="29"/>
  <c r="U249" i="29"/>
  <c r="T249" i="29"/>
  <c r="S249" i="29"/>
  <c r="N249" i="29"/>
  <c r="M249" i="29"/>
  <c r="L249" i="29"/>
  <c r="K249" i="29"/>
  <c r="F249" i="29"/>
  <c r="E249" i="29"/>
  <c r="D249" i="29"/>
  <c r="C249" i="29"/>
  <c r="V248" i="29"/>
  <c r="U248" i="29"/>
  <c r="T248" i="29"/>
  <c r="S248" i="29"/>
  <c r="N248" i="29"/>
  <c r="M248" i="29"/>
  <c r="L248" i="29"/>
  <c r="K248" i="29"/>
  <c r="F248" i="29"/>
  <c r="E248" i="29"/>
  <c r="D248" i="29"/>
  <c r="C248" i="29"/>
  <c r="V247" i="29"/>
  <c r="U247" i="29"/>
  <c r="T247" i="29"/>
  <c r="S247" i="29"/>
  <c r="N247" i="29"/>
  <c r="M247" i="29"/>
  <c r="L247" i="29"/>
  <c r="K247" i="29"/>
  <c r="F247" i="29"/>
  <c r="E247" i="29"/>
  <c r="D247" i="29"/>
  <c r="C247" i="29"/>
  <c r="V245" i="29"/>
  <c r="U245" i="29"/>
  <c r="T245" i="29"/>
  <c r="S245" i="29"/>
  <c r="N245" i="29"/>
  <c r="M245" i="29"/>
  <c r="L245" i="29"/>
  <c r="K245" i="29"/>
  <c r="F245" i="29"/>
  <c r="E245" i="29"/>
  <c r="D245" i="29"/>
  <c r="C245" i="29"/>
  <c r="Z244" i="29"/>
  <c r="V244" i="29"/>
  <c r="U244" i="29"/>
  <c r="T244" i="29"/>
  <c r="S244" i="29"/>
  <c r="N244" i="29"/>
  <c r="M244" i="29"/>
  <c r="L244" i="29"/>
  <c r="K244" i="29"/>
  <c r="F244" i="29"/>
  <c r="E244" i="29"/>
  <c r="D244" i="29"/>
  <c r="C244" i="29"/>
  <c r="Z243" i="29"/>
  <c r="V243" i="29"/>
  <c r="U243" i="29"/>
  <c r="T243" i="29"/>
  <c r="S243" i="29"/>
  <c r="N243" i="29"/>
  <c r="M243" i="29"/>
  <c r="L243" i="29"/>
  <c r="K243" i="29"/>
  <c r="F243" i="29"/>
  <c r="E243" i="29"/>
  <c r="D243" i="29"/>
  <c r="C243" i="29"/>
  <c r="Z242" i="29"/>
  <c r="V242" i="29"/>
  <c r="U242" i="29"/>
  <c r="T242" i="29"/>
  <c r="S242" i="29"/>
  <c r="N242" i="29"/>
  <c r="M242" i="29"/>
  <c r="L242" i="29"/>
  <c r="K242" i="29"/>
  <c r="F242" i="29"/>
  <c r="E242" i="29"/>
  <c r="D242" i="29"/>
  <c r="C242" i="29"/>
  <c r="Z241" i="29"/>
  <c r="V241" i="29"/>
  <c r="U241" i="29"/>
  <c r="T241" i="29"/>
  <c r="S241" i="29"/>
  <c r="N241" i="29"/>
  <c r="M241" i="29"/>
  <c r="L241" i="29"/>
  <c r="K241" i="29"/>
  <c r="F241" i="29"/>
  <c r="E241" i="29"/>
  <c r="D241" i="29"/>
  <c r="C241" i="29"/>
  <c r="Z240" i="29"/>
  <c r="V240" i="29"/>
  <c r="U240" i="29"/>
  <c r="T240" i="29"/>
  <c r="S240" i="29"/>
  <c r="N240" i="29"/>
  <c r="M240" i="29"/>
  <c r="L240" i="29"/>
  <c r="K240" i="29"/>
  <c r="F240" i="29"/>
  <c r="E240" i="29"/>
  <c r="D240" i="29"/>
  <c r="C240" i="29"/>
  <c r="Z239" i="29"/>
  <c r="V239" i="29"/>
  <c r="U239" i="29"/>
  <c r="T239" i="29"/>
  <c r="S239" i="29"/>
  <c r="N239" i="29"/>
  <c r="M239" i="29"/>
  <c r="L239" i="29"/>
  <c r="K239" i="29"/>
  <c r="F239" i="29"/>
  <c r="E239" i="29"/>
  <c r="D239" i="29"/>
  <c r="C239" i="29"/>
  <c r="Z238" i="29"/>
  <c r="V238" i="29"/>
  <c r="U238" i="29"/>
  <c r="T238" i="29"/>
  <c r="S238" i="29"/>
  <c r="N238" i="29"/>
  <c r="M238" i="29"/>
  <c r="L238" i="29"/>
  <c r="K238" i="29"/>
  <c r="F238" i="29"/>
  <c r="E238" i="29"/>
  <c r="D238" i="29"/>
  <c r="C238" i="29"/>
  <c r="Z237" i="29"/>
  <c r="V237" i="29"/>
  <c r="U237" i="29"/>
  <c r="T237" i="29"/>
  <c r="S237" i="29"/>
  <c r="N237" i="29"/>
  <c r="M237" i="29"/>
  <c r="L237" i="29"/>
  <c r="K237" i="29"/>
  <c r="F237" i="29"/>
  <c r="E237" i="29"/>
  <c r="D237" i="29"/>
  <c r="C237" i="29"/>
  <c r="Z236" i="29"/>
  <c r="V236" i="29"/>
  <c r="U236" i="29"/>
  <c r="T236" i="29"/>
  <c r="S236" i="29"/>
  <c r="N236" i="29"/>
  <c r="M236" i="29"/>
  <c r="L236" i="29"/>
  <c r="K236" i="29"/>
  <c r="F236" i="29"/>
  <c r="E236" i="29"/>
  <c r="D236" i="29"/>
  <c r="C236" i="29"/>
  <c r="Z235" i="29"/>
  <c r="V235" i="29"/>
  <c r="U235" i="29"/>
  <c r="T235" i="29"/>
  <c r="S235" i="29"/>
  <c r="N235" i="29"/>
  <c r="M235" i="29"/>
  <c r="L235" i="29"/>
  <c r="K235" i="29"/>
  <c r="F235" i="29"/>
  <c r="E235" i="29"/>
  <c r="D235" i="29"/>
  <c r="C235" i="29"/>
  <c r="Z234" i="29"/>
  <c r="V234" i="29"/>
  <c r="U234" i="29"/>
  <c r="T234" i="29"/>
  <c r="S234" i="29"/>
  <c r="N234" i="29"/>
  <c r="M234" i="29"/>
  <c r="L234" i="29"/>
  <c r="K234" i="29"/>
  <c r="F234" i="29"/>
  <c r="E234" i="29"/>
  <c r="D234" i="29"/>
  <c r="C234" i="29"/>
  <c r="Z233" i="29"/>
  <c r="V233" i="29"/>
  <c r="U233" i="29"/>
  <c r="T233" i="29"/>
  <c r="S233" i="29"/>
  <c r="N233" i="29"/>
  <c r="M233" i="29"/>
  <c r="L233" i="29"/>
  <c r="K233" i="29"/>
  <c r="F233" i="29"/>
  <c r="E233" i="29"/>
  <c r="D233" i="29"/>
  <c r="C233" i="29"/>
  <c r="Z232" i="29"/>
  <c r="V232" i="29"/>
  <c r="U232" i="29"/>
  <c r="T232" i="29"/>
  <c r="S232" i="29"/>
  <c r="N232" i="29"/>
  <c r="M232" i="29"/>
  <c r="L232" i="29"/>
  <c r="K232" i="29"/>
  <c r="F232" i="29"/>
  <c r="E232" i="29"/>
  <c r="D232" i="29"/>
  <c r="C232" i="29"/>
  <c r="Z231" i="29"/>
  <c r="V231" i="29"/>
  <c r="U231" i="29"/>
  <c r="T231" i="29"/>
  <c r="S231" i="29"/>
  <c r="N231" i="29"/>
  <c r="M231" i="29"/>
  <c r="L231" i="29"/>
  <c r="K231" i="29"/>
  <c r="F231" i="29"/>
  <c r="E231" i="29"/>
  <c r="D231" i="29"/>
  <c r="C231" i="29"/>
  <c r="Z230" i="29"/>
  <c r="V230" i="29"/>
  <c r="U230" i="29"/>
  <c r="T230" i="29"/>
  <c r="S230" i="29"/>
  <c r="N230" i="29"/>
  <c r="M230" i="29"/>
  <c r="L230" i="29"/>
  <c r="K230" i="29"/>
  <c r="F230" i="29"/>
  <c r="E230" i="29"/>
  <c r="D230" i="29"/>
  <c r="C230" i="29"/>
  <c r="Z229" i="29"/>
  <c r="V229" i="29"/>
  <c r="U229" i="29"/>
  <c r="T229" i="29"/>
  <c r="S229" i="29"/>
  <c r="N229" i="29"/>
  <c r="M229" i="29"/>
  <c r="L229" i="29"/>
  <c r="K229" i="29"/>
  <c r="F229" i="29"/>
  <c r="E229" i="29"/>
  <c r="D229" i="29"/>
  <c r="C229" i="29"/>
  <c r="Z228" i="29"/>
  <c r="V228" i="29"/>
  <c r="U228" i="29"/>
  <c r="T228" i="29"/>
  <c r="S228" i="29"/>
  <c r="N228" i="29"/>
  <c r="M228" i="29"/>
  <c r="L228" i="29"/>
  <c r="K228" i="29"/>
  <c r="F228" i="29"/>
  <c r="E228" i="29"/>
  <c r="D228" i="29"/>
  <c r="C228" i="29"/>
  <c r="Z227" i="29"/>
  <c r="V227" i="29"/>
  <c r="U227" i="29"/>
  <c r="T227" i="29"/>
  <c r="S227" i="29"/>
  <c r="N227" i="29"/>
  <c r="M227" i="29"/>
  <c r="L227" i="29"/>
  <c r="K227" i="29"/>
  <c r="F227" i="29"/>
  <c r="E227" i="29"/>
  <c r="D227" i="29"/>
  <c r="C227" i="29"/>
  <c r="Z226" i="29"/>
  <c r="V226" i="29"/>
  <c r="U226" i="29"/>
  <c r="T226" i="29"/>
  <c r="S226" i="29"/>
  <c r="N226" i="29"/>
  <c r="M226" i="29"/>
  <c r="L226" i="29"/>
  <c r="K226" i="29"/>
  <c r="F226" i="29"/>
  <c r="E226" i="29"/>
  <c r="D226" i="29"/>
  <c r="C226" i="29"/>
  <c r="Z225" i="29"/>
  <c r="U220" i="29"/>
  <c r="W371" i="29" s="1"/>
  <c r="N220" i="29"/>
  <c r="O371" i="29" s="1"/>
  <c r="G220" i="29"/>
  <c r="G371" i="29" s="1"/>
  <c r="U219" i="29"/>
  <c r="W350" i="29" s="1"/>
  <c r="N219" i="29"/>
  <c r="O350" i="29" s="1"/>
  <c r="G219" i="29"/>
  <c r="G350" i="29" s="1"/>
  <c r="U218" i="29"/>
  <c r="W329" i="29" s="1"/>
  <c r="N218" i="29"/>
  <c r="O329" i="29" s="1"/>
  <c r="G218" i="29"/>
  <c r="G329" i="29" s="1"/>
  <c r="U217" i="29"/>
  <c r="W308" i="29" s="1"/>
  <c r="N217" i="29"/>
  <c r="O308" i="29" s="1"/>
  <c r="G217" i="29"/>
  <c r="G308" i="29" s="1"/>
  <c r="U216" i="29"/>
  <c r="W287" i="29" s="1"/>
  <c r="N216" i="29"/>
  <c r="O287" i="29" s="1"/>
  <c r="G216" i="29"/>
  <c r="G287" i="29" s="1"/>
  <c r="U215" i="29"/>
  <c r="W266" i="29" s="1"/>
  <c r="N215" i="29"/>
  <c r="O266" i="29" s="1"/>
  <c r="G215" i="29"/>
  <c r="G266" i="29" s="1"/>
  <c r="U214" i="29"/>
  <c r="W245" i="29" s="1"/>
  <c r="N214" i="29"/>
  <c r="O245" i="29" s="1"/>
  <c r="G214" i="29"/>
  <c r="G245" i="29" s="1"/>
  <c r="L213" i="29"/>
  <c r="S213" i="29" s="1"/>
  <c r="K213" i="29"/>
  <c r="R213" i="29" s="1"/>
  <c r="I211" i="29"/>
  <c r="P211" i="29" s="1"/>
  <c r="U209" i="29"/>
  <c r="W370" i="29" s="1"/>
  <c r="N209" i="29"/>
  <c r="O370" i="29" s="1"/>
  <c r="G209" i="29"/>
  <c r="G370" i="29" s="1"/>
  <c r="U208" i="29"/>
  <c r="W349" i="29" s="1"/>
  <c r="N208" i="29"/>
  <c r="O349" i="29" s="1"/>
  <c r="G208" i="29"/>
  <c r="G349" i="29" s="1"/>
  <c r="U207" i="29"/>
  <c r="W328" i="29" s="1"/>
  <c r="N207" i="29"/>
  <c r="O328" i="29" s="1"/>
  <c r="G207" i="29"/>
  <c r="G328" i="29" s="1"/>
  <c r="U206" i="29"/>
  <c r="W307" i="29" s="1"/>
  <c r="N206" i="29"/>
  <c r="O307" i="29" s="1"/>
  <c r="G206" i="29"/>
  <c r="G307" i="29" s="1"/>
  <c r="U205" i="29"/>
  <c r="W286" i="29" s="1"/>
  <c r="N205" i="29"/>
  <c r="O286" i="29" s="1"/>
  <c r="G205" i="29"/>
  <c r="U204" i="29"/>
  <c r="W265" i="29" s="1"/>
  <c r="N204" i="29"/>
  <c r="O265" i="29" s="1"/>
  <c r="G204" i="29"/>
  <c r="G265" i="29" s="1"/>
  <c r="U203" i="29"/>
  <c r="W244" i="29" s="1"/>
  <c r="N203" i="29"/>
  <c r="O244" i="29" s="1"/>
  <c r="G203" i="29"/>
  <c r="G244" i="29" s="1"/>
  <c r="L202" i="29"/>
  <c r="S202" i="29" s="1"/>
  <c r="K202" i="29"/>
  <c r="R202" i="29" s="1"/>
  <c r="I200" i="29"/>
  <c r="P200" i="29" s="1"/>
  <c r="U198" i="29"/>
  <c r="W369" i="29" s="1"/>
  <c r="N198" i="29"/>
  <c r="O369" i="29" s="1"/>
  <c r="G198" i="29"/>
  <c r="G369" i="29" s="1"/>
  <c r="U197" i="29"/>
  <c r="W348" i="29" s="1"/>
  <c r="N197" i="29"/>
  <c r="O348" i="29" s="1"/>
  <c r="G197" i="29"/>
  <c r="G348" i="29" s="1"/>
  <c r="U196" i="29"/>
  <c r="W327" i="29" s="1"/>
  <c r="N196" i="29"/>
  <c r="O327" i="29" s="1"/>
  <c r="G196" i="29"/>
  <c r="G327" i="29" s="1"/>
  <c r="U195" i="29"/>
  <c r="W306" i="29" s="1"/>
  <c r="N195" i="29"/>
  <c r="O306" i="29" s="1"/>
  <c r="G195" i="29"/>
  <c r="G306" i="29" s="1"/>
  <c r="U194" i="29"/>
  <c r="W285" i="29" s="1"/>
  <c r="N194" i="29"/>
  <c r="O285" i="29" s="1"/>
  <c r="G194" i="29"/>
  <c r="U193" i="29"/>
  <c r="W264" i="29" s="1"/>
  <c r="N193" i="29"/>
  <c r="O264" i="29" s="1"/>
  <c r="G193" i="29"/>
  <c r="G264" i="29" s="1"/>
  <c r="U192" i="29"/>
  <c r="W243" i="29" s="1"/>
  <c r="N192" i="29"/>
  <c r="O243" i="29" s="1"/>
  <c r="G192" i="29"/>
  <c r="G243" i="29" s="1"/>
  <c r="L191" i="29"/>
  <c r="S191" i="29" s="1"/>
  <c r="K191" i="29"/>
  <c r="R191" i="29" s="1"/>
  <c r="I189" i="29"/>
  <c r="P189" i="29" s="1"/>
  <c r="U187" i="29"/>
  <c r="W368" i="29" s="1"/>
  <c r="N187" i="29"/>
  <c r="O368" i="29" s="1"/>
  <c r="G187" i="29"/>
  <c r="G368" i="29" s="1"/>
  <c r="U186" i="29"/>
  <c r="W347" i="29" s="1"/>
  <c r="N186" i="29"/>
  <c r="O347" i="29" s="1"/>
  <c r="G186" i="29"/>
  <c r="G347" i="29" s="1"/>
  <c r="U185" i="29"/>
  <c r="W326" i="29" s="1"/>
  <c r="N185" i="29"/>
  <c r="O326" i="29" s="1"/>
  <c r="G185" i="29"/>
  <c r="G326" i="29" s="1"/>
  <c r="U184" i="29"/>
  <c r="W305" i="29" s="1"/>
  <c r="N184" i="29"/>
  <c r="O305" i="29" s="1"/>
  <c r="G184" i="29"/>
  <c r="G305" i="29" s="1"/>
  <c r="U183" i="29"/>
  <c r="W284" i="29" s="1"/>
  <c r="N183" i="29"/>
  <c r="O284" i="29" s="1"/>
  <c r="G183" i="29"/>
  <c r="G284" i="29" s="1"/>
  <c r="U182" i="29"/>
  <c r="W263" i="29" s="1"/>
  <c r="N182" i="29"/>
  <c r="O263" i="29" s="1"/>
  <c r="G182" i="29"/>
  <c r="G263" i="29" s="1"/>
  <c r="U181" i="29"/>
  <c r="W242" i="29" s="1"/>
  <c r="N181" i="29"/>
  <c r="O242" i="29" s="1"/>
  <c r="G181" i="29"/>
  <c r="G242" i="29" s="1"/>
  <c r="L180" i="29"/>
  <c r="S180" i="29" s="1"/>
  <c r="K180" i="29"/>
  <c r="R180" i="29" s="1"/>
  <c r="I178" i="29"/>
  <c r="P178" i="29" s="1"/>
  <c r="U176" i="29"/>
  <c r="W367" i="29" s="1"/>
  <c r="N176" i="29"/>
  <c r="O367" i="29" s="1"/>
  <c r="G176" i="29"/>
  <c r="G367" i="29" s="1"/>
  <c r="U175" i="29"/>
  <c r="W346" i="29" s="1"/>
  <c r="N175" i="29"/>
  <c r="O346" i="29" s="1"/>
  <c r="G175" i="29"/>
  <c r="G346" i="29" s="1"/>
  <c r="U174" i="29"/>
  <c r="W325" i="29" s="1"/>
  <c r="N174" i="29"/>
  <c r="O325" i="29" s="1"/>
  <c r="G174" i="29"/>
  <c r="G325" i="29" s="1"/>
  <c r="U173" i="29"/>
  <c r="W304" i="29" s="1"/>
  <c r="N173" i="29"/>
  <c r="O304" i="29" s="1"/>
  <c r="G173" i="29"/>
  <c r="G304" i="29" s="1"/>
  <c r="U172" i="29"/>
  <c r="W283" i="29" s="1"/>
  <c r="N172" i="29"/>
  <c r="O283" i="29" s="1"/>
  <c r="G172" i="29"/>
  <c r="G283" i="29" s="1"/>
  <c r="U171" i="29"/>
  <c r="W262" i="29" s="1"/>
  <c r="N171" i="29"/>
  <c r="O262" i="29" s="1"/>
  <c r="G171" i="29"/>
  <c r="G262" i="29" s="1"/>
  <c r="U170" i="29"/>
  <c r="W241" i="29" s="1"/>
  <c r="N170" i="29"/>
  <c r="O241" i="29" s="1"/>
  <c r="G170" i="29"/>
  <c r="G241" i="29" s="1"/>
  <c r="L169" i="29"/>
  <c r="S169" i="29" s="1"/>
  <c r="K169" i="29"/>
  <c r="R169" i="29" s="1"/>
  <c r="I167" i="29"/>
  <c r="P167" i="29" s="1"/>
  <c r="U165" i="29"/>
  <c r="W366" i="29" s="1"/>
  <c r="N165" i="29"/>
  <c r="O366" i="29" s="1"/>
  <c r="G165" i="29"/>
  <c r="G366" i="29" s="1"/>
  <c r="U164" i="29"/>
  <c r="W345" i="29" s="1"/>
  <c r="N164" i="29"/>
  <c r="O345" i="29" s="1"/>
  <c r="G164" i="29"/>
  <c r="G345" i="29" s="1"/>
  <c r="U163" i="29"/>
  <c r="W324" i="29" s="1"/>
  <c r="N163" i="29"/>
  <c r="O324" i="29" s="1"/>
  <c r="G163" i="29"/>
  <c r="G324" i="29" s="1"/>
  <c r="U162" i="29"/>
  <c r="W303" i="29" s="1"/>
  <c r="N162" i="29"/>
  <c r="O303" i="29" s="1"/>
  <c r="G162" i="29"/>
  <c r="G303" i="29" s="1"/>
  <c r="U161" i="29"/>
  <c r="W282" i="29" s="1"/>
  <c r="N161" i="29"/>
  <c r="O282" i="29" s="1"/>
  <c r="G161" i="29"/>
  <c r="G282" i="29" s="1"/>
  <c r="U160" i="29"/>
  <c r="W261" i="29" s="1"/>
  <c r="N160" i="29"/>
  <c r="O261" i="29" s="1"/>
  <c r="G160" i="29"/>
  <c r="G261" i="29" s="1"/>
  <c r="U159" i="29"/>
  <c r="W240" i="29" s="1"/>
  <c r="N159" i="29"/>
  <c r="O240" i="29" s="1"/>
  <c r="G159" i="29"/>
  <c r="G240" i="29" s="1"/>
  <c r="L158" i="29"/>
  <c r="K158" i="29"/>
  <c r="R158" i="29" s="1"/>
  <c r="I156" i="29"/>
  <c r="P156" i="29" s="1"/>
  <c r="U154" i="29"/>
  <c r="W365" i="29" s="1"/>
  <c r="N154" i="29"/>
  <c r="O365" i="29" s="1"/>
  <c r="G154" i="29"/>
  <c r="G365" i="29" s="1"/>
  <c r="U153" i="29"/>
  <c r="W344" i="29" s="1"/>
  <c r="N153" i="29"/>
  <c r="O344" i="29" s="1"/>
  <c r="G153" i="29"/>
  <c r="G344" i="29" s="1"/>
  <c r="U152" i="29"/>
  <c r="W323" i="29" s="1"/>
  <c r="N152" i="29"/>
  <c r="O323" i="29" s="1"/>
  <c r="G152" i="29"/>
  <c r="G323" i="29" s="1"/>
  <c r="U151" i="29"/>
  <c r="W302" i="29" s="1"/>
  <c r="N151" i="29"/>
  <c r="G151" i="29"/>
  <c r="U150" i="29"/>
  <c r="W281" i="29" s="1"/>
  <c r="N150" i="29"/>
  <c r="G150" i="29"/>
  <c r="G281" i="29" s="1"/>
  <c r="U149" i="29"/>
  <c r="W260" i="29" s="1"/>
  <c r="N149" i="29"/>
  <c r="O260" i="29" s="1"/>
  <c r="G149" i="29"/>
  <c r="G260" i="29" s="1"/>
  <c r="U148" i="29"/>
  <c r="W239" i="29" s="1"/>
  <c r="N148" i="29"/>
  <c r="O239" i="29" s="1"/>
  <c r="G148" i="29"/>
  <c r="G239" i="29" s="1"/>
  <c r="L147" i="29"/>
  <c r="S147" i="29" s="1"/>
  <c r="K147" i="29"/>
  <c r="R147" i="29" s="1"/>
  <c r="I145" i="29"/>
  <c r="P145" i="29" s="1"/>
  <c r="U143" i="29"/>
  <c r="W364" i="29" s="1"/>
  <c r="N143" i="29"/>
  <c r="O364" i="29" s="1"/>
  <c r="G143" i="29"/>
  <c r="G364" i="29" s="1"/>
  <c r="U142" i="29"/>
  <c r="W343" i="29" s="1"/>
  <c r="N142" i="29"/>
  <c r="O343" i="29" s="1"/>
  <c r="G142" i="29"/>
  <c r="G343" i="29" s="1"/>
  <c r="U141" i="29"/>
  <c r="W322" i="29" s="1"/>
  <c r="N141" i="29"/>
  <c r="O322" i="29" s="1"/>
  <c r="G141" i="29"/>
  <c r="G322" i="29" s="1"/>
  <c r="U140" i="29"/>
  <c r="W301" i="29" s="1"/>
  <c r="N140" i="29"/>
  <c r="O301" i="29" s="1"/>
  <c r="G140" i="29"/>
  <c r="U139" i="29"/>
  <c r="W280" i="29" s="1"/>
  <c r="N139" i="29"/>
  <c r="O280" i="29" s="1"/>
  <c r="G139" i="29"/>
  <c r="G280" i="29" s="1"/>
  <c r="U138" i="29"/>
  <c r="W259" i="29" s="1"/>
  <c r="N138" i="29"/>
  <c r="O259" i="29" s="1"/>
  <c r="G138" i="29"/>
  <c r="G259" i="29" s="1"/>
  <c r="U137" i="29"/>
  <c r="W238" i="29" s="1"/>
  <c r="N137" i="29"/>
  <c r="O238" i="29" s="1"/>
  <c r="G137" i="29"/>
  <c r="G238" i="29" s="1"/>
  <c r="L136" i="29"/>
  <c r="S136" i="29" s="1"/>
  <c r="K136" i="29"/>
  <c r="R136" i="29" s="1"/>
  <c r="I134" i="29"/>
  <c r="P134" i="29" s="1"/>
  <c r="U132" i="29"/>
  <c r="W363" i="29" s="1"/>
  <c r="N132" i="29"/>
  <c r="O363" i="29" s="1"/>
  <c r="G132" i="29"/>
  <c r="G363" i="29" s="1"/>
  <c r="U131" i="29"/>
  <c r="W342" i="29" s="1"/>
  <c r="N131" i="29"/>
  <c r="O342" i="29" s="1"/>
  <c r="G131" i="29"/>
  <c r="G342" i="29" s="1"/>
  <c r="U130" i="29"/>
  <c r="W321" i="29" s="1"/>
  <c r="N130" i="29"/>
  <c r="O321" i="29" s="1"/>
  <c r="G130" i="29"/>
  <c r="G321" i="29" s="1"/>
  <c r="U129" i="29"/>
  <c r="W300" i="29" s="1"/>
  <c r="N129" i="29"/>
  <c r="O300" i="29" s="1"/>
  <c r="G129" i="29"/>
  <c r="G300" i="29" s="1"/>
  <c r="U128" i="29"/>
  <c r="W279" i="29" s="1"/>
  <c r="N128" i="29"/>
  <c r="O279" i="29" s="1"/>
  <c r="G128" i="29"/>
  <c r="G279" i="29" s="1"/>
  <c r="U127" i="29"/>
  <c r="W258" i="29" s="1"/>
  <c r="N127" i="29"/>
  <c r="O258" i="29" s="1"/>
  <c r="G127" i="29"/>
  <c r="G258" i="29" s="1"/>
  <c r="U126" i="29"/>
  <c r="W237" i="29" s="1"/>
  <c r="N126" i="29"/>
  <c r="O237" i="29" s="1"/>
  <c r="G126" i="29"/>
  <c r="G237" i="29" s="1"/>
  <c r="L125" i="29"/>
  <c r="S125" i="29" s="1"/>
  <c r="I123" i="29"/>
  <c r="P123" i="29" s="1"/>
  <c r="U121" i="29"/>
  <c r="W362" i="29" s="1"/>
  <c r="N121" i="29"/>
  <c r="O362" i="29" s="1"/>
  <c r="G121" i="29"/>
  <c r="G362" i="29" s="1"/>
  <c r="U120" i="29"/>
  <c r="W341" i="29" s="1"/>
  <c r="N120" i="29"/>
  <c r="O341" i="29" s="1"/>
  <c r="G120" i="29"/>
  <c r="G341" i="29" s="1"/>
  <c r="U119" i="29"/>
  <c r="W320" i="29" s="1"/>
  <c r="N119" i="29"/>
  <c r="O320" i="29" s="1"/>
  <c r="G119" i="29"/>
  <c r="G320" i="29" s="1"/>
  <c r="U118" i="29"/>
  <c r="W299" i="29" s="1"/>
  <c r="N118" i="29"/>
  <c r="O299" i="29" s="1"/>
  <c r="G118" i="29"/>
  <c r="G299" i="29" s="1"/>
  <c r="U117" i="29"/>
  <c r="W278" i="29" s="1"/>
  <c r="N117" i="29"/>
  <c r="O278" i="29" s="1"/>
  <c r="G117" i="29"/>
  <c r="G278" i="29" s="1"/>
  <c r="U116" i="29"/>
  <c r="W257" i="29" s="1"/>
  <c r="N116" i="29"/>
  <c r="O257" i="29" s="1"/>
  <c r="G116" i="29"/>
  <c r="G257" i="29" s="1"/>
  <c r="U115" i="29"/>
  <c r="W236" i="29" s="1"/>
  <c r="N115" i="29"/>
  <c r="O236" i="29" s="1"/>
  <c r="G115" i="29"/>
  <c r="G236" i="29" s="1"/>
  <c r="L114" i="29"/>
  <c r="S114" i="29" s="1"/>
  <c r="K114" i="29"/>
  <c r="R114" i="29" s="1"/>
  <c r="I112" i="29"/>
  <c r="P112" i="29" s="1"/>
  <c r="U110" i="29"/>
  <c r="W361" i="29" s="1"/>
  <c r="N110" i="29"/>
  <c r="O361" i="29" s="1"/>
  <c r="G110" i="29"/>
  <c r="G361" i="29" s="1"/>
  <c r="U109" i="29"/>
  <c r="W340" i="29" s="1"/>
  <c r="N109" i="29"/>
  <c r="O340" i="29" s="1"/>
  <c r="G109" i="29"/>
  <c r="G340" i="29" s="1"/>
  <c r="U108" i="29"/>
  <c r="W319" i="29" s="1"/>
  <c r="N108" i="29"/>
  <c r="O319" i="29" s="1"/>
  <c r="G108" i="29"/>
  <c r="G319" i="29" s="1"/>
  <c r="U107" i="29"/>
  <c r="W298" i="29" s="1"/>
  <c r="N107" i="29"/>
  <c r="O298" i="29" s="1"/>
  <c r="G107" i="29"/>
  <c r="G298" i="29" s="1"/>
  <c r="U106" i="29"/>
  <c r="W277" i="29" s="1"/>
  <c r="N106" i="29"/>
  <c r="O277" i="29" s="1"/>
  <c r="G106" i="29"/>
  <c r="G277" i="29" s="1"/>
  <c r="U105" i="29"/>
  <c r="W256" i="29" s="1"/>
  <c r="N105" i="29"/>
  <c r="O256" i="29" s="1"/>
  <c r="G105" i="29"/>
  <c r="G256" i="29" s="1"/>
  <c r="U104" i="29"/>
  <c r="W235" i="29" s="1"/>
  <c r="N104" i="29"/>
  <c r="O235" i="29" s="1"/>
  <c r="G104" i="29"/>
  <c r="G235" i="29" s="1"/>
  <c r="L103" i="29"/>
  <c r="S103" i="29" s="1"/>
  <c r="K103" i="29"/>
  <c r="R103" i="29" s="1"/>
  <c r="I101" i="29"/>
  <c r="P101" i="29" s="1"/>
  <c r="U99" i="29"/>
  <c r="W360" i="29" s="1"/>
  <c r="N99" i="29"/>
  <c r="O360" i="29" s="1"/>
  <c r="G99" i="29"/>
  <c r="G360" i="29" s="1"/>
  <c r="U98" i="29"/>
  <c r="W339" i="29" s="1"/>
  <c r="N98" i="29"/>
  <c r="O339" i="29" s="1"/>
  <c r="G98" i="29"/>
  <c r="G339" i="29" s="1"/>
  <c r="U97" i="29"/>
  <c r="W318" i="29" s="1"/>
  <c r="N97" i="29"/>
  <c r="O318" i="29" s="1"/>
  <c r="G97" i="29"/>
  <c r="G318" i="29" s="1"/>
  <c r="U96" i="29"/>
  <c r="W297" i="29" s="1"/>
  <c r="N96" i="29"/>
  <c r="O297" i="29" s="1"/>
  <c r="G96" i="29"/>
  <c r="G297" i="29" s="1"/>
  <c r="U95" i="29"/>
  <c r="W276" i="29" s="1"/>
  <c r="N95" i="29"/>
  <c r="O276" i="29" s="1"/>
  <c r="G95" i="29"/>
  <c r="G276" i="29" s="1"/>
  <c r="U94" i="29"/>
  <c r="W255" i="29" s="1"/>
  <c r="N94" i="29"/>
  <c r="O255" i="29" s="1"/>
  <c r="G94" i="29"/>
  <c r="G255" i="29" s="1"/>
  <c r="U93" i="29"/>
  <c r="W234" i="29" s="1"/>
  <c r="N93" i="29"/>
  <c r="O234" i="29" s="1"/>
  <c r="G93" i="29"/>
  <c r="G234" i="29" s="1"/>
  <c r="L92" i="29"/>
  <c r="S92" i="29" s="1"/>
  <c r="K92" i="29"/>
  <c r="R92" i="29" s="1"/>
  <c r="I90" i="29"/>
  <c r="P90" i="29" s="1"/>
  <c r="U88" i="29"/>
  <c r="W359" i="29" s="1"/>
  <c r="N88" i="29"/>
  <c r="O359" i="29" s="1"/>
  <c r="G88" i="29"/>
  <c r="G359" i="29" s="1"/>
  <c r="U87" i="29"/>
  <c r="W338" i="29" s="1"/>
  <c r="N87" i="29"/>
  <c r="O338" i="29" s="1"/>
  <c r="G87" i="29"/>
  <c r="G338" i="29" s="1"/>
  <c r="U86" i="29"/>
  <c r="W317" i="29" s="1"/>
  <c r="N86" i="29"/>
  <c r="O317" i="29" s="1"/>
  <c r="G86" i="29"/>
  <c r="G317" i="29" s="1"/>
  <c r="U85" i="29"/>
  <c r="W296" i="29" s="1"/>
  <c r="N85" i="29"/>
  <c r="O296" i="29" s="1"/>
  <c r="G85" i="29"/>
  <c r="G296" i="29" s="1"/>
  <c r="U84" i="29"/>
  <c r="W275" i="29" s="1"/>
  <c r="N84" i="29"/>
  <c r="O275" i="29" s="1"/>
  <c r="G84" i="29"/>
  <c r="G275" i="29" s="1"/>
  <c r="U83" i="29"/>
  <c r="W254" i="29" s="1"/>
  <c r="N83" i="29"/>
  <c r="O254" i="29" s="1"/>
  <c r="G83" i="29"/>
  <c r="G254" i="29" s="1"/>
  <c r="U82" i="29"/>
  <c r="W233" i="29" s="1"/>
  <c r="N82" i="29"/>
  <c r="O233" i="29" s="1"/>
  <c r="G82" i="29"/>
  <c r="G233" i="29" s="1"/>
  <c r="L81" i="29"/>
  <c r="S81" i="29" s="1"/>
  <c r="K81" i="29"/>
  <c r="R81" i="29" s="1"/>
  <c r="I79" i="29"/>
  <c r="P79" i="29" s="1"/>
  <c r="U77" i="29"/>
  <c r="W358" i="29" s="1"/>
  <c r="N77" i="29"/>
  <c r="O358" i="29" s="1"/>
  <c r="G77" i="29"/>
  <c r="G358" i="29" s="1"/>
  <c r="U76" i="29"/>
  <c r="W337" i="29" s="1"/>
  <c r="N76" i="29"/>
  <c r="O337" i="29" s="1"/>
  <c r="G76" i="29"/>
  <c r="G337" i="29" s="1"/>
  <c r="U75" i="29"/>
  <c r="W316" i="29" s="1"/>
  <c r="N75" i="29"/>
  <c r="O316" i="29" s="1"/>
  <c r="G75" i="29"/>
  <c r="G316" i="29" s="1"/>
  <c r="U74" i="29"/>
  <c r="W295" i="29" s="1"/>
  <c r="N74" i="29"/>
  <c r="O295" i="29" s="1"/>
  <c r="G74" i="29"/>
  <c r="G295" i="29" s="1"/>
  <c r="U73" i="29"/>
  <c r="W274" i="29" s="1"/>
  <c r="N73" i="29"/>
  <c r="O274" i="29" s="1"/>
  <c r="G73" i="29"/>
  <c r="G274" i="29" s="1"/>
  <c r="U72" i="29"/>
  <c r="W253" i="29" s="1"/>
  <c r="N72" i="29"/>
  <c r="O253" i="29" s="1"/>
  <c r="G72" i="29"/>
  <c r="G253" i="29" s="1"/>
  <c r="U71" i="29"/>
  <c r="W232" i="29" s="1"/>
  <c r="N71" i="29"/>
  <c r="O232" i="29" s="1"/>
  <c r="G71" i="29"/>
  <c r="G232" i="29" s="1"/>
  <c r="L70" i="29"/>
  <c r="S70" i="29" s="1"/>
  <c r="K70" i="29"/>
  <c r="R70" i="29" s="1"/>
  <c r="I68" i="29"/>
  <c r="P68" i="29" s="1"/>
  <c r="U66" i="29"/>
  <c r="W357" i="29" s="1"/>
  <c r="N66" i="29"/>
  <c r="O357" i="29" s="1"/>
  <c r="G66" i="29"/>
  <c r="G357" i="29" s="1"/>
  <c r="U65" i="29"/>
  <c r="W336" i="29" s="1"/>
  <c r="N65" i="29"/>
  <c r="O336" i="29" s="1"/>
  <c r="G65" i="29"/>
  <c r="G336" i="29" s="1"/>
  <c r="U64" i="29"/>
  <c r="W315" i="29" s="1"/>
  <c r="N64" i="29"/>
  <c r="O315" i="29" s="1"/>
  <c r="G64" i="29"/>
  <c r="G315" i="29" s="1"/>
  <c r="U63" i="29"/>
  <c r="W294" i="29" s="1"/>
  <c r="N63" i="29"/>
  <c r="O294" i="29" s="1"/>
  <c r="G63" i="29"/>
  <c r="G294" i="29" s="1"/>
  <c r="U62" i="29"/>
  <c r="W273" i="29" s="1"/>
  <c r="N62" i="29"/>
  <c r="O273" i="29" s="1"/>
  <c r="G62" i="29"/>
  <c r="G273" i="29" s="1"/>
  <c r="U61" i="29"/>
  <c r="W252" i="29" s="1"/>
  <c r="N61" i="29"/>
  <c r="O252" i="29" s="1"/>
  <c r="G61" i="29"/>
  <c r="G252" i="29" s="1"/>
  <c r="U60" i="29"/>
  <c r="W231" i="29" s="1"/>
  <c r="N60" i="29"/>
  <c r="O231" i="29" s="1"/>
  <c r="G60" i="29"/>
  <c r="G231" i="29" s="1"/>
  <c r="L59" i="29"/>
  <c r="S59" i="29" s="1"/>
  <c r="K59" i="29"/>
  <c r="R59" i="29" s="1"/>
  <c r="I57" i="29"/>
  <c r="P57" i="29" s="1"/>
  <c r="U55" i="29"/>
  <c r="W356" i="29" s="1"/>
  <c r="N55" i="29"/>
  <c r="O356" i="29" s="1"/>
  <c r="G55" i="29"/>
  <c r="G356" i="29" s="1"/>
  <c r="U54" i="29"/>
  <c r="W335" i="29" s="1"/>
  <c r="N54" i="29"/>
  <c r="O335" i="29" s="1"/>
  <c r="G54" i="29"/>
  <c r="G335" i="29" s="1"/>
  <c r="U53" i="29"/>
  <c r="W314" i="29" s="1"/>
  <c r="N53" i="29"/>
  <c r="O314" i="29" s="1"/>
  <c r="G53" i="29"/>
  <c r="G314" i="29" s="1"/>
  <c r="U52" i="29"/>
  <c r="W293" i="29" s="1"/>
  <c r="N52" i="29"/>
  <c r="O293" i="29" s="1"/>
  <c r="G52" i="29"/>
  <c r="G293" i="29" s="1"/>
  <c r="U51" i="29"/>
  <c r="W272" i="29" s="1"/>
  <c r="N51" i="29"/>
  <c r="O272" i="29" s="1"/>
  <c r="G51" i="29"/>
  <c r="G272" i="29" s="1"/>
  <c r="U50" i="29"/>
  <c r="W251" i="29" s="1"/>
  <c r="N50" i="29"/>
  <c r="O251" i="29" s="1"/>
  <c r="G50" i="29"/>
  <c r="G251" i="29" s="1"/>
  <c r="U49" i="29"/>
  <c r="W230" i="29" s="1"/>
  <c r="N49" i="29"/>
  <c r="O230" i="29" s="1"/>
  <c r="G49" i="29"/>
  <c r="G230" i="29" s="1"/>
  <c r="M48" i="29"/>
  <c r="T48" i="29" s="1"/>
  <c r="L48" i="29"/>
  <c r="S48" i="29" s="1"/>
  <c r="K48" i="29"/>
  <c r="R48" i="29" s="1"/>
  <c r="I46" i="29"/>
  <c r="P46" i="29" s="1"/>
  <c r="U44" i="29"/>
  <c r="W355" i="29" s="1"/>
  <c r="N44" i="29"/>
  <c r="O355" i="29" s="1"/>
  <c r="G44" i="29"/>
  <c r="G355" i="29" s="1"/>
  <c r="U43" i="29"/>
  <c r="W334" i="29" s="1"/>
  <c r="N43" i="29"/>
  <c r="O334" i="29" s="1"/>
  <c r="G43" i="29"/>
  <c r="G334" i="29" s="1"/>
  <c r="U42" i="29"/>
  <c r="W313" i="29" s="1"/>
  <c r="N42" i="29"/>
  <c r="O313" i="29" s="1"/>
  <c r="G42" i="29"/>
  <c r="G313" i="29" s="1"/>
  <c r="U41" i="29"/>
  <c r="W292" i="29" s="1"/>
  <c r="N41" i="29"/>
  <c r="O292" i="29" s="1"/>
  <c r="G41" i="29"/>
  <c r="G292" i="29" s="1"/>
  <c r="U40" i="29"/>
  <c r="W271" i="29" s="1"/>
  <c r="N40" i="29"/>
  <c r="O271" i="29" s="1"/>
  <c r="G40" i="29"/>
  <c r="G271" i="29" s="1"/>
  <c r="U39" i="29"/>
  <c r="W250" i="29" s="1"/>
  <c r="N39" i="29"/>
  <c r="O250" i="29" s="1"/>
  <c r="G39" i="29"/>
  <c r="G250" i="29" s="1"/>
  <c r="U38" i="29"/>
  <c r="W229" i="29" s="1"/>
  <c r="N38" i="29"/>
  <c r="O229" i="29" s="1"/>
  <c r="G38" i="29"/>
  <c r="G229" i="29" s="1"/>
  <c r="L37" i="29"/>
  <c r="S37" i="29" s="1"/>
  <c r="K37" i="29"/>
  <c r="R37" i="29" s="1"/>
  <c r="I35" i="29"/>
  <c r="P35" i="29" s="1"/>
  <c r="U33" i="29"/>
  <c r="W354" i="29" s="1"/>
  <c r="N33" i="29"/>
  <c r="O354" i="29" s="1"/>
  <c r="G33" i="29"/>
  <c r="G354" i="29" s="1"/>
  <c r="U32" i="29"/>
  <c r="W333" i="29" s="1"/>
  <c r="N32" i="29"/>
  <c r="O333" i="29" s="1"/>
  <c r="G32" i="29"/>
  <c r="G333" i="29" s="1"/>
  <c r="U31" i="29"/>
  <c r="W312" i="29" s="1"/>
  <c r="N31" i="29"/>
  <c r="O312" i="29" s="1"/>
  <c r="G31" i="29"/>
  <c r="G312" i="29" s="1"/>
  <c r="U30" i="29"/>
  <c r="W291" i="29" s="1"/>
  <c r="N30" i="29"/>
  <c r="O291" i="29" s="1"/>
  <c r="G30" i="29"/>
  <c r="G291" i="29" s="1"/>
  <c r="U29" i="29"/>
  <c r="W270" i="29" s="1"/>
  <c r="N29" i="29"/>
  <c r="O270" i="29" s="1"/>
  <c r="G29" i="29"/>
  <c r="G270" i="29" s="1"/>
  <c r="U28" i="29"/>
  <c r="W249" i="29" s="1"/>
  <c r="N28" i="29"/>
  <c r="O249" i="29" s="1"/>
  <c r="G28" i="29"/>
  <c r="G249" i="29" s="1"/>
  <c r="U27" i="29"/>
  <c r="W228" i="29" s="1"/>
  <c r="N27" i="29"/>
  <c r="O228" i="29" s="1"/>
  <c r="G27" i="29"/>
  <c r="G228" i="29" s="1"/>
  <c r="M26" i="29"/>
  <c r="T26" i="29" s="1"/>
  <c r="L26" i="29"/>
  <c r="S26" i="29" s="1"/>
  <c r="K26" i="29"/>
  <c r="R26" i="29" s="1"/>
  <c r="I24" i="29"/>
  <c r="P24" i="29" s="1"/>
  <c r="U22" i="29"/>
  <c r="W353" i="29" s="1"/>
  <c r="N22" i="29"/>
  <c r="O353" i="29" s="1"/>
  <c r="G22" i="29"/>
  <c r="G353" i="29" s="1"/>
  <c r="U21" i="29"/>
  <c r="W332" i="29" s="1"/>
  <c r="N21" i="29"/>
  <c r="O332" i="29" s="1"/>
  <c r="G21" i="29"/>
  <c r="G332" i="29" s="1"/>
  <c r="U20" i="29"/>
  <c r="W311" i="29" s="1"/>
  <c r="N20" i="29"/>
  <c r="O311" i="29" s="1"/>
  <c r="G20" i="29"/>
  <c r="G311" i="29" s="1"/>
  <c r="U19" i="29"/>
  <c r="W290" i="29" s="1"/>
  <c r="N19" i="29"/>
  <c r="O290" i="29" s="1"/>
  <c r="G19" i="29"/>
  <c r="G290" i="29" s="1"/>
  <c r="U18" i="29"/>
  <c r="W269" i="29" s="1"/>
  <c r="N18" i="29"/>
  <c r="O269" i="29" s="1"/>
  <c r="G18" i="29"/>
  <c r="G269" i="29" s="1"/>
  <c r="U17" i="29"/>
  <c r="W248" i="29" s="1"/>
  <c r="N17" i="29"/>
  <c r="O248" i="29" s="1"/>
  <c r="G17" i="29"/>
  <c r="G248" i="29" s="1"/>
  <c r="U16" i="29"/>
  <c r="W227" i="29" s="1"/>
  <c r="N16" i="29"/>
  <c r="O227" i="29" s="1"/>
  <c r="G16" i="29"/>
  <c r="G227" i="29" s="1"/>
  <c r="M15" i="29"/>
  <c r="T15" i="29" s="1"/>
  <c r="L15" i="29"/>
  <c r="S15" i="29" s="1"/>
  <c r="K15" i="29"/>
  <c r="R15" i="29" s="1"/>
  <c r="I13" i="29"/>
  <c r="P13" i="29" s="1"/>
  <c r="U11" i="29"/>
  <c r="W352" i="29" s="1"/>
  <c r="N11" i="29"/>
  <c r="O352" i="29" s="1"/>
  <c r="G11" i="29"/>
  <c r="G352" i="29" s="1"/>
  <c r="U10" i="29"/>
  <c r="W331" i="29" s="1"/>
  <c r="N10" i="29"/>
  <c r="O331" i="29" s="1"/>
  <c r="G10" i="29"/>
  <c r="G331" i="29" s="1"/>
  <c r="U9" i="29"/>
  <c r="W310" i="29" s="1"/>
  <c r="N9" i="29"/>
  <c r="G9" i="29"/>
  <c r="G310" i="29" s="1"/>
  <c r="U8" i="29"/>
  <c r="W289" i="29" s="1"/>
  <c r="N8" i="29"/>
  <c r="O289" i="29" s="1"/>
  <c r="G8" i="29"/>
  <c r="G289" i="29" s="1"/>
  <c r="U7" i="29"/>
  <c r="W268" i="29" s="1"/>
  <c r="N7" i="29"/>
  <c r="O268" i="29" s="1"/>
  <c r="G7" i="29"/>
  <c r="G268" i="29" s="1"/>
  <c r="U6" i="29"/>
  <c r="W247" i="29" s="1"/>
  <c r="N6" i="29"/>
  <c r="O247" i="29" s="1"/>
  <c r="G6" i="29"/>
  <c r="G247" i="29" s="1"/>
  <c r="U5" i="29"/>
  <c r="W226" i="29" s="1"/>
  <c r="N5" i="29"/>
  <c r="O226" i="29" s="1"/>
  <c r="G5" i="29"/>
  <c r="G226" i="29" s="1"/>
  <c r="M4" i="29"/>
  <c r="L4" i="29"/>
  <c r="S4" i="29" s="1"/>
  <c r="K4" i="29"/>
  <c r="R4" i="29" s="1"/>
  <c r="I2" i="29"/>
  <c r="P2" i="29" s="1"/>
  <c r="E376" i="29" l="1"/>
  <c r="B378" i="29"/>
  <c r="E377" i="29"/>
  <c r="D376" i="29"/>
  <c r="E380" i="29"/>
  <c r="A378" i="29"/>
  <c r="D377" i="29"/>
  <c r="C376" i="29"/>
  <c r="E382" i="29"/>
  <c r="E381" i="29"/>
  <c r="D380" i="29"/>
  <c r="C377" i="29"/>
  <c r="B376" i="29"/>
  <c r="G373" i="29"/>
  <c r="D382" i="29"/>
  <c r="D381" i="29"/>
  <c r="C380" i="29"/>
  <c r="D379" i="29"/>
  <c r="B377" i="29"/>
  <c r="A376" i="29"/>
  <c r="C382" i="29"/>
  <c r="C381" i="29"/>
  <c r="B380" i="29"/>
  <c r="C379" i="29"/>
  <c r="A377" i="29"/>
  <c r="B382" i="29"/>
  <c r="B381" i="29"/>
  <c r="A380" i="29"/>
  <c r="B379" i="29"/>
  <c r="A382" i="29"/>
  <c r="A381" i="29"/>
  <c r="A379" i="29"/>
  <c r="D378" i="29"/>
  <c r="S373" i="29"/>
  <c r="G301" i="29"/>
  <c r="G302" i="29"/>
  <c r="E379" i="29" s="1"/>
  <c r="G286" i="29"/>
  <c r="G285" i="29"/>
  <c r="E378" i="29" s="1"/>
  <c r="O302" i="29"/>
  <c r="O281" i="29"/>
  <c r="O310" i="29"/>
  <c r="N373" i="29"/>
  <c r="C378" i="29"/>
  <c r="B375" i="29"/>
  <c r="H375" i="29" s="1"/>
  <c r="N375" i="29" s="1"/>
  <c r="C375" i="29"/>
  <c r="I375" i="29" s="1"/>
  <c r="O375" i="29" s="1"/>
  <c r="D375" i="29"/>
  <c r="J375" i="29" s="1"/>
  <c r="P375" i="29" s="1"/>
  <c r="W377" i="29" l="1"/>
  <c r="W379" i="29"/>
  <c r="O392" i="29" s="1"/>
  <c r="W378" i="29"/>
  <c r="H382" i="29"/>
  <c r="H381" i="29"/>
  <c r="G380" i="29"/>
  <c r="H379" i="29"/>
  <c r="K378" i="29"/>
  <c r="M373" i="29"/>
  <c r="G382" i="29"/>
  <c r="G381" i="29"/>
  <c r="G379" i="29"/>
  <c r="J378" i="29"/>
  <c r="I378" i="29"/>
  <c r="K376" i="29"/>
  <c r="H378" i="29"/>
  <c r="K377" i="29"/>
  <c r="J376" i="29"/>
  <c r="K380" i="29"/>
  <c r="G378" i="29"/>
  <c r="J377" i="29"/>
  <c r="I376" i="29"/>
  <c r="K382" i="29"/>
  <c r="K381" i="29"/>
  <c r="J380" i="29"/>
  <c r="K379" i="29"/>
  <c r="I377" i="29"/>
  <c r="H376" i="29"/>
  <c r="J382" i="29"/>
  <c r="J381" i="29"/>
  <c r="I380" i="29"/>
  <c r="J379" i="29"/>
  <c r="H377" i="29"/>
  <c r="G376" i="29"/>
  <c r="H380" i="29"/>
  <c r="I379" i="29"/>
  <c r="G377" i="29"/>
  <c r="I382" i="29"/>
  <c r="I381" i="29"/>
  <c r="T386" i="29" l="1"/>
  <c r="U378" i="29" s="1"/>
  <c r="F17" i="31" s="1"/>
  <c r="O390" i="29"/>
  <c r="H16" i="31"/>
  <c r="O391" i="29"/>
  <c r="H17" i="31"/>
  <c r="Q382" i="29"/>
  <c r="Q381" i="29"/>
  <c r="P380" i="29"/>
  <c r="Q379" i="29"/>
  <c r="O377" i="29"/>
  <c r="N376" i="29"/>
  <c r="P382" i="29"/>
  <c r="P381" i="29"/>
  <c r="O380" i="29"/>
  <c r="P379" i="29"/>
  <c r="N377" i="29"/>
  <c r="M376" i="29"/>
  <c r="O382" i="29"/>
  <c r="O381" i="29"/>
  <c r="N380" i="29"/>
  <c r="O379" i="29"/>
  <c r="M377" i="29"/>
  <c r="N382" i="29"/>
  <c r="N381" i="29"/>
  <c r="M380" i="29"/>
  <c r="N379" i="29"/>
  <c r="Q378" i="29"/>
  <c r="M382" i="29"/>
  <c r="M381" i="29"/>
  <c r="M379" i="29"/>
  <c r="P378" i="29"/>
  <c r="O378" i="29"/>
  <c r="Q376" i="29"/>
  <c r="N378" i="29"/>
  <c r="Q377" i="29"/>
  <c r="P376" i="29"/>
  <c r="Q380" i="29"/>
  <c r="P377" i="29"/>
  <c r="O376" i="29"/>
  <c r="M378" i="29"/>
  <c r="U386" i="29" l="1"/>
  <c r="U379" i="29" s="1"/>
  <c r="N392" i="29" s="1"/>
  <c r="T383" i="29" s="1"/>
  <c r="B259" i="30" l="1"/>
  <c r="B49" i="4"/>
  <c r="B39" i="23"/>
  <c r="B34" i="23"/>
  <c r="B28" i="23"/>
  <c r="B44" i="23"/>
  <c r="F334" i="30"/>
  <c r="F333" i="30"/>
  <c r="F332" i="30"/>
  <c r="F331" i="30"/>
  <c r="F330" i="30"/>
  <c r="F329" i="30"/>
  <c r="F328" i="30"/>
  <c r="F327" i="30"/>
  <c r="F326" i="30"/>
  <c r="F325" i="30"/>
  <c r="F320" i="30"/>
  <c r="F319" i="30"/>
  <c r="F318" i="30"/>
  <c r="F317" i="30"/>
  <c r="F316" i="30"/>
  <c r="F315" i="30"/>
  <c r="F314" i="30"/>
  <c r="F313" i="30"/>
  <c r="F312" i="30"/>
  <c r="F311" i="30"/>
  <c r="F306" i="30"/>
  <c r="F305" i="30"/>
  <c r="F304" i="30"/>
  <c r="F303" i="30"/>
  <c r="F302" i="30"/>
  <c r="F301" i="30"/>
  <c r="F300" i="30"/>
  <c r="F299" i="30"/>
  <c r="F298" i="30"/>
  <c r="F297" i="30"/>
  <c r="P187" i="30"/>
  <c r="P204" i="30" s="1"/>
  <c r="P221" i="30" s="1"/>
  <c r="P237" i="30" s="1"/>
  <c r="P253" i="30" s="1"/>
  <c r="P186" i="30"/>
  <c r="P203" i="30" s="1"/>
  <c r="P220" i="30" s="1"/>
  <c r="P236" i="30" s="1"/>
  <c r="P252" i="30" s="1"/>
  <c r="P185" i="30"/>
  <c r="P202" i="30" s="1"/>
  <c r="P219" i="30" s="1"/>
  <c r="P235" i="30" s="1"/>
  <c r="P251" i="30" s="1"/>
  <c r="P184" i="30"/>
  <c r="P201" i="30" s="1"/>
  <c r="P218" i="30" s="1"/>
  <c r="P234" i="30" s="1"/>
  <c r="P250" i="30" s="1"/>
  <c r="P183" i="30"/>
  <c r="P200" i="30" s="1"/>
  <c r="P217" i="30" s="1"/>
  <c r="P233" i="30" s="1"/>
  <c r="P249" i="30" s="1"/>
  <c r="P182" i="30"/>
  <c r="P199" i="30" s="1"/>
  <c r="P216" i="30" s="1"/>
  <c r="P232" i="30" s="1"/>
  <c r="P248" i="30" s="1"/>
  <c r="P181" i="30"/>
  <c r="P198" i="30" s="1"/>
  <c r="P215" i="30" s="1"/>
  <c r="P231" i="30" s="1"/>
  <c r="P247" i="30" s="1"/>
  <c r="P180" i="30"/>
  <c r="P197" i="30" s="1"/>
  <c r="P214" i="30" s="1"/>
  <c r="P230" i="30" s="1"/>
  <c r="P246" i="30" s="1"/>
  <c r="P179" i="30"/>
  <c r="P196" i="30" s="1"/>
  <c r="P213" i="30" s="1"/>
  <c r="P229" i="30" s="1"/>
  <c r="P245" i="30" s="1"/>
  <c r="P178" i="30"/>
  <c r="P195" i="30" s="1"/>
  <c r="P212" i="30" s="1"/>
  <c r="P228" i="30" s="1"/>
  <c r="P244" i="30" s="1"/>
  <c r="P177" i="30"/>
  <c r="P194" i="30" s="1"/>
  <c r="P211" i="30" s="1"/>
  <c r="P227" i="30" s="1"/>
  <c r="P243" i="30" s="1"/>
  <c r="P176" i="30"/>
  <c r="P193" i="30" s="1"/>
  <c r="P210" i="30" s="1"/>
  <c r="P226" i="30" s="1"/>
  <c r="P242" i="30" s="1"/>
  <c r="P175" i="30"/>
  <c r="P192" i="30" s="1"/>
  <c r="P209" i="30" s="1"/>
  <c r="P225" i="30" s="1"/>
  <c r="P241" i="30" s="1"/>
  <c r="AH170" i="30"/>
  <c r="AH187" i="30" s="1"/>
  <c r="AH204" i="30" s="1"/>
  <c r="AH221" i="30" s="1"/>
  <c r="AH237" i="30" s="1"/>
  <c r="AH253" i="30" s="1"/>
  <c r="AH169" i="30"/>
  <c r="AH186" i="30" s="1"/>
  <c r="AH203" i="30" s="1"/>
  <c r="AH220" i="30" s="1"/>
  <c r="AH236" i="30" s="1"/>
  <c r="AH252" i="30" s="1"/>
  <c r="AH168" i="30"/>
  <c r="AH185" i="30" s="1"/>
  <c r="AH202" i="30" s="1"/>
  <c r="AH219" i="30" s="1"/>
  <c r="AH235" i="30" s="1"/>
  <c r="AH251" i="30" s="1"/>
  <c r="AH167" i="30"/>
  <c r="AH184" i="30" s="1"/>
  <c r="AH201" i="30" s="1"/>
  <c r="AH218" i="30" s="1"/>
  <c r="AH234" i="30" s="1"/>
  <c r="AH250" i="30" s="1"/>
  <c r="AH166" i="30"/>
  <c r="AH183" i="30" s="1"/>
  <c r="AH200" i="30" s="1"/>
  <c r="AH217" i="30" s="1"/>
  <c r="AH233" i="30" s="1"/>
  <c r="AH249" i="30" s="1"/>
  <c r="AH165" i="30"/>
  <c r="AH182" i="30" s="1"/>
  <c r="AH199" i="30" s="1"/>
  <c r="AH216" i="30" s="1"/>
  <c r="AH232" i="30" s="1"/>
  <c r="AH248" i="30" s="1"/>
  <c r="AH164" i="30"/>
  <c r="AH181" i="30" s="1"/>
  <c r="AH198" i="30" s="1"/>
  <c r="AH215" i="30" s="1"/>
  <c r="AH231" i="30" s="1"/>
  <c r="AH247" i="30" s="1"/>
  <c r="AH163" i="30"/>
  <c r="AH180" i="30" s="1"/>
  <c r="AH197" i="30" s="1"/>
  <c r="AH214" i="30" s="1"/>
  <c r="AH230" i="30" s="1"/>
  <c r="AH246" i="30" s="1"/>
  <c r="AH162" i="30"/>
  <c r="AH179" i="30" s="1"/>
  <c r="AH196" i="30" s="1"/>
  <c r="AH213" i="30" s="1"/>
  <c r="AH229" i="30" s="1"/>
  <c r="AH245" i="30" s="1"/>
  <c r="AH161" i="30"/>
  <c r="AH178" i="30" s="1"/>
  <c r="AH195" i="30" s="1"/>
  <c r="AH212" i="30" s="1"/>
  <c r="AH228" i="30" s="1"/>
  <c r="AH244" i="30" s="1"/>
  <c r="AH160" i="30"/>
  <c r="AH177" i="30" s="1"/>
  <c r="AH194" i="30" s="1"/>
  <c r="AH211" i="30" s="1"/>
  <c r="AH227" i="30" s="1"/>
  <c r="AH243" i="30" s="1"/>
  <c r="AH159" i="30"/>
  <c r="AH176" i="30" s="1"/>
  <c r="AH193" i="30" s="1"/>
  <c r="AH210" i="30" s="1"/>
  <c r="AH226" i="30" s="1"/>
  <c r="AH242" i="30" s="1"/>
  <c r="AH158" i="30"/>
  <c r="AH175" i="30" s="1"/>
  <c r="AH192" i="30" s="1"/>
  <c r="AH209" i="30" s="1"/>
  <c r="AH225" i="30" s="1"/>
  <c r="AH241" i="30" s="1"/>
  <c r="AJ239" i="30"/>
  <c r="Q223" i="30"/>
  <c r="Q239" i="30" s="1"/>
  <c r="P223" i="30"/>
  <c r="P239" i="30" s="1"/>
  <c r="BW3" i="30"/>
  <c r="BW18" i="30" s="1"/>
  <c r="BW33" i="30" s="1"/>
  <c r="BW48" i="30" s="1"/>
  <c r="BW63" i="30" s="1"/>
  <c r="BW78" i="30" s="1"/>
  <c r="BW93" i="30" s="1"/>
  <c r="BW108" i="30" s="1"/>
  <c r="BW123" i="30" s="1"/>
  <c r="BW138" i="30" s="1"/>
  <c r="N223" i="30"/>
  <c r="M223" i="30"/>
  <c r="AD239" i="30"/>
  <c r="AD278" i="30" s="1"/>
  <c r="AV278" i="30" s="1"/>
  <c r="J223" i="30"/>
  <c r="AA239" i="30"/>
  <c r="AA278" i="30" s="1"/>
  <c r="AS278" i="30" s="1"/>
  <c r="H223" i="30"/>
  <c r="AA3" i="30"/>
  <c r="AA18" i="30" s="1"/>
  <c r="AA33" i="30" s="1"/>
  <c r="AA48" i="30" s="1"/>
  <c r="AA63" i="30" s="1"/>
  <c r="AA78" i="30" s="1"/>
  <c r="AA93" i="30" s="1"/>
  <c r="AA108" i="30" s="1"/>
  <c r="AA123" i="30" s="1"/>
  <c r="AA138" i="30" s="1"/>
  <c r="X239" i="30"/>
  <c r="X278" i="30" s="1"/>
  <c r="AP278" i="30" s="1"/>
  <c r="W239" i="30"/>
  <c r="W278" i="30" s="1"/>
  <c r="AO278" i="30" s="1"/>
  <c r="CR151" i="30"/>
  <c r="CL151" i="30"/>
  <c r="CF151" i="30"/>
  <c r="CD151" i="30"/>
  <c r="BZ151" i="30"/>
  <c r="BW151" i="30"/>
  <c r="BY151" i="30" s="1"/>
  <c r="BT151" i="30"/>
  <c r="BQ151" i="30"/>
  <c r="BS151" i="30" s="1"/>
  <c r="BN151" i="30"/>
  <c r="BK151" i="30"/>
  <c r="BM151" i="30" s="1"/>
  <c r="BH151" i="30"/>
  <c r="BE151" i="30"/>
  <c r="BG151" i="30" s="1"/>
  <c r="BB151" i="30"/>
  <c r="AY151" i="30"/>
  <c r="BA151" i="30" s="1"/>
  <c r="AV151" i="30"/>
  <c r="AS151" i="30"/>
  <c r="AU151" i="30" s="1"/>
  <c r="AP151" i="30"/>
  <c r="AM151" i="30"/>
  <c r="AO151" i="30" s="1"/>
  <c r="AD151" i="30"/>
  <c r="AA151" i="30"/>
  <c r="AC151" i="30" s="1"/>
  <c r="X151" i="30"/>
  <c r="U151" i="30"/>
  <c r="W151" i="30" s="1"/>
  <c r="R151" i="30"/>
  <c r="P151" i="30"/>
  <c r="Q151" i="30" s="1"/>
  <c r="CR150" i="30"/>
  <c r="CL150" i="30"/>
  <c r="CF150" i="30"/>
  <c r="CD150" i="30"/>
  <c r="BZ150" i="30"/>
  <c r="BW150" i="30"/>
  <c r="BY150" i="30" s="1"/>
  <c r="BT150" i="30"/>
  <c r="BQ150" i="30"/>
  <c r="BS150" i="30" s="1"/>
  <c r="BN150" i="30"/>
  <c r="BK150" i="30"/>
  <c r="BM150" i="30" s="1"/>
  <c r="BH150" i="30"/>
  <c r="BE150" i="30"/>
  <c r="BG150" i="30" s="1"/>
  <c r="BB150" i="30"/>
  <c r="AY150" i="30"/>
  <c r="BA150" i="30" s="1"/>
  <c r="AV150" i="30"/>
  <c r="AS150" i="30"/>
  <c r="AU150" i="30" s="1"/>
  <c r="AP150" i="30"/>
  <c r="AM150" i="30"/>
  <c r="AO150" i="30" s="1"/>
  <c r="AD150" i="30"/>
  <c r="AA150" i="30"/>
  <c r="AC150" i="30" s="1"/>
  <c r="X150" i="30"/>
  <c r="U150" i="30"/>
  <c r="W150" i="30" s="1"/>
  <c r="R150" i="30"/>
  <c r="P150" i="30"/>
  <c r="Q150" i="30" s="1"/>
  <c r="CR149" i="30"/>
  <c r="CL149" i="30"/>
  <c r="CF149" i="30"/>
  <c r="CD149" i="30"/>
  <c r="BZ149" i="30"/>
  <c r="BW149" i="30"/>
  <c r="BY149" i="30" s="1"/>
  <c r="BT149" i="30"/>
  <c r="BQ149" i="30"/>
  <c r="BS149" i="30" s="1"/>
  <c r="BN149" i="30"/>
  <c r="BK149" i="30"/>
  <c r="BM149" i="30" s="1"/>
  <c r="BH149" i="30"/>
  <c r="BE149" i="30"/>
  <c r="BG149" i="30" s="1"/>
  <c r="BB149" i="30"/>
  <c r="AY149" i="30"/>
  <c r="BA149" i="30" s="1"/>
  <c r="AV149" i="30"/>
  <c r="AU149" i="30"/>
  <c r="AS149" i="30"/>
  <c r="AP149" i="30"/>
  <c r="AM149" i="30"/>
  <c r="AO149" i="30" s="1"/>
  <c r="AD149" i="30"/>
  <c r="AA149" i="30"/>
  <c r="AC149" i="30" s="1"/>
  <c r="X149" i="30"/>
  <c r="U149" i="30"/>
  <c r="W149" i="30" s="1"/>
  <c r="R149" i="30"/>
  <c r="P149" i="30"/>
  <c r="Q149" i="30" s="1"/>
  <c r="CR148" i="30"/>
  <c r="CL148" i="30"/>
  <c r="CF148" i="30"/>
  <c r="CD148" i="30"/>
  <c r="BZ148" i="30"/>
  <c r="BW148" i="30"/>
  <c r="BY148" i="30" s="1"/>
  <c r="BT148" i="30"/>
  <c r="BQ148" i="30"/>
  <c r="BS148" i="30" s="1"/>
  <c r="BN148" i="30"/>
  <c r="BK148" i="30"/>
  <c r="BM148" i="30" s="1"/>
  <c r="BH148" i="30"/>
  <c r="BE148" i="30"/>
  <c r="BG148" i="30" s="1"/>
  <c r="BB148" i="30"/>
  <c r="AY148" i="30"/>
  <c r="BA148" i="30" s="1"/>
  <c r="AV148" i="30"/>
  <c r="AS148" i="30"/>
  <c r="AU148" i="30" s="1"/>
  <c r="AP148" i="30"/>
  <c r="AM148" i="30"/>
  <c r="AO148" i="30" s="1"/>
  <c r="AD148" i="30"/>
  <c r="AA148" i="30"/>
  <c r="AC148" i="30" s="1"/>
  <c r="X148" i="30"/>
  <c r="U148" i="30"/>
  <c r="W148" i="30" s="1"/>
  <c r="R148" i="30"/>
  <c r="P148" i="30"/>
  <c r="Q148" i="30" s="1"/>
  <c r="CR147" i="30"/>
  <c r="CL147" i="30"/>
  <c r="CF147" i="30"/>
  <c r="CD147" i="30"/>
  <c r="BZ147" i="30"/>
  <c r="BW147" i="30"/>
  <c r="BY147" i="30" s="1"/>
  <c r="BT147" i="30"/>
  <c r="BQ147" i="30"/>
  <c r="BS147" i="30" s="1"/>
  <c r="BN147" i="30"/>
  <c r="BK147" i="30"/>
  <c r="BM147" i="30" s="1"/>
  <c r="BH147" i="30"/>
  <c r="BE147" i="30"/>
  <c r="BG147" i="30" s="1"/>
  <c r="BB147" i="30"/>
  <c r="AY147" i="30"/>
  <c r="BA147" i="30" s="1"/>
  <c r="AV147" i="30"/>
  <c r="AS147" i="30"/>
  <c r="AU147" i="30" s="1"/>
  <c r="AP147" i="30"/>
  <c r="AM147" i="30"/>
  <c r="AO147" i="30" s="1"/>
  <c r="AD147" i="30"/>
  <c r="AA147" i="30"/>
  <c r="AC147" i="30" s="1"/>
  <c r="X147" i="30"/>
  <c r="U147" i="30"/>
  <c r="W147" i="30" s="1"/>
  <c r="R147" i="30"/>
  <c r="P147" i="30"/>
  <c r="Q147" i="30" s="1"/>
  <c r="CR146" i="30"/>
  <c r="CL146" i="30"/>
  <c r="CF146" i="30"/>
  <c r="CD146" i="30"/>
  <c r="BZ146" i="30"/>
  <c r="BW146" i="30"/>
  <c r="BY146" i="30" s="1"/>
  <c r="BT146" i="30"/>
  <c r="BQ146" i="30"/>
  <c r="BS146" i="30" s="1"/>
  <c r="BN146" i="30"/>
  <c r="BK146" i="30"/>
  <c r="BM146" i="30" s="1"/>
  <c r="BH146" i="30"/>
  <c r="BE146" i="30"/>
  <c r="BG146" i="30" s="1"/>
  <c r="BB146" i="30"/>
  <c r="AY146" i="30"/>
  <c r="BA146" i="30" s="1"/>
  <c r="AV146" i="30"/>
  <c r="AS146" i="30"/>
  <c r="AU146" i="30" s="1"/>
  <c r="AP146" i="30"/>
  <c r="AM146" i="30"/>
  <c r="AO146" i="30" s="1"/>
  <c r="AD146" i="30"/>
  <c r="AA146" i="30"/>
  <c r="AC146" i="30" s="1"/>
  <c r="X146" i="30"/>
  <c r="U146" i="30"/>
  <c r="W146" i="30" s="1"/>
  <c r="R146" i="30"/>
  <c r="P146" i="30"/>
  <c r="Q146" i="30" s="1"/>
  <c r="CR145" i="30"/>
  <c r="CL145" i="30"/>
  <c r="CF145" i="30"/>
  <c r="CD145" i="30"/>
  <c r="BZ145" i="30"/>
  <c r="BW145" i="30"/>
  <c r="BY145" i="30" s="1"/>
  <c r="BT145" i="30"/>
  <c r="BQ145" i="30"/>
  <c r="BS145" i="30" s="1"/>
  <c r="BN145" i="30"/>
  <c r="BK145" i="30"/>
  <c r="BM145" i="30" s="1"/>
  <c r="BH145" i="30"/>
  <c r="BE145" i="30"/>
  <c r="BG145" i="30" s="1"/>
  <c r="BB145" i="30"/>
  <c r="AY145" i="30"/>
  <c r="BA145" i="30" s="1"/>
  <c r="AV145" i="30"/>
  <c r="AS145" i="30"/>
  <c r="AU145" i="30" s="1"/>
  <c r="AP145" i="30"/>
  <c r="AM145" i="30"/>
  <c r="AO145" i="30" s="1"/>
  <c r="AD145" i="30"/>
  <c r="AA145" i="30"/>
  <c r="AC145" i="30" s="1"/>
  <c r="X145" i="30"/>
  <c r="U145" i="30"/>
  <c r="W145" i="30" s="1"/>
  <c r="R145" i="30"/>
  <c r="P145" i="30"/>
  <c r="Q145" i="30" s="1"/>
  <c r="CR144" i="30"/>
  <c r="CL144" i="30"/>
  <c r="CF144" i="30"/>
  <c r="CD144" i="30"/>
  <c r="BZ144" i="30"/>
  <c r="BW144" i="30"/>
  <c r="BY144" i="30" s="1"/>
  <c r="BT144" i="30"/>
  <c r="BQ144" i="30"/>
  <c r="BS144" i="30" s="1"/>
  <c r="BN144" i="30"/>
  <c r="BK144" i="30"/>
  <c r="BM144" i="30" s="1"/>
  <c r="BH144" i="30"/>
  <c r="BE144" i="30"/>
  <c r="BG144" i="30" s="1"/>
  <c r="BB144" i="30"/>
  <c r="AY144" i="30"/>
  <c r="BA144" i="30" s="1"/>
  <c r="AV144" i="30"/>
  <c r="AS144" i="30"/>
  <c r="AU144" i="30" s="1"/>
  <c r="AP144" i="30"/>
  <c r="AM144" i="30"/>
  <c r="AO144" i="30" s="1"/>
  <c r="AD144" i="30"/>
  <c r="AA144" i="30"/>
  <c r="AC144" i="30" s="1"/>
  <c r="X144" i="30"/>
  <c r="U144" i="30"/>
  <c r="W144" i="30" s="1"/>
  <c r="R144" i="30"/>
  <c r="P144" i="30"/>
  <c r="Q144" i="30" s="1"/>
  <c r="CR143" i="30"/>
  <c r="CL143" i="30"/>
  <c r="CF143" i="30"/>
  <c r="CD143" i="30"/>
  <c r="BZ143" i="30"/>
  <c r="BW143" i="30"/>
  <c r="BY143" i="30" s="1"/>
  <c r="BT143" i="30"/>
  <c r="BQ143" i="30"/>
  <c r="BS143" i="30" s="1"/>
  <c r="BN143" i="30"/>
  <c r="BK143" i="30"/>
  <c r="BM143" i="30" s="1"/>
  <c r="BH143" i="30"/>
  <c r="BE143" i="30"/>
  <c r="BG143" i="30" s="1"/>
  <c r="BB143" i="30"/>
  <c r="AY143" i="30"/>
  <c r="BA143" i="30" s="1"/>
  <c r="AV143" i="30"/>
  <c r="AS143" i="30"/>
  <c r="AU143" i="30" s="1"/>
  <c r="AP143" i="30"/>
  <c r="AM143" i="30"/>
  <c r="AO143" i="30" s="1"/>
  <c r="AD143" i="30"/>
  <c r="AA143" i="30"/>
  <c r="AC143" i="30" s="1"/>
  <c r="X143" i="30"/>
  <c r="U143" i="30"/>
  <c r="W143" i="30" s="1"/>
  <c r="R143" i="30"/>
  <c r="P143" i="30"/>
  <c r="Q143" i="30" s="1"/>
  <c r="CR142" i="30"/>
  <c r="CL142" i="30"/>
  <c r="CF142" i="30"/>
  <c r="CD142" i="30"/>
  <c r="BZ142" i="30"/>
  <c r="BW142" i="30"/>
  <c r="BY142" i="30" s="1"/>
  <c r="BT142" i="30"/>
  <c r="BQ142" i="30"/>
  <c r="BS142" i="30" s="1"/>
  <c r="BN142" i="30"/>
  <c r="BK142" i="30"/>
  <c r="BM142" i="30" s="1"/>
  <c r="BH142" i="30"/>
  <c r="BE142" i="30"/>
  <c r="BG142" i="30" s="1"/>
  <c r="BB142" i="30"/>
  <c r="AY142" i="30"/>
  <c r="BA142" i="30" s="1"/>
  <c r="AV142" i="30"/>
  <c r="AS142" i="30"/>
  <c r="AU142" i="30" s="1"/>
  <c r="AP142" i="30"/>
  <c r="AM142" i="30"/>
  <c r="AO142" i="30" s="1"/>
  <c r="AD142" i="30"/>
  <c r="AA142" i="30"/>
  <c r="AC142" i="30" s="1"/>
  <c r="X142" i="30"/>
  <c r="U142" i="30"/>
  <c r="W142" i="30" s="1"/>
  <c r="R142" i="30"/>
  <c r="P142" i="30"/>
  <c r="Q142" i="30" s="1"/>
  <c r="CR141" i="30"/>
  <c r="CL141" i="30"/>
  <c r="CF141" i="30"/>
  <c r="CD141" i="30"/>
  <c r="BZ141" i="30"/>
  <c r="BW141" i="30"/>
  <c r="BY141" i="30" s="1"/>
  <c r="BT141" i="30"/>
  <c r="BQ141" i="30"/>
  <c r="BS141" i="30" s="1"/>
  <c r="BN141" i="30"/>
  <c r="BK141" i="30"/>
  <c r="BM141" i="30" s="1"/>
  <c r="BH141" i="30"/>
  <c r="BE141" i="30"/>
  <c r="BG141" i="30" s="1"/>
  <c r="BB141" i="30"/>
  <c r="AY141" i="30"/>
  <c r="BA141" i="30" s="1"/>
  <c r="AV141" i="30"/>
  <c r="AS141" i="30"/>
  <c r="AU141" i="30" s="1"/>
  <c r="AP141" i="30"/>
  <c r="AM141" i="30"/>
  <c r="AO141" i="30" s="1"/>
  <c r="AD141" i="30"/>
  <c r="AA141" i="30"/>
  <c r="AC141" i="30" s="1"/>
  <c r="X141" i="30"/>
  <c r="U141" i="30"/>
  <c r="W141" i="30" s="1"/>
  <c r="R141" i="30"/>
  <c r="P141" i="30"/>
  <c r="Q141" i="30" s="1"/>
  <c r="CD140" i="30"/>
  <c r="BW140" i="30"/>
  <c r="BY140" i="30" s="1"/>
  <c r="BQ140" i="30"/>
  <c r="BS140" i="30" s="1"/>
  <c r="BK140" i="30"/>
  <c r="BM140" i="30" s="1"/>
  <c r="BE140" i="30"/>
  <c r="BG140" i="30" s="1"/>
  <c r="AY140" i="30"/>
  <c r="BA140" i="30" s="1"/>
  <c r="AS140" i="30"/>
  <c r="AU140" i="30" s="1"/>
  <c r="AM140" i="30"/>
  <c r="AO140" i="30" s="1"/>
  <c r="AA140" i="30"/>
  <c r="AC140" i="30" s="1"/>
  <c r="U140" i="30"/>
  <c r="W140" i="30" s="1"/>
  <c r="P140" i="30"/>
  <c r="Q140" i="30" s="1"/>
  <c r="CD139" i="30"/>
  <c r="H138" i="30"/>
  <c r="N138" i="30" s="1"/>
  <c r="T138" i="30" s="1"/>
  <c r="Z138" i="30" s="1"/>
  <c r="CR136" i="30"/>
  <c r="CL136" i="30"/>
  <c r="CF136" i="30"/>
  <c r="BZ136" i="30"/>
  <c r="BW136" i="30"/>
  <c r="BY136" i="30" s="1"/>
  <c r="BT136" i="30"/>
  <c r="BQ136" i="30"/>
  <c r="BS136" i="30" s="1"/>
  <c r="BN136" i="30"/>
  <c r="BK136" i="30"/>
  <c r="BM136" i="30" s="1"/>
  <c r="BG136" i="30"/>
  <c r="BB136" i="30"/>
  <c r="AY136" i="30"/>
  <c r="BA136" i="30" s="1"/>
  <c r="AV136" i="30"/>
  <c r="AS136" i="30"/>
  <c r="AU136" i="30" s="1"/>
  <c r="AP136" i="30"/>
  <c r="AM136" i="30"/>
  <c r="AO136" i="30" s="1"/>
  <c r="AJ136" i="30"/>
  <c r="AG136" i="30"/>
  <c r="AI136" i="30" s="1"/>
  <c r="AD136" i="30"/>
  <c r="AA136" i="30"/>
  <c r="AC136" i="30" s="1"/>
  <c r="X136" i="30"/>
  <c r="U136" i="30"/>
  <c r="W136" i="30" s="1"/>
  <c r="P136" i="30"/>
  <c r="Q136" i="30" s="1"/>
  <c r="CR135" i="30"/>
  <c r="CL135" i="30"/>
  <c r="CF135" i="30"/>
  <c r="BZ135" i="30"/>
  <c r="BW135" i="30"/>
  <c r="BY135" i="30" s="1"/>
  <c r="BT135" i="30"/>
  <c r="BQ135" i="30"/>
  <c r="BS135" i="30" s="1"/>
  <c r="BN135" i="30"/>
  <c r="BK135" i="30"/>
  <c r="BM135" i="30" s="1"/>
  <c r="BG135" i="30"/>
  <c r="BB135" i="30"/>
  <c r="AY135" i="30"/>
  <c r="BA135" i="30" s="1"/>
  <c r="AV135" i="30"/>
  <c r="AS135" i="30"/>
  <c r="AU135" i="30" s="1"/>
  <c r="AP135" i="30"/>
  <c r="AM135" i="30"/>
  <c r="AO135" i="30" s="1"/>
  <c r="AJ135" i="30"/>
  <c r="AG135" i="30"/>
  <c r="AI135" i="30" s="1"/>
  <c r="AD135" i="30"/>
  <c r="AA135" i="30"/>
  <c r="AC135" i="30" s="1"/>
  <c r="X135" i="30"/>
  <c r="U135" i="30"/>
  <c r="W135" i="30" s="1"/>
  <c r="P135" i="30"/>
  <c r="Q135" i="30" s="1"/>
  <c r="CR134" i="30"/>
  <c r="CL134" i="30"/>
  <c r="CF134" i="30"/>
  <c r="BZ134" i="30"/>
  <c r="BW134" i="30"/>
  <c r="BY134" i="30" s="1"/>
  <c r="BT134" i="30"/>
  <c r="BQ134" i="30"/>
  <c r="BS134" i="30" s="1"/>
  <c r="BN134" i="30"/>
  <c r="BK134" i="30"/>
  <c r="BM134" i="30" s="1"/>
  <c r="BG134" i="30"/>
  <c r="BB134" i="30"/>
  <c r="AY134" i="30"/>
  <c r="BA134" i="30" s="1"/>
  <c r="AV134" i="30"/>
  <c r="AS134" i="30"/>
  <c r="AU134" i="30" s="1"/>
  <c r="AP134" i="30"/>
  <c r="AM134" i="30"/>
  <c r="AO134" i="30" s="1"/>
  <c r="AJ134" i="30"/>
  <c r="AG134" i="30"/>
  <c r="AI134" i="30" s="1"/>
  <c r="AD134" i="30"/>
  <c r="AA134" i="30"/>
  <c r="AC134" i="30" s="1"/>
  <c r="X134" i="30"/>
  <c r="U134" i="30"/>
  <c r="W134" i="30" s="1"/>
  <c r="P134" i="30"/>
  <c r="Q134" i="30" s="1"/>
  <c r="CR133" i="30"/>
  <c r="CL133" i="30"/>
  <c r="CF133" i="30"/>
  <c r="BZ133" i="30"/>
  <c r="BW133" i="30"/>
  <c r="BY133" i="30" s="1"/>
  <c r="BT133" i="30"/>
  <c r="BQ133" i="30"/>
  <c r="BS133" i="30" s="1"/>
  <c r="BN133" i="30"/>
  <c r="BK133" i="30"/>
  <c r="BM133" i="30" s="1"/>
  <c r="BG133" i="30"/>
  <c r="BB133" i="30"/>
  <c r="AY133" i="30"/>
  <c r="BA133" i="30" s="1"/>
  <c r="AV133" i="30"/>
  <c r="AS133" i="30"/>
  <c r="AU133" i="30" s="1"/>
  <c r="AP133" i="30"/>
  <c r="AM133" i="30"/>
  <c r="AO133" i="30" s="1"/>
  <c r="AJ133" i="30"/>
  <c r="AG133" i="30"/>
  <c r="AI133" i="30" s="1"/>
  <c r="AD133" i="30"/>
  <c r="AA133" i="30"/>
  <c r="AC133" i="30" s="1"/>
  <c r="X133" i="30"/>
  <c r="U133" i="30"/>
  <c r="W133" i="30" s="1"/>
  <c r="P133" i="30"/>
  <c r="Q133" i="30" s="1"/>
  <c r="CR132" i="30"/>
  <c r="CL132" i="30"/>
  <c r="CF132" i="30"/>
  <c r="BZ132" i="30"/>
  <c r="BW132" i="30"/>
  <c r="BY132" i="30" s="1"/>
  <c r="BT132" i="30"/>
  <c r="BQ132" i="30"/>
  <c r="BS132" i="30" s="1"/>
  <c r="BN132" i="30"/>
  <c r="BK132" i="30"/>
  <c r="BM132" i="30" s="1"/>
  <c r="BG132" i="30"/>
  <c r="BB132" i="30"/>
  <c r="AY132" i="30"/>
  <c r="BA132" i="30" s="1"/>
  <c r="AV132" i="30"/>
  <c r="AS132" i="30"/>
  <c r="AU132" i="30" s="1"/>
  <c r="AP132" i="30"/>
  <c r="AM132" i="30"/>
  <c r="AO132" i="30" s="1"/>
  <c r="AJ132" i="30"/>
  <c r="AG132" i="30"/>
  <c r="AI132" i="30" s="1"/>
  <c r="AD132" i="30"/>
  <c r="AA132" i="30"/>
  <c r="AC132" i="30" s="1"/>
  <c r="X132" i="30"/>
  <c r="U132" i="30"/>
  <c r="W132" i="30" s="1"/>
  <c r="P132" i="30"/>
  <c r="Q132" i="30" s="1"/>
  <c r="CR131" i="30"/>
  <c r="CL131" i="30"/>
  <c r="CF131" i="30"/>
  <c r="BZ131" i="30"/>
  <c r="BW131" i="30"/>
  <c r="BY131" i="30" s="1"/>
  <c r="BT131" i="30"/>
  <c r="BQ131" i="30"/>
  <c r="BS131" i="30" s="1"/>
  <c r="BN131" i="30"/>
  <c r="BK131" i="30"/>
  <c r="BM131" i="30" s="1"/>
  <c r="BG131" i="30"/>
  <c r="BB131" i="30"/>
  <c r="AY131" i="30"/>
  <c r="BA131" i="30" s="1"/>
  <c r="AV131" i="30"/>
  <c r="AS131" i="30"/>
  <c r="AU131" i="30" s="1"/>
  <c r="AP131" i="30"/>
  <c r="AM131" i="30"/>
  <c r="AO131" i="30" s="1"/>
  <c r="AJ131" i="30"/>
  <c r="AG131" i="30"/>
  <c r="AI131" i="30" s="1"/>
  <c r="AD131" i="30"/>
  <c r="AA131" i="30"/>
  <c r="AC131" i="30" s="1"/>
  <c r="X131" i="30"/>
  <c r="U131" i="30"/>
  <c r="W131" i="30" s="1"/>
  <c r="P131" i="30"/>
  <c r="Q131" i="30" s="1"/>
  <c r="CR130" i="30"/>
  <c r="CL130" i="30"/>
  <c r="CF130" i="30"/>
  <c r="BZ130" i="30"/>
  <c r="BW130" i="30"/>
  <c r="BY130" i="30" s="1"/>
  <c r="BT130" i="30"/>
  <c r="BQ130" i="30"/>
  <c r="BS130" i="30" s="1"/>
  <c r="BN130" i="30"/>
  <c r="BK130" i="30"/>
  <c r="BM130" i="30" s="1"/>
  <c r="BG130" i="30"/>
  <c r="BB130" i="30"/>
  <c r="AY130" i="30"/>
  <c r="BA130" i="30" s="1"/>
  <c r="AV130" i="30"/>
  <c r="AS130" i="30"/>
  <c r="AU130" i="30" s="1"/>
  <c r="AP130" i="30"/>
  <c r="AM130" i="30"/>
  <c r="AO130" i="30" s="1"/>
  <c r="AJ130" i="30"/>
  <c r="AG130" i="30"/>
  <c r="AI130" i="30" s="1"/>
  <c r="AD130" i="30"/>
  <c r="AA130" i="30"/>
  <c r="AC130" i="30" s="1"/>
  <c r="X130" i="30"/>
  <c r="U130" i="30"/>
  <c r="W130" i="30" s="1"/>
  <c r="P130" i="30"/>
  <c r="Q130" i="30" s="1"/>
  <c r="CR129" i="30"/>
  <c r="CL129" i="30"/>
  <c r="CF129" i="30"/>
  <c r="BZ129" i="30"/>
  <c r="BW129" i="30"/>
  <c r="BY129" i="30" s="1"/>
  <c r="BT129" i="30"/>
  <c r="BQ129" i="30"/>
  <c r="BS129" i="30" s="1"/>
  <c r="BN129" i="30"/>
  <c r="BK129" i="30"/>
  <c r="BM129" i="30" s="1"/>
  <c r="BG129" i="30"/>
  <c r="BB129" i="30"/>
  <c r="AY129" i="30"/>
  <c r="BA129" i="30" s="1"/>
  <c r="AV129" i="30"/>
  <c r="AS129" i="30"/>
  <c r="AU129" i="30" s="1"/>
  <c r="AP129" i="30"/>
  <c r="AM129" i="30"/>
  <c r="AO129" i="30" s="1"/>
  <c r="AJ129" i="30"/>
  <c r="AG129" i="30"/>
  <c r="AI129" i="30" s="1"/>
  <c r="AD129" i="30"/>
  <c r="AA129" i="30"/>
  <c r="AC129" i="30" s="1"/>
  <c r="X129" i="30"/>
  <c r="U129" i="30"/>
  <c r="W129" i="30" s="1"/>
  <c r="P129" i="30"/>
  <c r="Q129" i="30" s="1"/>
  <c r="CR128" i="30"/>
  <c r="CL128" i="30"/>
  <c r="CF128" i="30"/>
  <c r="BZ128" i="30"/>
  <c r="BW128" i="30"/>
  <c r="BY128" i="30" s="1"/>
  <c r="BT128" i="30"/>
  <c r="BQ128" i="30"/>
  <c r="BS128" i="30" s="1"/>
  <c r="BN128" i="30"/>
  <c r="BK128" i="30"/>
  <c r="BM128" i="30" s="1"/>
  <c r="BG128" i="30"/>
  <c r="BB128" i="30"/>
  <c r="AY128" i="30"/>
  <c r="BA128" i="30" s="1"/>
  <c r="AV128" i="30"/>
  <c r="AS128" i="30"/>
  <c r="AU128" i="30" s="1"/>
  <c r="AP128" i="30"/>
  <c r="AM128" i="30"/>
  <c r="AO128" i="30" s="1"/>
  <c r="AJ128" i="30"/>
  <c r="AG128" i="30"/>
  <c r="AI128" i="30" s="1"/>
  <c r="AD128" i="30"/>
  <c r="AA128" i="30"/>
  <c r="AC128" i="30" s="1"/>
  <c r="X128" i="30"/>
  <c r="U128" i="30"/>
  <c r="W128" i="30" s="1"/>
  <c r="P128" i="30"/>
  <c r="Q128" i="30" s="1"/>
  <c r="CR127" i="30"/>
  <c r="CL127" i="30"/>
  <c r="CF127" i="30"/>
  <c r="BZ127" i="30"/>
  <c r="BW127" i="30"/>
  <c r="BY127" i="30" s="1"/>
  <c r="BT127" i="30"/>
  <c r="BQ127" i="30"/>
  <c r="BS127" i="30" s="1"/>
  <c r="BN127" i="30"/>
  <c r="BK127" i="30"/>
  <c r="BM127" i="30" s="1"/>
  <c r="BG127" i="30"/>
  <c r="BB127" i="30"/>
  <c r="AY127" i="30"/>
  <c r="BA127" i="30" s="1"/>
  <c r="AV127" i="30"/>
  <c r="AS127" i="30"/>
  <c r="AU127" i="30" s="1"/>
  <c r="AP127" i="30"/>
  <c r="AM127" i="30"/>
  <c r="AO127" i="30" s="1"/>
  <c r="AJ127" i="30"/>
  <c r="AG127" i="30"/>
  <c r="AI127" i="30" s="1"/>
  <c r="AD127" i="30"/>
  <c r="AA127" i="30"/>
  <c r="AC127" i="30" s="1"/>
  <c r="X127" i="30"/>
  <c r="U127" i="30"/>
  <c r="W127" i="30" s="1"/>
  <c r="P127" i="30"/>
  <c r="Q127" i="30" s="1"/>
  <c r="CR126" i="30"/>
  <c r="CL126" i="30"/>
  <c r="CF126" i="30"/>
  <c r="BZ126" i="30"/>
  <c r="BW126" i="30"/>
  <c r="BY126" i="30" s="1"/>
  <c r="BT126" i="30"/>
  <c r="BQ126" i="30"/>
  <c r="BS126" i="30" s="1"/>
  <c r="BN126" i="30"/>
  <c r="BK126" i="30"/>
  <c r="BM126" i="30" s="1"/>
  <c r="BG126" i="30"/>
  <c r="BB126" i="30"/>
  <c r="AY126" i="30"/>
  <c r="BA126" i="30" s="1"/>
  <c r="AV126" i="30"/>
  <c r="AS126" i="30"/>
  <c r="AU126" i="30" s="1"/>
  <c r="AP126" i="30"/>
  <c r="AM126" i="30"/>
  <c r="AO126" i="30" s="1"/>
  <c r="AJ126" i="30"/>
  <c r="AG126" i="30"/>
  <c r="AI126" i="30" s="1"/>
  <c r="AD126" i="30"/>
  <c r="AA126" i="30"/>
  <c r="AC126" i="30" s="1"/>
  <c r="X126" i="30"/>
  <c r="U126" i="30"/>
  <c r="W126" i="30" s="1"/>
  <c r="P126" i="30"/>
  <c r="Q126" i="30" s="1"/>
  <c r="BW125" i="30"/>
  <c r="BY125" i="30" s="1"/>
  <c r="BQ125" i="30"/>
  <c r="BS125" i="30" s="1"/>
  <c r="BK125" i="30"/>
  <c r="BM125" i="30" s="1"/>
  <c r="BG125" i="30"/>
  <c r="AY125" i="30"/>
  <c r="BA125" i="30" s="1"/>
  <c r="AS125" i="30"/>
  <c r="AU125" i="30" s="1"/>
  <c r="AM125" i="30"/>
  <c r="AO125" i="30" s="1"/>
  <c r="AG125" i="30"/>
  <c r="AI125" i="30" s="1"/>
  <c r="AA125" i="30"/>
  <c r="AC125" i="30" s="1"/>
  <c r="U125" i="30"/>
  <c r="W125" i="30" s="1"/>
  <c r="P125" i="30"/>
  <c r="Q125" i="30" s="1"/>
  <c r="H123" i="30"/>
  <c r="N123" i="30" s="1"/>
  <c r="T123" i="30" s="1"/>
  <c r="Z123" i="30" s="1"/>
  <c r="AF123" i="30" s="1"/>
  <c r="AL123" i="30" s="1"/>
  <c r="AR123" i="30" s="1"/>
  <c r="AX123" i="30" s="1"/>
  <c r="BD123" i="30" s="1"/>
  <c r="BJ123" i="30" s="1"/>
  <c r="BP123" i="30" s="1"/>
  <c r="BV123" i="30" s="1"/>
  <c r="CB123" i="30" s="1"/>
  <c r="CH123" i="30" s="1"/>
  <c r="CN123" i="30" s="1"/>
  <c r="CR121" i="30"/>
  <c r="CL121" i="30"/>
  <c r="CF121" i="30"/>
  <c r="CD121" i="30"/>
  <c r="CD106" i="30" s="1"/>
  <c r="CD91" i="30" s="1"/>
  <c r="BY121" i="30"/>
  <c r="BT121" i="30"/>
  <c r="BQ121" i="30"/>
  <c r="BS121" i="30" s="1"/>
  <c r="BN121" i="30"/>
  <c r="BK121" i="30"/>
  <c r="BM121" i="30" s="1"/>
  <c r="BH121" i="30"/>
  <c r="BE121" i="30"/>
  <c r="BG121" i="30" s="1"/>
  <c r="BB121" i="30"/>
  <c r="AY121" i="30"/>
  <c r="BA121" i="30" s="1"/>
  <c r="AV121" i="30"/>
  <c r="AS121" i="30"/>
  <c r="AU121" i="30" s="1"/>
  <c r="AP121" i="30"/>
  <c r="AM121" i="30"/>
  <c r="AO121" i="30" s="1"/>
  <c r="AJ121" i="30"/>
  <c r="AG121" i="30"/>
  <c r="AI121" i="30" s="1"/>
  <c r="AD121" i="30"/>
  <c r="AA121" i="30"/>
  <c r="AC121" i="30" s="1"/>
  <c r="X121" i="30"/>
  <c r="U121" i="30"/>
  <c r="W121" i="30" s="1"/>
  <c r="R121" i="30"/>
  <c r="P121" i="30"/>
  <c r="Q121" i="30" s="1"/>
  <c r="L121" i="30"/>
  <c r="J121" i="30"/>
  <c r="K121" i="30" s="1"/>
  <c r="F121" i="30"/>
  <c r="D121" i="30"/>
  <c r="E121" i="30" s="1"/>
  <c r="CR120" i="30"/>
  <c r="CL120" i="30"/>
  <c r="CF120" i="30"/>
  <c r="CD120" i="30"/>
  <c r="CD105" i="30" s="1"/>
  <c r="CD90" i="30" s="1"/>
  <c r="BY120" i="30"/>
  <c r="BT120" i="30"/>
  <c r="BQ120" i="30"/>
  <c r="BS120" i="30" s="1"/>
  <c r="BN120" i="30"/>
  <c r="BK120" i="30"/>
  <c r="BM120" i="30" s="1"/>
  <c r="BH120" i="30"/>
  <c r="BE120" i="30"/>
  <c r="BG120" i="30" s="1"/>
  <c r="BB120" i="30"/>
  <c r="AY120" i="30"/>
  <c r="BA120" i="30" s="1"/>
  <c r="AV120" i="30"/>
  <c r="AS120" i="30"/>
  <c r="AU120" i="30" s="1"/>
  <c r="AP120" i="30"/>
  <c r="AM120" i="30"/>
  <c r="AO120" i="30" s="1"/>
  <c r="AJ120" i="30"/>
  <c r="AG120" i="30"/>
  <c r="AI120" i="30" s="1"/>
  <c r="AD120" i="30"/>
  <c r="AA120" i="30"/>
  <c r="AC120" i="30" s="1"/>
  <c r="X120" i="30"/>
  <c r="U120" i="30"/>
  <c r="W120" i="30" s="1"/>
  <c r="R120" i="30"/>
  <c r="P120" i="30"/>
  <c r="Q120" i="30" s="1"/>
  <c r="L120" i="30"/>
  <c r="J120" i="30"/>
  <c r="K120" i="30" s="1"/>
  <c r="F120" i="30"/>
  <c r="D120" i="30"/>
  <c r="E120" i="30" s="1"/>
  <c r="CR119" i="30"/>
  <c r="CL119" i="30"/>
  <c r="CF119" i="30"/>
  <c r="CD119" i="30"/>
  <c r="CD104" i="30" s="1"/>
  <c r="CD89" i="30" s="1"/>
  <c r="CD74" i="30" s="1"/>
  <c r="BY119" i="30"/>
  <c r="BT119" i="30"/>
  <c r="BQ119" i="30"/>
  <c r="BS119" i="30" s="1"/>
  <c r="BN119" i="30"/>
  <c r="BK119" i="30"/>
  <c r="BM119" i="30" s="1"/>
  <c r="BH119" i="30"/>
  <c r="BE119" i="30"/>
  <c r="BG119" i="30" s="1"/>
  <c r="BB119" i="30"/>
  <c r="AY119" i="30"/>
  <c r="BA119" i="30" s="1"/>
  <c r="AV119" i="30"/>
  <c r="AS119" i="30"/>
  <c r="AU119" i="30" s="1"/>
  <c r="AP119" i="30"/>
  <c r="AM119" i="30"/>
  <c r="AO119" i="30" s="1"/>
  <c r="AJ119" i="30"/>
  <c r="AG119" i="30"/>
  <c r="AI119" i="30" s="1"/>
  <c r="AD119" i="30"/>
  <c r="AA119" i="30"/>
  <c r="AC119" i="30" s="1"/>
  <c r="X119" i="30"/>
  <c r="U119" i="30"/>
  <c r="W119" i="30" s="1"/>
  <c r="R119" i="30"/>
  <c r="P119" i="30"/>
  <c r="Q119" i="30" s="1"/>
  <c r="L119" i="30"/>
  <c r="J119" i="30"/>
  <c r="K119" i="30" s="1"/>
  <c r="F119" i="30"/>
  <c r="D119" i="30"/>
  <c r="E119" i="30" s="1"/>
  <c r="CR118" i="30"/>
  <c r="CL118" i="30"/>
  <c r="CF118" i="30"/>
  <c r="CD118" i="30"/>
  <c r="CD103" i="30" s="1"/>
  <c r="CD88" i="30" s="1"/>
  <c r="CD73" i="30" s="1"/>
  <c r="BY118" i="30"/>
  <c r="BT118" i="30"/>
  <c r="BQ118" i="30"/>
  <c r="BS118" i="30" s="1"/>
  <c r="BN118" i="30"/>
  <c r="BK118" i="30"/>
  <c r="BM118" i="30" s="1"/>
  <c r="BH118" i="30"/>
  <c r="BE118" i="30"/>
  <c r="BG118" i="30" s="1"/>
  <c r="BB118" i="30"/>
  <c r="AY118" i="30"/>
  <c r="BA118" i="30" s="1"/>
  <c r="AV118" i="30"/>
  <c r="AS118" i="30"/>
  <c r="AU118" i="30" s="1"/>
  <c r="AP118" i="30"/>
  <c r="AM118" i="30"/>
  <c r="AO118" i="30" s="1"/>
  <c r="AJ118" i="30"/>
  <c r="AG118" i="30"/>
  <c r="AI118" i="30" s="1"/>
  <c r="AD118" i="30"/>
  <c r="AA118" i="30"/>
  <c r="AC118" i="30" s="1"/>
  <c r="X118" i="30"/>
  <c r="U118" i="30"/>
  <c r="W118" i="30" s="1"/>
  <c r="R118" i="30"/>
  <c r="P118" i="30"/>
  <c r="Q118" i="30" s="1"/>
  <c r="L118" i="30"/>
  <c r="J118" i="30"/>
  <c r="K118" i="30" s="1"/>
  <c r="F118" i="30"/>
  <c r="D118" i="30"/>
  <c r="E118" i="30" s="1"/>
  <c r="CR117" i="30"/>
  <c r="CL117" i="30"/>
  <c r="CF117" i="30"/>
  <c r="CD117" i="30"/>
  <c r="CD102" i="30" s="1"/>
  <c r="CD87" i="30" s="1"/>
  <c r="BY117" i="30"/>
  <c r="BT117" i="30"/>
  <c r="BQ117" i="30"/>
  <c r="BS117" i="30" s="1"/>
  <c r="BN117" i="30"/>
  <c r="BK117" i="30"/>
  <c r="BM117" i="30" s="1"/>
  <c r="BH117" i="30"/>
  <c r="BE117" i="30"/>
  <c r="BG117" i="30" s="1"/>
  <c r="BB117" i="30"/>
  <c r="AY117" i="30"/>
  <c r="BA117" i="30" s="1"/>
  <c r="AV117" i="30"/>
  <c r="AS117" i="30"/>
  <c r="AU117" i="30" s="1"/>
  <c r="AP117" i="30"/>
  <c r="AM117" i="30"/>
  <c r="AO117" i="30" s="1"/>
  <c r="AJ117" i="30"/>
  <c r="AG117" i="30"/>
  <c r="AI117" i="30" s="1"/>
  <c r="AD117" i="30"/>
  <c r="AA117" i="30"/>
  <c r="AC117" i="30" s="1"/>
  <c r="X117" i="30"/>
  <c r="U117" i="30"/>
  <c r="W117" i="30" s="1"/>
  <c r="R117" i="30"/>
  <c r="P117" i="30"/>
  <c r="Q117" i="30" s="1"/>
  <c r="L117" i="30"/>
  <c r="J117" i="30"/>
  <c r="K117" i="30" s="1"/>
  <c r="F117" i="30"/>
  <c r="D117" i="30"/>
  <c r="E117" i="30" s="1"/>
  <c r="CR116" i="30"/>
  <c r="CL116" i="30"/>
  <c r="CF116" i="30"/>
  <c r="CD116" i="30"/>
  <c r="CD101" i="30" s="1"/>
  <c r="CD86" i="30" s="1"/>
  <c r="BY116" i="30"/>
  <c r="BT116" i="30"/>
  <c r="BQ116" i="30"/>
  <c r="BS116" i="30" s="1"/>
  <c r="BN116" i="30"/>
  <c r="BK116" i="30"/>
  <c r="BM116" i="30" s="1"/>
  <c r="BH116" i="30"/>
  <c r="BE116" i="30"/>
  <c r="BG116" i="30" s="1"/>
  <c r="BB116" i="30"/>
  <c r="AY116" i="30"/>
  <c r="BA116" i="30" s="1"/>
  <c r="AV116" i="30"/>
  <c r="AS116" i="30"/>
  <c r="AU116" i="30" s="1"/>
  <c r="AP116" i="30"/>
  <c r="AM116" i="30"/>
  <c r="AO116" i="30" s="1"/>
  <c r="AJ116" i="30"/>
  <c r="AG116" i="30"/>
  <c r="AI116" i="30" s="1"/>
  <c r="AD116" i="30"/>
  <c r="AA116" i="30"/>
  <c r="AC116" i="30" s="1"/>
  <c r="X116" i="30"/>
  <c r="U116" i="30"/>
  <c r="W116" i="30" s="1"/>
  <c r="R116" i="30"/>
  <c r="P116" i="30"/>
  <c r="Q116" i="30" s="1"/>
  <c r="L116" i="30"/>
  <c r="J116" i="30"/>
  <c r="K116" i="30" s="1"/>
  <c r="F116" i="30"/>
  <c r="D116" i="30"/>
  <c r="E116" i="30" s="1"/>
  <c r="CR115" i="30"/>
  <c r="CL115" i="30"/>
  <c r="CF115" i="30"/>
  <c r="CD115" i="30"/>
  <c r="CD100" i="30" s="1"/>
  <c r="BY115" i="30"/>
  <c r="BT115" i="30"/>
  <c r="BQ115" i="30"/>
  <c r="BS115" i="30" s="1"/>
  <c r="BN115" i="30"/>
  <c r="BK115" i="30"/>
  <c r="BM115" i="30" s="1"/>
  <c r="BH115" i="30"/>
  <c r="BE115" i="30"/>
  <c r="BG115" i="30" s="1"/>
  <c r="BB115" i="30"/>
  <c r="AY115" i="30"/>
  <c r="BA115" i="30" s="1"/>
  <c r="AV115" i="30"/>
  <c r="AS115" i="30"/>
  <c r="AU115" i="30" s="1"/>
  <c r="AP115" i="30"/>
  <c r="AM115" i="30"/>
  <c r="AO115" i="30" s="1"/>
  <c r="AJ115" i="30"/>
  <c r="AG115" i="30"/>
  <c r="AI115" i="30" s="1"/>
  <c r="AD115" i="30"/>
  <c r="AA115" i="30"/>
  <c r="AC115" i="30" s="1"/>
  <c r="X115" i="30"/>
  <c r="U115" i="30"/>
  <c r="W115" i="30" s="1"/>
  <c r="R115" i="30"/>
  <c r="P115" i="30"/>
  <c r="Q115" i="30" s="1"/>
  <c r="L115" i="30"/>
  <c r="J115" i="30"/>
  <c r="K115" i="30" s="1"/>
  <c r="F115" i="30"/>
  <c r="D115" i="30"/>
  <c r="E115" i="30" s="1"/>
  <c r="CR114" i="30"/>
  <c r="CL114" i="30"/>
  <c r="CF114" i="30"/>
  <c r="CD114" i="30"/>
  <c r="CD99" i="30" s="1"/>
  <c r="CD84" i="30" s="1"/>
  <c r="BY114" i="30"/>
  <c r="BT114" i="30"/>
  <c r="BQ114" i="30"/>
  <c r="BS114" i="30" s="1"/>
  <c r="BN114" i="30"/>
  <c r="BK114" i="30"/>
  <c r="BM114" i="30" s="1"/>
  <c r="BH114" i="30"/>
  <c r="BE114" i="30"/>
  <c r="BG114" i="30" s="1"/>
  <c r="BB114" i="30"/>
  <c r="AY114" i="30"/>
  <c r="BA114" i="30" s="1"/>
  <c r="AV114" i="30"/>
  <c r="AS114" i="30"/>
  <c r="AU114" i="30" s="1"/>
  <c r="AP114" i="30"/>
  <c r="AM114" i="30"/>
  <c r="AO114" i="30" s="1"/>
  <c r="AJ114" i="30"/>
  <c r="AG114" i="30"/>
  <c r="AI114" i="30" s="1"/>
  <c r="AD114" i="30"/>
  <c r="AA114" i="30"/>
  <c r="AC114" i="30" s="1"/>
  <c r="X114" i="30"/>
  <c r="U114" i="30"/>
  <c r="W114" i="30" s="1"/>
  <c r="R114" i="30"/>
  <c r="P114" i="30"/>
  <c r="Q114" i="30" s="1"/>
  <c r="L114" i="30"/>
  <c r="J114" i="30"/>
  <c r="K114" i="30" s="1"/>
  <c r="F114" i="30"/>
  <c r="D114" i="30"/>
  <c r="E114" i="30" s="1"/>
  <c r="CR113" i="30"/>
  <c r="CL113" i="30"/>
  <c r="CF113" i="30"/>
  <c r="CD113" i="30"/>
  <c r="CD98" i="30" s="1"/>
  <c r="CD83" i="30" s="1"/>
  <c r="BY113" i="30"/>
  <c r="BT113" i="30"/>
  <c r="BQ113" i="30"/>
  <c r="BS113" i="30" s="1"/>
  <c r="BN113" i="30"/>
  <c r="BK113" i="30"/>
  <c r="BM113" i="30" s="1"/>
  <c r="BH113" i="30"/>
  <c r="BE113" i="30"/>
  <c r="BG113" i="30" s="1"/>
  <c r="BB113" i="30"/>
  <c r="AY113" i="30"/>
  <c r="BA113" i="30" s="1"/>
  <c r="AV113" i="30"/>
  <c r="AS113" i="30"/>
  <c r="AU113" i="30" s="1"/>
  <c r="AP113" i="30"/>
  <c r="AM113" i="30"/>
  <c r="AO113" i="30" s="1"/>
  <c r="AJ113" i="30"/>
  <c r="AG113" i="30"/>
  <c r="AI113" i="30" s="1"/>
  <c r="AD113" i="30"/>
  <c r="AA113" i="30"/>
  <c r="AC113" i="30" s="1"/>
  <c r="X113" i="30"/>
  <c r="U113" i="30"/>
  <c r="W113" i="30" s="1"/>
  <c r="R113" i="30"/>
  <c r="P113" i="30"/>
  <c r="Q113" i="30" s="1"/>
  <c r="L113" i="30"/>
  <c r="J113" i="30"/>
  <c r="K113" i="30" s="1"/>
  <c r="F113" i="30"/>
  <c r="D113" i="30"/>
  <c r="E113" i="30" s="1"/>
  <c r="CR112" i="30"/>
  <c r="CL112" i="30"/>
  <c r="CF112" i="30"/>
  <c r="CD112" i="30"/>
  <c r="CD97" i="30" s="1"/>
  <c r="CD82" i="30" s="1"/>
  <c r="BY112" i="30"/>
  <c r="BT112" i="30"/>
  <c r="BQ112" i="30"/>
  <c r="BS112" i="30" s="1"/>
  <c r="BN112" i="30"/>
  <c r="BK112" i="30"/>
  <c r="BM112" i="30" s="1"/>
  <c r="BH112" i="30"/>
  <c r="BE112" i="30"/>
  <c r="BG112" i="30" s="1"/>
  <c r="BB112" i="30"/>
  <c r="AY112" i="30"/>
  <c r="BA112" i="30" s="1"/>
  <c r="AV112" i="30"/>
  <c r="AS112" i="30"/>
  <c r="AU112" i="30" s="1"/>
  <c r="AP112" i="30"/>
  <c r="AM112" i="30"/>
  <c r="AO112" i="30" s="1"/>
  <c r="AJ112" i="30"/>
  <c r="AG112" i="30"/>
  <c r="AI112" i="30" s="1"/>
  <c r="AD112" i="30"/>
  <c r="AA112" i="30"/>
  <c r="AC112" i="30" s="1"/>
  <c r="X112" i="30"/>
  <c r="U112" i="30"/>
  <c r="W112" i="30" s="1"/>
  <c r="R112" i="30"/>
  <c r="P112" i="30"/>
  <c r="Q112" i="30" s="1"/>
  <c r="L112" i="30"/>
  <c r="J112" i="30"/>
  <c r="K112" i="30" s="1"/>
  <c r="F112" i="30"/>
  <c r="D112" i="30"/>
  <c r="E112" i="30" s="1"/>
  <c r="CR111" i="30"/>
  <c r="CL111" i="30"/>
  <c r="CF111" i="30"/>
  <c r="CD111" i="30"/>
  <c r="CD96" i="30" s="1"/>
  <c r="CD81" i="30" s="1"/>
  <c r="BT111" i="30"/>
  <c r="BQ111" i="30"/>
  <c r="BS111" i="30" s="1"/>
  <c r="BN111" i="30"/>
  <c r="BK111" i="30"/>
  <c r="BM111" i="30" s="1"/>
  <c r="BH111" i="30"/>
  <c r="BE111" i="30"/>
  <c r="BG111" i="30" s="1"/>
  <c r="BB111" i="30"/>
  <c r="AY111" i="30"/>
  <c r="BA111" i="30" s="1"/>
  <c r="AV111" i="30"/>
  <c r="AS111" i="30"/>
  <c r="AU111" i="30" s="1"/>
  <c r="AP111" i="30"/>
  <c r="AM111" i="30"/>
  <c r="AO111" i="30" s="1"/>
  <c r="AJ111" i="30"/>
  <c r="AG111" i="30"/>
  <c r="AI111" i="30" s="1"/>
  <c r="AD111" i="30"/>
  <c r="AA111" i="30"/>
  <c r="AC111" i="30" s="1"/>
  <c r="X111" i="30"/>
  <c r="U111" i="30"/>
  <c r="W111" i="30" s="1"/>
  <c r="R111" i="30"/>
  <c r="P111" i="30"/>
  <c r="Q111" i="30" s="1"/>
  <c r="L111" i="30"/>
  <c r="J111" i="30"/>
  <c r="K111" i="30" s="1"/>
  <c r="F111" i="30"/>
  <c r="D111" i="30"/>
  <c r="E111" i="30" s="1"/>
  <c r="CD110" i="30"/>
  <c r="CD95" i="30" s="1"/>
  <c r="CD80" i="30" s="1"/>
  <c r="CD65" i="30" s="1"/>
  <c r="BQ110" i="30"/>
  <c r="BS110" i="30" s="1"/>
  <c r="BK110" i="30"/>
  <c r="BM110" i="30" s="1"/>
  <c r="BE110" i="30"/>
  <c r="BG110" i="30" s="1"/>
  <c r="AY110" i="30"/>
  <c r="BA110" i="30" s="1"/>
  <c r="AS110" i="30"/>
  <c r="AU110" i="30" s="1"/>
  <c r="AM110" i="30"/>
  <c r="AO110" i="30" s="1"/>
  <c r="AG110" i="30"/>
  <c r="AI110" i="30" s="1"/>
  <c r="AA110" i="30"/>
  <c r="AC110" i="30" s="1"/>
  <c r="U110" i="30"/>
  <c r="W110" i="30" s="1"/>
  <c r="P110" i="30"/>
  <c r="Q110" i="30" s="1"/>
  <c r="J110" i="30"/>
  <c r="K110" i="30" s="1"/>
  <c r="D110" i="30"/>
  <c r="E110" i="30" s="1"/>
  <c r="CD109" i="30"/>
  <c r="CD94" i="30" s="1"/>
  <c r="CD79" i="30" s="1"/>
  <c r="CD64" i="30" s="1"/>
  <c r="CD49" i="30" s="1"/>
  <c r="CD34" i="30" s="1"/>
  <c r="CD19" i="30" s="1"/>
  <c r="CD4" i="30" s="1"/>
  <c r="P109" i="30"/>
  <c r="O109" i="30"/>
  <c r="CR106" i="30"/>
  <c r="CL106" i="30"/>
  <c r="CF106" i="30"/>
  <c r="BZ106" i="30"/>
  <c r="BW106" i="30"/>
  <c r="BY106" i="30" s="1"/>
  <c r="BT106" i="30"/>
  <c r="BQ106" i="30"/>
  <c r="BS106" i="30" s="1"/>
  <c r="BN106" i="30"/>
  <c r="BK106" i="30"/>
  <c r="BM106" i="30" s="1"/>
  <c r="BH106" i="30"/>
  <c r="BE106" i="30"/>
  <c r="BG106" i="30" s="1"/>
  <c r="BB106" i="30"/>
  <c r="AY106" i="30"/>
  <c r="BA106" i="30" s="1"/>
  <c r="AV106" i="30"/>
  <c r="AS106" i="30"/>
  <c r="AU106" i="30" s="1"/>
  <c r="AP106" i="30"/>
  <c r="AM106" i="30"/>
  <c r="AO106" i="30" s="1"/>
  <c r="AJ106" i="30"/>
  <c r="AG106" i="30"/>
  <c r="AI106" i="30" s="1"/>
  <c r="AD106" i="30"/>
  <c r="AA106" i="30"/>
  <c r="AC106" i="30" s="1"/>
  <c r="X106" i="30"/>
  <c r="U106" i="30"/>
  <c r="W106" i="30" s="1"/>
  <c r="R106" i="30"/>
  <c r="P106" i="30"/>
  <c r="Q106" i="30" s="1"/>
  <c r="L106" i="30"/>
  <c r="J106" i="30"/>
  <c r="K106" i="30" s="1"/>
  <c r="F106" i="30"/>
  <c r="D106" i="30"/>
  <c r="E106" i="30" s="1"/>
  <c r="CR105" i="30"/>
  <c r="CL105" i="30"/>
  <c r="CF105" i="30"/>
  <c r="BZ105" i="30"/>
  <c r="BW105" i="30"/>
  <c r="BY105" i="30" s="1"/>
  <c r="BT105" i="30"/>
  <c r="BQ105" i="30"/>
  <c r="BS105" i="30" s="1"/>
  <c r="BN105" i="30"/>
  <c r="BK105" i="30"/>
  <c r="BM105" i="30" s="1"/>
  <c r="BH105" i="30"/>
  <c r="BE105" i="30"/>
  <c r="BG105" i="30" s="1"/>
  <c r="BB105" i="30"/>
  <c r="AY105" i="30"/>
  <c r="BA105" i="30" s="1"/>
  <c r="AV105" i="30"/>
  <c r="AS105" i="30"/>
  <c r="AU105" i="30" s="1"/>
  <c r="AP105" i="30"/>
  <c r="AM105" i="30"/>
  <c r="AO105" i="30" s="1"/>
  <c r="AJ105" i="30"/>
  <c r="AG105" i="30"/>
  <c r="AI105" i="30" s="1"/>
  <c r="AD105" i="30"/>
  <c r="AA105" i="30"/>
  <c r="AC105" i="30" s="1"/>
  <c r="X105" i="30"/>
  <c r="U105" i="30"/>
  <c r="W105" i="30" s="1"/>
  <c r="R105" i="30"/>
  <c r="P105" i="30"/>
  <c r="Q105" i="30" s="1"/>
  <c r="L105" i="30"/>
  <c r="J105" i="30"/>
  <c r="K105" i="30" s="1"/>
  <c r="F105" i="30"/>
  <c r="D105" i="30"/>
  <c r="E105" i="30" s="1"/>
  <c r="CR104" i="30"/>
  <c r="CL104" i="30"/>
  <c r="CF104" i="30"/>
  <c r="BZ104" i="30"/>
  <c r="BW104" i="30"/>
  <c r="BY104" i="30" s="1"/>
  <c r="BT104" i="30"/>
  <c r="BQ104" i="30"/>
  <c r="BS104" i="30" s="1"/>
  <c r="BN104" i="30"/>
  <c r="BK104" i="30"/>
  <c r="BM104" i="30" s="1"/>
  <c r="BH104" i="30"/>
  <c r="BE104" i="30"/>
  <c r="BG104" i="30" s="1"/>
  <c r="BB104" i="30"/>
  <c r="AY104" i="30"/>
  <c r="BA104" i="30" s="1"/>
  <c r="AV104" i="30"/>
  <c r="AS104" i="30"/>
  <c r="AU104" i="30" s="1"/>
  <c r="AP104" i="30"/>
  <c r="AM104" i="30"/>
  <c r="AO104" i="30" s="1"/>
  <c r="AJ104" i="30"/>
  <c r="AG104" i="30"/>
  <c r="AI104" i="30" s="1"/>
  <c r="AD104" i="30"/>
  <c r="AA104" i="30"/>
  <c r="AC104" i="30" s="1"/>
  <c r="X104" i="30"/>
  <c r="U104" i="30"/>
  <c r="W104" i="30" s="1"/>
  <c r="R104" i="30"/>
  <c r="P104" i="30"/>
  <c r="Q104" i="30" s="1"/>
  <c r="L104" i="30"/>
  <c r="J104" i="30"/>
  <c r="K104" i="30" s="1"/>
  <c r="F104" i="30"/>
  <c r="D104" i="30"/>
  <c r="E104" i="30" s="1"/>
  <c r="CR103" i="30"/>
  <c r="CL103" i="30"/>
  <c r="CF103" i="30"/>
  <c r="BZ103" i="30"/>
  <c r="BW103" i="30"/>
  <c r="BY103" i="30" s="1"/>
  <c r="BT103" i="30"/>
  <c r="BQ103" i="30"/>
  <c r="BS103" i="30" s="1"/>
  <c r="BN103" i="30"/>
  <c r="BK103" i="30"/>
  <c r="BM103" i="30" s="1"/>
  <c r="BH103" i="30"/>
  <c r="BE103" i="30"/>
  <c r="BG103" i="30" s="1"/>
  <c r="BB103" i="30"/>
  <c r="AY103" i="30"/>
  <c r="BA103" i="30" s="1"/>
  <c r="AV103" i="30"/>
  <c r="AS103" i="30"/>
  <c r="AU103" i="30" s="1"/>
  <c r="AP103" i="30"/>
  <c r="AM103" i="30"/>
  <c r="AO103" i="30" s="1"/>
  <c r="AJ103" i="30"/>
  <c r="AG103" i="30"/>
  <c r="AI103" i="30" s="1"/>
  <c r="AD103" i="30"/>
  <c r="AA103" i="30"/>
  <c r="AC103" i="30" s="1"/>
  <c r="X103" i="30"/>
  <c r="U103" i="30"/>
  <c r="W103" i="30" s="1"/>
  <c r="R103" i="30"/>
  <c r="P103" i="30"/>
  <c r="Q103" i="30" s="1"/>
  <c r="L103" i="30"/>
  <c r="J103" i="30"/>
  <c r="K103" i="30" s="1"/>
  <c r="F103" i="30"/>
  <c r="D103" i="30"/>
  <c r="E103" i="30" s="1"/>
  <c r="CR102" i="30"/>
  <c r="CL102" i="30"/>
  <c r="CF102" i="30"/>
  <c r="BZ102" i="30"/>
  <c r="BW102" i="30"/>
  <c r="BY102" i="30" s="1"/>
  <c r="BT102" i="30"/>
  <c r="BQ102" i="30"/>
  <c r="BS102" i="30" s="1"/>
  <c r="BN102" i="30"/>
  <c r="BK102" i="30"/>
  <c r="BM102" i="30" s="1"/>
  <c r="BH102" i="30"/>
  <c r="BE102" i="30"/>
  <c r="BG102" i="30" s="1"/>
  <c r="BB102" i="30"/>
  <c r="AY102" i="30"/>
  <c r="BA102" i="30" s="1"/>
  <c r="AV102" i="30"/>
  <c r="AS102" i="30"/>
  <c r="AU102" i="30" s="1"/>
  <c r="AP102" i="30"/>
  <c r="AM102" i="30"/>
  <c r="AO102" i="30" s="1"/>
  <c r="AJ102" i="30"/>
  <c r="AG102" i="30"/>
  <c r="AI102" i="30" s="1"/>
  <c r="AD102" i="30"/>
  <c r="AA102" i="30"/>
  <c r="AC102" i="30" s="1"/>
  <c r="X102" i="30"/>
  <c r="U102" i="30"/>
  <c r="W102" i="30" s="1"/>
  <c r="R102" i="30"/>
  <c r="P102" i="30"/>
  <c r="Q102" i="30" s="1"/>
  <c r="L102" i="30"/>
  <c r="J102" i="30"/>
  <c r="K102" i="30" s="1"/>
  <c r="F102" i="30"/>
  <c r="D102" i="30"/>
  <c r="E102" i="30" s="1"/>
  <c r="CR101" i="30"/>
  <c r="CL101" i="30"/>
  <c r="CF101" i="30"/>
  <c r="BZ101" i="30"/>
  <c r="BW101" i="30"/>
  <c r="BY101" i="30" s="1"/>
  <c r="BT101" i="30"/>
  <c r="BQ101" i="30"/>
  <c r="BS101" i="30" s="1"/>
  <c r="BN101" i="30"/>
  <c r="BK101" i="30"/>
  <c r="BM101" i="30" s="1"/>
  <c r="BH101" i="30"/>
  <c r="BE101" i="30"/>
  <c r="BG101" i="30" s="1"/>
  <c r="BB101" i="30"/>
  <c r="AY101" i="30"/>
  <c r="BA101" i="30" s="1"/>
  <c r="AV101" i="30"/>
  <c r="AS101" i="30"/>
  <c r="AU101" i="30" s="1"/>
  <c r="AP101" i="30"/>
  <c r="AM101" i="30"/>
  <c r="AO101" i="30" s="1"/>
  <c r="AJ101" i="30"/>
  <c r="AG101" i="30"/>
  <c r="AI101" i="30" s="1"/>
  <c r="AD101" i="30"/>
  <c r="AA101" i="30"/>
  <c r="AC101" i="30" s="1"/>
  <c r="X101" i="30"/>
  <c r="U101" i="30"/>
  <c r="W101" i="30" s="1"/>
  <c r="R101" i="30"/>
  <c r="P101" i="30"/>
  <c r="Q101" i="30" s="1"/>
  <c r="L101" i="30"/>
  <c r="J101" i="30"/>
  <c r="K101" i="30" s="1"/>
  <c r="F101" i="30"/>
  <c r="D101" i="30"/>
  <c r="E101" i="30" s="1"/>
  <c r="CR100" i="30"/>
  <c r="CL100" i="30"/>
  <c r="CF100" i="30"/>
  <c r="BZ100" i="30"/>
  <c r="BW100" i="30"/>
  <c r="BY100" i="30" s="1"/>
  <c r="BT100" i="30"/>
  <c r="BQ100" i="30"/>
  <c r="BS100" i="30" s="1"/>
  <c r="BN100" i="30"/>
  <c r="BK100" i="30"/>
  <c r="BM100" i="30" s="1"/>
  <c r="BH100" i="30"/>
  <c r="BE100" i="30"/>
  <c r="BG100" i="30" s="1"/>
  <c r="BB100" i="30"/>
  <c r="AY100" i="30"/>
  <c r="BA100" i="30" s="1"/>
  <c r="AV100" i="30"/>
  <c r="AS100" i="30"/>
  <c r="AU100" i="30" s="1"/>
  <c r="AP100" i="30"/>
  <c r="AM100" i="30"/>
  <c r="AO100" i="30" s="1"/>
  <c r="AJ100" i="30"/>
  <c r="AG100" i="30"/>
  <c r="AI100" i="30" s="1"/>
  <c r="AD100" i="30"/>
  <c r="AA100" i="30"/>
  <c r="AC100" i="30" s="1"/>
  <c r="X100" i="30"/>
  <c r="U100" i="30"/>
  <c r="W100" i="30" s="1"/>
  <c r="R100" i="30"/>
  <c r="P100" i="30"/>
  <c r="Q100" i="30" s="1"/>
  <c r="L100" i="30"/>
  <c r="J100" i="30"/>
  <c r="K100" i="30" s="1"/>
  <c r="F100" i="30"/>
  <c r="D100" i="30"/>
  <c r="E100" i="30" s="1"/>
  <c r="CR99" i="30"/>
  <c r="CL99" i="30"/>
  <c r="CF99" i="30"/>
  <c r="BZ99" i="30"/>
  <c r="BW99" i="30"/>
  <c r="BY99" i="30" s="1"/>
  <c r="BT99" i="30"/>
  <c r="BQ99" i="30"/>
  <c r="BS99" i="30" s="1"/>
  <c r="BN99" i="30"/>
  <c r="BK99" i="30"/>
  <c r="BM99" i="30" s="1"/>
  <c r="BH99" i="30"/>
  <c r="BE99" i="30"/>
  <c r="BG99" i="30" s="1"/>
  <c r="BB99" i="30"/>
  <c r="AY99" i="30"/>
  <c r="BA99" i="30" s="1"/>
  <c r="AV99" i="30"/>
  <c r="AS99" i="30"/>
  <c r="AU99" i="30" s="1"/>
  <c r="AP99" i="30"/>
  <c r="AM99" i="30"/>
  <c r="AO99" i="30" s="1"/>
  <c r="AJ99" i="30"/>
  <c r="AG99" i="30"/>
  <c r="AI99" i="30" s="1"/>
  <c r="AD99" i="30"/>
  <c r="AA99" i="30"/>
  <c r="AC99" i="30" s="1"/>
  <c r="X99" i="30"/>
  <c r="U99" i="30"/>
  <c r="W99" i="30" s="1"/>
  <c r="R99" i="30"/>
  <c r="P99" i="30"/>
  <c r="Q99" i="30" s="1"/>
  <c r="L99" i="30"/>
  <c r="J99" i="30"/>
  <c r="K99" i="30" s="1"/>
  <c r="F99" i="30"/>
  <c r="D99" i="30"/>
  <c r="E99" i="30" s="1"/>
  <c r="CR98" i="30"/>
  <c r="CL98" i="30"/>
  <c r="CF98" i="30"/>
  <c r="BZ98" i="30"/>
  <c r="BW98" i="30"/>
  <c r="BY98" i="30" s="1"/>
  <c r="BT98" i="30"/>
  <c r="BQ98" i="30"/>
  <c r="BS98" i="30" s="1"/>
  <c r="BN98" i="30"/>
  <c r="BK98" i="30"/>
  <c r="BM98" i="30" s="1"/>
  <c r="BH98" i="30"/>
  <c r="BE98" i="30"/>
  <c r="BG98" i="30" s="1"/>
  <c r="BB98" i="30"/>
  <c r="AY98" i="30"/>
  <c r="BA98" i="30" s="1"/>
  <c r="AV98" i="30"/>
  <c r="AS98" i="30"/>
  <c r="AU98" i="30" s="1"/>
  <c r="AP98" i="30"/>
  <c r="AM98" i="30"/>
  <c r="AO98" i="30" s="1"/>
  <c r="AJ98" i="30"/>
  <c r="AG98" i="30"/>
  <c r="AI98" i="30" s="1"/>
  <c r="AD98" i="30"/>
  <c r="AA98" i="30"/>
  <c r="AC98" i="30" s="1"/>
  <c r="X98" i="30"/>
  <c r="U98" i="30"/>
  <c r="W98" i="30" s="1"/>
  <c r="R98" i="30"/>
  <c r="P98" i="30"/>
  <c r="Q98" i="30" s="1"/>
  <c r="L98" i="30"/>
  <c r="J98" i="30"/>
  <c r="K98" i="30" s="1"/>
  <c r="F98" i="30"/>
  <c r="D98" i="30"/>
  <c r="E98" i="30" s="1"/>
  <c r="CR97" i="30"/>
  <c r="CL97" i="30"/>
  <c r="CF97" i="30"/>
  <c r="BZ97" i="30"/>
  <c r="BW97" i="30"/>
  <c r="BY97" i="30" s="1"/>
  <c r="BT97" i="30"/>
  <c r="BQ97" i="30"/>
  <c r="BS97" i="30" s="1"/>
  <c r="BN97" i="30"/>
  <c r="BK97" i="30"/>
  <c r="BM97" i="30" s="1"/>
  <c r="BH97" i="30"/>
  <c r="BE97" i="30"/>
  <c r="BG97" i="30" s="1"/>
  <c r="BB97" i="30"/>
  <c r="AY97" i="30"/>
  <c r="BA97" i="30" s="1"/>
  <c r="AV97" i="30"/>
  <c r="AS97" i="30"/>
  <c r="AU97" i="30" s="1"/>
  <c r="AP97" i="30"/>
  <c r="AM97" i="30"/>
  <c r="AO97" i="30" s="1"/>
  <c r="AJ97" i="30"/>
  <c r="AG97" i="30"/>
  <c r="AI97" i="30" s="1"/>
  <c r="AD97" i="30"/>
  <c r="AA97" i="30"/>
  <c r="AC97" i="30" s="1"/>
  <c r="X97" i="30"/>
  <c r="U97" i="30"/>
  <c r="W97" i="30" s="1"/>
  <c r="R97" i="30"/>
  <c r="P97" i="30"/>
  <c r="Q97" i="30" s="1"/>
  <c r="L97" i="30"/>
  <c r="J97" i="30"/>
  <c r="K97" i="30" s="1"/>
  <c r="F97" i="30"/>
  <c r="D97" i="30"/>
  <c r="E97" i="30" s="1"/>
  <c r="CR96" i="30"/>
  <c r="CL96" i="30"/>
  <c r="CF96" i="30"/>
  <c r="BZ96" i="30"/>
  <c r="BW96" i="30"/>
  <c r="BY96" i="30" s="1"/>
  <c r="BT96" i="30"/>
  <c r="BQ96" i="30"/>
  <c r="BS96" i="30" s="1"/>
  <c r="BN96" i="30"/>
  <c r="BK96" i="30"/>
  <c r="BM96" i="30" s="1"/>
  <c r="BH96" i="30"/>
  <c r="BE96" i="30"/>
  <c r="BG96" i="30" s="1"/>
  <c r="BB96" i="30"/>
  <c r="AY96" i="30"/>
  <c r="BA96" i="30" s="1"/>
  <c r="AV96" i="30"/>
  <c r="AS96" i="30"/>
  <c r="AU96" i="30" s="1"/>
  <c r="AP96" i="30"/>
  <c r="AM96" i="30"/>
  <c r="AO96" i="30" s="1"/>
  <c r="AJ96" i="30"/>
  <c r="AG96" i="30"/>
  <c r="AI96" i="30" s="1"/>
  <c r="AD96" i="30"/>
  <c r="AA96" i="30"/>
  <c r="AC96" i="30" s="1"/>
  <c r="X96" i="30"/>
  <c r="U96" i="30"/>
  <c r="W96" i="30" s="1"/>
  <c r="R96" i="30"/>
  <c r="P96" i="30"/>
  <c r="Q96" i="30" s="1"/>
  <c r="L96" i="30"/>
  <c r="J96" i="30"/>
  <c r="K96" i="30" s="1"/>
  <c r="F96" i="30"/>
  <c r="D96" i="30"/>
  <c r="E96" i="30" s="1"/>
  <c r="BW95" i="30"/>
  <c r="BY95" i="30" s="1"/>
  <c r="BQ95" i="30"/>
  <c r="BS95" i="30" s="1"/>
  <c r="BK95" i="30"/>
  <c r="BM95" i="30" s="1"/>
  <c r="BE95" i="30"/>
  <c r="BG95" i="30" s="1"/>
  <c r="AY95" i="30"/>
  <c r="BA95" i="30" s="1"/>
  <c r="AS95" i="30"/>
  <c r="AU95" i="30" s="1"/>
  <c r="AM95" i="30"/>
  <c r="AO95" i="30" s="1"/>
  <c r="AG95" i="30"/>
  <c r="AI95" i="30" s="1"/>
  <c r="AA95" i="30"/>
  <c r="AC95" i="30" s="1"/>
  <c r="U95" i="30"/>
  <c r="W95" i="30" s="1"/>
  <c r="P95" i="30"/>
  <c r="Q95" i="30" s="1"/>
  <c r="J95" i="30"/>
  <c r="K95" i="30" s="1"/>
  <c r="D95" i="30"/>
  <c r="E95" i="30" s="1"/>
  <c r="P94" i="30"/>
  <c r="O94" i="30"/>
  <c r="CR91" i="30"/>
  <c r="CL91" i="30"/>
  <c r="CF91" i="30"/>
  <c r="CC91" i="30"/>
  <c r="CC106" i="30" s="1"/>
  <c r="CC121" i="30" s="1"/>
  <c r="CC136" i="30" s="1"/>
  <c r="CC151" i="30" s="1"/>
  <c r="BZ91" i="30"/>
  <c r="BW91" i="30"/>
  <c r="BY91" i="30" s="1"/>
  <c r="BT91" i="30"/>
  <c r="BQ91" i="30"/>
  <c r="BS91" i="30" s="1"/>
  <c r="BN91" i="30"/>
  <c r="BK91" i="30"/>
  <c r="BM91" i="30" s="1"/>
  <c r="BH91" i="30"/>
  <c r="BE91" i="30"/>
  <c r="BG91" i="30" s="1"/>
  <c r="BB91" i="30"/>
  <c r="AY91" i="30"/>
  <c r="BA91" i="30" s="1"/>
  <c r="AV91" i="30"/>
  <c r="AS91" i="30"/>
  <c r="AU91" i="30" s="1"/>
  <c r="AP91" i="30"/>
  <c r="AM91" i="30"/>
  <c r="AO91" i="30" s="1"/>
  <c r="AJ91" i="30"/>
  <c r="AG91" i="30"/>
  <c r="AI91" i="30" s="1"/>
  <c r="AD91" i="30"/>
  <c r="AA91" i="30"/>
  <c r="AC91" i="30" s="1"/>
  <c r="X91" i="30"/>
  <c r="U91" i="30"/>
  <c r="W91" i="30" s="1"/>
  <c r="R91" i="30"/>
  <c r="P91" i="30"/>
  <c r="Q91" i="30" s="1"/>
  <c r="L91" i="30"/>
  <c r="J91" i="30"/>
  <c r="K91" i="30" s="1"/>
  <c r="F91" i="30"/>
  <c r="D91" i="30"/>
  <c r="E91" i="30" s="1"/>
  <c r="CR90" i="30"/>
  <c r="CL90" i="30"/>
  <c r="CF90" i="30"/>
  <c r="BZ90" i="30"/>
  <c r="BW90" i="30"/>
  <c r="BY90" i="30" s="1"/>
  <c r="BT90" i="30"/>
  <c r="BQ90" i="30"/>
  <c r="BS90" i="30" s="1"/>
  <c r="BN90" i="30"/>
  <c r="BK90" i="30"/>
  <c r="BM90" i="30" s="1"/>
  <c r="BH90" i="30"/>
  <c r="BE90" i="30"/>
  <c r="BG90" i="30" s="1"/>
  <c r="BB90" i="30"/>
  <c r="AY90" i="30"/>
  <c r="BA90" i="30" s="1"/>
  <c r="AV90" i="30"/>
  <c r="AS90" i="30"/>
  <c r="AU90" i="30" s="1"/>
  <c r="AP90" i="30"/>
  <c r="AM90" i="30"/>
  <c r="AO90" i="30" s="1"/>
  <c r="AJ90" i="30"/>
  <c r="AG90" i="30"/>
  <c r="AI90" i="30" s="1"/>
  <c r="AD90" i="30"/>
  <c r="AA90" i="30"/>
  <c r="AC90" i="30" s="1"/>
  <c r="X90" i="30"/>
  <c r="U90" i="30"/>
  <c r="W90" i="30" s="1"/>
  <c r="R90" i="30"/>
  <c r="P90" i="30"/>
  <c r="Q90" i="30" s="1"/>
  <c r="L90" i="30"/>
  <c r="J90" i="30"/>
  <c r="K90" i="30" s="1"/>
  <c r="F90" i="30"/>
  <c r="D90" i="30"/>
  <c r="E90" i="30" s="1"/>
  <c r="CR89" i="30"/>
  <c r="CL89" i="30"/>
  <c r="CF89" i="30"/>
  <c r="BZ89" i="30"/>
  <c r="BW89" i="30"/>
  <c r="BY89" i="30" s="1"/>
  <c r="BT89" i="30"/>
  <c r="BQ89" i="30"/>
  <c r="BS89" i="30" s="1"/>
  <c r="BN89" i="30"/>
  <c r="BK89" i="30"/>
  <c r="BM89" i="30" s="1"/>
  <c r="BH89" i="30"/>
  <c r="BE89" i="30"/>
  <c r="BG89" i="30" s="1"/>
  <c r="BB89" i="30"/>
  <c r="AY89" i="30"/>
  <c r="BA89" i="30" s="1"/>
  <c r="AV89" i="30"/>
  <c r="AS89" i="30"/>
  <c r="AU89" i="30" s="1"/>
  <c r="AP89" i="30"/>
  <c r="AM89" i="30"/>
  <c r="AO89" i="30" s="1"/>
  <c r="AJ89" i="30"/>
  <c r="AG89" i="30"/>
  <c r="AI89" i="30" s="1"/>
  <c r="AD89" i="30"/>
  <c r="AA89" i="30"/>
  <c r="AC89" i="30" s="1"/>
  <c r="X89" i="30"/>
  <c r="U89" i="30"/>
  <c r="W89" i="30" s="1"/>
  <c r="R89" i="30"/>
  <c r="P89" i="30"/>
  <c r="Q89" i="30" s="1"/>
  <c r="L89" i="30"/>
  <c r="J89" i="30"/>
  <c r="K89" i="30" s="1"/>
  <c r="F89" i="30"/>
  <c r="D89" i="30"/>
  <c r="E89" i="30" s="1"/>
  <c r="CR88" i="30"/>
  <c r="CL88" i="30"/>
  <c r="CF88" i="30"/>
  <c r="BZ88" i="30"/>
  <c r="BW88" i="30"/>
  <c r="BY88" i="30" s="1"/>
  <c r="BT88" i="30"/>
  <c r="BQ88" i="30"/>
  <c r="BS88" i="30" s="1"/>
  <c r="BN88" i="30"/>
  <c r="BK88" i="30"/>
  <c r="BM88" i="30" s="1"/>
  <c r="BH88" i="30"/>
  <c r="BE88" i="30"/>
  <c r="BG88" i="30" s="1"/>
  <c r="BB88" i="30"/>
  <c r="AY88" i="30"/>
  <c r="BA88" i="30" s="1"/>
  <c r="AV88" i="30"/>
  <c r="AS88" i="30"/>
  <c r="AU88" i="30" s="1"/>
  <c r="AP88" i="30"/>
  <c r="AM88" i="30"/>
  <c r="AO88" i="30" s="1"/>
  <c r="AJ88" i="30"/>
  <c r="AG88" i="30"/>
  <c r="AI88" i="30" s="1"/>
  <c r="AD88" i="30"/>
  <c r="AA88" i="30"/>
  <c r="AC88" i="30" s="1"/>
  <c r="X88" i="30"/>
  <c r="U88" i="30"/>
  <c r="W88" i="30" s="1"/>
  <c r="R88" i="30"/>
  <c r="P88" i="30"/>
  <c r="Q88" i="30" s="1"/>
  <c r="L88" i="30"/>
  <c r="J88" i="30"/>
  <c r="K88" i="30" s="1"/>
  <c r="F88" i="30"/>
  <c r="D88" i="30"/>
  <c r="E88" i="30" s="1"/>
  <c r="CR87" i="30"/>
  <c r="CL87" i="30"/>
  <c r="CF87" i="30"/>
  <c r="BZ87" i="30"/>
  <c r="BW87" i="30"/>
  <c r="BY87" i="30" s="1"/>
  <c r="BT87" i="30"/>
  <c r="BQ87" i="30"/>
  <c r="BS87" i="30" s="1"/>
  <c r="BN87" i="30"/>
  <c r="BK87" i="30"/>
  <c r="BM87" i="30" s="1"/>
  <c r="BH87" i="30"/>
  <c r="BE87" i="30"/>
  <c r="BG87" i="30" s="1"/>
  <c r="BB87" i="30"/>
  <c r="AY87" i="30"/>
  <c r="BA87" i="30" s="1"/>
  <c r="AV87" i="30"/>
  <c r="AS87" i="30"/>
  <c r="AU87" i="30" s="1"/>
  <c r="AP87" i="30"/>
  <c r="AM87" i="30"/>
  <c r="AO87" i="30" s="1"/>
  <c r="AJ87" i="30"/>
  <c r="AG87" i="30"/>
  <c r="AI87" i="30" s="1"/>
  <c r="AD87" i="30"/>
  <c r="AA87" i="30"/>
  <c r="AC87" i="30" s="1"/>
  <c r="X87" i="30"/>
  <c r="U87" i="30"/>
  <c r="W87" i="30" s="1"/>
  <c r="R87" i="30"/>
  <c r="P87" i="30"/>
  <c r="Q87" i="30" s="1"/>
  <c r="L87" i="30"/>
  <c r="J87" i="30"/>
  <c r="K87" i="30" s="1"/>
  <c r="F87" i="30"/>
  <c r="D87" i="30"/>
  <c r="E87" i="30" s="1"/>
  <c r="CR86" i="30"/>
  <c r="CL86" i="30"/>
  <c r="CF86" i="30"/>
  <c r="BZ86" i="30"/>
  <c r="BW86" i="30"/>
  <c r="BY86" i="30" s="1"/>
  <c r="BT86" i="30"/>
  <c r="BQ86" i="30"/>
  <c r="BS86" i="30" s="1"/>
  <c r="BN86" i="30"/>
  <c r="BK86" i="30"/>
  <c r="BM86" i="30" s="1"/>
  <c r="BH86" i="30"/>
  <c r="BE86" i="30"/>
  <c r="BG86" i="30" s="1"/>
  <c r="BB86" i="30"/>
  <c r="AY86" i="30"/>
  <c r="BA86" i="30" s="1"/>
  <c r="AV86" i="30"/>
  <c r="AS86" i="30"/>
  <c r="AU86" i="30" s="1"/>
  <c r="AP86" i="30"/>
  <c r="AM86" i="30"/>
  <c r="AO86" i="30" s="1"/>
  <c r="AJ86" i="30"/>
  <c r="AG86" i="30"/>
  <c r="AI86" i="30" s="1"/>
  <c r="AD86" i="30"/>
  <c r="AA86" i="30"/>
  <c r="AC86" i="30" s="1"/>
  <c r="X86" i="30"/>
  <c r="U86" i="30"/>
  <c r="W86" i="30" s="1"/>
  <c r="R86" i="30"/>
  <c r="P86" i="30"/>
  <c r="Q86" i="30" s="1"/>
  <c r="L86" i="30"/>
  <c r="J86" i="30"/>
  <c r="K86" i="30" s="1"/>
  <c r="F86" i="30"/>
  <c r="D86" i="30"/>
  <c r="E86" i="30" s="1"/>
  <c r="CR85" i="30"/>
  <c r="CL85" i="30"/>
  <c r="CF85" i="30"/>
  <c r="CD85" i="30"/>
  <c r="CD55" i="30" s="1"/>
  <c r="CD40" i="30" s="1"/>
  <c r="CD25" i="30" s="1"/>
  <c r="CD10" i="30" s="1"/>
  <c r="BZ85" i="30"/>
  <c r="BW85" i="30"/>
  <c r="BY85" i="30" s="1"/>
  <c r="BT85" i="30"/>
  <c r="BQ85" i="30"/>
  <c r="BS85" i="30" s="1"/>
  <c r="BN85" i="30"/>
  <c r="BK85" i="30"/>
  <c r="BM85" i="30" s="1"/>
  <c r="BH85" i="30"/>
  <c r="BE85" i="30"/>
  <c r="BG85" i="30" s="1"/>
  <c r="BB85" i="30"/>
  <c r="AY85" i="30"/>
  <c r="BA85" i="30" s="1"/>
  <c r="AV85" i="30"/>
  <c r="AS85" i="30"/>
  <c r="AU85" i="30" s="1"/>
  <c r="AP85" i="30"/>
  <c r="AM85" i="30"/>
  <c r="AO85" i="30" s="1"/>
  <c r="AJ85" i="30"/>
  <c r="AG85" i="30"/>
  <c r="AI85" i="30" s="1"/>
  <c r="AD85" i="30"/>
  <c r="AA85" i="30"/>
  <c r="AC85" i="30" s="1"/>
  <c r="X85" i="30"/>
  <c r="U85" i="30"/>
  <c r="W85" i="30" s="1"/>
  <c r="R85" i="30"/>
  <c r="P85" i="30"/>
  <c r="Q85" i="30" s="1"/>
  <c r="L85" i="30"/>
  <c r="J85" i="30"/>
  <c r="K85" i="30" s="1"/>
  <c r="F85" i="30"/>
  <c r="D85" i="30"/>
  <c r="E85" i="30" s="1"/>
  <c r="CR84" i="30"/>
  <c r="CL84" i="30"/>
  <c r="CF84" i="30"/>
  <c r="BZ84" i="30"/>
  <c r="BW84" i="30"/>
  <c r="BY84" i="30" s="1"/>
  <c r="BT84" i="30"/>
  <c r="BQ84" i="30"/>
  <c r="BS84" i="30" s="1"/>
  <c r="BN84" i="30"/>
  <c r="BK84" i="30"/>
  <c r="BM84" i="30" s="1"/>
  <c r="BH84" i="30"/>
  <c r="BE84" i="30"/>
  <c r="BG84" i="30" s="1"/>
  <c r="BB84" i="30"/>
  <c r="AY84" i="30"/>
  <c r="BA84" i="30" s="1"/>
  <c r="AV84" i="30"/>
  <c r="AS84" i="30"/>
  <c r="AU84" i="30" s="1"/>
  <c r="AP84" i="30"/>
  <c r="AM84" i="30"/>
  <c r="AO84" i="30" s="1"/>
  <c r="AJ84" i="30"/>
  <c r="AG84" i="30"/>
  <c r="AI84" i="30" s="1"/>
  <c r="AD84" i="30"/>
  <c r="AA84" i="30"/>
  <c r="AC84" i="30" s="1"/>
  <c r="X84" i="30"/>
  <c r="U84" i="30"/>
  <c r="W84" i="30" s="1"/>
  <c r="R84" i="30"/>
  <c r="P84" i="30"/>
  <c r="Q84" i="30" s="1"/>
  <c r="L84" i="30"/>
  <c r="J84" i="30"/>
  <c r="K84" i="30" s="1"/>
  <c r="F84" i="30"/>
  <c r="D84" i="30"/>
  <c r="E84" i="30" s="1"/>
  <c r="CR83" i="30"/>
  <c r="CL83" i="30"/>
  <c r="CF83" i="30"/>
  <c r="BZ83" i="30"/>
  <c r="BW83" i="30"/>
  <c r="BY83" i="30" s="1"/>
  <c r="BT83" i="30"/>
  <c r="BQ83" i="30"/>
  <c r="BS83" i="30" s="1"/>
  <c r="BN83" i="30"/>
  <c r="BK83" i="30"/>
  <c r="BM83" i="30" s="1"/>
  <c r="BH83" i="30"/>
  <c r="BE83" i="30"/>
  <c r="BG83" i="30" s="1"/>
  <c r="BB83" i="30"/>
  <c r="AY83" i="30"/>
  <c r="BA83" i="30" s="1"/>
  <c r="AV83" i="30"/>
  <c r="AS83" i="30"/>
  <c r="AU83" i="30" s="1"/>
  <c r="AP83" i="30"/>
  <c r="AM83" i="30"/>
  <c r="AO83" i="30" s="1"/>
  <c r="AJ83" i="30"/>
  <c r="AG83" i="30"/>
  <c r="AI83" i="30" s="1"/>
  <c r="AD83" i="30"/>
  <c r="AA83" i="30"/>
  <c r="AC83" i="30" s="1"/>
  <c r="X83" i="30"/>
  <c r="U83" i="30"/>
  <c r="W83" i="30" s="1"/>
  <c r="R83" i="30"/>
  <c r="P83" i="30"/>
  <c r="Q83" i="30" s="1"/>
  <c r="L83" i="30"/>
  <c r="J83" i="30"/>
  <c r="K83" i="30" s="1"/>
  <c r="F83" i="30"/>
  <c r="D83" i="30"/>
  <c r="E83" i="30" s="1"/>
  <c r="CR82" i="30"/>
  <c r="CL82" i="30"/>
  <c r="CF82" i="30"/>
  <c r="BZ82" i="30"/>
  <c r="BW82" i="30"/>
  <c r="BY82" i="30" s="1"/>
  <c r="BT82" i="30"/>
  <c r="BQ82" i="30"/>
  <c r="BS82" i="30" s="1"/>
  <c r="BN82" i="30"/>
  <c r="BK82" i="30"/>
  <c r="BM82" i="30" s="1"/>
  <c r="BH82" i="30"/>
  <c r="BE82" i="30"/>
  <c r="BG82" i="30" s="1"/>
  <c r="BB82" i="30"/>
  <c r="AY82" i="30"/>
  <c r="BA82" i="30" s="1"/>
  <c r="AV82" i="30"/>
  <c r="AS82" i="30"/>
  <c r="AU82" i="30" s="1"/>
  <c r="AP82" i="30"/>
  <c r="AM82" i="30"/>
  <c r="AO82" i="30" s="1"/>
  <c r="AJ82" i="30"/>
  <c r="AG82" i="30"/>
  <c r="AI82" i="30" s="1"/>
  <c r="AD82" i="30"/>
  <c r="AA82" i="30"/>
  <c r="AC82" i="30" s="1"/>
  <c r="X82" i="30"/>
  <c r="U82" i="30"/>
  <c r="W82" i="30" s="1"/>
  <c r="R82" i="30"/>
  <c r="P82" i="30"/>
  <c r="Q82" i="30" s="1"/>
  <c r="L82" i="30"/>
  <c r="J82" i="30"/>
  <c r="K82" i="30" s="1"/>
  <c r="F82" i="30"/>
  <c r="D82" i="30"/>
  <c r="E82" i="30" s="1"/>
  <c r="CR81" i="30"/>
  <c r="CL81" i="30"/>
  <c r="CF81" i="30"/>
  <c r="BZ81" i="30"/>
  <c r="BW81" i="30"/>
  <c r="BY81" i="30" s="1"/>
  <c r="BT81" i="30"/>
  <c r="BQ81" i="30"/>
  <c r="BS81" i="30" s="1"/>
  <c r="BN81" i="30"/>
  <c r="BK81" i="30"/>
  <c r="BM81" i="30" s="1"/>
  <c r="BH81" i="30"/>
  <c r="BE81" i="30"/>
  <c r="BG81" i="30" s="1"/>
  <c r="BB81" i="30"/>
  <c r="AY81" i="30"/>
  <c r="BA81" i="30" s="1"/>
  <c r="AV81" i="30"/>
  <c r="AS81" i="30"/>
  <c r="AU81" i="30" s="1"/>
  <c r="AP81" i="30"/>
  <c r="AM81" i="30"/>
  <c r="AO81" i="30" s="1"/>
  <c r="AJ81" i="30"/>
  <c r="AG81" i="30"/>
  <c r="AI81" i="30" s="1"/>
  <c r="AD81" i="30"/>
  <c r="AA81" i="30"/>
  <c r="AC81" i="30" s="1"/>
  <c r="X81" i="30"/>
  <c r="U81" i="30"/>
  <c r="W81" i="30" s="1"/>
  <c r="R81" i="30"/>
  <c r="P81" i="30"/>
  <c r="Q81" i="30" s="1"/>
  <c r="L81" i="30"/>
  <c r="J81" i="30"/>
  <c r="K81" i="30" s="1"/>
  <c r="F81" i="30"/>
  <c r="D81" i="30"/>
  <c r="E81" i="30" s="1"/>
  <c r="BW80" i="30"/>
  <c r="BY80" i="30" s="1"/>
  <c r="BQ80" i="30"/>
  <c r="BS80" i="30" s="1"/>
  <c r="BK80" i="30"/>
  <c r="BM80" i="30" s="1"/>
  <c r="BE80" i="30"/>
  <c r="BG80" i="30" s="1"/>
  <c r="AY80" i="30"/>
  <c r="BA80" i="30" s="1"/>
  <c r="AS80" i="30"/>
  <c r="AU80" i="30" s="1"/>
  <c r="AM80" i="30"/>
  <c r="AO80" i="30" s="1"/>
  <c r="AG80" i="30"/>
  <c r="AI80" i="30" s="1"/>
  <c r="AA80" i="30"/>
  <c r="AC80" i="30" s="1"/>
  <c r="U80" i="30"/>
  <c r="W80" i="30" s="1"/>
  <c r="P80" i="30"/>
  <c r="Q80" i="30" s="1"/>
  <c r="J80" i="30"/>
  <c r="K80" i="30" s="1"/>
  <c r="D80" i="30"/>
  <c r="E80" i="30" s="1"/>
  <c r="P79" i="30"/>
  <c r="O79" i="30"/>
  <c r="CR76" i="30"/>
  <c r="CL76" i="30"/>
  <c r="CF76" i="30"/>
  <c r="BZ76" i="30"/>
  <c r="BW76" i="30"/>
  <c r="BY76" i="30" s="1"/>
  <c r="BT76" i="30"/>
  <c r="BQ76" i="30"/>
  <c r="BS76" i="30" s="1"/>
  <c r="BN76" i="30"/>
  <c r="BK76" i="30"/>
  <c r="BM76" i="30" s="1"/>
  <c r="BH76" i="30"/>
  <c r="BE76" i="30"/>
  <c r="BG76" i="30" s="1"/>
  <c r="BB76" i="30"/>
  <c r="AY76" i="30"/>
  <c r="BA76" i="30" s="1"/>
  <c r="AV76" i="30"/>
  <c r="AS76" i="30"/>
  <c r="AU76" i="30" s="1"/>
  <c r="AP76" i="30"/>
  <c r="AM76" i="30"/>
  <c r="AO76" i="30" s="1"/>
  <c r="AJ76" i="30"/>
  <c r="AG76" i="30"/>
  <c r="AI76" i="30" s="1"/>
  <c r="AD76" i="30"/>
  <c r="AA76" i="30"/>
  <c r="AC76" i="30" s="1"/>
  <c r="X76" i="30"/>
  <c r="U76" i="30"/>
  <c r="W76" i="30" s="1"/>
  <c r="R76" i="30"/>
  <c r="P76" i="30"/>
  <c r="Q76" i="30" s="1"/>
  <c r="L76" i="30"/>
  <c r="J76" i="30"/>
  <c r="K76" i="30" s="1"/>
  <c r="F76" i="30"/>
  <c r="D76" i="30"/>
  <c r="E76" i="30" s="1"/>
  <c r="CR75" i="30"/>
  <c r="CL75" i="30"/>
  <c r="CF75" i="30"/>
  <c r="BZ75" i="30"/>
  <c r="BW75" i="30"/>
  <c r="BY75" i="30" s="1"/>
  <c r="BT75" i="30"/>
  <c r="BQ75" i="30"/>
  <c r="BS75" i="30" s="1"/>
  <c r="BN75" i="30"/>
  <c r="BK75" i="30"/>
  <c r="BM75" i="30" s="1"/>
  <c r="BH75" i="30"/>
  <c r="BE75" i="30"/>
  <c r="BG75" i="30" s="1"/>
  <c r="BB75" i="30"/>
  <c r="AY75" i="30"/>
  <c r="BA75" i="30" s="1"/>
  <c r="AV75" i="30"/>
  <c r="AS75" i="30"/>
  <c r="AU75" i="30" s="1"/>
  <c r="AP75" i="30"/>
  <c r="AM75" i="30"/>
  <c r="AO75" i="30" s="1"/>
  <c r="AJ75" i="30"/>
  <c r="AG75" i="30"/>
  <c r="AI75" i="30" s="1"/>
  <c r="AD75" i="30"/>
  <c r="AA75" i="30"/>
  <c r="AC75" i="30" s="1"/>
  <c r="X75" i="30"/>
  <c r="U75" i="30"/>
  <c r="W75" i="30" s="1"/>
  <c r="R75" i="30"/>
  <c r="P75" i="30"/>
  <c r="Q75" i="30" s="1"/>
  <c r="L75" i="30"/>
  <c r="J75" i="30"/>
  <c r="K75" i="30" s="1"/>
  <c r="F75" i="30"/>
  <c r="D75" i="30"/>
  <c r="E75" i="30" s="1"/>
  <c r="CR74" i="30"/>
  <c r="CL74" i="30"/>
  <c r="CF74" i="30"/>
  <c r="BZ74" i="30"/>
  <c r="BW74" i="30"/>
  <c r="BY74" i="30" s="1"/>
  <c r="BT74" i="30"/>
  <c r="BQ74" i="30"/>
  <c r="BS74" i="30" s="1"/>
  <c r="BN74" i="30"/>
  <c r="BK74" i="30"/>
  <c r="BM74" i="30" s="1"/>
  <c r="BH74" i="30"/>
  <c r="BE74" i="30"/>
  <c r="BG74" i="30" s="1"/>
  <c r="BB74" i="30"/>
  <c r="AY74" i="30"/>
  <c r="BA74" i="30" s="1"/>
  <c r="AV74" i="30"/>
  <c r="AS74" i="30"/>
  <c r="AU74" i="30" s="1"/>
  <c r="AP74" i="30"/>
  <c r="AM74" i="30"/>
  <c r="AO74" i="30" s="1"/>
  <c r="AJ74" i="30"/>
  <c r="AG74" i="30"/>
  <c r="AI74" i="30" s="1"/>
  <c r="AD74" i="30"/>
  <c r="AA74" i="30"/>
  <c r="AC74" i="30" s="1"/>
  <c r="X74" i="30"/>
  <c r="U74" i="30"/>
  <c r="W74" i="30" s="1"/>
  <c r="R74" i="30"/>
  <c r="P74" i="30"/>
  <c r="Q74" i="30" s="1"/>
  <c r="L74" i="30"/>
  <c r="J74" i="30"/>
  <c r="K74" i="30" s="1"/>
  <c r="F74" i="30"/>
  <c r="D74" i="30"/>
  <c r="E74" i="30" s="1"/>
  <c r="CR73" i="30"/>
  <c r="CL73" i="30"/>
  <c r="CF73" i="30"/>
  <c r="BZ73" i="30"/>
  <c r="BW73" i="30"/>
  <c r="BY73" i="30" s="1"/>
  <c r="BT73" i="30"/>
  <c r="BQ73" i="30"/>
  <c r="BS73" i="30" s="1"/>
  <c r="BN73" i="30"/>
  <c r="BK73" i="30"/>
  <c r="BM73" i="30" s="1"/>
  <c r="BH73" i="30"/>
  <c r="BE73" i="30"/>
  <c r="BG73" i="30" s="1"/>
  <c r="BB73" i="30"/>
  <c r="AY73" i="30"/>
  <c r="BA73" i="30" s="1"/>
  <c r="AV73" i="30"/>
  <c r="AS73" i="30"/>
  <c r="AU73" i="30" s="1"/>
  <c r="AP73" i="30"/>
  <c r="AM73" i="30"/>
  <c r="AO73" i="30" s="1"/>
  <c r="AJ73" i="30"/>
  <c r="AG73" i="30"/>
  <c r="AI73" i="30" s="1"/>
  <c r="AD73" i="30"/>
  <c r="AA73" i="30"/>
  <c r="AC73" i="30" s="1"/>
  <c r="X73" i="30"/>
  <c r="U73" i="30"/>
  <c r="W73" i="30" s="1"/>
  <c r="R73" i="30"/>
  <c r="P73" i="30"/>
  <c r="Q73" i="30" s="1"/>
  <c r="L73" i="30"/>
  <c r="J73" i="30"/>
  <c r="K73" i="30" s="1"/>
  <c r="F73" i="30"/>
  <c r="D73" i="30"/>
  <c r="E73" i="30" s="1"/>
  <c r="CR72" i="30"/>
  <c r="CL72" i="30"/>
  <c r="CF72" i="30"/>
  <c r="BZ72" i="30"/>
  <c r="BW72" i="30"/>
  <c r="BY72" i="30" s="1"/>
  <c r="BT72" i="30"/>
  <c r="BQ72" i="30"/>
  <c r="BS72" i="30" s="1"/>
  <c r="BN72" i="30"/>
  <c r="BK72" i="30"/>
  <c r="BM72" i="30" s="1"/>
  <c r="BH72" i="30"/>
  <c r="BE72" i="30"/>
  <c r="BG72" i="30" s="1"/>
  <c r="BB72" i="30"/>
  <c r="AY72" i="30"/>
  <c r="BA72" i="30" s="1"/>
  <c r="AV72" i="30"/>
  <c r="AS72" i="30"/>
  <c r="AU72" i="30" s="1"/>
  <c r="AP72" i="30"/>
  <c r="AM72" i="30"/>
  <c r="AO72" i="30" s="1"/>
  <c r="AJ72" i="30"/>
  <c r="AG72" i="30"/>
  <c r="AI72" i="30" s="1"/>
  <c r="AD72" i="30"/>
  <c r="AA72" i="30"/>
  <c r="AC72" i="30" s="1"/>
  <c r="X72" i="30"/>
  <c r="U72" i="30"/>
  <c r="W72" i="30" s="1"/>
  <c r="R72" i="30"/>
  <c r="P72" i="30"/>
  <c r="Q72" i="30" s="1"/>
  <c r="L72" i="30"/>
  <c r="J72" i="30"/>
  <c r="K72" i="30" s="1"/>
  <c r="F72" i="30"/>
  <c r="D72" i="30"/>
  <c r="E72" i="30" s="1"/>
  <c r="CR71" i="30"/>
  <c r="CL71" i="30"/>
  <c r="CF71" i="30"/>
  <c r="BZ71" i="30"/>
  <c r="BW71" i="30"/>
  <c r="BY71" i="30" s="1"/>
  <c r="BT71" i="30"/>
  <c r="BQ71" i="30"/>
  <c r="BS71" i="30" s="1"/>
  <c r="BN71" i="30"/>
  <c r="BK71" i="30"/>
  <c r="BM71" i="30" s="1"/>
  <c r="BH71" i="30"/>
  <c r="BE71" i="30"/>
  <c r="BG71" i="30" s="1"/>
  <c r="BB71" i="30"/>
  <c r="AY71" i="30"/>
  <c r="BA71" i="30" s="1"/>
  <c r="AV71" i="30"/>
  <c r="AS71" i="30"/>
  <c r="AU71" i="30" s="1"/>
  <c r="AP71" i="30"/>
  <c r="AM71" i="30"/>
  <c r="AO71" i="30" s="1"/>
  <c r="AJ71" i="30"/>
  <c r="AG71" i="30"/>
  <c r="AI71" i="30" s="1"/>
  <c r="AD71" i="30"/>
  <c r="AA71" i="30"/>
  <c r="AC71" i="30" s="1"/>
  <c r="X71" i="30"/>
  <c r="U71" i="30"/>
  <c r="W71" i="30" s="1"/>
  <c r="R71" i="30"/>
  <c r="P71" i="30"/>
  <c r="Q71" i="30" s="1"/>
  <c r="L71" i="30"/>
  <c r="J71" i="30"/>
  <c r="K71" i="30" s="1"/>
  <c r="F71" i="30"/>
  <c r="D71" i="30"/>
  <c r="E71" i="30" s="1"/>
  <c r="CR70" i="30"/>
  <c r="CL70" i="30"/>
  <c r="CF70" i="30"/>
  <c r="BZ70" i="30"/>
  <c r="BW70" i="30"/>
  <c r="BY70" i="30" s="1"/>
  <c r="BT70" i="30"/>
  <c r="BQ70" i="30"/>
  <c r="BS70" i="30" s="1"/>
  <c r="BN70" i="30"/>
  <c r="BK70" i="30"/>
  <c r="BM70" i="30" s="1"/>
  <c r="BH70" i="30"/>
  <c r="BE70" i="30"/>
  <c r="BG70" i="30" s="1"/>
  <c r="BB70" i="30"/>
  <c r="AY70" i="30"/>
  <c r="BA70" i="30" s="1"/>
  <c r="AV70" i="30"/>
  <c r="AS70" i="30"/>
  <c r="AU70" i="30" s="1"/>
  <c r="AP70" i="30"/>
  <c r="AM70" i="30"/>
  <c r="AO70" i="30" s="1"/>
  <c r="AJ70" i="30"/>
  <c r="AG70" i="30"/>
  <c r="AI70" i="30" s="1"/>
  <c r="AD70" i="30"/>
  <c r="AA70" i="30"/>
  <c r="AC70" i="30" s="1"/>
  <c r="X70" i="30"/>
  <c r="U70" i="30"/>
  <c r="W70" i="30" s="1"/>
  <c r="R70" i="30"/>
  <c r="P70" i="30"/>
  <c r="Q70" i="30" s="1"/>
  <c r="L70" i="30"/>
  <c r="J70" i="30"/>
  <c r="K70" i="30" s="1"/>
  <c r="F70" i="30"/>
  <c r="D70" i="30"/>
  <c r="E70" i="30" s="1"/>
  <c r="CR69" i="30"/>
  <c r="CL69" i="30"/>
  <c r="CF69" i="30"/>
  <c r="BZ69" i="30"/>
  <c r="BW69" i="30"/>
  <c r="BY69" i="30" s="1"/>
  <c r="BT69" i="30"/>
  <c r="BQ69" i="30"/>
  <c r="BS69" i="30" s="1"/>
  <c r="BN69" i="30"/>
  <c r="BK69" i="30"/>
  <c r="BM69" i="30" s="1"/>
  <c r="BH69" i="30"/>
  <c r="BE69" i="30"/>
  <c r="BG69" i="30" s="1"/>
  <c r="BB69" i="30"/>
  <c r="AY69" i="30"/>
  <c r="BA69" i="30" s="1"/>
  <c r="AV69" i="30"/>
  <c r="AS69" i="30"/>
  <c r="AU69" i="30" s="1"/>
  <c r="AP69" i="30"/>
  <c r="AM69" i="30"/>
  <c r="AO69" i="30" s="1"/>
  <c r="AJ69" i="30"/>
  <c r="AG69" i="30"/>
  <c r="AI69" i="30" s="1"/>
  <c r="AD69" i="30"/>
  <c r="AA69" i="30"/>
  <c r="AC69" i="30" s="1"/>
  <c r="X69" i="30"/>
  <c r="U69" i="30"/>
  <c r="W69" i="30" s="1"/>
  <c r="R69" i="30"/>
  <c r="P69" i="30"/>
  <c r="Q69" i="30" s="1"/>
  <c r="L69" i="30"/>
  <c r="J69" i="30"/>
  <c r="K69" i="30" s="1"/>
  <c r="F69" i="30"/>
  <c r="D69" i="30"/>
  <c r="E69" i="30" s="1"/>
  <c r="CR68" i="30"/>
  <c r="CL68" i="30"/>
  <c r="CF68" i="30"/>
  <c r="BZ68" i="30"/>
  <c r="BW68" i="30"/>
  <c r="BY68" i="30" s="1"/>
  <c r="BT68" i="30"/>
  <c r="BQ68" i="30"/>
  <c r="BS68" i="30" s="1"/>
  <c r="BN68" i="30"/>
  <c r="BK68" i="30"/>
  <c r="BM68" i="30" s="1"/>
  <c r="BH68" i="30"/>
  <c r="BE68" i="30"/>
  <c r="BG68" i="30" s="1"/>
  <c r="BB68" i="30"/>
  <c r="AY68" i="30"/>
  <c r="BA68" i="30" s="1"/>
  <c r="AV68" i="30"/>
  <c r="AS68" i="30"/>
  <c r="AU68" i="30" s="1"/>
  <c r="AP68" i="30"/>
  <c r="AM68" i="30"/>
  <c r="AO68" i="30" s="1"/>
  <c r="AJ68" i="30"/>
  <c r="AG68" i="30"/>
  <c r="AI68" i="30" s="1"/>
  <c r="AD68" i="30"/>
  <c r="AA68" i="30"/>
  <c r="AC68" i="30" s="1"/>
  <c r="X68" i="30"/>
  <c r="U68" i="30"/>
  <c r="W68" i="30" s="1"/>
  <c r="R68" i="30"/>
  <c r="P68" i="30"/>
  <c r="Q68" i="30" s="1"/>
  <c r="L68" i="30"/>
  <c r="J68" i="30"/>
  <c r="K68" i="30" s="1"/>
  <c r="F68" i="30"/>
  <c r="D68" i="30"/>
  <c r="E68" i="30" s="1"/>
  <c r="CR67" i="30"/>
  <c r="CL67" i="30"/>
  <c r="CF67" i="30"/>
  <c r="BZ67" i="30"/>
  <c r="BW67" i="30"/>
  <c r="BY67" i="30" s="1"/>
  <c r="BT67" i="30"/>
  <c r="BQ67" i="30"/>
  <c r="BS67" i="30" s="1"/>
  <c r="BN67" i="30"/>
  <c r="BK67" i="30"/>
  <c r="BM67" i="30" s="1"/>
  <c r="BH67" i="30"/>
  <c r="BE67" i="30"/>
  <c r="BG67" i="30" s="1"/>
  <c r="BB67" i="30"/>
  <c r="AY67" i="30"/>
  <c r="BA67" i="30" s="1"/>
  <c r="AV67" i="30"/>
  <c r="AS67" i="30"/>
  <c r="AU67" i="30" s="1"/>
  <c r="AP67" i="30"/>
  <c r="AM67" i="30"/>
  <c r="AO67" i="30" s="1"/>
  <c r="AJ67" i="30"/>
  <c r="AG67" i="30"/>
  <c r="AI67" i="30" s="1"/>
  <c r="AD67" i="30"/>
  <c r="AA67" i="30"/>
  <c r="AC67" i="30" s="1"/>
  <c r="X67" i="30"/>
  <c r="U67" i="30"/>
  <c r="W67" i="30" s="1"/>
  <c r="R67" i="30"/>
  <c r="P67" i="30"/>
  <c r="Q67" i="30" s="1"/>
  <c r="L67" i="30"/>
  <c r="J67" i="30"/>
  <c r="K67" i="30" s="1"/>
  <c r="F67" i="30"/>
  <c r="D67" i="30"/>
  <c r="E67" i="30" s="1"/>
  <c r="CR66" i="30"/>
  <c r="CL66" i="30"/>
  <c r="CF66" i="30"/>
  <c r="BZ66" i="30"/>
  <c r="BW66" i="30"/>
  <c r="BY66" i="30" s="1"/>
  <c r="BT66" i="30"/>
  <c r="BQ66" i="30"/>
  <c r="BS66" i="30" s="1"/>
  <c r="BN66" i="30"/>
  <c r="BK66" i="30"/>
  <c r="BM66" i="30" s="1"/>
  <c r="BH66" i="30"/>
  <c r="BE66" i="30"/>
  <c r="BG66" i="30" s="1"/>
  <c r="BB66" i="30"/>
  <c r="AY66" i="30"/>
  <c r="BA66" i="30" s="1"/>
  <c r="AV66" i="30"/>
  <c r="AS66" i="30"/>
  <c r="AU66" i="30" s="1"/>
  <c r="AP66" i="30"/>
  <c r="AM66" i="30"/>
  <c r="AO66" i="30" s="1"/>
  <c r="AJ66" i="30"/>
  <c r="AG66" i="30"/>
  <c r="AI66" i="30" s="1"/>
  <c r="AD66" i="30"/>
  <c r="AA66" i="30"/>
  <c r="AC66" i="30" s="1"/>
  <c r="X66" i="30"/>
  <c r="U66" i="30"/>
  <c r="W66" i="30" s="1"/>
  <c r="R66" i="30"/>
  <c r="P66" i="30"/>
  <c r="Q66" i="30" s="1"/>
  <c r="L66" i="30"/>
  <c r="J66" i="30"/>
  <c r="K66" i="30" s="1"/>
  <c r="F66" i="30"/>
  <c r="D66" i="30"/>
  <c r="E66" i="30" s="1"/>
  <c r="BW65" i="30"/>
  <c r="BY65" i="30" s="1"/>
  <c r="BQ65" i="30"/>
  <c r="BS65" i="30" s="1"/>
  <c r="BK65" i="30"/>
  <c r="BM65" i="30" s="1"/>
  <c r="BE65" i="30"/>
  <c r="BG65" i="30" s="1"/>
  <c r="AY65" i="30"/>
  <c r="BA65" i="30" s="1"/>
  <c r="AS65" i="30"/>
  <c r="AU65" i="30" s="1"/>
  <c r="AM65" i="30"/>
  <c r="AO65" i="30" s="1"/>
  <c r="AG65" i="30"/>
  <c r="AI65" i="30" s="1"/>
  <c r="AA65" i="30"/>
  <c r="AC65" i="30" s="1"/>
  <c r="U65" i="30"/>
  <c r="W65" i="30" s="1"/>
  <c r="P65" i="30"/>
  <c r="Q65" i="30" s="1"/>
  <c r="J65" i="30"/>
  <c r="K65" i="30" s="1"/>
  <c r="D65" i="30"/>
  <c r="E65" i="30" s="1"/>
  <c r="P64" i="30"/>
  <c r="O64" i="30"/>
  <c r="CR61" i="30"/>
  <c r="CL61" i="30"/>
  <c r="CF61" i="30"/>
  <c r="BZ61" i="30"/>
  <c r="BW61" i="30"/>
  <c r="BY61" i="30" s="1"/>
  <c r="BT61" i="30"/>
  <c r="BQ61" i="30"/>
  <c r="BS61" i="30" s="1"/>
  <c r="BN61" i="30"/>
  <c r="BK61" i="30"/>
  <c r="BM61" i="30" s="1"/>
  <c r="BH61" i="30"/>
  <c r="BE61" i="30"/>
  <c r="BG61" i="30" s="1"/>
  <c r="BB61" i="30"/>
  <c r="AY61" i="30"/>
  <c r="BA61" i="30" s="1"/>
  <c r="AV61" i="30"/>
  <c r="AS61" i="30"/>
  <c r="AU61" i="30" s="1"/>
  <c r="AP61" i="30"/>
  <c r="AM61" i="30"/>
  <c r="AO61" i="30" s="1"/>
  <c r="AJ61" i="30"/>
  <c r="AG61" i="30"/>
  <c r="AI61" i="30" s="1"/>
  <c r="AD61" i="30"/>
  <c r="AA61" i="30"/>
  <c r="AC61" i="30" s="1"/>
  <c r="X61" i="30"/>
  <c r="U61" i="30"/>
  <c r="W61" i="30" s="1"/>
  <c r="R61" i="30"/>
  <c r="P61" i="30"/>
  <c r="Q61" i="30" s="1"/>
  <c r="L61" i="30"/>
  <c r="J61" i="30"/>
  <c r="K61" i="30" s="1"/>
  <c r="F61" i="30"/>
  <c r="D61" i="30"/>
  <c r="E61" i="30" s="1"/>
  <c r="CR60" i="30"/>
  <c r="CL60" i="30"/>
  <c r="CF60" i="30"/>
  <c r="BZ60" i="30"/>
  <c r="BW60" i="30"/>
  <c r="BY60" i="30" s="1"/>
  <c r="BT60" i="30"/>
  <c r="BQ60" i="30"/>
  <c r="BS60" i="30" s="1"/>
  <c r="BN60" i="30"/>
  <c r="BK60" i="30"/>
  <c r="BM60" i="30" s="1"/>
  <c r="BH60" i="30"/>
  <c r="BE60" i="30"/>
  <c r="BG60" i="30" s="1"/>
  <c r="BB60" i="30"/>
  <c r="AY60" i="30"/>
  <c r="BA60" i="30" s="1"/>
  <c r="AV60" i="30"/>
  <c r="AS60" i="30"/>
  <c r="AU60" i="30" s="1"/>
  <c r="AP60" i="30"/>
  <c r="AM60" i="30"/>
  <c r="AO60" i="30" s="1"/>
  <c r="AJ60" i="30"/>
  <c r="AG60" i="30"/>
  <c r="AI60" i="30" s="1"/>
  <c r="AD60" i="30"/>
  <c r="AA60" i="30"/>
  <c r="AC60" i="30" s="1"/>
  <c r="X60" i="30"/>
  <c r="U60" i="30"/>
  <c r="W60" i="30" s="1"/>
  <c r="R60" i="30"/>
  <c r="P60" i="30"/>
  <c r="Q60" i="30" s="1"/>
  <c r="L60" i="30"/>
  <c r="J60" i="30"/>
  <c r="K60" i="30" s="1"/>
  <c r="F60" i="30"/>
  <c r="D60" i="30"/>
  <c r="E60" i="30" s="1"/>
  <c r="CR59" i="30"/>
  <c r="CL59" i="30"/>
  <c r="CF59" i="30"/>
  <c r="BZ59" i="30"/>
  <c r="BW59" i="30"/>
  <c r="BY59" i="30" s="1"/>
  <c r="BT59" i="30"/>
  <c r="BQ59" i="30"/>
  <c r="BS59" i="30" s="1"/>
  <c r="BN59" i="30"/>
  <c r="BK59" i="30"/>
  <c r="BM59" i="30" s="1"/>
  <c r="BH59" i="30"/>
  <c r="BE59" i="30"/>
  <c r="BG59" i="30" s="1"/>
  <c r="BB59" i="30"/>
  <c r="AY59" i="30"/>
  <c r="BA59" i="30" s="1"/>
  <c r="AV59" i="30"/>
  <c r="AS59" i="30"/>
  <c r="AU59" i="30" s="1"/>
  <c r="AP59" i="30"/>
  <c r="AM59" i="30"/>
  <c r="AO59" i="30" s="1"/>
  <c r="AJ59" i="30"/>
  <c r="AG59" i="30"/>
  <c r="AI59" i="30" s="1"/>
  <c r="AD59" i="30"/>
  <c r="AA59" i="30"/>
  <c r="AC59" i="30" s="1"/>
  <c r="X59" i="30"/>
  <c r="U59" i="30"/>
  <c r="W59" i="30" s="1"/>
  <c r="R59" i="30"/>
  <c r="P59" i="30"/>
  <c r="Q59" i="30" s="1"/>
  <c r="L59" i="30"/>
  <c r="J59" i="30"/>
  <c r="K59" i="30" s="1"/>
  <c r="F59" i="30"/>
  <c r="D59" i="30"/>
  <c r="E59" i="30" s="1"/>
  <c r="CR58" i="30"/>
  <c r="CL58" i="30"/>
  <c r="CF58" i="30"/>
  <c r="BZ58" i="30"/>
  <c r="BW58" i="30"/>
  <c r="BY58" i="30" s="1"/>
  <c r="BT58" i="30"/>
  <c r="BQ58" i="30"/>
  <c r="BS58" i="30" s="1"/>
  <c r="BN58" i="30"/>
  <c r="BK58" i="30"/>
  <c r="BM58" i="30" s="1"/>
  <c r="BH58" i="30"/>
  <c r="BE58" i="30"/>
  <c r="BG58" i="30" s="1"/>
  <c r="BB58" i="30"/>
  <c r="AY58" i="30"/>
  <c r="BA58" i="30" s="1"/>
  <c r="AV58" i="30"/>
  <c r="AS58" i="30"/>
  <c r="AU58" i="30" s="1"/>
  <c r="AP58" i="30"/>
  <c r="AM58" i="30"/>
  <c r="AO58" i="30" s="1"/>
  <c r="AJ58" i="30"/>
  <c r="AG58" i="30"/>
  <c r="AI58" i="30" s="1"/>
  <c r="AD58" i="30"/>
  <c r="AA58" i="30"/>
  <c r="AC58" i="30" s="1"/>
  <c r="X58" i="30"/>
  <c r="U58" i="30"/>
  <c r="W58" i="30" s="1"/>
  <c r="R58" i="30"/>
  <c r="P58" i="30"/>
  <c r="Q58" i="30" s="1"/>
  <c r="L58" i="30"/>
  <c r="J58" i="30"/>
  <c r="K58" i="30" s="1"/>
  <c r="F58" i="30"/>
  <c r="D58" i="30"/>
  <c r="E58" i="30" s="1"/>
  <c r="CR57" i="30"/>
  <c r="CL57" i="30"/>
  <c r="CF57" i="30"/>
  <c r="BZ57" i="30"/>
  <c r="BW57" i="30"/>
  <c r="BY57" i="30" s="1"/>
  <c r="BT57" i="30"/>
  <c r="BQ57" i="30"/>
  <c r="BS57" i="30" s="1"/>
  <c r="BN57" i="30"/>
  <c r="BK57" i="30"/>
  <c r="BM57" i="30" s="1"/>
  <c r="BH57" i="30"/>
  <c r="BE57" i="30"/>
  <c r="BG57" i="30" s="1"/>
  <c r="BB57" i="30"/>
  <c r="AY57" i="30"/>
  <c r="BA57" i="30" s="1"/>
  <c r="AV57" i="30"/>
  <c r="AS57" i="30"/>
  <c r="AU57" i="30" s="1"/>
  <c r="AP57" i="30"/>
  <c r="AM57" i="30"/>
  <c r="AO57" i="30" s="1"/>
  <c r="AJ57" i="30"/>
  <c r="AG57" i="30"/>
  <c r="AI57" i="30" s="1"/>
  <c r="AD57" i="30"/>
  <c r="AA57" i="30"/>
  <c r="AC57" i="30" s="1"/>
  <c r="X57" i="30"/>
  <c r="U57" i="30"/>
  <c r="W57" i="30" s="1"/>
  <c r="R57" i="30"/>
  <c r="P57" i="30"/>
  <c r="Q57" i="30" s="1"/>
  <c r="L57" i="30"/>
  <c r="J57" i="30"/>
  <c r="K57" i="30" s="1"/>
  <c r="F57" i="30"/>
  <c r="D57" i="30"/>
  <c r="E57" i="30" s="1"/>
  <c r="CR56" i="30"/>
  <c r="CL56" i="30"/>
  <c r="CF56" i="30"/>
  <c r="BZ56" i="30"/>
  <c r="BW56" i="30"/>
  <c r="BY56" i="30" s="1"/>
  <c r="BT56" i="30"/>
  <c r="BQ56" i="30"/>
  <c r="BS56" i="30" s="1"/>
  <c r="BN56" i="30"/>
  <c r="BK56" i="30"/>
  <c r="BM56" i="30" s="1"/>
  <c r="BH56" i="30"/>
  <c r="BE56" i="30"/>
  <c r="BG56" i="30" s="1"/>
  <c r="BB56" i="30"/>
  <c r="AY56" i="30"/>
  <c r="BA56" i="30" s="1"/>
  <c r="AV56" i="30"/>
  <c r="AS56" i="30"/>
  <c r="AU56" i="30" s="1"/>
  <c r="AP56" i="30"/>
  <c r="AM56" i="30"/>
  <c r="AO56" i="30" s="1"/>
  <c r="AJ56" i="30"/>
  <c r="AG56" i="30"/>
  <c r="AI56" i="30" s="1"/>
  <c r="AD56" i="30"/>
  <c r="AA56" i="30"/>
  <c r="AC56" i="30" s="1"/>
  <c r="X56" i="30"/>
  <c r="U56" i="30"/>
  <c r="W56" i="30" s="1"/>
  <c r="R56" i="30"/>
  <c r="P56" i="30"/>
  <c r="Q56" i="30" s="1"/>
  <c r="L56" i="30"/>
  <c r="J56" i="30"/>
  <c r="K56" i="30" s="1"/>
  <c r="F56" i="30"/>
  <c r="D56" i="30"/>
  <c r="E56" i="30" s="1"/>
  <c r="CR55" i="30"/>
  <c r="CL55" i="30"/>
  <c r="CF55" i="30"/>
  <c r="BZ55" i="30"/>
  <c r="BW55" i="30"/>
  <c r="BY55" i="30" s="1"/>
  <c r="BT55" i="30"/>
  <c r="BQ55" i="30"/>
  <c r="BS55" i="30" s="1"/>
  <c r="BN55" i="30"/>
  <c r="BK55" i="30"/>
  <c r="BM55" i="30" s="1"/>
  <c r="BH55" i="30"/>
  <c r="BE55" i="30"/>
  <c r="BG55" i="30" s="1"/>
  <c r="BB55" i="30"/>
  <c r="AY55" i="30"/>
  <c r="BA55" i="30" s="1"/>
  <c r="AV55" i="30"/>
  <c r="AS55" i="30"/>
  <c r="AU55" i="30" s="1"/>
  <c r="AP55" i="30"/>
  <c r="AM55" i="30"/>
  <c r="AO55" i="30" s="1"/>
  <c r="AJ55" i="30"/>
  <c r="AG55" i="30"/>
  <c r="AI55" i="30" s="1"/>
  <c r="AD55" i="30"/>
  <c r="AA55" i="30"/>
  <c r="AC55" i="30" s="1"/>
  <c r="X55" i="30"/>
  <c r="U55" i="30"/>
  <c r="W55" i="30" s="1"/>
  <c r="R55" i="30"/>
  <c r="P55" i="30"/>
  <c r="Q55" i="30" s="1"/>
  <c r="L55" i="30"/>
  <c r="J55" i="30"/>
  <c r="K55" i="30" s="1"/>
  <c r="F55" i="30"/>
  <c r="D55" i="30"/>
  <c r="E55" i="30" s="1"/>
  <c r="CR54" i="30"/>
  <c r="CL54" i="30"/>
  <c r="CF54" i="30"/>
  <c r="BZ54" i="30"/>
  <c r="BW54" i="30"/>
  <c r="BY54" i="30" s="1"/>
  <c r="BT54" i="30"/>
  <c r="BQ54" i="30"/>
  <c r="BS54" i="30" s="1"/>
  <c r="BN54" i="30"/>
  <c r="BK54" i="30"/>
  <c r="BM54" i="30" s="1"/>
  <c r="BH54" i="30"/>
  <c r="BE54" i="30"/>
  <c r="BG54" i="30" s="1"/>
  <c r="BB54" i="30"/>
  <c r="AY54" i="30"/>
  <c r="BA54" i="30" s="1"/>
  <c r="AV54" i="30"/>
  <c r="AS54" i="30"/>
  <c r="AU54" i="30" s="1"/>
  <c r="AP54" i="30"/>
  <c r="AM54" i="30"/>
  <c r="AO54" i="30" s="1"/>
  <c r="AJ54" i="30"/>
  <c r="AG54" i="30"/>
  <c r="AI54" i="30" s="1"/>
  <c r="AD54" i="30"/>
  <c r="AA54" i="30"/>
  <c r="AC54" i="30" s="1"/>
  <c r="X54" i="30"/>
  <c r="U54" i="30"/>
  <c r="W54" i="30" s="1"/>
  <c r="R54" i="30"/>
  <c r="P54" i="30"/>
  <c r="Q54" i="30" s="1"/>
  <c r="L54" i="30"/>
  <c r="J54" i="30"/>
  <c r="K54" i="30" s="1"/>
  <c r="F54" i="30"/>
  <c r="D54" i="30"/>
  <c r="E54" i="30" s="1"/>
  <c r="CR53" i="30"/>
  <c r="CL53" i="30"/>
  <c r="CF53" i="30"/>
  <c r="BZ53" i="30"/>
  <c r="BW53" i="30"/>
  <c r="BY53" i="30" s="1"/>
  <c r="BT53" i="30"/>
  <c r="BQ53" i="30"/>
  <c r="BS53" i="30" s="1"/>
  <c r="BN53" i="30"/>
  <c r="BK53" i="30"/>
  <c r="BM53" i="30" s="1"/>
  <c r="BH53" i="30"/>
  <c r="BE53" i="30"/>
  <c r="BG53" i="30" s="1"/>
  <c r="BB53" i="30"/>
  <c r="AY53" i="30"/>
  <c r="BA53" i="30" s="1"/>
  <c r="AV53" i="30"/>
  <c r="AS53" i="30"/>
  <c r="AU53" i="30" s="1"/>
  <c r="AP53" i="30"/>
  <c r="AM53" i="30"/>
  <c r="AO53" i="30" s="1"/>
  <c r="AJ53" i="30"/>
  <c r="AG53" i="30"/>
  <c r="AI53" i="30" s="1"/>
  <c r="AD53" i="30"/>
  <c r="AA53" i="30"/>
  <c r="AC53" i="30" s="1"/>
  <c r="X53" i="30"/>
  <c r="U53" i="30"/>
  <c r="W53" i="30" s="1"/>
  <c r="R53" i="30"/>
  <c r="P53" i="30"/>
  <c r="Q53" i="30" s="1"/>
  <c r="L53" i="30"/>
  <c r="J53" i="30"/>
  <c r="K53" i="30" s="1"/>
  <c r="F53" i="30"/>
  <c r="D53" i="30"/>
  <c r="E53" i="30" s="1"/>
  <c r="CR52" i="30"/>
  <c r="CL52" i="30"/>
  <c r="CF52" i="30"/>
  <c r="BZ52" i="30"/>
  <c r="BW52" i="30"/>
  <c r="BY52" i="30" s="1"/>
  <c r="BT52" i="30"/>
  <c r="BQ52" i="30"/>
  <c r="BS52" i="30" s="1"/>
  <c r="BN52" i="30"/>
  <c r="BK52" i="30"/>
  <c r="BM52" i="30" s="1"/>
  <c r="BH52" i="30"/>
  <c r="BE52" i="30"/>
  <c r="BG52" i="30" s="1"/>
  <c r="BB52" i="30"/>
  <c r="AY52" i="30"/>
  <c r="BA52" i="30" s="1"/>
  <c r="AV52" i="30"/>
  <c r="AS52" i="30"/>
  <c r="AU52" i="30" s="1"/>
  <c r="AP52" i="30"/>
  <c r="AM52" i="30"/>
  <c r="AO52" i="30" s="1"/>
  <c r="AJ52" i="30"/>
  <c r="AG52" i="30"/>
  <c r="AI52" i="30" s="1"/>
  <c r="AD52" i="30"/>
  <c r="AA52" i="30"/>
  <c r="AC52" i="30" s="1"/>
  <c r="X52" i="30"/>
  <c r="U52" i="30"/>
  <c r="W52" i="30" s="1"/>
  <c r="R52" i="30"/>
  <c r="P52" i="30"/>
  <c r="Q52" i="30" s="1"/>
  <c r="L52" i="30"/>
  <c r="J52" i="30"/>
  <c r="K52" i="30" s="1"/>
  <c r="F52" i="30"/>
  <c r="D52" i="30"/>
  <c r="E52" i="30" s="1"/>
  <c r="CR51" i="30"/>
  <c r="CL51" i="30"/>
  <c r="CF51" i="30"/>
  <c r="BZ51" i="30"/>
  <c r="BW51" i="30"/>
  <c r="BY51" i="30" s="1"/>
  <c r="BT51" i="30"/>
  <c r="BQ51" i="30"/>
  <c r="BS51" i="30" s="1"/>
  <c r="BN51" i="30"/>
  <c r="BK51" i="30"/>
  <c r="BM51" i="30" s="1"/>
  <c r="BH51" i="30"/>
  <c r="BE51" i="30"/>
  <c r="BG51" i="30" s="1"/>
  <c r="BB51" i="30"/>
  <c r="AY51" i="30"/>
  <c r="BA51" i="30" s="1"/>
  <c r="AV51" i="30"/>
  <c r="AS51" i="30"/>
  <c r="AU51" i="30" s="1"/>
  <c r="AP51" i="30"/>
  <c r="AM51" i="30"/>
  <c r="AO51" i="30" s="1"/>
  <c r="AJ51" i="30"/>
  <c r="AG51" i="30"/>
  <c r="AI51" i="30" s="1"/>
  <c r="AD51" i="30"/>
  <c r="AA51" i="30"/>
  <c r="AC51" i="30" s="1"/>
  <c r="X51" i="30"/>
  <c r="U51" i="30"/>
  <c r="W51" i="30" s="1"/>
  <c r="R51" i="30"/>
  <c r="P51" i="30"/>
  <c r="Q51" i="30" s="1"/>
  <c r="L51" i="30"/>
  <c r="J51" i="30"/>
  <c r="K51" i="30" s="1"/>
  <c r="F51" i="30"/>
  <c r="D51" i="30"/>
  <c r="E51" i="30" s="1"/>
  <c r="BW50" i="30"/>
  <c r="BY50" i="30" s="1"/>
  <c r="BQ50" i="30"/>
  <c r="BS50" i="30" s="1"/>
  <c r="BK50" i="30"/>
  <c r="BM50" i="30" s="1"/>
  <c r="BE50" i="30"/>
  <c r="BG50" i="30" s="1"/>
  <c r="AY50" i="30"/>
  <c r="BA50" i="30" s="1"/>
  <c r="AS50" i="30"/>
  <c r="AU50" i="30" s="1"/>
  <c r="AM50" i="30"/>
  <c r="AO50" i="30" s="1"/>
  <c r="AG50" i="30"/>
  <c r="AI50" i="30" s="1"/>
  <c r="AA50" i="30"/>
  <c r="AC50" i="30" s="1"/>
  <c r="U50" i="30"/>
  <c r="W50" i="30" s="1"/>
  <c r="P50" i="30"/>
  <c r="Q50" i="30" s="1"/>
  <c r="J50" i="30"/>
  <c r="K50" i="30" s="1"/>
  <c r="D50" i="30"/>
  <c r="E50" i="30" s="1"/>
  <c r="P49" i="30"/>
  <c r="O49" i="30"/>
  <c r="CR46" i="30"/>
  <c r="CL46" i="30"/>
  <c r="CF46" i="30"/>
  <c r="BZ46" i="30"/>
  <c r="BW46" i="30"/>
  <c r="BY46" i="30" s="1"/>
  <c r="BT46" i="30"/>
  <c r="BQ46" i="30"/>
  <c r="BS46" i="30" s="1"/>
  <c r="BN46" i="30"/>
  <c r="BK46" i="30"/>
  <c r="BM46" i="30" s="1"/>
  <c r="BH46" i="30"/>
  <c r="BE46" i="30"/>
  <c r="BG46" i="30" s="1"/>
  <c r="BB46" i="30"/>
  <c r="AY46" i="30"/>
  <c r="BA46" i="30" s="1"/>
  <c r="AV46" i="30"/>
  <c r="AS46" i="30"/>
  <c r="AU46" i="30" s="1"/>
  <c r="AP46" i="30"/>
  <c r="AM46" i="30"/>
  <c r="AO46" i="30" s="1"/>
  <c r="AJ46" i="30"/>
  <c r="AG46" i="30"/>
  <c r="AI46" i="30" s="1"/>
  <c r="AD46" i="30"/>
  <c r="AA46" i="30"/>
  <c r="AC46" i="30" s="1"/>
  <c r="X46" i="30"/>
  <c r="U46" i="30"/>
  <c r="W46" i="30" s="1"/>
  <c r="R46" i="30"/>
  <c r="P46" i="30"/>
  <c r="Q46" i="30" s="1"/>
  <c r="L46" i="30"/>
  <c r="J46" i="30"/>
  <c r="K46" i="30" s="1"/>
  <c r="F46" i="30"/>
  <c r="D46" i="30"/>
  <c r="E46" i="30" s="1"/>
  <c r="CR45" i="30"/>
  <c r="CL45" i="30"/>
  <c r="CF45" i="30"/>
  <c r="BZ45" i="30"/>
  <c r="BW45" i="30"/>
  <c r="BY45" i="30" s="1"/>
  <c r="BT45" i="30"/>
  <c r="BQ45" i="30"/>
  <c r="BS45" i="30" s="1"/>
  <c r="BN45" i="30"/>
  <c r="BK45" i="30"/>
  <c r="BM45" i="30" s="1"/>
  <c r="BH45" i="30"/>
  <c r="BE45" i="30"/>
  <c r="BG45" i="30" s="1"/>
  <c r="BB45" i="30"/>
  <c r="AY45" i="30"/>
  <c r="BA45" i="30" s="1"/>
  <c r="AV45" i="30"/>
  <c r="AS45" i="30"/>
  <c r="AU45" i="30" s="1"/>
  <c r="AP45" i="30"/>
  <c r="AM45" i="30"/>
  <c r="AO45" i="30" s="1"/>
  <c r="AJ45" i="30"/>
  <c r="AG45" i="30"/>
  <c r="AI45" i="30" s="1"/>
  <c r="AD45" i="30"/>
  <c r="AA45" i="30"/>
  <c r="AC45" i="30" s="1"/>
  <c r="X45" i="30"/>
  <c r="U45" i="30"/>
  <c r="W45" i="30" s="1"/>
  <c r="R45" i="30"/>
  <c r="P45" i="30"/>
  <c r="Q45" i="30" s="1"/>
  <c r="L45" i="30"/>
  <c r="J45" i="30"/>
  <c r="K45" i="30" s="1"/>
  <c r="F45" i="30"/>
  <c r="D45" i="30"/>
  <c r="E45" i="30" s="1"/>
  <c r="CR44" i="30"/>
  <c r="CL44" i="30"/>
  <c r="CF44" i="30"/>
  <c r="BZ44" i="30"/>
  <c r="BW44" i="30"/>
  <c r="BY44" i="30" s="1"/>
  <c r="BT44" i="30"/>
  <c r="BQ44" i="30"/>
  <c r="BS44" i="30" s="1"/>
  <c r="BN44" i="30"/>
  <c r="BK44" i="30"/>
  <c r="BM44" i="30" s="1"/>
  <c r="BH44" i="30"/>
  <c r="BE44" i="30"/>
  <c r="BG44" i="30" s="1"/>
  <c r="BB44" i="30"/>
  <c r="AY44" i="30"/>
  <c r="BA44" i="30" s="1"/>
  <c r="AV44" i="30"/>
  <c r="AS44" i="30"/>
  <c r="AU44" i="30" s="1"/>
  <c r="AP44" i="30"/>
  <c r="AM44" i="30"/>
  <c r="AO44" i="30" s="1"/>
  <c r="AJ44" i="30"/>
  <c r="AG44" i="30"/>
  <c r="AI44" i="30" s="1"/>
  <c r="AD44" i="30"/>
  <c r="AA44" i="30"/>
  <c r="AC44" i="30" s="1"/>
  <c r="X44" i="30"/>
  <c r="U44" i="30"/>
  <c r="W44" i="30" s="1"/>
  <c r="R44" i="30"/>
  <c r="P44" i="30"/>
  <c r="Q44" i="30" s="1"/>
  <c r="L44" i="30"/>
  <c r="J44" i="30"/>
  <c r="K44" i="30" s="1"/>
  <c r="F44" i="30"/>
  <c r="D44" i="30"/>
  <c r="E44" i="30" s="1"/>
  <c r="CR43" i="30"/>
  <c r="CL43" i="30"/>
  <c r="CF43" i="30"/>
  <c r="BZ43" i="30"/>
  <c r="BW43" i="30"/>
  <c r="BY43" i="30" s="1"/>
  <c r="BT43" i="30"/>
  <c r="BQ43" i="30"/>
  <c r="BS43" i="30" s="1"/>
  <c r="BN43" i="30"/>
  <c r="BK43" i="30"/>
  <c r="BM43" i="30" s="1"/>
  <c r="BH43" i="30"/>
  <c r="BE43" i="30"/>
  <c r="BG43" i="30" s="1"/>
  <c r="BB43" i="30"/>
  <c r="AY43" i="30"/>
  <c r="BA43" i="30" s="1"/>
  <c r="AV43" i="30"/>
  <c r="AS43" i="30"/>
  <c r="AU43" i="30" s="1"/>
  <c r="AP43" i="30"/>
  <c r="AM43" i="30"/>
  <c r="AO43" i="30" s="1"/>
  <c r="AJ43" i="30"/>
  <c r="AG43" i="30"/>
  <c r="AI43" i="30" s="1"/>
  <c r="AD43" i="30"/>
  <c r="AA43" i="30"/>
  <c r="AC43" i="30" s="1"/>
  <c r="X43" i="30"/>
  <c r="U43" i="30"/>
  <c r="W43" i="30" s="1"/>
  <c r="R43" i="30"/>
  <c r="P43" i="30"/>
  <c r="Q43" i="30" s="1"/>
  <c r="L43" i="30"/>
  <c r="J43" i="30"/>
  <c r="K43" i="30" s="1"/>
  <c r="F43" i="30"/>
  <c r="D43" i="30"/>
  <c r="E43" i="30" s="1"/>
  <c r="CR42" i="30"/>
  <c r="CL42" i="30"/>
  <c r="CF42" i="30"/>
  <c r="BZ42" i="30"/>
  <c r="BW42" i="30"/>
  <c r="BY42" i="30" s="1"/>
  <c r="BT42" i="30"/>
  <c r="BQ42" i="30"/>
  <c r="BS42" i="30" s="1"/>
  <c r="BN42" i="30"/>
  <c r="BK42" i="30"/>
  <c r="BM42" i="30" s="1"/>
  <c r="BH42" i="30"/>
  <c r="BE42" i="30"/>
  <c r="BG42" i="30" s="1"/>
  <c r="BB42" i="30"/>
  <c r="AY42" i="30"/>
  <c r="BA42" i="30" s="1"/>
  <c r="AV42" i="30"/>
  <c r="AS42" i="30"/>
  <c r="AU42" i="30" s="1"/>
  <c r="AP42" i="30"/>
  <c r="AM42" i="30"/>
  <c r="AO42" i="30" s="1"/>
  <c r="AJ42" i="30"/>
  <c r="AG42" i="30"/>
  <c r="AI42" i="30" s="1"/>
  <c r="AD42" i="30"/>
  <c r="AA42" i="30"/>
  <c r="AC42" i="30" s="1"/>
  <c r="X42" i="30"/>
  <c r="U42" i="30"/>
  <c r="W42" i="30" s="1"/>
  <c r="R42" i="30"/>
  <c r="P42" i="30"/>
  <c r="Q42" i="30" s="1"/>
  <c r="L42" i="30"/>
  <c r="J42" i="30"/>
  <c r="K42" i="30" s="1"/>
  <c r="F42" i="30"/>
  <c r="D42" i="30"/>
  <c r="E42" i="30" s="1"/>
  <c r="CR41" i="30"/>
  <c r="CL41" i="30"/>
  <c r="CF41" i="30"/>
  <c r="BZ41" i="30"/>
  <c r="BW41" i="30"/>
  <c r="BY41" i="30" s="1"/>
  <c r="BT41" i="30"/>
  <c r="BQ41" i="30"/>
  <c r="BS41" i="30" s="1"/>
  <c r="BN41" i="30"/>
  <c r="BK41" i="30"/>
  <c r="BM41" i="30" s="1"/>
  <c r="BH41" i="30"/>
  <c r="BE41" i="30"/>
  <c r="BG41" i="30" s="1"/>
  <c r="BB41" i="30"/>
  <c r="AY41" i="30"/>
  <c r="BA41" i="30" s="1"/>
  <c r="AV41" i="30"/>
  <c r="AS41" i="30"/>
  <c r="AU41" i="30" s="1"/>
  <c r="AP41" i="30"/>
  <c r="AM41" i="30"/>
  <c r="AO41" i="30" s="1"/>
  <c r="AJ41" i="30"/>
  <c r="AG41" i="30"/>
  <c r="AI41" i="30" s="1"/>
  <c r="AD41" i="30"/>
  <c r="AA41" i="30"/>
  <c r="AC41" i="30" s="1"/>
  <c r="X41" i="30"/>
  <c r="U41" i="30"/>
  <c r="W41" i="30" s="1"/>
  <c r="R41" i="30"/>
  <c r="P41" i="30"/>
  <c r="Q41" i="30" s="1"/>
  <c r="L41" i="30"/>
  <c r="J41" i="30"/>
  <c r="K41" i="30" s="1"/>
  <c r="F41" i="30"/>
  <c r="D41" i="30"/>
  <c r="E41" i="30" s="1"/>
  <c r="CR40" i="30"/>
  <c r="CL40" i="30"/>
  <c r="CF40" i="30"/>
  <c r="BZ40" i="30"/>
  <c r="BW40" i="30"/>
  <c r="BY40" i="30" s="1"/>
  <c r="BT40" i="30"/>
  <c r="BQ40" i="30"/>
  <c r="BS40" i="30" s="1"/>
  <c r="BN40" i="30"/>
  <c r="BK40" i="30"/>
  <c r="BM40" i="30" s="1"/>
  <c r="BH40" i="30"/>
  <c r="BE40" i="30"/>
  <c r="BG40" i="30" s="1"/>
  <c r="BB40" i="30"/>
  <c r="AY40" i="30"/>
  <c r="BA40" i="30" s="1"/>
  <c r="AV40" i="30"/>
  <c r="AS40" i="30"/>
  <c r="AU40" i="30" s="1"/>
  <c r="AP40" i="30"/>
  <c r="AM40" i="30"/>
  <c r="AO40" i="30" s="1"/>
  <c r="AJ40" i="30"/>
  <c r="AG40" i="30"/>
  <c r="AI40" i="30" s="1"/>
  <c r="AD40" i="30"/>
  <c r="AA40" i="30"/>
  <c r="AC40" i="30" s="1"/>
  <c r="X40" i="30"/>
  <c r="U40" i="30"/>
  <c r="W40" i="30" s="1"/>
  <c r="R40" i="30"/>
  <c r="P40" i="30"/>
  <c r="Q40" i="30" s="1"/>
  <c r="L40" i="30"/>
  <c r="J40" i="30"/>
  <c r="K40" i="30" s="1"/>
  <c r="F40" i="30"/>
  <c r="D40" i="30"/>
  <c r="E40" i="30" s="1"/>
  <c r="CR39" i="30"/>
  <c r="CL39" i="30"/>
  <c r="CF39" i="30"/>
  <c r="BZ39" i="30"/>
  <c r="BW39" i="30"/>
  <c r="BY39" i="30" s="1"/>
  <c r="BT39" i="30"/>
  <c r="BQ39" i="30"/>
  <c r="BS39" i="30" s="1"/>
  <c r="BN39" i="30"/>
  <c r="BK39" i="30"/>
  <c r="BM39" i="30" s="1"/>
  <c r="BH39" i="30"/>
  <c r="BE39" i="30"/>
  <c r="BG39" i="30" s="1"/>
  <c r="BB39" i="30"/>
  <c r="AY39" i="30"/>
  <c r="BA39" i="30" s="1"/>
  <c r="AV39" i="30"/>
  <c r="AS39" i="30"/>
  <c r="AU39" i="30" s="1"/>
  <c r="AP39" i="30"/>
  <c r="AM39" i="30"/>
  <c r="AO39" i="30" s="1"/>
  <c r="AJ39" i="30"/>
  <c r="AG39" i="30"/>
  <c r="AI39" i="30" s="1"/>
  <c r="AD39" i="30"/>
  <c r="AA39" i="30"/>
  <c r="AC39" i="30" s="1"/>
  <c r="X39" i="30"/>
  <c r="U39" i="30"/>
  <c r="W39" i="30" s="1"/>
  <c r="R39" i="30"/>
  <c r="P39" i="30"/>
  <c r="Q39" i="30" s="1"/>
  <c r="L39" i="30"/>
  <c r="J39" i="30"/>
  <c r="K39" i="30" s="1"/>
  <c r="F39" i="30"/>
  <c r="D39" i="30"/>
  <c r="E39" i="30" s="1"/>
  <c r="CR38" i="30"/>
  <c r="CL38" i="30"/>
  <c r="CF38" i="30"/>
  <c r="BZ38" i="30"/>
  <c r="BW38" i="30"/>
  <c r="BY38" i="30" s="1"/>
  <c r="BT38" i="30"/>
  <c r="BQ38" i="30"/>
  <c r="BS38" i="30" s="1"/>
  <c r="BN38" i="30"/>
  <c r="BK38" i="30"/>
  <c r="BM38" i="30" s="1"/>
  <c r="BH38" i="30"/>
  <c r="BE38" i="30"/>
  <c r="BG38" i="30" s="1"/>
  <c r="BB38" i="30"/>
  <c r="AY38" i="30"/>
  <c r="BA38" i="30" s="1"/>
  <c r="AV38" i="30"/>
  <c r="AS38" i="30"/>
  <c r="AU38" i="30" s="1"/>
  <c r="AP38" i="30"/>
  <c r="AM38" i="30"/>
  <c r="AO38" i="30" s="1"/>
  <c r="AJ38" i="30"/>
  <c r="AG38" i="30"/>
  <c r="AI38" i="30" s="1"/>
  <c r="AD38" i="30"/>
  <c r="AA38" i="30"/>
  <c r="AC38" i="30" s="1"/>
  <c r="X38" i="30"/>
  <c r="U38" i="30"/>
  <c r="W38" i="30" s="1"/>
  <c r="R38" i="30"/>
  <c r="P38" i="30"/>
  <c r="Q38" i="30" s="1"/>
  <c r="L38" i="30"/>
  <c r="J38" i="30"/>
  <c r="K38" i="30" s="1"/>
  <c r="F38" i="30"/>
  <c r="D38" i="30"/>
  <c r="E38" i="30" s="1"/>
  <c r="CR37" i="30"/>
  <c r="CL37" i="30"/>
  <c r="CF37" i="30"/>
  <c r="BZ37" i="30"/>
  <c r="BW37" i="30"/>
  <c r="BY37" i="30" s="1"/>
  <c r="BT37" i="30"/>
  <c r="BQ37" i="30"/>
  <c r="BS37" i="30" s="1"/>
  <c r="BN37" i="30"/>
  <c r="BK37" i="30"/>
  <c r="BM37" i="30" s="1"/>
  <c r="BH37" i="30"/>
  <c r="BE37" i="30"/>
  <c r="BG37" i="30" s="1"/>
  <c r="BB37" i="30"/>
  <c r="AY37" i="30"/>
  <c r="BA37" i="30" s="1"/>
  <c r="AV37" i="30"/>
  <c r="AS37" i="30"/>
  <c r="AU37" i="30" s="1"/>
  <c r="AP37" i="30"/>
  <c r="AM37" i="30"/>
  <c r="AO37" i="30" s="1"/>
  <c r="AJ37" i="30"/>
  <c r="AG37" i="30"/>
  <c r="AI37" i="30" s="1"/>
  <c r="AD37" i="30"/>
  <c r="AA37" i="30"/>
  <c r="AC37" i="30" s="1"/>
  <c r="X37" i="30"/>
  <c r="U37" i="30"/>
  <c r="W37" i="30" s="1"/>
  <c r="R37" i="30"/>
  <c r="P37" i="30"/>
  <c r="Q37" i="30" s="1"/>
  <c r="L37" i="30"/>
  <c r="J37" i="30"/>
  <c r="K37" i="30" s="1"/>
  <c r="F37" i="30"/>
  <c r="D37" i="30"/>
  <c r="E37" i="30" s="1"/>
  <c r="CR36" i="30"/>
  <c r="CL36" i="30"/>
  <c r="CF36" i="30"/>
  <c r="BZ36" i="30"/>
  <c r="BW36" i="30"/>
  <c r="BY36" i="30" s="1"/>
  <c r="BT36" i="30"/>
  <c r="BQ36" i="30"/>
  <c r="BS36" i="30" s="1"/>
  <c r="BN36" i="30"/>
  <c r="BK36" i="30"/>
  <c r="BM36" i="30" s="1"/>
  <c r="BH36" i="30"/>
  <c r="BE36" i="30"/>
  <c r="BG36" i="30" s="1"/>
  <c r="BB36" i="30"/>
  <c r="AY36" i="30"/>
  <c r="BA36" i="30" s="1"/>
  <c r="AV36" i="30"/>
  <c r="AS36" i="30"/>
  <c r="AU36" i="30" s="1"/>
  <c r="AP36" i="30"/>
  <c r="AM36" i="30"/>
  <c r="AO36" i="30" s="1"/>
  <c r="AJ36" i="30"/>
  <c r="AG36" i="30"/>
  <c r="AI36" i="30" s="1"/>
  <c r="AD36" i="30"/>
  <c r="AA36" i="30"/>
  <c r="AC36" i="30" s="1"/>
  <c r="X36" i="30"/>
  <c r="U36" i="30"/>
  <c r="W36" i="30" s="1"/>
  <c r="R36" i="30"/>
  <c r="P36" i="30"/>
  <c r="Q36" i="30" s="1"/>
  <c r="L36" i="30"/>
  <c r="J36" i="30"/>
  <c r="K36" i="30" s="1"/>
  <c r="F36" i="30"/>
  <c r="D36" i="30"/>
  <c r="E36" i="30" s="1"/>
  <c r="BW35" i="30"/>
  <c r="BY35" i="30" s="1"/>
  <c r="BQ35" i="30"/>
  <c r="BS35" i="30" s="1"/>
  <c r="BK35" i="30"/>
  <c r="BM35" i="30" s="1"/>
  <c r="BE35" i="30"/>
  <c r="BG35" i="30" s="1"/>
  <c r="AY35" i="30"/>
  <c r="BA35" i="30" s="1"/>
  <c r="AS35" i="30"/>
  <c r="AU35" i="30" s="1"/>
  <c r="AM35" i="30"/>
  <c r="AO35" i="30" s="1"/>
  <c r="AG35" i="30"/>
  <c r="AI35" i="30" s="1"/>
  <c r="AA35" i="30"/>
  <c r="AC35" i="30" s="1"/>
  <c r="U35" i="30"/>
  <c r="W35" i="30" s="1"/>
  <c r="P35" i="30"/>
  <c r="Q35" i="30" s="1"/>
  <c r="J35" i="30"/>
  <c r="K35" i="30" s="1"/>
  <c r="D35" i="30"/>
  <c r="E35" i="30" s="1"/>
  <c r="P34" i="30"/>
  <c r="P139" i="30" s="1"/>
  <c r="O34" i="30"/>
  <c r="O139" i="30" s="1"/>
  <c r="CR31" i="30"/>
  <c r="CP31" i="30"/>
  <c r="CP46" i="30" s="1"/>
  <c r="CP61" i="30" s="1"/>
  <c r="CL31" i="30"/>
  <c r="CJ31" i="30"/>
  <c r="CJ46" i="30" s="1"/>
  <c r="CJ61" i="30" s="1"/>
  <c r="CF31" i="30"/>
  <c r="BZ31" i="30"/>
  <c r="BW31" i="30"/>
  <c r="BY31" i="30" s="1"/>
  <c r="BT31" i="30"/>
  <c r="BQ31" i="30"/>
  <c r="BS31" i="30" s="1"/>
  <c r="BN31" i="30"/>
  <c r="BK31" i="30"/>
  <c r="BM31" i="30" s="1"/>
  <c r="BG31" i="30"/>
  <c r="BB31" i="30"/>
  <c r="AY31" i="30"/>
  <c r="BA31" i="30" s="1"/>
  <c r="AV31" i="30"/>
  <c r="AS31" i="30"/>
  <c r="AU31" i="30" s="1"/>
  <c r="AP31" i="30"/>
  <c r="AM31" i="30"/>
  <c r="AO31" i="30" s="1"/>
  <c r="AJ31" i="30"/>
  <c r="AG31" i="30"/>
  <c r="AI31" i="30" s="1"/>
  <c r="AD31" i="30"/>
  <c r="AA31" i="30"/>
  <c r="AC31" i="30" s="1"/>
  <c r="X31" i="30"/>
  <c r="U31" i="30"/>
  <c r="W31" i="30" s="1"/>
  <c r="R31" i="30"/>
  <c r="P31" i="30"/>
  <c r="Q31" i="30" s="1"/>
  <c r="L31" i="30"/>
  <c r="J31" i="30"/>
  <c r="K31" i="30" s="1"/>
  <c r="F31" i="30"/>
  <c r="D31" i="30"/>
  <c r="E31" i="30" s="1"/>
  <c r="CR30" i="30"/>
  <c r="CP30" i="30"/>
  <c r="CP45" i="30" s="1"/>
  <c r="CP60" i="30" s="1"/>
  <c r="CL30" i="30"/>
  <c r="CJ30" i="30"/>
  <c r="CJ45" i="30" s="1"/>
  <c r="CJ60" i="30" s="1"/>
  <c r="CF30" i="30"/>
  <c r="BZ30" i="30"/>
  <c r="BW30" i="30"/>
  <c r="BY30" i="30" s="1"/>
  <c r="BT30" i="30"/>
  <c r="BQ30" i="30"/>
  <c r="BS30" i="30" s="1"/>
  <c r="BN30" i="30"/>
  <c r="BK30" i="30"/>
  <c r="BM30" i="30" s="1"/>
  <c r="BG30" i="30"/>
  <c r="BB30" i="30"/>
  <c r="AY30" i="30"/>
  <c r="BA30" i="30" s="1"/>
  <c r="AV30" i="30"/>
  <c r="AS30" i="30"/>
  <c r="AU30" i="30" s="1"/>
  <c r="AP30" i="30"/>
  <c r="AM30" i="30"/>
  <c r="AO30" i="30" s="1"/>
  <c r="AJ30" i="30"/>
  <c r="AG30" i="30"/>
  <c r="AI30" i="30" s="1"/>
  <c r="AD30" i="30"/>
  <c r="AA30" i="30"/>
  <c r="AC30" i="30" s="1"/>
  <c r="X30" i="30"/>
  <c r="U30" i="30"/>
  <c r="W30" i="30" s="1"/>
  <c r="R30" i="30"/>
  <c r="P30" i="30"/>
  <c r="Q30" i="30" s="1"/>
  <c r="L30" i="30"/>
  <c r="J30" i="30"/>
  <c r="K30" i="30" s="1"/>
  <c r="F30" i="30"/>
  <c r="D30" i="30"/>
  <c r="E30" i="30" s="1"/>
  <c r="CR29" i="30"/>
  <c r="CP29" i="30"/>
  <c r="CP44" i="30" s="1"/>
  <c r="CP59" i="30" s="1"/>
  <c r="CL29" i="30"/>
  <c r="CJ29" i="30"/>
  <c r="CJ44" i="30" s="1"/>
  <c r="CJ59" i="30" s="1"/>
  <c r="CF29" i="30"/>
  <c r="BZ29" i="30"/>
  <c r="BW29" i="30"/>
  <c r="BY29" i="30" s="1"/>
  <c r="BT29" i="30"/>
  <c r="BQ29" i="30"/>
  <c r="BS29" i="30" s="1"/>
  <c r="BN29" i="30"/>
  <c r="BK29" i="30"/>
  <c r="BM29" i="30" s="1"/>
  <c r="BG29" i="30"/>
  <c r="BB29" i="30"/>
  <c r="AY29" i="30"/>
  <c r="BA29" i="30" s="1"/>
  <c r="AV29" i="30"/>
  <c r="AS29" i="30"/>
  <c r="AU29" i="30" s="1"/>
  <c r="AP29" i="30"/>
  <c r="AM29" i="30"/>
  <c r="AO29" i="30" s="1"/>
  <c r="AJ29" i="30"/>
  <c r="AG29" i="30"/>
  <c r="AI29" i="30" s="1"/>
  <c r="AD29" i="30"/>
  <c r="AA29" i="30"/>
  <c r="AC29" i="30" s="1"/>
  <c r="X29" i="30"/>
  <c r="U29" i="30"/>
  <c r="W29" i="30" s="1"/>
  <c r="R29" i="30"/>
  <c r="P29" i="30"/>
  <c r="Q29" i="30" s="1"/>
  <c r="L29" i="30"/>
  <c r="J29" i="30"/>
  <c r="K29" i="30" s="1"/>
  <c r="F29" i="30"/>
  <c r="D29" i="30"/>
  <c r="E29" i="30" s="1"/>
  <c r="CR28" i="30"/>
  <c r="CP28" i="30"/>
  <c r="CP43" i="30" s="1"/>
  <c r="CP58" i="30" s="1"/>
  <c r="CL28" i="30"/>
  <c r="CJ28" i="30"/>
  <c r="CJ43" i="30" s="1"/>
  <c r="CJ58" i="30" s="1"/>
  <c r="CF28" i="30"/>
  <c r="BZ28" i="30"/>
  <c r="BW28" i="30"/>
  <c r="BY28" i="30" s="1"/>
  <c r="BT28" i="30"/>
  <c r="BQ28" i="30"/>
  <c r="BS28" i="30" s="1"/>
  <c r="BN28" i="30"/>
  <c r="BK28" i="30"/>
  <c r="BM28" i="30" s="1"/>
  <c r="BG28" i="30"/>
  <c r="BB28" i="30"/>
  <c r="AY28" i="30"/>
  <c r="BA28" i="30" s="1"/>
  <c r="AV28" i="30"/>
  <c r="AS28" i="30"/>
  <c r="AU28" i="30" s="1"/>
  <c r="AP28" i="30"/>
  <c r="AM28" i="30"/>
  <c r="AO28" i="30" s="1"/>
  <c r="AJ28" i="30"/>
  <c r="AG28" i="30"/>
  <c r="AI28" i="30" s="1"/>
  <c r="AD28" i="30"/>
  <c r="AA28" i="30"/>
  <c r="AC28" i="30" s="1"/>
  <c r="X28" i="30"/>
  <c r="U28" i="30"/>
  <c r="W28" i="30" s="1"/>
  <c r="R28" i="30"/>
  <c r="P28" i="30"/>
  <c r="Q28" i="30" s="1"/>
  <c r="L28" i="30"/>
  <c r="J28" i="30"/>
  <c r="K28" i="30" s="1"/>
  <c r="F28" i="30"/>
  <c r="D28" i="30"/>
  <c r="E28" i="30" s="1"/>
  <c r="CR27" i="30"/>
  <c r="CP27" i="30"/>
  <c r="CP42" i="30" s="1"/>
  <c r="CP57" i="30" s="1"/>
  <c r="CL27" i="30"/>
  <c r="CJ27" i="30"/>
  <c r="CJ42" i="30" s="1"/>
  <c r="CJ57" i="30" s="1"/>
  <c r="CF27" i="30"/>
  <c r="BZ27" i="30"/>
  <c r="BW27" i="30"/>
  <c r="BY27" i="30" s="1"/>
  <c r="BT27" i="30"/>
  <c r="BQ27" i="30"/>
  <c r="BS27" i="30" s="1"/>
  <c r="BN27" i="30"/>
  <c r="BK27" i="30"/>
  <c r="BM27" i="30" s="1"/>
  <c r="BG27" i="30"/>
  <c r="BB27" i="30"/>
  <c r="AY27" i="30"/>
  <c r="BA27" i="30" s="1"/>
  <c r="AV27" i="30"/>
  <c r="AS27" i="30"/>
  <c r="AU27" i="30" s="1"/>
  <c r="AP27" i="30"/>
  <c r="AM27" i="30"/>
  <c r="AO27" i="30" s="1"/>
  <c r="AJ27" i="30"/>
  <c r="AG27" i="30"/>
  <c r="AI27" i="30" s="1"/>
  <c r="AD27" i="30"/>
  <c r="AA27" i="30"/>
  <c r="AC27" i="30" s="1"/>
  <c r="X27" i="30"/>
  <c r="U27" i="30"/>
  <c r="W27" i="30" s="1"/>
  <c r="R27" i="30"/>
  <c r="P27" i="30"/>
  <c r="Q27" i="30" s="1"/>
  <c r="L27" i="30"/>
  <c r="J27" i="30"/>
  <c r="K27" i="30" s="1"/>
  <c r="F27" i="30"/>
  <c r="D27" i="30"/>
  <c r="E27" i="30" s="1"/>
  <c r="CR26" i="30"/>
  <c r="CP26" i="30"/>
  <c r="CP41" i="30" s="1"/>
  <c r="CP56" i="30" s="1"/>
  <c r="CL26" i="30"/>
  <c r="CJ26" i="30"/>
  <c r="CJ41" i="30" s="1"/>
  <c r="CJ56" i="30" s="1"/>
  <c r="CF26" i="30"/>
  <c r="BZ26" i="30"/>
  <c r="BW26" i="30"/>
  <c r="BY26" i="30" s="1"/>
  <c r="BT26" i="30"/>
  <c r="BQ26" i="30"/>
  <c r="BS26" i="30" s="1"/>
  <c r="BN26" i="30"/>
  <c r="BK26" i="30"/>
  <c r="BM26" i="30" s="1"/>
  <c r="BG26" i="30"/>
  <c r="BB26" i="30"/>
  <c r="AY26" i="30"/>
  <c r="BA26" i="30" s="1"/>
  <c r="AV26" i="30"/>
  <c r="AS26" i="30"/>
  <c r="AU26" i="30" s="1"/>
  <c r="AP26" i="30"/>
  <c r="AM26" i="30"/>
  <c r="AO26" i="30" s="1"/>
  <c r="AJ26" i="30"/>
  <c r="AG26" i="30"/>
  <c r="AI26" i="30" s="1"/>
  <c r="AD26" i="30"/>
  <c r="AA26" i="30"/>
  <c r="AC26" i="30" s="1"/>
  <c r="X26" i="30"/>
  <c r="U26" i="30"/>
  <c r="W26" i="30" s="1"/>
  <c r="R26" i="30"/>
  <c r="P26" i="30"/>
  <c r="Q26" i="30" s="1"/>
  <c r="L26" i="30"/>
  <c r="J26" i="30"/>
  <c r="K26" i="30" s="1"/>
  <c r="F26" i="30"/>
  <c r="D26" i="30"/>
  <c r="E26" i="30" s="1"/>
  <c r="CR25" i="30"/>
  <c r="CP25" i="30"/>
  <c r="CP40" i="30" s="1"/>
  <c r="CP55" i="30" s="1"/>
  <c r="CL25" i="30"/>
  <c r="CJ25" i="30"/>
  <c r="CJ40" i="30" s="1"/>
  <c r="CJ55" i="30" s="1"/>
  <c r="CF25" i="30"/>
  <c r="BZ25" i="30"/>
  <c r="BW25" i="30"/>
  <c r="BY25" i="30" s="1"/>
  <c r="BT25" i="30"/>
  <c r="BQ25" i="30"/>
  <c r="BS25" i="30" s="1"/>
  <c r="BN25" i="30"/>
  <c r="BK25" i="30"/>
  <c r="BM25" i="30" s="1"/>
  <c r="BG25" i="30"/>
  <c r="BB25" i="30"/>
  <c r="AY25" i="30"/>
  <c r="BA25" i="30" s="1"/>
  <c r="AV25" i="30"/>
  <c r="AS25" i="30"/>
  <c r="AU25" i="30" s="1"/>
  <c r="AP25" i="30"/>
  <c r="AM25" i="30"/>
  <c r="AO25" i="30" s="1"/>
  <c r="AJ25" i="30"/>
  <c r="AG25" i="30"/>
  <c r="AI25" i="30" s="1"/>
  <c r="AD25" i="30"/>
  <c r="AA25" i="30"/>
  <c r="AC25" i="30" s="1"/>
  <c r="X25" i="30"/>
  <c r="U25" i="30"/>
  <c r="W25" i="30" s="1"/>
  <c r="R25" i="30"/>
  <c r="P25" i="30"/>
  <c r="Q25" i="30" s="1"/>
  <c r="L25" i="30"/>
  <c r="J25" i="30"/>
  <c r="K25" i="30" s="1"/>
  <c r="F25" i="30"/>
  <c r="D25" i="30"/>
  <c r="E25" i="30" s="1"/>
  <c r="CR24" i="30"/>
  <c r="CP24" i="30"/>
  <c r="CP39" i="30" s="1"/>
  <c r="CP54" i="30" s="1"/>
  <c r="CL24" i="30"/>
  <c r="CJ24" i="30"/>
  <c r="CJ39" i="30" s="1"/>
  <c r="CJ54" i="30" s="1"/>
  <c r="CF24" i="30"/>
  <c r="BZ24" i="30"/>
  <c r="BW24" i="30"/>
  <c r="BY24" i="30" s="1"/>
  <c r="BT24" i="30"/>
  <c r="BQ24" i="30"/>
  <c r="BS24" i="30" s="1"/>
  <c r="BN24" i="30"/>
  <c r="BK24" i="30"/>
  <c r="BM24" i="30" s="1"/>
  <c r="BG24" i="30"/>
  <c r="BB24" i="30"/>
  <c r="AY24" i="30"/>
  <c r="BA24" i="30" s="1"/>
  <c r="AV24" i="30"/>
  <c r="AS24" i="30"/>
  <c r="AU24" i="30" s="1"/>
  <c r="AP24" i="30"/>
  <c r="AM24" i="30"/>
  <c r="AO24" i="30" s="1"/>
  <c r="AJ24" i="30"/>
  <c r="AG24" i="30"/>
  <c r="AI24" i="30" s="1"/>
  <c r="AD24" i="30"/>
  <c r="AA24" i="30"/>
  <c r="AC24" i="30" s="1"/>
  <c r="X24" i="30"/>
  <c r="U24" i="30"/>
  <c r="W24" i="30" s="1"/>
  <c r="R24" i="30"/>
  <c r="P24" i="30"/>
  <c r="Q24" i="30" s="1"/>
  <c r="L24" i="30"/>
  <c r="J24" i="30"/>
  <c r="K24" i="30" s="1"/>
  <c r="F24" i="30"/>
  <c r="D24" i="30"/>
  <c r="E24" i="30" s="1"/>
  <c r="CR23" i="30"/>
  <c r="CP23" i="30"/>
  <c r="CP38" i="30" s="1"/>
  <c r="CP53" i="30" s="1"/>
  <c r="CL23" i="30"/>
  <c r="CJ23" i="30"/>
  <c r="CJ38" i="30" s="1"/>
  <c r="CJ53" i="30" s="1"/>
  <c r="CF23" i="30"/>
  <c r="BZ23" i="30"/>
  <c r="BW23" i="30"/>
  <c r="BY23" i="30" s="1"/>
  <c r="BT23" i="30"/>
  <c r="BQ23" i="30"/>
  <c r="BS23" i="30" s="1"/>
  <c r="BN23" i="30"/>
  <c r="BK23" i="30"/>
  <c r="BM23" i="30" s="1"/>
  <c r="BG23" i="30"/>
  <c r="BB23" i="30"/>
  <c r="AY23" i="30"/>
  <c r="BA23" i="30" s="1"/>
  <c r="AV23" i="30"/>
  <c r="AS23" i="30"/>
  <c r="AU23" i="30" s="1"/>
  <c r="AP23" i="30"/>
  <c r="AM23" i="30"/>
  <c r="AO23" i="30" s="1"/>
  <c r="AJ23" i="30"/>
  <c r="AG23" i="30"/>
  <c r="AI23" i="30" s="1"/>
  <c r="AD23" i="30"/>
  <c r="AA23" i="30"/>
  <c r="AC23" i="30" s="1"/>
  <c r="X23" i="30"/>
  <c r="U23" i="30"/>
  <c r="W23" i="30" s="1"/>
  <c r="R23" i="30"/>
  <c r="P23" i="30"/>
  <c r="Q23" i="30" s="1"/>
  <c r="L23" i="30"/>
  <c r="J23" i="30"/>
  <c r="K23" i="30" s="1"/>
  <c r="F23" i="30"/>
  <c r="D23" i="30"/>
  <c r="E23" i="30" s="1"/>
  <c r="CR22" i="30"/>
  <c r="CP22" i="30"/>
  <c r="CP37" i="30" s="1"/>
  <c r="CP52" i="30" s="1"/>
  <c r="CL22" i="30"/>
  <c r="CJ22" i="30"/>
  <c r="CJ37" i="30" s="1"/>
  <c r="CJ52" i="30" s="1"/>
  <c r="CF22" i="30"/>
  <c r="BZ22" i="30"/>
  <c r="BW22" i="30"/>
  <c r="BY22" i="30" s="1"/>
  <c r="BT22" i="30"/>
  <c r="BQ22" i="30"/>
  <c r="BS22" i="30" s="1"/>
  <c r="BN22" i="30"/>
  <c r="BK22" i="30"/>
  <c r="BM22" i="30" s="1"/>
  <c r="BG22" i="30"/>
  <c r="BB22" i="30"/>
  <c r="AY22" i="30"/>
  <c r="BA22" i="30" s="1"/>
  <c r="AV22" i="30"/>
  <c r="AS22" i="30"/>
  <c r="AU22" i="30" s="1"/>
  <c r="AP22" i="30"/>
  <c r="AM22" i="30"/>
  <c r="AO22" i="30" s="1"/>
  <c r="AJ22" i="30"/>
  <c r="AG22" i="30"/>
  <c r="AI22" i="30" s="1"/>
  <c r="AD22" i="30"/>
  <c r="AA22" i="30"/>
  <c r="AC22" i="30" s="1"/>
  <c r="X22" i="30"/>
  <c r="U22" i="30"/>
  <c r="W22" i="30" s="1"/>
  <c r="R22" i="30"/>
  <c r="P22" i="30"/>
  <c r="Q22" i="30" s="1"/>
  <c r="L22" i="30"/>
  <c r="J22" i="30"/>
  <c r="K22" i="30" s="1"/>
  <c r="F22" i="30"/>
  <c r="D22" i="30"/>
  <c r="E22" i="30" s="1"/>
  <c r="CR21" i="30"/>
  <c r="CP21" i="30"/>
  <c r="CP36" i="30" s="1"/>
  <c r="CP51" i="30" s="1"/>
  <c r="CL21" i="30"/>
  <c r="CJ21" i="30"/>
  <c r="CJ36" i="30" s="1"/>
  <c r="CJ51" i="30" s="1"/>
  <c r="CF21" i="30"/>
  <c r="BZ21" i="30"/>
  <c r="BW21" i="30"/>
  <c r="BY21" i="30" s="1"/>
  <c r="BT21" i="30"/>
  <c r="BQ21" i="30"/>
  <c r="BS21" i="30" s="1"/>
  <c r="BN21" i="30"/>
  <c r="BK21" i="30"/>
  <c r="BM21" i="30" s="1"/>
  <c r="BG21" i="30"/>
  <c r="BB21" i="30"/>
  <c r="AY21" i="30"/>
  <c r="BA21" i="30" s="1"/>
  <c r="AV21" i="30"/>
  <c r="AS21" i="30"/>
  <c r="AU21" i="30" s="1"/>
  <c r="AP21" i="30"/>
  <c r="AM21" i="30"/>
  <c r="AO21" i="30" s="1"/>
  <c r="AJ21" i="30"/>
  <c r="AG21" i="30"/>
  <c r="AI21" i="30" s="1"/>
  <c r="AD21" i="30"/>
  <c r="AA21" i="30"/>
  <c r="AC21" i="30" s="1"/>
  <c r="X21" i="30"/>
  <c r="U21" i="30"/>
  <c r="W21" i="30" s="1"/>
  <c r="R21" i="30"/>
  <c r="P21" i="30"/>
  <c r="Q21" i="30" s="1"/>
  <c r="L21" i="30"/>
  <c r="J21" i="30"/>
  <c r="K21" i="30" s="1"/>
  <c r="F21" i="30"/>
  <c r="D21" i="30"/>
  <c r="E21" i="30" s="1"/>
  <c r="CP20" i="30"/>
  <c r="CP35" i="30" s="1"/>
  <c r="CP50" i="30" s="1"/>
  <c r="CJ20" i="30"/>
  <c r="CJ35" i="30" s="1"/>
  <c r="CJ50" i="30" s="1"/>
  <c r="BW20" i="30"/>
  <c r="BY20" i="30" s="1"/>
  <c r="BQ20" i="30"/>
  <c r="BS20" i="30" s="1"/>
  <c r="BK20" i="30"/>
  <c r="BM20" i="30" s="1"/>
  <c r="AY20" i="30"/>
  <c r="BA20" i="30" s="1"/>
  <c r="AS20" i="30"/>
  <c r="AU20" i="30" s="1"/>
  <c r="AM20" i="30"/>
  <c r="AO20" i="30" s="1"/>
  <c r="AG20" i="30"/>
  <c r="AI20" i="30" s="1"/>
  <c r="AA20" i="30"/>
  <c r="AC20" i="30" s="1"/>
  <c r="U20" i="30"/>
  <c r="W20" i="30" s="1"/>
  <c r="P20" i="30"/>
  <c r="Q20" i="30" s="1"/>
  <c r="J20" i="30"/>
  <c r="K20" i="30" s="1"/>
  <c r="D20" i="30"/>
  <c r="E20" i="30" s="1"/>
  <c r="CP19" i="30"/>
  <c r="CP34" i="30" s="1"/>
  <c r="CP49" i="30" s="1"/>
  <c r="CP64" i="30" s="1"/>
  <c r="CP79" i="30" s="1"/>
  <c r="CP94" i="30" s="1"/>
  <c r="CP109" i="30" s="1"/>
  <c r="CP124" i="30" s="1"/>
  <c r="CP139" i="30" s="1"/>
  <c r="CJ19" i="30"/>
  <c r="CJ34" i="30" s="1"/>
  <c r="CJ49" i="30" s="1"/>
  <c r="CJ64" i="30" s="1"/>
  <c r="CJ79" i="30" s="1"/>
  <c r="CJ94" i="30" s="1"/>
  <c r="CJ109" i="30" s="1"/>
  <c r="CJ124" i="30" s="1"/>
  <c r="CJ139" i="30" s="1"/>
  <c r="AH19" i="30"/>
  <c r="AH34" i="30" s="1"/>
  <c r="AH49" i="30" s="1"/>
  <c r="AH64" i="30" s="1"/>
  <c r="AH79" i="30" s="1"/>
  <c r="AH94" i="30" s="1"/>
  <c r="AH109" i="30" s="1"/>
  <c r="AH124" i="30" s="1"/>
  <c r="AH139" i="30" s="1"/>
  <c r="AG19" i="30"/>
  <c r="AG34" i="30" s="1"/>
  <c r="AG49" i="30" s="1"/>
  <c r="AG64" i="30" s="1"/>
  <c r="AG79" i="30" s="1"/>
  <c r="AG94" i="30" s="1"/>
  <c r="AG109" i="30" s="1"/>
  <c r="AG124" i="30" s="1"/>
  <c r="AG139" i="30" s="1"/>
  <c r="AB19" i="30"/>
  <c r="AB34" i="30" s="1"/>
  <c r="AB49" i="30" s="1"/>
  <c r="AB64" i="30" s="1"/>
  <c r="AB79" i="30" s="1"/>
  <c r="AB94" i="30" s="1"/>
  <c r="AB109" i="30" s="1"/>
  <c r="AA19" i="30"/>
  <c r="AA34" i="30" s="1"/>
  <c r="AA49" i="30" s="1"/>
  <c r="AA64" i="30" s="1"/>
  <c r="AA79" i="30" s="1"/>
  <c r="AA94" i="30" s="1"/>
  <c r="AA109" i="30" s="1"/>
  <c r="AA124" i="30" s="1"/>
  <c r="AA139" i="30" s="1"/>
  <c r="P19" i="30"/>
  <c r="P124" i="30" s="1"/>
  <c r="O19" i="30"/>
  <c r="O124" i="30" s="1"/>
  <c r="I19" i="30"/>
  <c r="I34" i="30" s="1"/>
  <c r="I49" i="30" s="1"/>
  <c r="I64" i="30" s="1"/>
  <c r="I79" i="30" s="1"/>
  <c r="I94" i="30" s="1"/>
  <c r="I109" i="30" s="1"/>
  <c r="C19" i="30"/>
  <c r="C34" i="30" s="1"/>
  <c r="C49" i="30" s="1"/>
  <c r="C64" i="30" s="1"/>
  <c r="C79" i="30" s="1"/>
  <c r="C94" i="30" s="1"/>
  <c r="C109" i="30" s="1"/>
  <c r="O18" i="30"/>
  <c r="O33" i="30" s="1"/>
  <c r="O48" i="30" s="1"/>
  <c r="O63" i="30" s="1"/>
  <c r="O78" i="30" s="1"/>
  <c r="O93" i="30" s="1"/>
  <c r="O108" i="30" s="1"/>
  <c r="O123" i="30" s="1"/>
  <c r="O138" i="30" s="1"/>
  <c r="I18" i="30"/>
  <c r="I33" i="30" s="1"/>
  <c r="I48" i="30" s="1"/>
  <c r="I63" i="30" s="1"/>
  <c r="I78" i="30" s="1"/>
  <c r="I93" i="30" s="1"/>
  <c r="I108" i="30" s="1"/>
  <c r="I123" i="30" s="1"/>
  <c r="I138" i="30" s="1"/>
  <c r="C18" i="30"/>
  <c r="C33" i="30" s="1"/>
  <c r="C48" i="30" s="1"/>
  <c r="C63" i="30" s="1"/>
  <c r="C78" i="30" s="1"/>
  <c r="C93" i="30" s="1"/>
  <c r="C108" i="30" s="1"/>
  <c r="C123" i="30" s="1"/>
  <c r="C138" i="30" s="1"/>
  <c r="CR16" i="30"/>
  <c r="CO16" i="30"/>
  <c r="CQ16" i="30" s="1"/>
  <c r="CQ31" i="30" s="1"/>
  <c r="CQ46" i="30" s="1"/>
  <c r="CQ61" i="30" s="1"/>
  <c r="CQ76" i="30" s="1"/>
  <c r="CQ91" i="30" s="1"/>
  <c r="CQ106" i="30" s="1"/>
  <c r="CQ121" i="30" s="1"/>
  <c r="CQ136" i="30" s="1"/>
  <c r="CQ151" i="30" s="1"/>
  <c r="CL16" i="30"/>
  <c r="CI16" i="30"/>
  <c r="CI31" i="30" s="1"/>
  <c r="CI46" i="30" s="1"/>
  <c r="CI61" i="30" s="1"/>
  <c r="CI76" i="30" s="1"/>
  <c r="CI91" i="30" s="1"/>
  <c r="CI106" i="30" s="1"/>
  <c r="CI121" i="30" s="1"/>
  <c r="CI136" i="30" s="1"/>
  <c r="CI151" i="30" s="1"/>
  <c r="CF16" i="30"/>
  <c r="CC16" i="30"/>
  <c r="CC46" i="30" s="1"/>
  <c r="CC61" i="30" s="1"/>
  <c r="CC76" i="30" s="1"/>
  <c r="CC90" i="30" s="1"/>
  <c r="CC105" i="30" s="1"/>
  <c r="CC120" i="30" s="1"/>
  <c r="CC135" i="30" s="1"/>
  <c r="CC150" i="30" s="1"/>
  <c r="BZ16" i="30"/>
  <c r="BW16" i="30"/>
  <c r="BY16" i="30" s="1"/>
  <c r="BT16" i="30"/>
  <c r="BQ16" i="30"/>
  <c r="BS16" i="30" s="1"/>
  <c r="BN16" i="30"/>
  <c r="BK16" i="30"/>
  <c r="BM16" i="30" s="1"/>
  <c r="BH16" i="30"/>
  <c r="BE16" i="30"/>
  <c r="BG16" i="30" s="1"/>
  <c r="BB16" i="30"/>
  <c r="AY16" i="30"/>
  <c r="BA16" i="30" s="1"/>
  <c r="AV16" i="30"/>
  <c r="AS16" i="30"/>
  <c r="AU16" i="30" s="1"/>
  <c r="AP16" i="30"/>
  <c r="AM16" i="30"/>
  <c r="AO16" i="30" s="1"/>
  <c r="AJ16" i="30"/>
  <c r="AG16" i="30"/>
  <c r="AI16" i="30" s="1"/>
  <c r="AD16" i="30"/>
  <c r="AA16" i="30"/>
  <c r="AC16" i="30" s="1"/>
  <c r="X16" i="30"/>
  <c r="U16" i="30"/>
  <c r="W16" i="30" s="1"/>
  <c r="R16" i="30"/>
  <c r="P16" i="30"/>
  <c r="Q16" i="30" s="1"/>
  <c r="L16" i="30"/>
  <c r="J16" i="30"/>
  <c r="K16" i="30" s="1"/>
  <c r="F16" i="30"/>
  <c r="D16" i="30"/>
  <c r="E16" i="30" s="1"/>
  <c r="CR15" i="30"/>
  <c r="CO15" i="30"/>
  <c r="CL15" i="30"/>
  <c r="CI15" i="30"/>
  <c r="CI30" i="30" s="1"/>
  <c r="CI45" i="30" s="1"/>
  <c r="CI60" i="30" s="1"/>
  <c r="CI75" i="30" s="1"/>
  <c r="CI90" i="30" s="1"/>
  <c r="CI105" i="30" s="1"/>
  <c r="CI120" i="30" s="1"/>
  <c r="CI135" i="30" s="1"/>
  <c r="CI150" i="30" s="1"/>
  <c r="CF15" i="30"/>
  <c r="CC15" i="30"/>
  <c r="CC45" i="30" s="1"/>
  <c r="CC60" i="30" s="1"/>
  <c r="CC75" i="30" s="1"/>
  <c r="CC89" i="30" s="1"/>
  <c r="CC104" i="30" s="1"/>
  <c r="CC119" i="30" s="1"/>
  <c r="CC134" i="30" s="1"/>
  <c r="CC149" i="30" s="1"/>
  <c r="BZ15" i="30"/>
  <c r="BW15" i="30"/>
  <c r="BY15" i="30" s="1"/>
  <c r="BT15" i="30"/>
  <c r="BQ15" i="30"/>
  <c r="BS15" i="30" s="1"/>
  <c r="BN15" i="30"/>
  <c r="BK15" i="30"/>
  <c r="BM15" i="30" s="1"/>
  <c r="BH15" i="30"/>
  <c r="BE15" i="30"/>
  <c r="BG15" i="30" s="1"/>
  <c r="BB15" i="30"/>
  <c r="AY15" i="30"/>
  <c r="BA15" i="30" s="1"/>
  <c r="AV15" i="30"/>
  <c r="AS15" i="30"/>
  <c r="AU15" i="30" s="1"/>
  <c r="AP15" i="30"/>
  <c r="AM15" i="30"/>
  <c r="AO15" i="30" s="1"/>
  <c r="AJ15" i="30"/>
  <c r="AG15" i="30"/>
  <c r="AI15" i="30" s="1"/>
  <c r="AD15" i="30"/>
  <c r="AA15" i="30"/>
  <c r="AC15" i="30" s="1"/>
  <c r="X15" i="30"/>
  <c r="U15" i="30"/>
  <c r="W15" i="30" s="1"/>
  <c r="R15" i="30"/>
  <c r="P15" i="30"/>
  <c r="Q15" i="30" s="1"/>
  <c r="L15" i="30"/>
  <c r="J15" i="30"/>
  <c r="K15" i="30" s="1"/>
  <c r="F15" i="30"/>
  <c r="D15" i="30"/>
  <c r="E15" i="30" s="1"/>
  <c r="CR14" i="30"/>
  <c r="CO14" i="30"/>
  <c r="CO29" i="30" s="1"/>
  <c r="CO44" i="30" s="1"/>
  <c r="CO59" i="30" s="1"/>
  <c r="CL14" i="30"/>
  <c r="CI14" i="30"/>
  <c r="CF14" i="30"/>
  <c r="CC14" i="30"/>
  <c r="BZ14" i="30"/>
  <c r="BW14" i="30"/>
  <c r="BY14" i="30" s="1"/>
  <c r="BT14" i="30"/>
  <c r="BQ14" i="30"/>
  <c r="BS14" i="30" s="1"/>
  <c r="BN14" i="30"/>
  <c r="BK14" i="30"/>
  <c r="BM14" i="30" s="1"/>
  <c r="BH14" i="30"/>
  <c r="BE14" i="30"/>
  <c r="BG14" i="30" s="1"/>
  <c r="BB14" i="30"/>
  <c r="AY14" i="30"/>
  <c r="BA14" i="30" s="1"/>
  <c r="AV14" i="30"/>
  <c r="AS14" i="30"/>
  <c r="AU14" i="30" s="1"/>
  <c r="AP14" i="30"/>
  <c r="AM14" i="30"/>
  <c r="AO14" i="30" s="1"/>
  <c r="AJ14" i="30"/>
  <c r="AG14" i="30"/>
  <c r="AI14" i="30" s="1"/>
  <c r="AD14" i="30"/>
  <c r="AA14" i="30"/>
  <c r="AC14" i="30" s="1"/>
  <c r="X14" i="30"/>
  <c r="U14" i="30"/>
  <c r="W14" i="30" s="1"/>
  <c r="R14" i="30"/>
  <c r="P14" i="30"/>
  <c r="Q14" i="30" s="1"/>
  <c r="L14" i="30"/>
  <c r="J14" i="30"/>
  <c r="K14" i="30" s="1"/>
  <c r="F14" i="30"/>
  <c r="D14" i="30"/>
  <c r="E14" i="30" s="1"/>
  <c r="CR13" i="30"/>
  <c r="CO13" i="30"/>
  <c r="CO28" i="30" s="1"/>
  <c r="CO43" i="30" s="1"/>
  <c r="CO58" i="30" s="1"/>
  <c r="CL13" i="30"/>
  <c r="CI13" i="30"/>
  <c r="CK13" i="30" s="1"/>
  <c r="CK28" i="30" s="1"/>
  <c r="CK43" i="30" s="1"/>
  <c r="CK58" i="30" s="1"/>
  <c r="CK73" i="30" s="1"/>
  <c r="CK88" i="30" s="1"/>
  <c r="CK103" i="30" s="1"/>
  <c r="CK118" i="30" s="1"/>
  <c r="CK133" i="30" s="1"/>
  <c r="CK148" i="30" s="1"/>
  <c r="CF13" i="30"/>
  <c r="CC13" i="30"/>
  <c r="CC43" i="30" s="1"/>
  <c r="CC58" i="30" s="1"/>
  <c r="CC73" i="30" s="1"/>
  <c r="CC87" i="30" s="1"/>
  <c r="CC102" i="30" s="1"/>
  <c r="CC117" i="30" s="1"/>
  <c r="CC132" i="30" s="1"/>
  <c r="CC147" i="30" s="1"/>
  <c r="BZ13" i="30"/>
  <c r="BW13" i="30"/>
  <c r="BY13" i="30" s="1"/>
  <c r="BT13" i="30"/>
  <c r="BQ13" i="30"/>
  <c r="BS13" i="30" s="1"/>
  <c r="BN13" i="30"/>
  <c r="BK13" i="30"/>
  <c r="BM13" i="30" s="1"/>
  <c r="BH13" i="30"/>
  <c r="BE13" i="30"/>
  <c r="BG13" i="30" s="1"/>
  <c r="BB13" i="30"/>
  <c r="AY13" i="30"/>
  <c r="BA13" i="30" s="1"/>
  <c r="AV13" i="30"/>
  <c r="AS13" i="30"/>
  <c r="AU13" i="30" s="1"/>
  <c r="AP13" i="30"/>
  <c r="AM13" i="30"/>
  <c r="AO13" i="30" s="1"/>
  <c r="AJ13" i="30"/>
  <c r="AG13" i="30"/>
  <c r="AI13" i="30" s="1"/>
  <c r="AD13" i="30"/>
  <c r="AA13" i="30"/>
  <c r="AC13" i="30" s="1"/>
  <c r="X13" i="30"/>
  <c r="U13" i="30"/>
  <c r="W13" i="30" s="1"/>
  <c r="R13" i="30"/>
  <c r="P13" i="30"/>
  <c r="Q13" i="30" s="1"/>
  <c r="L13" i="30"/>
  <c r="J13" i="30"/>
  <c r="K13" i="30" s="1"/>
  <c r="F13" i="30"/>
  <c r="D13" i="30"/>
  <c r="E13" i="30" s="1"/>
  <c r="CR12" i="30"/>
  <c r="CO12" i="30"/>
  <c r="CQ12" i="30" s="1"/>
  <c r="CQ27" i="30" s="1"/>
  <c r="CQ42" i="30" s="1"/>
  <c r="CQ57" i="30" s="1"/>
  <c r="CQ72" i="30" s="1"/>
  <c r="CQ87" i="30" s="1"/>
  <c r="CQ102" i="30" s="1"/>
  <c r="CQ117" i="30" s="1"/>
  <c r="CQ132" i="30" s="1"/>
  <c r="CQ147" i="30" s="1"/>
  <c r="CL12" i="30"/>
  <c r="CI12" i="30"/>
  <c r="CI27" i="30" s="1"/>
  <c r="CI42" i="30" s="1"/>
  <c r="CI57" i="30" s="1"/>
  <c r="CI72" i="30" s="1"/>
  <c r="CI87" i="30" s="1"/>
  <c r="CI102" i="30" s="1"/>
  <c r="CI117" i="30" s="1"/>
  <c r="CI132" i="30" s="1"/>
  <c r="CI147" i="30" s="1"/>
  <c r="CF12" i="30"/>
  <c r="CC12" i="30"/>
  <c r="CC27" i="30" s="1"/>
  <c r="BZ12" i="30"/>
  <c r="BW12" i="30"/>
  <c r="BY12" i="30" s="1"/>
  <c r="BT12" i="30"/>
  <c r="BQ12" i="30"/>
  <c r="BS12" i="30" s="1"/>
  <c r="BN12" i="30"/>
  <c r="BK12" i="30"/>
  <c r="BM12" i="30" s="1"/>
  <c r="BH12" i="30"/>
  <c r="BE12" i="30"/>
  <c r="BG12" i="30" s="1"/>
  <c r="BB12" i="30"/>
  <c r="AY12" i="30"/>
  <c r="BA12" i="30" s="1"/>
  <c r="AV12" i="30"/>
  <c r="AS12" i="30"/>
  <c r="AU12" i="30" s="1"/>
  <c r="AP12" i="30"/>
  <c r="AM12" i="30"/>
  <c r="AO12" i="30" s="1"/>
  <c r="AJ12" i="30"/>
  <c r="AG12" i="30"/>
  <c r="AI12" i="30" s="1"/>
  <c r="AD12" i="30"/>
  <c r="AA12" i="30"/>
  <c r="AC12" i="30" s="1"/>
  <c r="X12" i="30"/>
  <c r="U12" i="30"/>
  <c r="W12" i="30" s="1"/>
  <c r="R12" i="30"/>
  <c r="P12" i="30"/>
  <c r="Q12" i="30" s="1"/>
  <c r="L12" i="30"/>
  <c r="J12" i="30"/>
  <c r="K12" i="30" s="1"/>
  <c r="F12" i="30"/>
  <c r="D12" i="30"/>
  <c r="E12" i="30" s="1"/>
  <c r="CR11" i="30"/>
  <c r="CO11" i="30"/>
  <c r="CO26" i="30" s="1"/>
  <c r="CO41" i="30" s="1"/>
  <c r="CO56" i="30" s="1"/>
  <c r="CL11" i="30"/>
  <c r="CI11" i="30"/>
  <c r="CF11" i="30"/>
  <c r="CC11" i="30"/>
  <c r="BZ11" i="30"/>
  <c r="BW11" i="30"/>
  <c r="BY11" i="30" s="1"/>
  <c r="BT11" i="30"/>
  <c r="BQ11" i="30"/>
  <c r="BS11" i="30" s="1"/>
  <c r="BN11" i="30"/>
  <c r="BK11" i="30"/>
  <c r="BM11" i="30" s="1"/>
  <c r="BH11" i="30"/>
  <c r="BE11" i="30"/>
  <c r="BG11" i="30" s="1"/>
  <c r="BB11" i="30"/>
  <c r="AY11" i="30"/>
  <c r="BA11" i="30" s="1"/>
  <c r="AV11" i="30"/>
  <c r="AS11" i="30"/>
  <c r="AU11" i="30" s="1"/>
  <c r="AP11" i="30"/>
  <c r="AM11" i="30"/>
  <c r="AO11" i="30" s="1"/>
  <c r="AJ11" i="30"/>
  <c r="AG11" i="30"/>
  <c r="AI11" i="30" s="1"/>
  <c r="AD11" i="30"/>
  <c r="AA11" i="30"/>
  <c r="AC11" i="30" s="1"/>
  <c r="X11" i="30"/>
  <c r="U11" i="30"/>
  <c r="W11" i="30" s="1"/>
  <c r="R11" i="30"/>
  <c r="P11" i="30"/>
  <c r="Q11" i="30" s="1"/>
  <c r="L11" i="30"/>
  <c r="J11" i="30"/>
  <c r="K11" i="30" s="1"/>
  <c r="F11" i="30"/>
  <c r="D11" i="30"/>
  <c r="E11" i="30" s="1"/>
  <c r="CR10" i="30"/>
  <c r="CO10" i="30"/>
  <c r="CO25" i="30" s="1"/>
  <c r="CO40" i="30" s="1"/>
  <c r="CO55" i="30" s="1"/>
  <c r="CL10" i="30"/>
  <c r="CI10" i="30"/>
  <c r="CI25" i="30" s="1"/>
  <c r="CI40" i="30" s="1"/>
  <c r="CI55" i="30" s="1"/>
  <c r="CI70" i="30" s="1"/>
  <c r="CI85" i="30" s="1"/>
  <c r="CI100" i="30" s="1"/>
  <c r="CI115" i="30" s="1"/>
  <c r="CI130" i="30" s="1"/>
  <c r="CI145" i="30" s="1"/>
  <c r="CF10" i="30"/>
  <c r="CC10" i="30"/>
  <c r="BZ10" i="30"/>
  <c r="BW10" i="30"/>
  <c r="BY10" i="30" s="1"/>
  <c r="BT10" i="30"/>
  <c r="BQ10" i="30"/>
  <c r="BS10" i="30" s="1"/>
  <c r="BN10" i="30"/>
  <c r="BK10" i="30"/>
  <c r="BM10" i="30" s="1"/>
  <c r="BH10" i="30"/>
  <c r="BE10" i="30"/>
  <c r="BG10" i="30" s="1"/>
  <c r="BB10" i="30"/>
  <c r="AY10" i="30"/>
  <c r="BA10" i="30" s="1"/>
  <c r="AV10" i="30"/>
  <c r="AS10" i="30"/>
  <c r="AU10" i="30" s="1"/>
  <c r="AP10" i="30"/>
  <c r="AM10" i="30"/>
  <c r="AO10" i="30" s="1"/>
  <c r="AJ10" i="30"/>
  <c r="AG10" i="30"/>
  <c r="AI10" i="30" s="1"/>
  <c r="AD10" i="30"/>
  <c r="AA10" i="30"/>
  <c r="AC10" i="30" s="1"/>
  <c r="X10" i="30"/>
  <c r="U10" i="30"/>
  <c r="W10" i="30" s="1"/>
  <c r="R10" i="30"/>
  <c r="P10" i="30"/>
  <c r="Q10" i="30" s="1"/>
  <c r="L10" i="30"/>
  <c r="J10" i="30"/>
  <c r="K10" i="30" s="1"/>
  <c r="F10" i="30"/>
  <c r="D10" i="30"/>
  <c r="E10" i="30" s="1"/>
  <c r="CR9" i="30"/>
  <c r="CO9" i="30"/>
  <c r="CO24" i="30" s="1"/>
  <c r="CO39" i="30" s="1"/>
  <c r="CO54" i="30" s="1"/>
  <c r="CL9" i="30"/>
  <c r="CI9" i="30"/>
  <c r="CK9" i="30" s="1"/>
  <c r="CK24" i="30" s="1"/>
  <c r="CK39" i="30" s="1"/>
  <c r="CK54" i="30" s="1"/>
  <c r="CK69" i="30" s="1"/>
  <c r="CK84" i="30" s="1"/>
  <c r="CK99" i="30" s="1"/>
  <c r="CK114" i="30" s="1"/>
  <c r="CK129" i="30" s="1"/>
  <c r="CK144" i="30" s="1"/>
  <c r="CF9" i="30"/>
  <c r="CC9" i="30"/>
  <c r="CC24" i="30" s="1"/>
  <c r="BZ9" i="30"/>
  <c r="BW9" i="30"/>
  <c r="BY9" i="30" s="1"/>
  <c r="BT9" i="30"/>
  <c r="BQ9" i="30"/>
  <c r="BS9" i="30" s="1"/>
  <c r="BN9" i="30"/>
  <c r="BK9" i="30"/>
  <c r="BM9" i="30" s="1"/>
  <c r="BH9" i="30"/>
  <c r="BE9" i="30"/>
  <c r="BG9" i="30" s="1"/>
  <c r="BB9" i="30"/>
  <c r="AY9" i="30"/>
  <c r="BA9" i="30" s="1"/>
  <c r="AV9" i="30"/>
  <c r="AS9" i="30"/>
  <c r="AU9" i="30" s="1"/>
  <c r="AP9" i="30"/>
  <c r="AM9" i="30"/>
  <c r="AO9" i="30" s="1"/>
  <c r="AJ9" i="30"/>
  <c r="AG9" i="30"/>
  <c r="AI9" i="30" s="1"/>
  <c r="AD9" i="30"/>
  <c r="AA9" i="30"/>
  <c r="AC9" i="30" s="1"/>
  <c r="X9" i="30"/>
  <c r="U9" i="30"/>
  <c r="W9" i="30" s="1"/>
  <c r="R9" i="30"/>
  <c r="P9" i="30"/>
  <c r="Q9" i="30" s="1"/>
  <c r="L9" i="30"/>
  <c r="J9" i="30"/>
  <c r="K9" i="30" s="1"/>
  <c r="F9" i="30"/>
  <c r="D9" i="30"/>
  <c r="E9" i="30" s="1"/>
  <c r="CR8" i="30"/>
  <c r="CO8" i="30"/>
  <c r="CQ8" i="30" s="1"/>
  <c r="CQ23" i="30" s="1"/>
  <c r="CQ38" i="30" s="1"/>
  <c r="CQ53" i="30" s="1"/>
  <c r="CQ68" i="30" s="1"/>
  <c r="CQ83" i="30" s="1"/>
  <c r="CQ98" i="30" s="1"/>
  <c r="CQ113" i="30" s="1"/>
  <c r="CQ128" i="30" s="1"/>
  <c r="CQ143" i="30" s="1"/>
  <c r="CL8" i="30"/>
  <c r="CI8" i="30"/>
  <c r="CK8" i="30" s="1"/>
  <c r="CK23" i="30" s="1"/>
  <c r="CK38" i="30" s="1"/>
  <c r="CK53" i="30" s="1"/>
  <c r="CK68" i="30" s="1"/>
  <c r="CK83" i="30" s="1"/>
  <c r="CK98" i="30" s="1"/>
  <c r="CK113" i="30" s="1"/>
  <c r="CK128" i="30" s="1"/>
  <c r="CK143" i="30" s="1"/>
  <c r="CF8" i="30"/>
  <c r="CC8" i="30"/>
  <c r="CC23" i="30" s="1"/>
  <c r="BZ8" i="30"/>
  <c r="BW8" i="30"/>
  <c r="BY8" i="30" s="1"/>
  <c r="BT8" i="30"/>
  <c r="BQ8" i="30"/>
  <c r="BS8" i="30" s="1"/>
  <c r="BN8" i="30"/>
  <c r="BK8" i="30"/>
  <c r="BM8" i="30" s="1"/>
  <c r="BH8" i="30"/>
  <c r="BE8" i="30"/>
  <c r="BG8" i="30" s="1"/>
  <c r="BB8" i="30"/>
  <c r="AY8" i="30"/>
  <c r="BA8" i="30" s="1"/>
  <c r="AV8" i="30"/>
  <c r="AS8" i="30"/>
  <c r="AU8" i="30" s="1"/>
  <c r="AP8" i="30"/>
  <c r="AM8" i="30"/>
  <c r="AO8" i="30" s="1"/>
  <c r="AJ8" i="30"/>
  <c r="AG8" i="30"/>
  <c r="AI8" i="30" s="1"/>
  <c r="AD8" i="30"/>
  <c r="AA8" i="30"/>
  <c r="AC8" i="30" s="1"/>
  <c r="X8" i="30"/>
  <c r="U8" i="30"/>
  <c r="W8" i="30" s="1"/>
  <c r="R8" i="30"/>
  <c r="P8" i="30"/>
  <c r="Q8" i="30" s="1"/>
  <c r="L8" i="30"/>
  <c r="J8" i="30"/>
  <c r="K8" i="30" s="1"/>
  <c r="F8" i="30"/>
  <c r="D8" i="30"/>
  <c r="E8" i="30" s="1"/>
  <c r="CR7" i="30"/>
  <c r="CO7" i="30"/>
  <c r="CO22" i="30" s="1"/>
  <c r="CO37" i="30" s="1"/>
  <c r="CO52" i="30" s="1"/>
  <c r="CL7" i="30"/>
  <c r="CI7" i="30"/>
  <c r="CF7" i="30"/>
  <c r="CC7" i="30"/>
  <c r="BZ7" i="30"/>
  <c r="BW7" i="30"/>
  <c r="BY7" i="30" s="1"/>
  <c r="BT7" i="30"/>
  <c r="BQ7" i="30"/>
  <c r="BS7" i="30" s="1"/>
  <c r="BN7" i="30"/>
  <c r="BK7" i="30"/>
  <c r="BM7" i="30" s="1"/>
  <c r="BH7" i="30"/>
  <c r="BE7" i="30"/>
  <c r="BG7" i="30" s="1"/>
  <c r="BB7" i="30"/>
  <c r="AY7" i="30"/>
  <c r="BA7" i="30" s="1"/>
  <c r="AV7" i="30"/>
  <c r="AS7" i="30"/>
  <c r="AU7" i="30" s="1"/>
  <c r="AP7" i="30"/>
  <c r="AM7" i="30"/>
  <c r="AO7" i="30" s="1"/>
  <c r="AJ7" i="30"/>
  <c r="AG7" i="30"/>
  <c r="AI7" i="30" s="1"/>
  <c r="AD7" i="30"/>
  <c r="AA7" i="30"/>
  <c r="AC7" i="30" s="1"/>
  <c r="X7" i="30"/>
  <c r="U7" i="30"/>
  <c r="W7" i="30" s="1"/>
  <c r="R7" i="30"/>
  <c r="P7" i="30"/>
  <c r="Q7" i="30" s="1"/>
  <c r="L7" i="30"/>
  <c r="J7" i="30"/>
  <c r="K7" i="30" s="1"/>
  <c r="F7" i="30"/>
  <c r="D7" i="30"/>
  <c r="E7" i="30" s="1"/>
  <c r="CR6" i="30"/>
  <c r="CO6" i="30"/>
  <c r="CO21" i="30" s="1"/>
  <c r="CO36" i="30" s="1"/>
  <c r="CO51" i="30" s="1"/>
  <c r="CL6" i="30"/>
  <c r="CI6" i="30"/>
  <c r="CI21" i="30" s="1"/>
  <c r="CI36" i="30" s="1"/>
  <c r="CI51" i="30" s="1"/>
  <c r="CI66" i="30" s="1"/>
  <c r="CI81" i="30" s="1"/>
  <c r="CI96" i="30" s="1"/>
  <c r="CI111" i="30" s="1"/>
  <c r="CI126" i="30" s="1"/>
  <c r="CI141" i="30" s="1"/>
  <c r="CF6" i="30"/>
  <c r="CC6" i="30"/>
  <c r="BZ6" i="30"/>
  <c r="BW6" i="30"/>
  <c r="BY6" i="30" s="1"/>
  <c r="BT6" i="30"/>
  <c r="BQ6" i="30"/>
  <c r="BS6" i="30" s="1"/>
  <c r="BN6" i="30"/>
  <c r="BK6" i="30"/>
  <c r="BM6" i="30" s="1"/>
  <c r="BH6" i="30"/>
  <c r="BE6" i="30"/>
  <c r="BG6" i="30" s="1"/>
  <c r="BB6" i="30"/>
  <c r="AY6" i="30"/>
  <c r="BA6" i="30" s="1"/>
  <c r="AV6" i="30"/>
  <c r="AS6" i="30"/>
  <c r="AU6" i="30" s="1"/>
  <c r="AP6" i="30"/>
  <c r="AM6" i="30"/>
  <c r="AO6" i="30" s="1"/>
  <c r="AJ6" i="30"/>
  <c r="AG6" i="30"/>
  <c r="AI6" i="30" s="1"/>
  <c r="AD6" i="30"/>
  <c r="AA6" i="30"/>
  <c r="AC6" i="30" s="1"/>
  <c r="X6" i="30"/>
  <c r="U6" i="30"/>
  <c r="W6" i="30" s="1"/>
  <c r="R6" i="30"/>
  <c r="P6" i="30"/>
  <c r="Q6" i="30" s="1"/>
  <c r="L6" i="30"/>
  <c r="J6" i="30"/>
  <c r="K6" i="30" s="1"/>
  <c r="F6" i="30"/>
  <c r="D6" i="30"/>
  <c r="E6" i="30" s="1"/>
  <c r="CO5" i="30"/>
  <c r="CO20" i="30" s="1"/>
  <c r="CO35" i="30" s="1"/>
  <c r="CO50" i="30" s="1"/>
  <c r="CI5" i="30"/>
  <c r="CC5" i="30"/>
  <c r="CC35" i="30" s="1"/>
  <c r="CC50" i="30" s="1"/>
  <c r="CC65" i="30" s="1"/>
  <c r="BW5" i="30"/>
  <c r="BY5" i="30" s="1"/>
  <c r="BQ5" i="30"/>
  <c r="BS5" i="30" s="1"/>
  <c r="BK5" i="30"/>
  <c r="BM5" i="30" s="1"/>
  <c r="BE5" i="30"/>
  <c r="BG5" i="30" s="1"/>
  <c r="AY5" i="30"/>
  <c r="BA5" i="30" s="1"/>
  <c r="AS5" i="30"/>
  <c r="AU5" i="30" s="1"/>
  <c r="AM5" i="30"/>
  <c r="AO5" i="30" s="1"/>
  <c r="AG5" i="30"/>
  <c r="AI5" i="30" s="1"/>
  <c r="AA5" i="30"/>
  <c r="AC5" i="30" s="1"/>
  <c r="U5" i="30"/>
  <c r="W5" i="30" s="1"/>
  <c r="P5" i="30"/>
  <c r="Q5" i="30" s="1"/>
  <c r="J5" i="30"/>
  <c r="K5" i="30" s="1"/>
  <c r="D5" i="30"/>
  <c r="E5" i="30" s="1"/>
  <c r="CO4" i="30"/>
  <c r="CO19" i="30" s="1"/>
  <c r="CO34" i="30" s="1"/>
  <c r="CO49" i="30" s="1"/>
  <c r="CO64" i="30" s="1"/>
  <c r="CO79" i="30" s="1"/>
  <c r="CO94" i="30" s="1"/>
  <c r="CO109" i="30" s="1"/>
  <c r="CO124" i="30" s="1"/>
  <c r="CO139" i="30" s="1"/>
  <c r="CI4" i="30"/>
  <c r="CI19" i="30" s="1"/>
  <c r="CI34" i="30" s="1"/>
  <c r="CI49" i="30" s="1"/>
  <c r="CI64" i="30" s="1"/>
  <c r="CI79" i="30" s="1"/>
  <c r="CI94" i="30" s="1"/>
  <c r="CI109" i="30" s="1"/>
  <c r="CI124" i="30" s="1"/>
  <c r="CI139" i="30" s="1"/>
  <c r="CC4" i="30"/>
  <c r="CC19" i="30" s="1"/>
  <c r="CC34" i="30" s="1"/>
  <c r="CC49" i="30" s="1"/>
  <c r="CC64" i="30" s="1"/>
  <c r="CC79" i="30" s="1"/>
  <c r="CC94" i="30" s="1"/>
  <c r="CC109" i="30" s="1"/>
  <c r="CC124" i="30" s="1"/>
  <c r="CC139" i="30" s="1"/>
  <c r="BW4" i="30"/>
  <c r="BW19" i="30" s="1"/>
  <c r="BW34" i="30" s="1"/>
  <c r="BW49" i="30" s="1"/>
  <c r="BW64" i="30" s="1"/>
  <c r="BW79" i="30" s="1"/>
  <c r="BW94" i="30" s="1"/>
  <c r="BW109" i="30" s="1"/>
  <c r="BW124" i="30" s="1"/>
  <c r="BW139" i="30" s="1"/>
  <c r="BQ4" i="30"/>
  <c r="BQ19" i="30" s="1"/>
  <c r="BQ34" i="30" s="1"/>
  <c r="BQ49" i="30" s="1"/>
  <c r="BQ64" i="30" s="1"/>
  <c r="BQ79" i="30" s="1"/>
  <c r="BQ94" i="30" s="1"/>
  <c r="BQ109" i="30" s="1"/>
  <c r="BQ124" i="30" s="1"/>
  <c r="BQ139" i="30" s="1"/>
  <c r="BK4" i="30"/>
  <c r="BK19" i="30" s="1"/>
  <c r="BK34" i="30" s="1"/>
  <c r="BK49" i="30" s="1"/>
  <c r="BK64" i="30" s="1"/>
  <c r="BK79" i="30" s="1"/>
  <c r="BK94" i="30" s="1"/>
  <c r="BK109" i="30" s="1"/>
  <c r="BK124" i="30" s="1"/>
  <c r="BK139" i="30" s="1"/>
  <c r="BE4" i="30"/>
  <c r="BE19" i="30" s="1"/>
  <c r="BE34" i="30" s="1"/>
  <c r="BE49" i="30" s="1"/>
  <c r="BE64" i="30" s="1"/>
  <c r="BE79" i="30" s="1"/>
  <c r="BE94" i="30" s="1"/>
  <c r="BE109" i="30" s="1"/>
  <c r="BE124" i="30" s="1"/>
  <c r="BE139" i="30" s="1"/>
  <c r="AY4" i="30"/>
  <c r="AY19" i="30" s="1"/>
  <c r="AY34" i="30" s="1"/>
  <c r="AY49" i="30" s="1"/>
  <c r="AY64" i="30" s="1"/>
  <c r="AY79" i="30" s="1"/>
  <c r="AY94" i="30" s="1"/>
  <c r="AY109" i="30" s="1"/>
  <c r="AY124" i="30" s="1"/>
  <c r="AY139" i="30" s="1"/>
  <c r="AS4" i="30"/>
  <c r="AS19" i="30" s="1"/>
  <c r="AS34" i="30" s="1"/>
  <c r="AS49" i="30" s="1"/>
  <c r="AS64" i="30" s="1"/>
  <c r="AS79" i="30" s="1"/>
  <c r="AS94" i="30" s="1"/>
  <c r="AS109" i="30" s="1"/>
  <c r="AS124" i="30" s="1"/>
  <c r="AS139" i="30" s="1"/>
  <c r="AM4" i="30"/>
  <c r="AM19" i="30" s="1"/>
  <c r="AM34" i="30" s="1"/>
  <c r="AM49" i="30" s="1"/>
  <c r="AM64" i="30" s="1"/>
  <c r="AM79" i="30" s="1"/>
  <c r="AM94" i="30" s="1"/>
  <c r="AM109" i="30" s="1"/>
  <c r="AM124" i="30" s="1"/>
  <c r="AM139" i="30" s="1"/>
  <c r="U4" i="30"/>
  <c r="U19" i="30" s="1"/>
  <c r="U34" i="30" s="1"/>
  <c r="U49" i="30" s="1"/>
  <c r="U64" i="30" s="1"/>
  <c r="U79" i="30" s="1"/>
  <c r="U94" i="30" s="1"/>
  <c r="U109" i="30" s="1"/>
  <c r="U124" i="30" s="1"/>
  <c r="U139" i="30" s="1"/>
  <c r="J4" i="30"/>
  <c r="J19" i="30" s="1"/>
  <c r="J34" i="30" s="1"/>
  <c r="J49" i="30" s="1"/>
  <c r="J64" i="30" s="1"/>
  <c r="J79" i="30" s="1"/>
  <c r="J94" i="30" s="1"/>
  <c r="J109" i="30" s="1"/>
  <c r="D4" i="30"/>
  <c r="D19" i="30" s="1"/>
  <c r="D34" i="30" s="1"/>
  <c r="D49" i="30" s="1"/>
  <c r="D64" i="30" s="1"/>
  <c r="D79" i="30" s="1"/>
  <c r="D94" i="30" s="1"/>
  <c r="D109" i="30" s="1"/>
  <c r="CO3" i="30"/>
  <c r="CO18" i="30" s="1"/>
  <c r="CO33" i="30" s="1"/>
  <c r="CO48" i="30" s="1"/>
  <c r="CO63" i="30" s="1"/>
  <c r="CO78" i="30" s="1"/>
  <c r="CO93" i="30" s="1"/>
  <c r="CO108" i="30" s="1"/>
  <c r="CO123" i="30" s="1"/>
  <c r="CO138" i="30" s="1"/>
  <c r="CC3" i="30"/>
  <c r="CC18" i="30" s="1"/>
  <c r="CC33" i="30" s="1"/>
  <c r="CC48" i="30" s="1"/>
  <c r="CC63" i="30" s="1"/>
  <c r="CC78" i="30" s="1"/>
  <c r="CC93" i="30" s="1"/>
  <c r="CC108" i="30" s="1"/>
  <c r="CC123" i="30" s="1"/>
  <c r="CC138" i="30" s="1"/>
  <c r="BQ3" i="30"/>
  <c r="BQ18" i="30" s="1"/>
  <c r="BQ33" i="30" s="1"/>
  <c r="BQ48" i="30" s="1"/>
  <c r="BQ63" i="30" s="1"/>
  <c r="BQ78" i="30" s="1"/>
  <c r="BQ93" i="30" s="1"/>
  <c r="BQ108" i="30" s="1"/>
  <c r="BQ123" i="30" s="1"/>
  <c r="BQ138" i="30" s="1"/>
  <c r="BE3" i="30"/>
  <c r="BE18" i="30" s="1"/>
  <c r="BE33" i="30" s="1"/>
  <c r="BE48" i="30" s="1"/>
  <c r="BE63" i="30" s="1"/>
  <c r="BE78" i="30" s="1"/>
  <c r="BE93" i="30" s="1"/>
  <c r="BE108" i="30" s="1"/>
  <c r="BE123" i="30" s="1"/>
  <c r="BE138" i="30" s="1"/>
  <c r="AY3" i="30"/>
  <c r="AY18" i="30" s="1"/>
  <c r="AY33" i="30" s="1"/>
  <c r="AY48" i="30" s="1"/>
  <c r="AY63" i="30" s="1"/>
  <c r="AY78" i="30" s="1"/>
  <c r="AY93" i="30" s="1"/>
  <c r="AY108" i="30" s="1"/>
  <c r="AY123" i="30" s="1"/>
  <c r="AY138" i="30" s="1"/>
  <c r="AS3" i="30"/>
  <c r="AS18" i="30" s="1"/>
  <c r="AS33" i="30" s="1"/>
  <c r="AS48" i="30" s="1"/>
  <c r="AS63" i="30" s="1"/>
  <c r="AS78" i="30" s="1"/>
  <c r="AS93" i="30" s="1"/>
  <c r="AS108" i="30" s="1"/>
  <c r="AS123" i="30" s="1"/>
  <c r="AS138" i="30" s="1"/>
  <c r="AG3" i="30"/>
  <c r="AG18" i="30" s="1"/>
  <c r="AG33" i="30" s="1"/>
  <c r="AG48" i="30" s="1"/>
  <c r="AG63" i="30" s="1"/>
  <c r="AG78" i="30" s="1"/>
  <c r="AG93" i="30" s="1"/>
  <c r="AG108" i="30" s="1"/>
  <c r="AG123" i="30" s="1"/>
  <c r="AG138" i="30" s="1"/>
  <c r="U3" i="30"/>
  <c r="U18" i="30" s="1"/>
  <c r="U33" i="30" s="1"/>
  <c r="U48" i="30" s="1"/>
  <c r="U63" i="30" s="1"/>
  <c r="U78" i="30" s="1"/>
  <c r="U93" i="30" s="1"/>
  <c r="U108" i="30" s="1"/>
  <c r="U123" i="30" s="1"/>
  <c r="U138" i="30" s="1"/>
  <c r="CD70" i="30" l="1"/>
  <c r="AF138" i="30"/>
  <c r="AL138" i="30" s="1"/>
  <c r="AR138" i="30" s="1"/>
  <c r="AX138" i="30" s="1"/>
  <c r="BD138" i="30" s="1"/>
  <c r="BJ138" i="30" s="1"/>
  <c r="BP138" i="30" s="1"/>
  <c r="BV138" i="30" s="1"/>
  <c r="CB138" i="30" s="1"/>
  <c r="CH138" i="30" s="1"/>
  <c r="CN138" i="30" s="1"/>
  <c r="J239" i="30"/>
  <c r="J278" i="30" s="1"/>
  <c r="H239" i="30"/>
  <c r="H278" i="30" s="1"/>
  <c r="M239" i="30"/>
  <c r="M278" i="30" s="1"/>
  <c r="N239" i="30"/>
  <c r="N278" i="30" s="1"/>
  <c r="C261" i="30"/>
  <c r="C272" i="30"/>
  <c r="CI23" i="30"/>
  <c r="CI38" i="30" s="1"/>
  <c r="CI53" i="30" s="1"/>
  <c r="CI68" i="30" s="1"/>
  <c r="CI83" i="30" s="1"/>
  <c r="CI98" i="30" s="1"/>
  <c r="CI113" i="30" s="1"/>
  <c r="CI128" i="30" s="1"/>
  <c r="CI143" i="30" s="1"/>
  <c r="CK6" i="30"/>
  <c r="CK21" i="30" s="1"/>
  <c r="CK36" i="30" s="1"/>
  <c r="CK51" i="30" s="1"/>
  <c r="CK66" i="30" s="1"/>
  <c r="CK81" i="30" s="1"/>
  <c r="CK96" i="30" s="1"/>
  <c r="CK111" i="30" s="1"/>
  <c r="CK126" i="30" s="1"/>
  <c r="CK141" i="30" s="1"/>
  <c r="B54" i="4"/>
  <c r="B49" i="31"/>
  <c r="CD59" i="30"/>
  <c r="CD44" i="30" s="1"/>
  <c r="CD29" i="30" s="1"/>
  <c r="CD14" i="30" s="1"/>
  <c r="CE14" i="30" s="1"/>
  <c r="CE29" i="30" s="1"/>
  <c r="CE44" i="30" s="1"/>
  <c r="CE59" i="30" s="1"/>
  <c r="CE74" i="30" s="1"/>
  <c r="CE89" i="30" s="1"/>
  <c r="CE104" i="30" s="1"/>
  <c r="CE119" i="30" s="1"/>
  <c r="CE134" i="30" s="1"/>
  <c r="CE149" i="30" s="1"/>
  <c r="CQ13" i="30"/>
  <c r="CQ28" i="30" s="1"/>
  <c r="CQ43" i="30" s="1"/>
  <c r="CQ58" i="30" s="1"/>
  <c r="CQ73" i="30" s="1"/>
  <c r="CQ88" i="30" s="1"/>
  <c r="CQ103" i="30" s="1"/>
  <c r="CQ118" i="30" s="1"/>
  <c r="CQ133" i="30" s="1"/>
  <c r="CQ148" i="30" s="1"/>
  <c r="CD75" i="30"/>
  <c r="CD60" i="30"/>
  <c r="CD45" i="30" s="1"/>
  <c r="CD30" i="30" s="1"/>
  <c r="CD15" i="30" s="1"/>
  <c r="CQ9" i="30"/>
  <c r="CQ24" i="30" s="1"/>
  <c r="CQ39" i="30" s="1"/>
  <c r="CQ54" i="30" s="1"/>
  <c r="CQ69" i="30" s="1"/>
  <c r="CQ84" i="30" s="1"/>
  <c r="CQ99" i="30" s="1"/>
  <c r="CQ114" i="30" s="1"/>
  <c r="CQ129" i="30" s="1"/>
  <c r="CQ144" i="30" s="1"/>
  <c r="CI3" i="30"/>
  <c r="CI18" i="30" s="1"/>
  <c r="CI33" i="30" s="1"/>
  <c r="CI48" i="30" s="1"/>
  <c r="CI63" i="30" s="1"/>
  <c r="CI78" i="30" s="1"/>
  <c r="CI93" i="30" s="1"/>
  <c r="CI108" i="30" s="1"/>
  <c r="CI123" i="30" s="1"/>
  <c r="CI138" i="30" s="1"/>
  <c r="CD58" i="30"/>
  <c r="CD43" i="30" s="1"/>
  <c r="CD28" i="30" s="1"/>
  <c r="CD13" i="30" s="1"/>
  <c r="CE13" i="30" s="1"/>
  <c r="CE28" i="30" s="1"/>
  <c r="CE43" i="30" s="1"/>
  <c r="CE58" i="30" s="1"/>
  <c r="CE73" i="30" s="1"/>
  <c r="CE88" i="30" s="1"/>
  <c r="CE103" i="30" s="1"/>
  <c r="CE118" i="30" s="1"/>
  <c r="CE133" i="30" s="1"/>
  <c r="CE148" i="30" s="1"/>
  <c r="AM3" i="30"/>
  <c r="AM18" i="30" s="1"/>
  <c r="AM33" i="30" s="1"/>
  <c r="AM48" i="30" s="1"/>
  <c r="AM63" i="30" s="1"/>
  <c r="AM78" i="30" s="1"/>
  <c r="AM93" i="30" s="1"/>
  <c r="AM108" i="30" s="1"/>
  <c r="AM123" i="30" s="1"/>
  <c r="AM138" i="30" s="1"/>
  <c r="BK3" i="30"/>
  <c r="BK18" i="30" s="1"/>
  <c r="BK33" i="30" s="1"/>
  <c r="BK48" i="30" s="1"/>
  <c r="BK63" i="30" s="1"/>
  <c r="BK78" i="30" s="1"/>
  <c r="BK93" i="30" s="1"/>
  <c r="BK108" i="30" s="1"/>
  <c r="BK123" i="30" s="1"/>
  <c r="BK138" i="30" s="1"/>
  <c r="B53" i="4"/>
  <c r="B48" i="4"/>
  <c r="B49" i="27"/>
  <c r="CD56" i="30"/>
  <c r="CD41" i="30" s="1"/>
  <c r="CD26" i="30" s="1"/>
  <c r="CD11" i="30" s="1"/>
  <c r="CE11" i="30" s="1"/>
  <c r="CE26" i="30" s="1"/>
  <c r="CE41" i="30" s="1"/>
  <c r="CE56" i="30" s="1"/>
  <c r="CE71" i="30" s="1"/>
  <c r="CE86" i="30" s="1"/>
  <c r="CE101" i="30" s="1"/>
  <c r="CE116" i="30" s="1"/>
  <c r="CE131" i="30" s="1"/>
  <c r="CE146" i="30" s="1"/>
  <c r="CD71" i="30"/>
  <c r="CD51" i="30"/>
  <c r="CD36" i="30" s="1"/>
  <c r="CD21" i="30" s="1"/>
  <c r="CD6" i="30" s="1"/>
  <c r="CE6" i="30" s="1"/>
  <c r="CE21" i="30" s="1"/>
  <c r="CE36" i="30" s="1"/>
  <c r="CE51" i="30" s="1"/>
  <c r="CE66" i="30" s="1"/>
  <c r="CD66" i="30"/>
  <c r="CD76" i="30"/>
  <c r="CD61" i="30"/>
  <c r="CD46" i="30" s="1"/>
  <c r="CD31" i="30" s="1"/>
  <c r="CD16" i="30" s="1"/>
  <c r="CE16" i="30" s="1"/>
  <c r="CE31" i="30" s="1"/>
  <c r="CE46" i="30" s="1"/>
  <c r="CE61" i="30" s="1"/>
  <c r="CE76" i="30" s="1"/>
  <c r="CE91" i="30" s="1"/>
  <c r="CE106" i="30" s="1"/>
  <c r="CE121" i="30" s="1"/>
  <c r="CE136" i="30" s="1"/>
  <c r="CE151" i="30" s="1"/>
  <c r="CQ11" i="30"/>
  <c r="CQ26" i="30" s="1"/>
  <c r="CQ41" i="30" s="1"/>
  <c r="CQ56" i="30" s="1"/>
  <c r="CQ71" i="30" s="1"/>
  <c r="CQ86" i="30" s="1"/>
  <c r="CQ101" i="30" s="1"/>
  <c r="CQ116" i="30" s="1"/>
  <c r="CQ131" i="30" s="1"/>
  <c r="CQ146" i="30" s="1"/>
  <c r="CK12" i="30"/>
  <c r="CK27" i="30" s="1"/>
  <c r="CK42" i="30" s="1"/>
  <c r="CK57" i="30" s="1"/>
  <c r="CK72" i="30" s="1"/>
  <c r="CK87" i="30" s="1"/>
  <c r="CK102" i="30" s="1"/>
  <c r="CK117" i="30" s="1"/>
  <c r="CK132" i="30" s="1"/>
  <c r="CK147" i="30" s="1"/>
  <c r="F223" i="30"/>
  <c r="Z239" i="30"/>
  <c r="Z278" i="30" s="1"/>
  <c r="AR278" i="30" s="1"/>
  <c r="R223" i="30"/>
  <c r="R239" i="30" s="1"/>
  <c r="CQ5" i="30"/>
  <c r="CQ10" i="30"/>
  <c r="AB239" i="30"/>
  <c r="AB278" i="30" s="1"/>
  <c r="AT278" i="30" s="1"/>
  <c r="CK16" i="30"/>
  <c r="CK31" i="30" s="1"/>
  <c r="CK46" i="30" s="1"/>
  <c r="CK61" i="30" s="1"/>
  <c r="CK76" i="30" s="1"/>
  <c r="CK91" i="30" s="1"/>
  <c r="CK106" i="30" s="1"/>
  <c r="CK121" i="30" s="1"/>
  <c r="CK136" i="30" s="1"/>
  <c r="CK151" i="30" s="1"/>
  <c r="CE15" i="30"/>
  <c r="CE30" i="30" s="1"/>
  <c r="CE45" i="30" s="1"/>
  <c r="CE60" i="30" s="1"/>
  <c r="CE75" i="30" s="1"/>
  <c r="CE90" i="30" s="1"/>
  <c r="CE105" i="30" s="1"/>
  <c r="CE120" i="30" s="1"/>
  <c r="CE135" i="30" s="1"/>
  <c r="CE150" i="30" s="1"/>
  <c r="CC31" i="30"/>
  <c r="CC38" i="30"/>
  <c r="CC53" i="30" s="1"/>
  <c r="CC68" i="30" s="1"/>
  <c r="CC82" i="30" s="1"/>
  <c r="CC97" i="30" s="1"/>
  <c r="CC112" i="30" s="1"/>
  <c r="CC127" i="30" s="1"/>
  <c r="CC142" i="30" s="1"/>
  <c r="CD68" i="30"/>
  <c r="CD53" i="30"/>
  <c r="CD38" i="30" s="1"/>
  <c r="CD23" i="30" s="1"/>
  <c r="CD8" i="30" s="1"/>
  <c r="CE8" i="30" s="1"/>
  <c r="CE23" i="30" s="1"/>
  <c r="CE38" i="30" s="1"/>
  <c r="CE53" i="30" s="1"/>
  <c r="CE68" i="30" s="1"/>
  <c r="CE83" i="30" s="1"/>
  <c r="CE98" i="30" s="1"/>
  <c r="CE113" i="30" s="1"/>
  <c r="CE128" i="30" s="1"/>
  <c r="CE143" i="30" s="1"/>
  <c r="CC42" i="30"/>
  <c r="CC57" i="30" s="1"/>
  <c r="CC72" i="30" s="1"/>
  <c r="CC86" i="30" s="1"/>
  <c r="CC101" i="30" s="1"/>
  <c r="CC116" i="30" s="1"/>
  <c r="CC131" i="30" s="1"/>
  <c r="CC146" i="30" s="1"/>
  <c r="CD67" i="30"/>
  <c r="CD52" i="30"/>
  <c r="CD37" i="30" s="1"/>
  <c r="CD22" i="30" s="1"/>
  <c r="CD7" i="30" s="1"/>
  <c r="CE7" i="30" s="1"/>
  <c r="CE22" i="30" s="1"/>
  <c r="CE37" i="30" s="1"/>
  <c r="CE52" i="30" s="1"/>
  <c r="CE67" i="30" s="1"/>
  <c r="CE82" i="30" s="1"/>
  <c r="CE97" i="30" s="1"/>
  <c r="CE112" i="30" s="1"/>
  <c r="CE127" i="30" s="1"/>
  <c r="CE142" i="30" s="1"/>
  <c r="CO31" i="30"/>
  <c r="CO46" i="30" s="1"/>
  <c r="CO61" i="30" s="1"/>
  <c r="CO91" i="30" s="1"/>
  <c r="CO106" i="30" s="1"/>
  <c r="CO121" i="30" s="1"/>
  <c r="CO136" i="30" s="1"/>
  <c r="CO151" i="30" s="1"/>
  <c r="CD50" i="30"/>
  <c r="CD35" i="30" s="1"/>
  <c r="CD20" i="30" s="1"/>
  <c r="CD5" i="30" s="1"/>
  <c r="CE5" i="30" s="1"/>
  <c r="CD69" i="30"/>
  <c r="CD54" i="30"/>
  <c r="CD39" i="30" s="1"/>
  <c r="CD24" i="30" s="1"/>
  <c r="CD9" i="30" s="1"/>
  <c r="CE9" i="30" s="1"/>
  <c r="CE24" i="30" s="1"/>
  <c r="CE39" i="30" s="1"/>
  <c r="CE54" i="30" s="1"/>
  <c r="CE69" i="30" s="1"/>
  <c r="CE84" i="30" s="1"/>
  <c r="CE99" i="30" s="1"/>
  <c r="CE114" i="30" s="1"/>
  <c r="CE129" i="30" s="1"/>
  <c r="CE144" i="30" s="1"/>
  <c r="AE239" i="30"/>
  <c r="AE278" i="30" s="1"/>
  <c r="AW278" i="30" s="1"/>
  <c r="AH239" i="30"/>
  <c r="L223" i="30"/>
  <c r="CJ82" i="30"/>
  <c r="CJ97" i="30" s="1"/>
  <c r="CJ112" i="30" s="1"/>
  <c r="CJ127" i="30" s="1"/>
  <c r="CJ142" i="30" s="1"/>
  <c r="CJ67" i="30"/>
  <c r="CP66" i="30"/>
  <c r="CP81" i="30"/>
  <c r="CP96" i="30" s="1"/>
  <c r="CP111" i="30" s="1"/>
  <c r="CP126" i="30" s="1"/>
  <c r="CP141" i="30" s="1"/>
  <c r="CO69" i="30"/>
  <c r="CO84" i="30"/>
  <c r="CO99" i="30" s="1"/>
  <c r="CO114" i="30" s="1"/>
  <c r="CO129" i="30" s="1"/>
  <c r="CO144" i="30" s="1"/>
  <c r="CJ88" i="30"/>
  <c r="CJ103" i="30" s="1"/>
  <c r="CJ118" i="30" s="1"/>
  <c r="CJ133" i="30" s="1"/>
  <c r="CJ148" i="30" s="1"/>
  <c r="CJ73" i="30"/>
  <c r="CP84" i="30"/>
  <c r="CP99" i="30" s="1"/>
  <c r="CP114" i="30" s="1"/>
  <c r="CP129" i="30" s="1"/>
  <c r="CP144" i="30" s="1"/>
  <c r="CP69" i="30"/>
  <c r="CO65" i="30"/>
  <c r="CO80" i="30"/>
  <c r="CO95" i="30" s="1"/>
  <c r="CO110" i="30" s="1"/>
  <c r="CO125" i="30" s="1"/>
  <c r="CO140" i="30" s="1"/>
  <c r="CQ6" i="30"/>
  <c r="CQ21" i="30" s="1"/>
  <c r="CQ36" i="30" s="1"/>
  <c r="CQ51" i="30" s="1"/>
  <c r="CQ66" i="30" s="1"/>
  <c r="CQ81" i="30" s="1"/>
  <c r="CQ96" i="30" s="1"/>
  <c r="CQ111" i="30" s="1"/>
  <c r="CQ126" i="30" s="1"/>
  <c r="CQ141" i="30" s="1"/>
  <c r="CK10" i="30"/>
  <c r="CQ14" i="30"/>
  <c r="CQ29" i="30" s="1"/>
  <c r="CQ44" i="30" s="1"/>
  <c r="CQ59" i="30" s="1"/>
  <c r="CQ74" i="30" s="1"/>
  <c r="CQ89" i="30" s="1"/>
  <c r="CQ104" i="30" s="1"/>
  <c r="CQ119" i="30" s="1"/>
  <c r="CQ134" i="30" s="1"/>
  <c r="CQ149" i="30" s="1"/>
  <c r="CQ15" i="30"/>
  <c r="CQ30" i="30" s="1"/>
  <c r="CQ45" i="30" s="1"/>
  <c r="CQ60" i="30" s="1"/>
  <c r="CQ75" i="30" s="1"/>
  <c r="CQ90" i="30" s="1"/>
  <c r="CQ105" i="30" s="1"/>
  <c r="CQ120" i="30" s="1"/>
  <c r="CQ135" i="30" s="1"/>
  <c r="CQ150" i="30" s="1"/>
  <c r="CO30" i="30"/>
  <c r="CO45" i="30" s="1"/>
  <c r="CO60" i="30" s="1"/>
  <c r="CP65" i="30"/>
  <c r="CP80" i="30"/>
  <c r="CP95" i="30" s="1"/>
  <c r="CP110" i="30" s="1"/>
  <c r="CP125" i="30" s="1"/>
  <c r="CP140" i="30" s="1"/>
  <c r="CJ83" i="30"/>
  <c r="CJ98" i="30" s="1"/>
  <c r="CJ113" i="30" s="1"/>
  <c r="CJ128" i="30" s="1"/>
  <c r="CJ143" i="30" s="1"/>
  <c r="CJ68" i="30"/>
  <c r="CI24" i="30"/>
  <c r="CI39" i="30" s="1"/>
  <c r="CI54" i="30" s="1"/>
  <c r="CI69" i="30" s="1"/>
  <c r="CI84" i="30" s="1"/>
  <c r="CI99" i="30" s="1"/>
  <c r="CI114" i="30" s="1"/>
  <c r="CI129" i="30" s="1"/>
  <c r="CI144" i="30" s="1"/>
  <c r="CP88" i="30"/>
  <c r="CP103" i="30" s="1"/>
  <c r="CP118" i="30" s="1"/>
  <c r="CP133" i="30" s="1"/>
  <c r="CP148" i="30" s="1"/>
  <c r="CP73" i="30"/>
  <c r="CP86" i="30"/>
  <c r="CP101" i="30" s="1"/>
  <c r="CP116" i="30" s="1"/>
  <c r="CP131" i="30" s="1"/>
  <c r="CP146" i="30" s="1"/>
  <c r="CP71" i="30"/>
  <c r="CC36" i="30"/>
  <c r="CC51" i="30" s="1"/>
  <c r="CC66" i="30" s="1"/>
  <c r="CC80" i="30" s="1"/>
  <c r="CC95" i="30" s="1"/>
  <c r="CC110" i="30" s="1"/>
  <c r="CC125" i="30" s="1"/>
  <c r="CC140" i="30" s="1"/>
  <c r="CC21" i="30"/>
  <c r="CK7" i="30"/>
  <c r="CK22" i="30" s="1"/>
  <c r="CK37" i="30" s="1"/>
  <c r="CK52" i="30" s="1"/>
  <c r="CK67" i="30" s="1"/>
  <c r="CK82" i="30" s="1"/>
  <c r="CK97" i="30" s="1"/>
  <c r="CK112" i="30" s="1"/>
  <c r="CK127" i="30" s="1"/>
  <c r="CK142" i="30" s="1"/>
  <c r="CI22" i="30"/>
  <c r="CI37" i="30" s="1"/>
  <c r="CI52" i="30" s="1"/>
  <c r="CI67" i="30" s="1"/>
  <c r="CI82" i="30" s="1"/>
  <c r="CI97" i="30" s="1"/>
  <c r="CI112" i="30" s="1"/>
  <c r="CI127" i="30" s="1"/>
  <c r="CI142" i="30" s="1"/>
  <c r="CC41" i="30"/>
  <c r="CC56" i="30" s="1"/>
  <c r="CC71" i="30" s="1"/>
  <c r="CC85" i="30" s="1"/>
  <c r="CC100" i="30" s="1"/>
  <c r="CC115" i="30" s="1"/>
  <c r="CC130" i="30" s="1"/>
  <c r="CC145" i="30" s="1"/>
  <c r="CC26" i="30"/>
  <c r="CP67" i="30"/>
  <c r="CP82" i="30"/>
  <c r="CP97" i="30" s="1"/>
  <c r="CP112" i="30" s="1"/>
  <c r="CP127" i="30" s="1"/>
  <c r="CP142" i="30" s="1"/>
  <c r="CJ84" i="30"/>
  <c r="CJ99" i="30" s="1"/>
  <c r="CJ114" i="30" s="1"/>
  <c r="CJ129" i="30" s="1"/>
  <c r="CJ144" i="30" s="1"/>
  <c r="CJ69" i="30"/>
  <c r="CC28" i="30"/>
  <c r="CP89" i="30"/>
  <c r="CP104" i="30" s="1"/>
  <c r="CP119" i="30" s="1"/>
  <c r="CP134" i="30" s="1"/>
  <c r="CP149" i="30" s="1"/>
  <c r="CP74" i="30"/>
  <c r="CC39" i="30"/>
  <c r="CC54" i="30" s="1"/>
  <c r="CC69" i="30" s="1"/>
  <c r="CC83" i="30" s="1"/>
  <c r="CC98" i="30" s="1"/>
  <c r="CC113" i="30" s="1"/>
  <c r="CC128" i="30" s="1"/>
  <c r="CC143" i="30" s="1"/>
  <c r="CO85" i="30"/>
  <c r="CO100" i="30" s="1"/>
  <c r="CO115" i="30" s="1"/>
  <c r="CO130" i="30" s="1"/>
  <c r="CO145" i="30" s="1"/>
  <c r="CO70" i="30"/>
  <c r="CO23" i="30"/>
  <c r="CO38" i="30" s="1"/>
  <c r="CO53" i="30" s="1"/>
  <c r="CJ85" i="30"/>
  <c r="CJ100" i="30" s="1"/>
  <c r="CJ115" i="30" s="1"/>
  <c r="CJ130" i="30" s="1"/>
  <c r="CJ145" i="30" s="1"/>
  <c r="CJ70" i="30"/>
  <c r="CJ90" i="30"/>
  <c r="CJ105" i="30" s="1"/>
  <c r="CJ120" i="30" s="1"/>
  <c r="CJ135" i="30" s="1"/>
  <c r="CJ150" i="30" s="1"/>
  <c r="CJ75" i="30"/>
  <c r="CC44" i="30"/>
  <c r="CC59" i="30" s="1"/>
  <c r="CC74" i="30" s="1"/>
  <c r="CC88" i="30" s="1"/>
  <c r="CC103" i="30" s="1"/>
  <c r="CC118" i="30" s="1"/>
  <c r="CC133" i="30" s="1"/>
  <c r="CC148" i="30" s="1"/>
  <c r="CC29" i="30"/>
  <c r="CP68" i="30"/>
  <c r="CP83" i="30"/>
  <c r="CP98" i="30" s="1"/>
  <c r="CP113" i="30" s="1"/>
  <c r="CP128" i="30" s="1"/>
  <c r="CP143" i="30" s="1"/>
  <c r="CJ71" i="30"/>
  <c r="CJ86" i="30"/>
  <c r="CJ101" i="30" s="1"/>
  <c r="CJ116" i="30" s="1"/>
  <c r="CJ131" i="30" s="1"/>
  <c r="CJ146" i="30" s="1"/>
  <c r="CI20" i="30"/>
  <c r="CI35" i="30" s="1"/>
  <c r="CI50" i="30" s="1"/>
  <c r="CK5" i="30"/>
  <c r="CO82" i="30"/>
  <c r="CO97" i="30" s="1"/>
  <c r="CO112" i="30" s="1"/>
  <c r="CO127" i="30" s="1"/>
  <c r="CO142" i="30" s="1"/>
  <c r="CO67" i="30"/>
  <c r="CQ7" i="30"/>
  <c r="CQ22" i="30" s="1"/>
  <c r="CQ37" i="30" s="1"/>
  <c r="CQ52" i="30" s="1"/>
  <c r="CQ67" i="30" s="1"/>
  <c r="CQ82" i="30" s="1"/>
  <c r="CQ97" i="30" s="1"/>
  <c r="CQ112" i="30" s="1"/>
  <c r="CQ127" i="30" s="1"/>
  <c r="CQ142" i="30" s="1"/>
  <c r="CC25" i="30"/>
  <c r="CC40" i="30"/>
  <c r="CC55" i="30" s="1"/>
  <c r="CC70" i="30" s="1"/>
  <c r="CC84" i="30" s="1"/>
  <c r="CC99" i="30" s="1"/>
  <c r="CC114" i="30" s="1"/>
  <c r="CC129" i="30" s="1"/>
  <c r="CC144" i="30" s="1"/>
  <c r="CE10" i="30"/>
  <c r="CK11" i="30"/>
  <c r="CK26" i="30" s="1"/>
  <c r="CK41" i="30" s="1"/>
  <c r="CK56" i="30" s="1"/>
  <c r="CK71" i="30" s="1"/>
  <c r="CK86" i="30" s="1"/>
  <c r="CK101" i="30" s="1"/>
  <c r="CK116" i="30" s="1"/>
  <c r="CK131" i="30" s="1"/>
  <c r="CK146" i="30" s="1"/>
  <c r="CI26" i="30"/>
  <c r="CI41" i="30" s="1"/>
  <c r="CI56" i="30" s="1"/>
  <c r="CI71" i="30" s="1"/>
  <c r="CI86" i="30" s="1"/>
  <c r="CI101" i="30" s="1"/>
  <c r="CI116" i="30" s="1"/>
  <c r="CI131" i="30" s="1"/>
  <c r="CI146" i="30" s="1"/>
  <c r="CI28" i="30"/>
  <c r="CI43" i="30" s="1"/>
  <c r="CI58" i="30" s="1"/>
  <c r="CI73" i="30" s="1"/>
  <c r="CI88" i="30" s="1"/>
  <c r="CI103" i="30" s="1"/>
  <c r="CI118" i="30" s="1"/>
  <c r="CI133" i="30" s="1"/>
  <c r="CI148" i="30" s="1"/>
  <c r="CI29" i="30"/>
  <c r="CI44" i="30" s="1"/>
  <c r="CI59" i="30" s="1"/>
  <c r="CI74" i="30" s="1"/>
  <c r="CI89" i="30" s="1"/>
  <c r="CI104" i="30" s="1"/>
  <c r="CI119" i="30" s="1"/>
  <c r="CI134" i="30" s="1"/>
  <c r="CI149" i="30" s="1"/>
  <c r="CK14" i="30"/>
  <c r="CK29" i="30" s="1"/>
  <c r="CK44" i="30" s="1"/>
  <c r="CK59" i="30" s="1"/>
  <c r="CK74" i="30" s="1"/>
  <c r="CK89" i="30" s="1"/>
  <c r="CK104" i="30" s="1"/>
  <c r="CK119" i="30" s="1"/>
  <c r="CK134" i="30" s="1"/>
  <c r="CK149" i="30" s="1"/>
  <c r="CJ80" i="30"/>
  <c r="CJ95" i="30" s="1"/>
  <c r="CJ110" i="30" s="1"/>
  <c r="CJ125" i="30" s="1"/>
  <c r="CJ140" i="30" s="1"/>
  <c r="CJ65" i="30"/>
  <c r="CJ81" i="30"/>
  <c r="CJ96" i="30" s="1"/>
  <c r="CJ111" i="30" s="1"/>
  <c r="CJ126" i="30" s="1"/>
  <c r="CJ141" i="30" s="1"/>
  <c r="CJ66" i="30"/>
  <c r="CP85" i="30"/>
  <c r="CP100" i="30" s="1"/>
  <c r="CP115" i="30" s="1"/>
  <c r="CP130" i="30" s="1"/>
  <c r="CP145" i="30" s="1"/>
  <c r="CP70" i="30"/>
  <c r="CP75" i="30"/>
  <c r="CP90" i="30"/>
  <c r="CP105" i="30" s="1"/>
  <c r="CP120" i="30" s="1"/>
  <c r="CP135" i="30" s="1"/>
  <c r="CP150" i="30" s="1"/>
  <c r="CC22" i="30"/>
  <c r="CC37" i="30"/>
  <c r="CC52" i="30" s="1"/>
  <c r="CC67" i="30" s="1"/>
  <c r="CC81" i="30" s="1"/>
  <c r="CC96" i="30" s="1"/>
  <c r="CC111" i="30" s="1"/>
  <c r="CC126" i="30" s="1"/>
  <c r="CC141" i="30" s="1"/>
  <c r="CO71" i="30"/>
  <c r="CO86" i="30"/>
  <c r="CO101" i="30" s="1"/>
  <c r="CO116" i="30" s="1"/>
  <c r="CO131" i="30" s="1"/>
  <c r="CO146" i="30" s="1"/>
  <c r="CO27" i="30"/>
  <c r="CO42" i="30" s="1"/>
  <c r="CO57" i="30" s="1"/>
  <c r="CJ89" i="30"/>
  <c r="CJ104" i="30" s="1"/>
  <c r="CJ119" i="30" s="1"/>
  <c r="CJ134" i="30" s="1"/>
  <c r="CJ149" i="30" s="1"/>
  <c r="CJ74" i="30"/>
  <c r="CO81" i="30"/>
  <c r="CO96" i="30" s="1"/>
  <c r="CO111" i="30" s="1"/>
  <c r="CO126" i="30" s="1"/>
  <c r="CO141" i="30" s="1"/>
  <c r="CO66" i="30"/>
  <c r="CO89" i="30"/>
  <c r="CO104" i="30" s="1"/>
  <c r="CO119" i="30" s="1"/>
  <c r="CO134" i="30" s="1"/>
  <c r="CO149" i="30" s="1"/>
  <c r="CO74" i="30"/>
  <c r="CO88" i="30"/>
  <c r="CO103" i="30" s="1"/>
  <c r="CO118" i="30" s="1"/>
  <c r="CO133" i="30" s="1"/>
  <c r="CO148" i="30" s="1"/>
  <c r="CO73" i="30"/>
  <c r="CK15" i="30"/>
  <c r="CK30" i="30" s="1"/>
  <c r="CK45" i="30" s="1"/>
  <c r="CK60" i="30" s="1"/>
  <c r="CK75" i="30" s="1"/>
  <c r="CK90" i="30" s="1"/>
  <c r="CK105" i="30" s="1"/>
  <c r="CK120" i="30" s="1"/>
  <c r="CK135" i="30" s="1"/>
  <c r="CK150" i="30" s="1"/>
  <c r="CC20" i="30"/>
  <c r="CJ91" i="30"/>
  <c r="CJ106" i="30" s="1"/>
  <c r="CJ121" i="30" s="1"/>
  <c r="CJ136" i="30" s="1"/>
  <c r="CJ151" i="30" s="1"/>
  <c r="CJ76" i="30"/>
  <c r="CP87" i="30"/>
  <c r="CP102" i="30" s="1"/>
  <c r="CP117" i="30" s="1"/>
  <c r="CP132" i="30" s="1"/>
  <c r="CP147" i="30" s="1"/>
  <c r="CP72" i="30"/>
  <c r="CC30" i="30"/>
  <c r="CJ72" i="30"/>
  <c r="CJ87" i="30"/>
  <c r="CJ102" i="30" s="1"/>
  <c r="CJ117" i="30" s="1"/>
  <c r="CJ132" i="30" s="1"/>
  <c r="CJ147" i="30" s="1"/>
  <c r="CP91" i="30"/>
  <c r="CP106" i="30" s="1"/>
  <c r="CP121" i="30" s="1"/>
  <c r="CP136" i="30" s="1"/>
  <c r="CP151" i="30" s="1"/>
  <c r="CP76" i="30"/>
  <c r="CD57" i="30"/>
  <c r="CD42" i="30" s="1"/>
  <c r="CD27" i="30" s="1"/>
  <c r="CD12" i="30" s="1"/>
  <c r="CE12" i="30" s="1"/>
  <c r="CE27" i="30" s="1"/>
  <c r="CE42" i="30" s="1"/>
  <c r="CE57" i="30" s="1"/>
  <c r="CE72" i="30" s="1"/>
  <c r="CE87" i="30" s="1"/>
  <c r="CE102" i="30" s="1"/>
  <c r="CE117" i="30" s="1"/>
  <c r="CE132" i="30" s="1"/>
  <c r="CE147" i="30" s="1"/>
  <c r="CD72" i="30"/>
  <c r="V239" i="30"/>
  <c r="V278" i="30" s="1"/>
  <c r="AN278" i="30" s="1"/>
  <c r="D223" i="30"/>
  <c r="G223" i="30"/>
  <c r="Y239" i="30"/>
  <c r="Y278" i="30" s="1"/>
  <c r="AQ278" i="30" s="1"/>
  <c r="O223" i="30"/>
  <c r="AG239" i="30"/>
  <c r="AG278" i="30" s="1"/>
  <c r="AY278" i="30" s="1"/>
  <c r="AI239" i="30"/>
  <c r="I223" i="30"/>
  <c r="C263" i="30"/>
  <c r="C270" i="30"/>
  <c r="C260" i="30"/>
  <c r="C268" i="30"/>
  <c r="C267" i="30"/>
  <c r="C266" i="30"/>
  <c r="C265" i="30"/>
  <c r="C262" i="30"/>
  <c r="C271" i="30"/>
  <c r="K223" i="30"/>
  <c r="AC239" i="30"/>
  <c r="AC278" i="30" s="1"/>
  <c r="AU278" i="30" s="1"/>
  <c r="C264" i="30"/>
  <c r="C269" i="30"/>
  <c r="E223" i="30"/>
  <c r="AF239" i="30"/>
  <c r="AF278" i="30" s="1"/>
  <c r="AX278" i="30" s="1"/>
  <c r="CO76" i="30" l="1"/>
  <c r="CQ20" i="30"/>
  <c r="CK20" i="30"/>
  <c r="CE20" i="30"/>
  <c r="E239" i="30"/>
  <c r="E278" i="30" s="1"/>
  <c r="O239" i="30"/>
  <c r="O278" i="30" s="1"/>
  <c r="F239" i="30"/>
  <c r="F278" i="30" s="1"/>
  <c r="G239" i="30"/>
  <c r="G278" i="30" s="1"/>
  <c r="I239" i="30"/>
  <c r="I278" i="30" s="1"/>
  <c r="K239" i="30"/>
  <c r="K278" i="30" s="1"/>
  <c r="D239" i="30"/>
  <c r="D278" i="30" s="1"/>
  <c r="L239" i="30"/>
  <c r="L278" i="30" s="1"/>
  <c r="B48" i="27"/>
  <c r="B48" i="31"/>
  <c r="B53" i="27"/>
  <c r="B53" i="31"/>
  <c r="B54" i="27"/>
  <c r="B54" i="31"/>
  <c r="CQ25" i="30"/>
  <c r="CQ40" i="30" s="1"/>
  <c r="CQ55" i="30" s="1"/>
  <c r="CQ70" i="30" s="1"/>
  <c r="CQ85" i="30" s="1"/>
  <c r="CQ100" i="30" s="1"/>
  <c r="CQ115" i="30" s="1"/>
  <c r="CQ130" i="30" s="1"/>
  <c r="CQ145" i="30" s="1"/>
  <c r="E271" i="30"/>
  <c r="E263" i="30"/>
  <c r="D260" i="30"/>
  <c r="F263" i="30"/>
  <c r="E266" i="30"/>
  <c r="E261" i="30"/>
  <c r="F272" i="30"/>
  <c r="D265" i="30"/>
  <c r="E265" i="30"/>
  <c r="D263" i="30"/>
  <c r="F265" i="30"/>
  <c r="F260" i="30"/>
  <c r="CO87" i="30"/>
  <c r="CO102" i="30" s="1"/>
  <c r="CO117" i="30" s="1"/>
  <c r="CO132" i="30" s="1"/>
  <c r="CO147" i="30" s="1"/>
  <c r="CO72" i="30"/>
  <c r="D266" i="30"/>
  <c r="E260" i="30"/>
  <c r="D271" i="30"/>
  <c r="F270" i="30"/>
  <c r="E269" i="30"/>
  <c r="F271" i="30"/>
  <c r="D261" i="30"/>
  <c r="F267" i="30"/>
  <c r="CO83" i="30"/>
  <c r="CO98" i="30" s="1"/>
  <c r="CO113" i="30" s="1"/>
  <c r="CO128" i="30" s="1"/>
  <c r="CO143" i="30" s="1"/>
  <c r="CO68" i="30"/>
  <c r="E272" i="30"/>
  <c r="F269" i="30"/>
  <c r="F261" i="30"/>
  <c r="E268" i="30"/>
  <c r="F266" i="30"/>
  <c r="CO90" i="30"/>
  <c r="CO105" i="30" s="1"/>
  <c r="CO120" i="30" s="1"/>
  <c r="CO135" i="30" s="1"/>
  <c r="CO150" i="30" s="1"/>
  <c r="CO75" i="30"/>
  <c r="CE25" i="30"/>
  <c r="CE40" i="30" s="1"/>
  <c r="CE55" i="30" s="1"/>
  <c r="CE70" i="30" s="1"/>
  <c r="CE85" i="30" s="1"/>
  <c r="CE100" i="30" s="1"/>
  <c r="CE115" i="30" s="1"/>
  <c r="CE130" i="30" s="1"/>
  <c r="CE145" i="30" s="1"/>
  <c r="CI80" i="30"/>
  <c r="CI95" i="30" s="1"/>
  <c r="CI110" i="30" s="1"/>
  <c r="CI125" i="30" s="1"/>
  <c r="CI140" i="30" s="1"/>
  <c r="CI65" i="30"/>
  <c r="E267" i="30"/>
  <c r="E270" i="30"/>
  <c r="E262" i="30"/>
  <c r="D269" i="30"/>
  <c r="D267" i="30"/>
  <c r="D268" i="30"/>
  <c r="CE81" i="30"/>
  <c r="CE96" i="30" s="1"/>
  <c r="CE111" i="30" s="1"/>
  <c r="CE126" i="30" s="1"/>
  <c r="CE141" i="30" s="1"/>
  <c r="CE80" i="30"/>
  <c r="D262" i="30"/>
  <c r="D272" i="30"/>
  <c r="D264" i="30"/>
  <c r="E264" i="30"/>
  <c r="F264" i="30"/>
  <c r="F262" i="30"/>
  <c r="F268" i="30"/>
  <c r="D270" i="30"/>
  <c r="CK25" i="30"/>
  <c r="CK40" i="30" s="1"/>
  <c r="CK55" i="30" s="1"/>
  <c r="CK70" i="30" s="1"/>
  <c r="CK85" i="30" s="1"/>
  <c r="CK100" i="30" s="1"/>
  <c r="CK115" i="30" s="1"/>
  <c r="CK130" i="30" s="1"/>
  <c r="CK145" i="30" s="1"/>
  <c r="CE35" i="30" l="1"/>
  <c r="CE95" i="30"/>
  <c r="CK35" i="30"/>
  <c r="CQ35" i="30"/>
  <c r="G271" i="30"/>
  <c r="G263" i="30"/>
  <c r="G262" i="30"/>
  <c r="G264" i="30"/>
  <c r="G269" i="30"/>
  <c r="G265" i="30"/>
  <c r="G270" i="30"/>
  <c r="G261" i="30"/>
  <c r="G260" i="30"/>
  <c r="G268" i="30"/>
  <c r="G267" i="30"/>
  <c r="G266" i="30"/>
  <c r="G272" i="30"/>
  <c r="CK50" i="30" l="1"/>
  <c r="CE110" i="30"/>
  <c r="CQ50" i="30"/>
  <c r="CE50" i="30"/>
  <c r="H271" i="30"/>
  <c r="H261" i="30"/>
  <c r="H262" i="30"/>
  <c r="H268" i="30"/>
  <c r="H266" i="30"/>
  <c r="H265" i="30"/>
  <c r="H260" i="30"/>
  <c r="H267" i="30"/>
  <c r="H263" i="30"/>
  <c r="H269" i="30"/>
  <c r="H264" i="30"/>
  <c r="H272" i="30"/>
  <c r="H270" i="30"/>
  <c r="CE65" i="30" l="1"/>
  <c r="CQ65" i="30"/>
  <c r="CQ80" i="30"/>
  <c r="CE125" i="30"/>
  <c r="CK65" i="30"/>
  <c r="CK80" i="30"/>
  <c r="I272" i="30"/>
  <c r="I267" i="30"/>
  <c r="I263" i="30"/>
  <c r="I271" i="30"/>
  <c r="I269" i="30"/>
  <c r="I261" i="30"/>
  <c r="I268" i="30"/>
  <c r="I260" i="30"/>
  <c r="I266" i="30"/>
  <c r="I264" i="30"/>
  <c r="I262" i="30"/>
  <c r="I265" i="30"/>
  <c r="I270" i="30"/>
  <c r="CE140" i="30" l="1"/>
  <c r="CQ95" i="30"/>
  <c r="CK95" i="30"/>
  <c r="K265" i="30"/>
  <c r="K268" i="30"/>
  <c r="K260" i="30"/>
  <c r="K261" i="30"/>
  <c r="C278" i="30"/>
  <c r="K262" i="30"/>
  <c r="K264" i="30"/>
  <c r="K270" i="30"/>
  <c r="K263" i="30"/>
  <c r="K269" i="30"/>
  <c r="K267" i="30"/>
  <c r="K266" i="30"/>
  <c r="K272" i="30"/>
  <c r="K271" i="30"/>
  <c r="J268" i="30"/>
  <c r="J263" i="30"/>
  <c r="J261" i="30"/>
  <c r="J262" i="30"/>
  <c r="J270" i="30"/>
  <c r="J260" i="30"/>
  <c r="J269" i="30"/>
  <c r="J266" i="30"/>
  <c r="J272" i="30"/>
  <c r="J267" i="30"/>
  <c r="J264" i="30"/>
  <c r="J271" i="30"/>
  <c r="J265" i="30"/>
  <c r="CQ110" i="30" l="1"/>
  <c r="CK110" i="30"/>
  <c r="L262" i="30"/>
  <c r="L267" i="30"/>
  <c r="L264" i="30"/>
  <c r="L269" i="30"/>
  <c r="L271" i="30"/>
  <c r="L268" i="30"/>
  <c r="L263" i="30"/>
  <c r="L260" i="30"/>
  <c r="L266" i="30"/>
  <c r="L261" i="30"/>
  <c r="L265" i="30"/>
  <c r="L270" i="30"/>
  <c r="L272" i="30"/>
  <c r="C291" i="30" s="1"/>
  <c r="CQ125" i="30" l="1"/>
  <c r="CK125" i="30"/>
  <c r="G12" i="3"/>
  <c r="G27" i="3" s="1"/>
  <c r="G42" i="3" s="1"/>
  <c r="G57" i="3" s="1"/>
  <c r="E82" i="3"/>
  <c r="E104" i="3" s="1"/>
  <c r="E120" i="3" s="1"/>
  <c r="E136" i="3" s="1"/>
  <c r="G82" i="3"/>
  <c r="G104" i="3" s="1"/>
  <c r="G120" i="3" s="1"/>
  <c r="G136" i="3" s="1"/>
  <c r="E12" i="3"/>
  <c r="E27" i="3" s="1"/>
  <c r="E42" i="3" s="1"/>
  <c r="E57" i="3" s="1"/>
  <c r="CK140" i="30" l="1"/>
  <c r="CQ140" i="30"/>
  <c r="E155" i="3"/>
  <c r="E177" i="3" s="1"/>
  <c r="E193" i="3" s="1"/>
  <c r="E209" i="3" s="1"/>
  <c r="G155" i="3"/>
  <c r="G177" i="3" s="1"/>
  <c r="G193" i="3" s="1"/>
  <c r="G209" i="3" s="1"/>
  <c r="AA216" i="3"/>
  <c r="AA214" i="3"/>
  <c r="AA215" i="3" s="1"/>
  <c r="AA212" i="3"/>
  <c r="AA211" i="3"/>
  <c r="AA210" i="3"/>
  <c r="AA209" i="3"/>
  <c r="AA208" i="3"/>
  <c r="AA207" i="3"/>
  <c r="AA206" i="3"/>
  <c r="Z212" i="3"/>
  <c r="Z211" i="3"/>
  <c r="Z210" i="3"/>
  <c r="Z209" i="3"/>
  <c r="Z208" i="3"/>
  <c r="Z207" i="3"/>
  <c r="Z206" i="3"/>
  <c r="V212" i="3"/>
  <c r="X212" i="3" s="1"/>
  <c r="V211" i="3"/>
  <c r="X211" i="3" s="1"/>
  <c r="V210" i="3"/>
  <c r="X210" i="3" s="1"/>
  <c r="V209" i="3"/>
  <c r="X209" i="3" s="1"/>
  <c r="V208" i="3"/>
  <c r="X208" i="3" s="1"/>
  <c r="V207" i="3"/>
  <c r="X207" i="3" s="1"/>
  <c r="V206" i="3"/>
  <c r="X206" i="3" s="1"/>
  <c r="U212" i="3"/>
  <c r="U211" i="3"/>
  <c r="U210" i="3"/>
  <c r="U209" i="3"/>
  <c r="U208" i="3"/>
  <c r="Y206" i="3"/>
  <c r="U206" i="3"/>
  <c r="AA200" i="3"/>
  <c r="AA198" i="3"/>
  <c r="AA199" i="3" s="1"/>
  <c r="AA196" i="3"/>
  <c r="AA195" i="3"/>
  <c r="AA194" i="3"/>
  <c r="AA193" i="3"/>
  <c r="AA192" i="3"/>
  <c r="AA191" i="3"/>
  <c r="AA190" i="3"/>
  <c r="Z196" i="3"/>
  <c r="Z195" i="3"/>
  <c r="Z194" i="3"/>
  <c r="Z193" i="3"/>
  <c r="Z192" i="3"/>
  <c r="Z191" i="3"/>
  <c r="Z190" i="3"/>
  <c r="V196" i="3"/>
  <c r="X196" i="3" s="1"/>
  <c r="V195" i="3"/>
  <c r="X195" i="3" s="1"/>
  <c r="V194" i="3"/>
  <c r="X194" i="3" s="1"/>
  <c r="V193" i="3"/>
  <c r="X193" i="3" s="1"/>
  <c r="V192" i="3"/>
  <c r="X192" i="3" s="1"/>
  <c r="V191" i="3"/>
  <c r="X191" i="3" s="1"/>
  <c r="V190" i="3"/>
  <c r="X190" i="3" s="1"/>
  <c r="U196" i="3"/>
  <c r="U195" i="3"/>
  <c r="U194" i="3"/>
  <c r="U193" i="3"/>
  <c r="U192" i="3"/>
  <c r="Y190" i="3"/>
  <c r="U190" i="3"/>
  <c r="AA184" i="3"/>
  <c r="AA182" i="3"/>
  <c r="AA183" i="3" s="1"/>
  <c r="AA180" i="3"/>
  <c r="AA179" i="3"/>
  <c r="AA178" i="3"/>
  <c r="AA177" i="3"/>
  <c r="AA176" i="3"/>
  <c r="AA175" i="3"/>
  <c r="Z180" i="3"/>
  <c r="Z179" i="3"/>
  <c r="Z178" i="3"/>
  <c r="Z177" i="3"/>
  <c r="Z176" i="3"/>
  <c r="Z175" i="3"/>
  <c r="X174" i="3"/>
  <c r="Z174" i="3" s="1"/>
  <c r="V180" i="3"/>
  <c r="X180" i="3" s="1"/>
  <c r="V179" i="3"/>
  <c r="X179" i="3" s="1"/>
  <c r="V178" i="3"/>
  <c r="X178" i="3" s="1"/>
  <c r="V177" i="3"/>
  <c r="X177" i="3" s="1"/>
  <c r="V176" i="3"/>
  <c r="X176" i="3" s="1"/>
  <c r="V175" i="3"/>
  <c r="X175" i="3" s="1"/>
  <c r="Y174" i="3"/>
  <c r="U180" i="3"/>
  <c r="U179" i="3"/>
  <c r="U178" i="3"/>
  <c r="U177" i="3"/>
  <c r="U176" i="3"/>
  <c r="U174" i="3"/>
  <c r="Z213" i="3" l="1"/>
  <c r="Z181" i="3"/>
  <c r="Z197" i="3"/>
  <c r="AA213" i="3"/>
  <c r="AA197" i="3"/>
  <c r="AA181" i="3"/>
  <c r="AA162" i="3"/>
  <c r="AA160" i="3"/>
  <c r="AA161" i="3" s="1"/>
  <c r="AA153" i="3"/>
  <c r="AA152" i="3"/>
  <c r="Z153" i="3"/>
  <c r="Z152" i="3"/>
  <c r="AA158" i="3"/>
  <c r="AA157" i="3"/>
  <c r="AA156" i="3"/>
  <c r="AA155" i="3"/>
  <c r="AA154" i="3"/>
  <c r="Z158" i="3"/>
  <c r="Z157" i="3"/>
  <c r="Z156" i="3"/>
  <c r="Z155" i="3"/>
  <c r="Z154" i="3"/>
  <c r="X152" i="3"/>
  <c r="V158" i="3"/>
  <c r="X158" i="3" s="1"/>
  <c r="V157" i="3"/>
  <c r="X157" i="3" s="1"/>
  <c r="V156" i="3"/>
  <c r="X156" i="3" s="1"/>
  <c r="V155" i="3"/>
  <c r="X155" i="3" s="1"/>
  <c r="V154" i="3"/>
  <c r="X154" i="3" s="1"/>
  <c r="V153" i="3"/>
  <c r="X153" i="3" s="1"/>
  <c r="V152" i="3"/>
  <c r="U158" i="3"/>
  <c r="U157" i="3"/>
  <c r="U156" i="3"/>
  <c r="U155" i="3"/>
  <c r="U154" i="3"/>
  <c r="Y152" i="3"/>
  <c r="U152" i="3"/>
  <c r="AA143" i="3"/>
  <c r="AA141" i="3"/>
  <c r="AA142" i="3" s="1"/>
  <c r="AA139" i="3"/>
  <c r="AA138" i="3"/>
  <c r="AA137" i="3"/>
  <c r="AA136" i="3"/>
  <c r="AA135" i="3"/>
  <c r="AA134" i="3"/>
  <c r="AA133" i="3"/>
  <c r="Z139" i="3"/>
  <c r="Z138" i="3"/>
  <c r="Z137" i="3"/>
  <c r="Z136" i="3"/>
  <c r="Z135" i="3"/>
  <c r="Z134" i="3"/>
  <c r="Z133" i="3"/>
  <c r="X137" i="3"/>
  <c r="V139" i="3"/>
  <c r="X139" i="3" s="1"/>
  <c r="V138" i="3"/>
  <c r="X138" i="3" s="1"/>
  <c r="V137" i="3"/>
  <c r="V136" i="3"/>
  <c r="X136" i="3" s="1"/>
  <c r="V135" i="3"/>
  <c r="X135" i="3" s="1"/>
  <c r="V134" i="3"/>
  <c r="X134" i="3" s="1"/>
  <c r="V133" i="3"/>
  <c r="X133" i="3" s="1"/>
  <c r="U139" i="3"/>
  <c r="U138" i="3"/>
  <c r="U137" i="3"/>
  <c r="U136" i="3"/>
  <c r="U135" i="3"/>
  <c r="Y133" i="3"/>
  <c r="U133" i="3"/>
  <c r="AA127" i="3"/>
  <c r="AA125" i="3"/>
  <c r="AA126" i="3" s="1"/>
  <c r="AA123" i="3"/>
  <c r="AA122" i="3"/>
  <c r="AA121" i="3"/>
  <c r="AA120" i="3"/>
  <c r="AA119" i="3"/>
  <c r="AA118" i="3"/>
  <c r="AA117" i="3"/>
  <c r="Z123" i="3"/>
  <c r="Z122" i="3"/>
  <c r="Z121" i="3"/>
  <c r="Z120" i="3"/>
  <c r="Z119" i="3"/>
  <c r="Z118" i="3"/>
  <c r="Z117" i="3"/>
  <c r="X122" i="3"/>
  <c r="X117" i="3"/>
  <c r="V123" i="3"/>
  <c r="X123" i="3" s="1"/>
  <c r="V122" i="3"/>
  <c r="V121" i="3"/>
  <c r="X121" i="3" s="1"/>
  <c r="V120" i="3"/>
  <c r="X120" i="3" s="1"/>
  <c r="V119" i="3"/>
  <c r="X119" i="3" s="1"/>
  <c r="V118" i="3"/>
  <c r="X118" i="3" s="1"/>
  <c r="V117" i="3"/>
  <c r="U123" i="3"/>
  <c r="U122" i="3"/>
  <c r="U121" i="3"/>
  <c r="U120" i="3"/>
  <c r="U119" i="3"/>
  <c r="Y117" i="3"/>
  <c r="U117" i="3"/>
  <c r="AA111" i="3"/>
  <c r="AA109" i="3"/>
  <c r="AA107" i="3"/>
  <c r="AA106" i="3"/>
  <c r="AA105" i="3"/>
  <c r="AA104" i="3"/>
  <c r="AA103" i="3"/>
  <c r="AA102" i="3"/>
  <c r="AA101" i="3"/>
  <c r="Z107" i="3"/>
  <c r="Z106" i="3"/>
  <c r="Z105" i="3"/>
  <c r="Z104" i="3"/>
  <c r="Z103" i="3"/>
  <c r="Z102" i="3"/>
  <c r="Z101" i="3"/>
  <c r="V107" i="3"/>
  <c r="X107" i="3" s="1"/>
  <c r="V106" i="3"/>
  <c r="X106" i="3" s="1"/>
  <c r="V105" i="3"/>
  <c r="X105" i="3" s="1"/>
  <c r="V104" i="3"/>
  <c r="X104" i="3" s="1"/>
  <c r="V103" i="3"/>
  <c r="X103" i="3" s="1"/>
  <c r="V102" i="3"/>
  <c r="X102" i="3" s="1"/>
  <c r="V101" i="3"/>
  <c r="X101" i="3" s="1"/>
  <c r="U107" i="3"/>
  <c r="U106" i="3"/>
  <c r="U105" i="3"/>
  <c r="U104" i="3"/>
  <c r="U103" i="3"/>
  <c r="Y101" i="3"/>
  <c r="U101" i="3"/>
  <c r="Z140" i="3" l="1"/>
  <c r="Z124" i="3"/>
  <c r="AA108" i="3"/>
  <c r="AA159" i="3"/>
  <c r="Z159" i="3"/>
  <c r="Z108" i="3"/>
  <c r="AA140" i="3"/>
  <c r="AA124" i="3"/>
  <c r="AA89" i="3"/>
  <c r="AA87" i="3"/>
  <c r="AA85" i="3"/>
  <c r="AA84" i="3"/>
  <c r="AA83" i="3"/>
  <c r="AA82" i="3"/>
  <c r="AA81" i="3"/>
  <c r="AA80" i="3"/>
  <c r="AA79" i="3"/>
  <c r="Z85" i="3"/>
  <c r="Z84" i="3"/>
  <c r="Z83" i="3"/>
  <c r="Z82" i="3"/>
  <c r="Z81" i="3"/>
  <c r="Z80" i="3"/>
  <c r="Z79" i="3"/>
  <c r="V85" i="3"/>
  <c r="X85" i="3" s="1"/>
  <c r="V84" i="3"/>
  <c r="X84" i="3" s="1"/>
  <c r="V83" i="3"/>
  <c r="X83" i="3" s="1"/>
  <c r="V82" i="3"/>
  <c r="X82" i="3" s="1"/>
  <c r="V81" i="3"/>
  <c r="X81" i="3" s="1"/>
  <c r="V80" i="3"/>
  <c r="X80" i="3" s="1"/>
  <c r="V79" i="3"/>
  <c r="X79" i="3" s="1"/>
  <c r="U85" i="3"/>
  <c r="U84" i="3"/>
  <c r="U83" i="3"/>
  <c r="U82" i="3"/>
  <c r="U81" i="3"/>
  <c r="Y79" i="3"/>
  <c r="U79" i="3"/>
  <c r="AA63" i="3"/>
  <c r="AA61" i="3"/>
  <c r="AA59" i="3"/>
  <c r="AA58" i="3"/>
  <c r="AA57" i="3"/>
  <c r="AA56" i="3"/>
  <c r="AA55" i="3"/>
  <c r="AA54" i="3"/>
  <c r="Z59" i="3"/>
  <c r="Z58" i="3"/>
  <c r="Z57" i="3"/>
  <c r="Z56" i="3"/>
  <c r="Z55" i="3"/>
  <c r="Z54" i="3"/>
  <c r="V59" i="3"/>
  <c r="X59" i="3" s="1"/>
  <c r="V58" i="3"/>
  <c r="X58" i="3" s="1"/>
  <c r="V57" i="3"/>
  <c r="X57" i="3" s="1"/>
  <c r="V56" i="3"/>
  <c r="X56" i="3" s="1"/>
  <c r="V55" i="3"/>
  <c r="X55" i="3" s="1"/>
  <c r="V54" i="3"/>
  <c r="X54" i="3" s="1"/>
  <c r="U59" i="3"/>
  <c r="U58" i="3"/>
  <c r="U57" i="3"/>
  <c r="U56" i="3"/>
  <c r="AA48" i="3"/>
  <c r="AA46" i="3"/>
  <c r="AA44" i="3"/>
  <c r="AA43" i="3"/>
  <c r="AA42" i="3"/>
  <c r="AA41" i="3"/>
  <c r="AA40" i="3"/>
  <c r="AA39" i="3"/>
  <c r="Z44" i="3"/>
  <c r="Z43" i="3"/>
  <c r="Z42" i="3"/>
  <c r="Z41" i="3"/>
  <c r="Z40" i="3"/>
  <c r="Z39" i="3"/>
  <c r="X42" i="3"/>
  <c r="V44" i="3"/>
  <c r="X44" i="3" s="1"/>
  <c r="V43" i="3"/>
  <c r="X43" i="3" s="1"/>
  <c r="V42" i="3"/>
  <c r="V41" i="3"/>
  <c r="X41" i="3" s="1"/>
  <c r="V40" i="3"/>
  <c r="X40" i="3" s="1"/>
  <c r="V39" i="3"/>
  <c r="X39" i="3" s="1"/>
  <c r="U44" i="3"/>
  <c r="U43" i="3"/>
  <c r="U42" i="3"/>
  <c r="U41" i="3"/>
  <c r="AA33" i="3"/>
  <c r="AA31" i="3"/>
  <c r="AA32" i="3" s="1"/>
  <c r="Z30" i="3"/>
  <c r="Z26" i="3"/>
  <c r="AA29" i="3"/>
  <c r="Z29" i="3"/>
  <c r="AA28" i="3"/>
  <c r="Z28" i="3"/>
  <c r="AA27" i="3"/>
  <c r="Z27" i="3"/>
  <c r="AA26" i="3"/>
  <c r="AA25" i="3"/>
  <c r="Z25" i="3"/>
  <c r="AA24" i="3"/>
  <c r="Z24" i="3"/>
  <c r="Y24" i="3"/>
  <c r="Y39" i="3" s="1"/>
  <c r="Y54" i="3" s="1"/>
  <c r="V29" i="3"/>
  <c r="X29" i="3" s="1"/>
  <c r="V28" i="3"/>
  <c r="X28" i="3" s="1"/>
  <c r="V27" i="3"/>
  <c r="X27" i="3" s="1"/>
  <c r="V26" i="3"/>
  <c r="X26" i="3" s="1"/>
  <c r="V25" i="3"/>
  <c r="X25" i="3" s="1"/>
  <c r="V24" i="3"/>
  <c r="X24" i="3" s="1"/>
  <c r="U29" i="3"/>
  <c r="U28" i="3"/>
  <c r="U27" i="3"/>
  <c r="U26" i="3"/>
  <c r="U24" i="3"/>
  <c r="U39" i="3" s="1"/>
  <c r="U54" i="3" s="1"/>
  <c r="AA18" i="3"/>
  <c r="AA16" i="3"/>
  <c r="Z15" i="3"/>
  <c r="AA14" i="3"/>
  <c r="Z14" i="3"/>
  <c r="X14" i="3"/>
  <c r="AA13" i="3"/>
  <c r="Z13" i="3"/>
  <c r="V14" i="3"/>
  <c r="V13" i="3"/>
  <c r="AA12" i="3"/>
  <c r="Z12" i="3"/>
  <c r="V12" i="3"/>
  <c r="T12" i="3"/>
  <c r="AA11" i="3"/>
  <c r="Z11" i="3"/>
  <c r="X11" i="3"/>
  <c r="V11" i="3"/>
  <c r="T11" i="3"/>
  <c r="AA10" i="3"/>
  <c r="Z10" i="3"/>
  <c r="X10" i="3"/>
  <c r="V10" i="3"/>
  <c r="AA9" i="3"/>
  <c r="Z9" i="3"/>
  <c r="X9" i="3"/>
  <c r="V9" i="3"/>
  <c r="U14" i="3"/>
  <c r="U13" i="3"/>
  <c r="U12" i="3"/>
  <c r="U11" i="3"/>
  <c r="Y9" i="3"/>
  <c r="U9" i="3"/>
  <c r="P81" i="23"/>
  <c r="P79" i="23"/>
  <c r="O81" i="23"/>
  <c r="O79" i="23"/>
  <c r="N82" i="23"/>
  <c r="N81" i="23"/>
  <c r="Z80" i="23" s="1"/>
  <c r="N80" i="23"/>
  <c r="N79" i="23"/>
  <c r="Z79" i="23" s="1"/>
  <c r="P72" i="23"/>
  <c r="P74" i="23"/>
  <c r="O74" i="23"/>
  <c r="O72" i="23"/>
  <c r="AA30" i="3" l="1"/>
  <c r="AA15" i="3"/>
  <c r="Z86" i="3"/>
  <c r="AA86" i="3"/>
  <c r="Z45" i="3"/>
  <c r="AA45" i="3"/>
  <c r="Z60" i="3"/>
  <c r="AA60" i="3"/>
  <c r="X12" i="3"/>
  <c r="X13" i="3"/>
  <c r="N75" i="23"/>
  <c r="N74" i="23"/>
  <c r="Z73" i="23" s="1"/>
  <c r="N73" i="23"/>
  <c r="N72" i="23"/>
  <c r="Z72" i="23" s="1"/>
  <c r="AA110" i="3" l="1"/>
  <c r="P67" i="23"/>
  <c r="P65" i="23"/>
  <c r="O67" i="23"/>
  <c r="O65" i="23"/>
  <c r="N68" i="23"/>
  <c r="N67" i="23"/>
  <c r="Z66" i="23" s="1"/>
  <c r="N66" i="23"/>
  <c r="N65" i="23"/>
  <c r="Z65" i="23" s="1"/>
  <c r="AA88" i="3" l="1"/>
  <c r="AA62" i="3"/>
  <c r="AA47" i="3"/>
  <c r="AA17" i="3"/>
  <c r="P60" i="23"/>
  <c r="P58" i="23"/>
  <c r="O60" i="23"/>
  <c r="O58" i="23"/>
  <c r="N61" i="23"/>
  <c r="N60" i="23"/>
  <c r="Z59" i="23" s="1"/>
  <c r="N59" i="23"/>
  <c r="N58" i="23"/>
  <c r="Z58" i="23" s="1"/>
  <c r="O44" i="23"/>
  <c r="P44" i="23"/>
  <c r="N45" i="23"/>
  <c r="N44" i="23"/>
  <c r="Z44" i="23" s="1"/>
  <c r="P39" i="23"/>
  <c r="O39" i="23"/>
  <c r="N40" i="23"/>
  <c r="N39" i="23"/>
  <c r="O37" i="23"/>
  <c r="O42" i="23" s="1"/>
  <c r="O56" i="23" s="1"/>
  <c r="O63" i="23" s="1"/>
  <c r="O70" i="23" s="1"/>
  <c r="O77" i="23" s="1"/>
  <c r="P37" i="23"/>
  <c r="P42" i="23" s="1"/>
  <c r="P56" i="23" s="1"/>
  <c r="P63" i="23" s="1"/>
  <c r="P70" i="23" s="1"/>
  <c r="P77" i="23" s="1"/>
  <c r="N37" i="23"/>
  <c r="N42" i="23" s="1"/>
  <c r="N56" i="23" s="1"/>
  <c r="N63" i="23" s="1"/>
  <c r="N70" i="23" s="1"/>
  <c r="N77" i="23" s="1"/>
  <c r="P34" i="23"/>
  <c r="O34" i="23"/>
  <c r="N35" i="23"/>
  <c r="N34" i="23"/>
  <c r="AA33" i="23"/>
  <c r="AA38" i="23" s="1"/>
  <c r="AA43" i="23" s="1"/>
  <c r="AA57" i="23" s="1"/>
  <c r="AA64" i="23" s="1"/>
  <c r="AA71" i="23" s="1"/>
  <c r="AA78" i="23" s="1"/>
  <c r="AB33" i="23"/>
  <c r="AB38" i="23" s="1"/>
  <c r="AB43" i="23" s="1"/>
  <c r="AB57" i="23" s="1"/>
  <c r="AB64" i="23" s="1"/>
  <c r="AB71" i="23" s="1"/>
  <c r="AB78" i="23" s="1"/>
  <c r="AC33" i="23"/>
  <c r="AC38" i="23" s="1"/>
  <c r="AC43" i="23" s="1"/>
  <c r="AC57" i="23" s="1"/>
  <c r="AC64" i="23" s="1"/>
  <c r="AC71" i="23" s="1"/>
  <c r="AC78" i="23" s="1"/>
  <c r="AD33" i="23"/>
  <c r="AD38" i="23" s="1"/>
  <c r="AD43" i="23" s="1"/>
  <c r="AD57" i="23" s="1"/>
  <c r="AD64" i="23" s="1"/>
  <c r="AD71" i="23" s="1"/>
  <c r="AD78" i="23" s="1"/>
  <c r="Z33" i="23"/>
  <c r="Z38" i="23" s="1"/>
  <c r="Z43" i="23" s="1"/>
  <c r="Z57" i="23" s="1"/>
  <c r="Z64" i="23" s="1"/>
  <c r="Z71" i="23" s="1"/>
  <c r="Z78" i="23" s="1"/>
  <c r="P28" i="23"/>
  <c r="O28" i="23"/>
  <c r="Z26" i="23"/>
  <c r="Z32" i="23" s="1"/>
  <c r="Z37" i="23" s="1"/>
  <c r="Z42" i="23" s="1"/>
  <c r="Z56" i="23" s="1"/>
  <c r="Z63" i="23" s="1"/>
  <c r="Z70" i="23" s="1"/>
  <c r="Z77" i="23" s="1"/>
  <c r="N29" i="23"/>
  <c r="N28" i="23"/>
  <c r="J17" i="23" l="1"/>
  <c r="J16" i="23"/>
  <c r="M8" i="4" l="1"/>
  <c r="B75" i="3"/>
  <c r="B97" i="3" l="1"/>
  <c r="B113" i="3" s="1"/>
  <c r="B129" i="3" s="1"/>
  <c r="B148" i="3" s="1"/>
  <c r="F82" i="3"/>
  <c r="A1" i="4"/>
  <c r="A1" i="23"/>
  <c r="A2" i="23"/>
  <c r="A2" i="4" s="1"/>
  <c r="A2" i="31" s="1"/>
  <c r="B42" i="32" l="1"/>
  <c r="B43" i="32" s="1"/>
  <c r="A2" i="32" s="1"/>
  <c r="A1" i="27"/>
  <c r="A1" i="31"/>
  <c r="F8" i="27"/>
  <c r="F104" i="3"/>
  <c r="F120" i="3" s="1"/>
  <c r="F136" i="3" s="1"/>
  <c r="F155" i="3"/>
  <c r="B58" i="27"/>
  <c r="C39" i="27" l="1"/>
  <c r="C40" i="27"/>
  <c r="C41" i="27"/>
  <c r="C38" i="27"/>
  <c r="B203" i="3" l="1"/>
  <c r="B187" i="3"/>
  <c r="B171" i="3"/>
  <c r="B149" i="3"/>
  <c r="B170" i="3"/>
  <c r="B186" i="3" s="1"/>
  <c r="B202" i="3" s="1"/>
  <c r="G212" i="3"/>
  <c r="G211" i="3"/>
  <c r="G210" i="3"/>
  <c r="G208" i="3"/>
  <c r="K206" i="3"/>
  <c r="G206" i="3"/>
  <c r="G196" i="3"/>
  <c r="G195" i="3"/>
  <c r="G194" i="3"/>
  <c r="G192" i="3"/>
  <c r="K190" i="3"/>
  <c r="G190" i="3"/>
  <c r="G180" i="3"/>
  <c r="G179" i="3"/>
  <c r="G178" i="3"/>
  <c r="G176" i="3"/>
  <c r="K174" i="3"/>
  <c r="G174" i="3"/>
  <c r="H174" i="3" s="1"/>
  <c r="J174" i="3" s="1"/>
  <c r="L174" i="3" s="1"/>
  <c r="G158" i="3"/>
  <c r="G157" i="3"/>
  <c r="G156" i="3"/>
  <c r="G154" i="3"/>
  <c r="K152" i="3"/>
  <c r="G152" i="3"/>
  <c r="B130" i="3"/>
  <c r="B114" i="3"/>
  <c r="B98" i="3"/>
  <c r="B76" i="3"/>
  <c r="B51" i="3"/>
  <c r="B36" i="3"/>
  <c r="B21" i="3"/>
  <c r="B5" i="3"/>
  <c r="F12" i="3" s="1"/>
  <c r="F27" i="3" s="1"/>
  <c r="F42" i="3" s="1"/>
  <c r="F57" i="3" s="1"/>
  <c r="B6" i="3"/>
  <c r="M28" i="23"/>
  <c r="F9" i="3" s="1"/>
  <c r="C32" i="4"/>
  <c r="C31" i="4"/>
  <c r="C30" i="4"/>
  <c r="C30" i="31" s="1"/>
  <c r="C29" i="4"/>
  <c r="C30" i="27" l="1"/>
  <c r="C32" i="27"/>
  <c r="C32" i="31"/>
  <c r="C29" i="27"/>
  <c r="C29" i="31"/>
  <c r="C31" i="27"/>
  <c r="C31" i="31"/>
  <c r="B20" i="3"/>
  <c r="F5" i="4" l="1"/>
  <c r="F6" i="4"/>
  <c r="F7" i="4"/>
  <c r="F9" i="4"/>
  <c r="F10" i="4"/>
  <c r="F11" i="4"/>
  <c r="F12" i="4"/>
  <c r="F13" i="4"/>
  <c r="F4" i="4"/>
  <c r="F12" i="27" l="1"/>
  <c r="F12" i="31"/>
  <c r="F9" i="27"/>
  <c r="F9" i="31"/>
  <c r="F7" i="27"/>
  <c r="F13" i="27"/>
  <c r="F13" i="31"/>
  <c r="F11" i="27"/>
  <c r="F11" i="31"/>
  <c r="F10" i="27"/>
  <c r="F10" i="31"/>
  <c r="F6" i="27"/>
  <c r="F6" i="31"/>
  <c r="F4" i="27"/>
  <c r="F4" i="31"/>
  <c r="F5" i="27"/>
  <c r="F5" i="31"/>
  <c r="G14" i="3"/>
  <c r="G13" i="3"/>
  <c r="H12" i="3"/>
  <c r="G11" i="3"/>
  <c r="K9" i="3"/>
  <c r="G9" i="3"/>
  <c r="H9" i="3" s="1"/>
  <c r="J9" i="3" s="1"/>
  <c r="L9" i="3" s="1"/>
  <c r="G69" i="4"/>
  <c r="B15" i="26"/>
  <c r="J12" i="3" l="1"/>
  <c r="M12" i="3" s="1"/>
  <c r="L12" i="3"/>
  <c r="M80" i="23"/>
  <c r="M81" i="23"/>
  <c r="F206" i="3" s="1"/>
  <c r="M79" i="23"/>
  <c r="F133" i="3" s="1"/>
  <c r="M73" i="23"/>
  <c r="M74" i="23"/>
  <c r="F190" i="3" s="1"/>
  <c r="M72" i="23"/>
  <c r="F117" i="3" s="1"/>
  <c r="F101" i="3"/>
  <c r="M59" i="23"/>
  <c r="M60" i="23"/>
  <c r="F152" i="3" s="1"/>
  <c r="M61" i="23"/>
  <c r="F79" i="3"/>
  <c r="M45" i="23"/>
  <c r="M44" i="23"/>
  <c r="F54" i="3" s="1"/>
  <c r="M40" i="23"/>
  <c r="M39" i="23"/>
  <c r="F39" i="3" s="1"/>
  <c r="M29" i="23"/>
  <c r="J80" i="23"/>
  <c r="J81" i="23"/>
  <c r="A96" i="28" s="1"/>
  <c r="J49" i="28" s="1"/>
  <c r="K49" i="28" s="1"/>
  <c r="J82" i="23"/>
  <c r="J73" i="23"/>
  <c r="J74" i="23"/>
  <c r="A95" i="28" s="1"/>
  <c r="J48" i="28" s="1"/>
  <c r="J75" i="23"/>
  <c r="J66" i="23"/>
  <c r="J67" i="23"/>
  <c r="A94" i="28" s="1"/>
  <c r="J47" i="28" s="1"/>
  <c r="K47" i="28" s="1"/>
  <c r="J68" i="23"/>
  <c r="J59" i="23"/>
  <c r="AM57" i="23" s="1"/>
  <c r="A93" i="28"/>
  <c r="J61" i="23"/>
  <c r="J29" i="23"/>
  <c r="D29" i="4" s="1"/>
  <c r="J28" i="23"/>
  <c r="D76" i="28"/>
  <c r="D77" i="28"/>
  <c r="D68" i="28"/>
  <c r="D69" i="28"/>
  <c r="D70" i="28"/>
  <c r="AA58" i="23" s="1"/>
  <c r="AA59" i="23" s="1"/>
  <c r="D71" i="28"/>
  <c r="D72" i="28"/>
  <c r="D73" i="28"/>
  <c r="D74" i="28"/>
  <c r="AC79" i="23" s="1"/>
  <c r="AC80" i="23" s="1"/>
  <c r="D75" i="28"/>
  <c r="D67" i="28"/>
  <c r="E66" i="28"/>
  <c r="B66" i="28"/>
  <c r="A68" i="28"/>
  <c r="A69" i="28"/>
  <c r="A70" i="28"/>
  <c r="AA34" i="23" s="1"/>
  <c r="A71" i="28"/>
  <c r="A72" i="28"/>
  <c r="A73" i="28"/>
  <c r="A74" i="28"/>
  <c r="A75" i="28"/>
  <c r="A67" i="28"/>
  <c r="A66" i="28"/>
  <c r="D50" i="28"/>
  <c r="C50" i="28"/>
  <c r="D29" i="27" l="1"/>
  <c r="D29" i="31"/>
  <c r="J46" i="28"/>
  <c r="K46" i="28" s="1"/>
  <c r="C297" i="30"/>
  <c r="B289" i="30"/>
  <c r="AA44" i="23"/>
  <c r="AC39" i="23"/>
  <c r="AC34" i="23"/>
  <c r="AA39" i="23"/>
  <c r="AA72" i="23"/>
  <c r="AA73" i="23" s="1"/>
  <c r="AC65" i="23"/>
  <c r="AC66" i="23" s="1"/>
  <c r="AA65" i="23"/>
  <c r="AA66" i="23" s="1"/>
  <c r="AC58" i="23"/>
  <c r="AC59" i="23" s="1"/>
  <c r="AC44" i="23"/>
  <c r="AA79" i="23"/>
  <c r="AA80" i="23" s="1"/>
  <c r="AC72" i="23"/>
  <c r="AC73" i="23" s="1"/>
  <c r="H206" i="3"/>
  <c r="J206" i="3" s="1"/>
  <c r="M206" i="3" s="1"/>
  <c r="H190" i="3"/>
  <c r="J190" i="3" s="1"/>
  <c r="M190" i="3" s="1"/>
  <c r="M174" i="3"/>
  <c r="H152" i="3"/>
  <c r="J152" i="3" s="1"/>
  <c r="M152" i="3" s="1"/>
  <c r="AC28" i="23"/>
  <c r="AA28" i="23"/>
  <c r="A81" i="28"/>
  <c r="Z28" i="23"/>
  <c r="AP57" i="23"/>
  <c r="AR57" i="23" s="1"/>
  <c r="F38" i="4"/>
  <c r="D38" i="4"/>
  <c r="AP58" i="23"/>
  <c r="F39" i="4"/>
  <c r="AM58" i="23"/>
  <c r="D39" i="4"/>
  <c r="AP59" i="23"/>
  <c r="F40" i="4"/>
  <c r="AM59" i="23"/>
  <c r="D40" i="4"/>
  <c r="AP60" i="23"/>
  <c r="F41" i="4"/>
  <c r="AM60" i="23"/>
  <c r="D41" i="4"/>
  <c r="L46" i="28"/>
  <c r="F156" i="3" s="1"/>
  <c r="H156" i="3" s="1"/>
  <c r="L49" i="28"/>
  <c r="F210" i="3" s="1"/>
  <c r="H210" i="3" s="1"/>
  <c r="F211" i="3"/>
  <c r="H211" i="3" s="1"/>
  <c r="L48" i="28"/>
  <c r="F194" i="3" s="1"/>
  <c r="H194" i="3" s="1"/>
  <c r="K48" i="28"/>
  <c r="F195" i="3" s="1"/>
  <c r="H195" i="3" s="1"/>
  <c r="L47" i="28"/>
  <c r="F178" i="3" s="1"/>
  <c r="H178" i="3" s="1"/>
  <c r="L178" i="3" s="1"/>
  <c r="F179" i="3"/>
  <c r="H179" i="3" s="1"/>
  <c r="L179" i="3" s="1"/>
  <c r="D66" i="28"/>
  <c r="B69" i="28"/>
  <c r="AB28" i="23" s="1"/>
  <c r="B75" i="28"/>
  <c r="B71" i="28"/>
  <c r="B72" i="28"/>
  <c r="B73" i="28"/>
  <c r="B74" i="28"/>
  <c r="B70" i="28"/>
  <c r="B67" i="28"/>
  <c r="B68" i="28"/>
  <c r="B47" i="4"/>
  <c r="B81" i="28" l="1"/>
  <c r="O46" i="28"/>
  <c r="C81" i="28"/>
  <c r="BZ109" i="30"/>
  <c r="AJ139" i="30"/>
  <c r="C279" i="30"/>
  <c r="BH124" i="30"/>
  <c r="BH19" i="30"/>
  <c r="H287" i="30"/>
  <c r="C280" i="30"/>
  <c r="R284" i="30"/>
  <c r="Q286" i="30"/>
  <c r="P287" i="30"/>
  <c r="P280" i="30"/>
  <c r="O281" i="30"/>
  <c r="N284" i="30"/>
  <c r="M286" i="30"/>
  <c r="L288" i="30"/>
  <c r="K287" i="30"/>
  <c r="K279" i="30"/>
  <c r="J281" i="30"/>
  <c r="I283" i="30"/>
  <c r="H284" i="30"/>
  <c r="G286" i="30"/>
  <c r="F288" i="30"/>
  <c r="F280" i="30"/>
  <c r="E282" i="30"/>
  <c r="D283" i="30"/>
  <c r="C285" i="30"/>
  <c r="F287" i="30"/>
  <c r="E281" i="30"/>
  <c r="C284" i="30"/>
  <c r="L284" i="30"/>
  <c r="I281" i="30"/>
  <c r="E288" i="30"/>
  <c r="C283" i="30"/>
  <c r="E279" i="30"/>
  <c r="D280" i="30"/>
  <c r="D273" i="30" s="1"/>
  <c r="N286" i="30"/>
  <c r="K281" i="30"/>
  <c r="G280" i="30"/>
  <c r="R283" i="30"/>
  <c r="Q285" i="30"/>
  <c r="P288" i="30"/>
  <c r="P279" i="30"/>
  <c r="O280" i="30"/>
  <c r="N283" i="30"/>
  <c r="M285" i="30"/>
  <c r="L285" i="30"/>
  <c r="K286" i="30"/>
  <c r="J288" i="30"/>
  <c r="J280" i="30"/>
  <c r="I282" i="30"/>
  <c r="H283" i="30"/>
  <c r="G285" i="30"/>
  <c r="F279" i="30"/>
  <c r="D282" i="30"/>
  <c r="J287" i="30"/>
  <c r="H282" i="30"/>
  <c r="F286" i="30"/>
  <c r="E280" i="30"/>
  <c r="D285" i="30"/>
  <c r="R282" i="30"/>
  <c r="Q284" i="30"/>
  <c r="P286" i="30"/>
  <c r="O288" i="30"/>
  <c r="O279" i="30"/>
  <c r="N282" i="30"/>
  <c r="M284" i="30"/>
  <c r="K285" i="30"/>
  <c r="J279" i="30"/>
  <c r="G284" i="30"/>
  <c r="D281" i="30"/>
  <c r="E273" i="30" s="1"/>
  <c r="C282" i="30"/>
  <c r="O283" i="30"/>
  <c r="M280" i="30"/>
  <c r="G288" i="30"/>
  <c r="D288" i="30"/>
  <c r="L273" i="30" s="1"/>
  <c r="R281" i="30"/>
  <c r="Q283" i="30"/>
  <c r="P285" i="30"/>
  <c r="O287" i="30"/>
  <c r="N279" i="30"/>
  <c r="N281" i="30"/>
  <c r="M283" i="30"/>
  <c r="L283" i="30"/>
  <c r="K284" i="30"/>
  <c r="J286" i="30"/>
  <c r="I288" i="30"/>
  <c r="I280" i="30"/>
  <c r="H281" i="30"/>
  <c r="G283" i="30"/>
  <c r="F285" i="30"/>
  <c r="E287" i="30"/>
  <c r="R286" i="30"/>
  <c r="J283" i="30"/>
  <c r="C287" i="30"/>
  <c r="R288" i="30"/>
  <c r="R280" i="30"/>
  <c r="Q282" i="30"/>
  <c r="P284" i="30"/>
  <c r="O285" i="30"/>
  <c r="N288" i="30"/>
  <c r="N280" i="30"/>
  <c r="M282" i="30"/>
  <c r="L282" i="30"/>
  <c r="K283" i="30"/>
  <c r="J285" i="30"/>
  <c r="I287" i="30"/>
  <c r="I279" i="30"/>
  <c r="H280" i="30"/>
  <c r="G282" i="30"/>
  <c r="F284" i="30"/>
  <c r="E286" i="30"/>
  <c r="D287" i="30"/>
  <c r="D279" i="30"/>
  <c r="C273" i="30" s="1"/>
  <c r="C281" i="30"/>
  <c r="G281" i="30"/>
  <c r="E285" i="30"/>
  <c r="D286" i="30"/>
  <c r="Q288" i="30"/>
  <c r="M287" i="30"/>
  <c r="H286" i="30"/>
  <c r="R287" i="30"/>
  <c r="R279" i="30"/>
  <c r="Q281" i="30"/>
  <c r="P283" i="30"/>
  <c r="O284" i="30"/>
  <c r="N287" i="30"/>
  <c r="M288" i="30"/>
  <c r="M281" i="30"/>
  <c r="L281" i="30"/>
  <c r="K282" i="30"/>
  <c r="J284" i="30"/>
  <c r="I286" i="30"/>
  <c r="H279" i="30"/>
  <c r="F283" i="30"/>
  <c r="C288" i="30"/>
  <c r="P282" i="30"/>
  <c r="L279" i="30"/>
  <c r="F282" i="30"/>
  <c r="R285" i="30"/>
  <c r="Q287" i="30"/>
  <c r="Q279" i="30"/>
  <c r="P281" i="30"/>
  <c r="O282" i="30"/>
  <c r="N285" i="30"/>
  <c r="L286" i="30"/>
  <c r="M279" i="30"/>
  <c r="K288" i="30"/>
  <c r="K280" i="30"/>
  <c r="J282" i="30"/>
  <c r="I284" i="30"/>
  <c r="H285" i="30"/>
  <c r="G287" i="30"/>
  <c r="G279" i="30"/>
  <c r="F281" i="30"/>
  <c r="E283" i="30"/>
  <c r="D284" i="30"/>
  <c r="C286" i="30"/>
  <c r="Q280" i="30"/>
  <c r="I285" i="30"/>
  <c r="E284" i="30"/>
  <c r="Q46" i="28"/>
  <c r="P46" i="28"/>
  <c r="F10" i="3"/>
  <c r="F25" i="3"/>
  <c r="F40" i="3"/>
  <c r="F55" i="3" s="1"/>
  <c r="E77" i="28"/>
  <c r="F80" i="3" s="1"/>
  <c r="F153" i="3" s="1"/>
  <c r="F154" i="3" s="1"/>
  <c r="H154" i="3" s="1"/>
  <c r="E67" i="28"/>
  <c r="F157" i="3"/>
  <c r="H157" i="3" s="1"/>
  <c r="D297" i="30"/>
  <c r="K28" i="23" s="1"/>
  <c r="C298" i="30"/>
  <c r="C299" i="30" s="1"/>
  <c r="F38" i="27"/>
  <c r="F38" i="31"/>
  <c r="B47" i="27"/>
  <c r="B47" i="31"/>
  <c r="D41" i="27"/>
  <c r="D41" i="31"/>
  <c r="D39" i="27"/>
  <c r="D39" i="31"/>
  <c r="F41" i="27"/>
  <c r="F41" i="31"/>
  <c r="F39" i="27"/>
  <c r="F39" i="31"/>
  <c r="F40" i="27"/>
  <c r="F40" i="31"/>
  <c r="D40" i="27"/>
  <c r="D40" i="31"/>
  <c r="D38" i="27"/>
  <c r="D38" i="31"/>
  <c r="L152" i="3"/>
  <c r="AR58" i="23"/>
  <c r="L206" i="3"/>
  <c r="AD28" i="23"/>
  <c r="AE28" i="23" s="1"/>
  <c r="AF28" i="23" s="1"/>
  <c r="AB34" i="23"/>
  <c r="AD44" i="23"/>
  <c r="AD39" i="23"/>
  <c r="AB44" i="23"/>
  <c r="AD34" i="23"/>
  <c r="AB39" i="23"/>
  <c r="E73" i="28"/>
  <c r="E74" i="28"/>
  <c r="M9" i="3"/>
  <c r="L190" i="3"/>
  <c r="E76" i="28"/>
  <c r="E70" i="28"/>
  <c r="J179" i="3"/>
  <c r="M179" i="3" s="1"/>
  <c r="J178" i="3"/>
  <c r="M178" i="3" s="1"/>
  <c r="L156" i="3"/>
  <c r="J156" i="3"/>
  <c r="M156" i="3" s="1"/>
  <c r="E71" i="28"/>
  <c r="E68" i="28"/>
  <c r="E69" i="28"/>
  <c r="E72" i="28"/>
  <c r="E75" i="28"/>
  <c r="L195" i="3"/>
  <c r="J195" i="3"/>
  <c r="M195" i="3" s="1"/>
  <c r="L211" i="3"/>
  <c r="J211" i="3"/>
  <c r="M211" i="3" s="1"/>
  <c r="L210" i="3"/>
  <c r="J210" i="3"/>
  <c r="M210" i="3" s="1"/>
  <c r="L194" i="3"/>
  <c r="J194" i="3"/>
  <c r="M194" i="3" s="1"/>
  <c r="A2" i="27"/>
  <c r="B59" i="27"/>
  <c r="A58" i="27"/>
  <c r="B55" i="27"/>
  <c r="B51" i="27"/>
  <c r="A51" i="27"/>
  <c r="B44" i="27"/>
  <c r="B43" i="27"/>
  <c r="A43" i="27"/>
  <c r="F21" i="27"/>
  <c r="F20" i="27"/>
  <c r="A43" i="4"/>
  <c r="B58" i="4"/>
  <c r="B43" i="4"/>
  <c r="B57" i="4"/>
  <c r="A57" i="4"/>
  <c r="B52" i="4"/>
  <c r="B51" i="4"/>
  <c r="A51" i="4"/>
  <c r="B44" i="4"/>
  <c r="H10" i="3" l="1"/>
  <c r="L10" i="3" s="1"/>
  <c r="BH26" i="30"/>
  <c r="BH20" i="30"/>
  <c r="BH24" i="30" s="1"/>
  <c r="BH22" i="30"/>
  <c r="BH127" i="30"/>
  <c r="BH125" i="30"/>
  <c r="BH129" i="30" s="1"/>
  <c r="BH131" i="30"/>
  <c r="AJ146" i="30"/>
  <c r="AJ140" i="30"/>
  <c r="AJ144" i="30" s="1"/>
  <c r="AJ142" i="30"/>
  <c r="BZ112" i="30"/>
  <c r="BZ110" i="30"/>
  <c r="BZ114" i="30" s="1"/>
  <c r="BZ116" i="30"/>
  <c r="H153" i="3"/>
  <c r="J153" i="3" s="1"/>
  <c r="M153" i="3" s="1"/>
  <c r="F102" i="3"/>
  <c r="F118" i="3" s="1"/>
  <c r="F134" i="3" s="1"/>
  <c r="F207" i="3" s="1"/>
  <c r="F81" i="3"/>
  <c r="E297" i="30"/>
  <c r="F14" i="3"/>
  <c r="H14" i="3" s="1"/>
  <c r="F13" i="3"/>
  <c r="H13" i="3" s="1"/>
  <c r="L13" i="3" s="1"/>
  <c r="D298" i="30"/>
  <c r="E298" i="30" s="1"/>
  <c r="J157" i="3"/>
  <c r="M157" i="3" s="1"/>
  <c r="L157" i="3"/>
  <c r="K273" i="30"/>
  <c r="B52" i="27"/>
  <c r="B52" i="31"/>
  <c r="J273" i="30"/>
  <c r="AB58" i="23"/>
  <c r="AB59" i="23" s="1"/>
  <c r="B93" i="28"/>
  <c r="G273" i="30"/>
  <c r="I273" i="30"/>
  <c r="H273" i="30"/>
  <c r="F273" i="30"/>
  <c r="C300" i="30"/>
  <c r="D299" i="30"/>
  <c r="E299" i="30" s="1"/>
  <c r="B96" i="28"/>
  <c r="C96" i="28" s="1"/>
  <c r="AD79" i="23"/>
  <c r="AB65" i="23"/>
  <c r="AB66" i="23" s="1"/>
  <c r="AD58" i="23"/>
  <c r="AB79" i="23"/>
  <c r="AB80" i="23" s="1"/>
  <c r="AD72" i="23"/>
  <c r="B95" i="28"/>
  <c r="C95" i="28" s="1"/>
  <c r="AB72" i="23"/>
  <c r="AB73" i="23" s="1"/>
  <c r="AD65" i="23"/>
  <c r="AE44" i="23"/>
  <c r="AF44" i="23" s="1"/>
  <c r="B94" i="28"/>
  <c r="L153" i="3"/>
  <c r="J154" i="3"/>
  <c r="M154" i="3" s="1"/>
  <c r="L154" i="3"/>
  <c r="D69" i="4"/>
  <c r="G139" i="3"/>
  <c r="G138" i="3"/>
  <c r="G137" i="3"/>
  <c r="G135" i="3"/>
  <c r="K133" i="3"/>
  <c r="G133" i="3"/>
  <c r="H133" i="3" s="1"/>
  <c r="J133" i="3" s="1"/>
  <c r="G123" i="3"/>
  <c r="G122" i="3"/>
  <c r="G121" i="3"/>
  <c r="G119" i="3"/>
  <c r="K117" i="3"/>
  <c r="G117" i="3"/>
  <c r="G24" i="3"/>
  <c r="G39" i="3" s="1"/>
  <c r="G54" i="3" s="1"/>
  <c r="K24" i="3"/>
  <c r="K39" i="3" s="1"/>
  <c r="K54" i="3" s="1"/>
  <c r="G107" i="3"/>
  <c r="G106" i="3"/>
  <c r="G105" i="3"/>
  <c r="G103" i="3"/>
  <c r="K101" i="3"/>
  <c r="G101" i="3"/>
  <c r="G85" i="3"/>
  <c r="G84" i="3"/>
  <c r="G83" i="3"/>
  <c r="G81" i="3"/>
  <c r="K79" i="3"/>
  <c r="G79" i="3"/>
  <c r="G59" i="3"/>
  <c r="G58" i="3"/>
  <c r="G56" i="3"/>
  <c r="B35" i="3"/>
  <c r="B50" i="3" s="1"/>
  <c r="G44" i="3"/>
  <c r="G43" i="3"/>
  <c r="G41" i="3"/>
  <c r="F21" i="4"/>
  <c r="F20" i="4"/>
  <c r="B22" i="26"/>
  <c r="B26" i="26" s="1"/>
  <c r="J79" i="23"/>
  <c r="A90" i="28" s="1"/>
  <c r="J72" i="23"/>
  <c r="A89" i="28" s="1"/>
  <c r="J65" i="23"/>
  <c r="A88" i="28" s="1"/>
  <c r="A87" i="28"/>
  <c r="F46" i="28" s="1"/>
  <c r="G46" i="28" s="1"/>
  <c r="G16" i="23"/>
  <c r="T377" i="29" s="1"/>
  <c r="S386" i="29" s="1"/>
  <c r="U377" i="29" s="1"/>
  <c r="J45" i="23"/>
  <c r="D32" i="4" s="1"/>
  <c r="J44" i="23"/>
  <c r="J40" i="23"/>
  <c r="D31" i="4" s="1"/>
  <c r="J39" i="23"/>
  <c r="M34" i="23"/>
  <c r="F24" i="3" s="1"/>
  <c r="J35" i="23"/>
  <c r="D30" i="4" s="1"/>
  <c r="J34" i="23"/>
  <c r="C311" i="30" l="1"/>
  <c r="T289" i="30"/>
  <c r="C325" i="30"/>
  <c r="AL289" i="30"/>
  <c r="J10" i="3"/>
  <c r="M10" i="3" s="1"/>
  <c r="N273" i="30"/>
  <c r="F11" i="3" s="1"/>
  <c r="F175" i="3"/>
  <c r="AJ148" i="30"/>
  <c r="BZ118" i="30"/>
  <c r="BH133" i="30"/>
  <c r="BH28" i="30"/>
  <c r="C290" i="30"/>
  <c r="H46" i="28"/>
  <c r="J13" i="3"/>
  <c r="M13" i="3" s="1"/>
  <c r="B87" i="28"/>
  <c r="N391" i="29"/>
  <c r="T382" i="29" s="1"/>
  <c r="F17" i="4" s="1"/>
  <c r="F17" i="27" s="1"/>
  <c r="N390" i="29"/>
  <c r="T381" i="29" s="1"/>
  <c r="F16" i="4" s="1"/>
  <c r="F16" i="27" s="1"/>
  <c r="F16" i="31"/>
  <c r="D31" i="27"/>
  <c r="D31" i="31"/>
  <c r="D30" i="27"/>
  <c r="D30" i="31"/>
  <c r="D32" i="27"/>
  <c r="D32" i="31"/>
  <c r="J14" i="3"/>
  <c r="M14" i="3" s="1"/>
  <c r="L14" i="3"/>
  <c r="A84" i="28"/>
  <c r="O49" i="28" s="1"/>
  <c r="P49" i="28" s="1"/>
  <c r="Q49" i="28" s="1"/>
  <c r="C326" i="30"/>
  <c r="D325" i="30"/>
  <c r="K39" i="23" s="1"/>
  <c r="C312" i="30"/>
  <c r="D311" i="30"/>
  <c r="K34" i="23" s="1"/>
  <c r="C301" i="30"/>
  <c r="D300" i="30"/>
  <c r="E300" i="30" s="1"/>
  <c r="A82" i="28"/>
  <c r="B82" i="28" s="1"/>
  <c r="Z34" i="23"/>
  <c r="AE34" i="23" s="1"/>
  <c r="AF34" i="23" s="1"/>
  <c r="A83" i="28"/>
  <c r="B83" i="28" s="1"/>
  <c r="Z39" i="23"/>
  <c r="AE39" i="23" s="1"/>
  <c r="AF39" i="23" s="1"/>
  <c r="K81" i="23"/>
  <c r="L82" i="23" s="1"/>
  <c r="AE72" i="23"/>
  <c r="AF72" i="23" s="1"/>
  <c r="AD73" i="23"/>
  <c r="AE73" i="23" s="1"/>
  <c r="AF73" i="23" s="1"/>
  <c r="K74" i="23"/>
  <c r="L75" i="23" s="1"/>
  <c r="AD59" i="23"/>
  <c r="AE59" i="23" s="1"/>
  <c r="AF59" i="23" s="1"/>
  <c r="AE58" i="23"/>
  <c r="AF58" i="23" s="1"/>
  <c r="AD80" i="23"/>
  <c r="AE80" i="23" s="1"/>
  <c r="AF80" i="23" s="1"/>
  <c r="AE79" i="23"/>
  <c r="AF79" i="23" s="1"/>
  <c r="AD66" i="23"/>
  <c r="AE66" i="23" s="1"/>
  <c r="AF66" i="23" s="1"/>
  <c r="AE65" i="23"/>
  <c r="AF65" i="23" s="1"/>
  <c r="H104" i="3"/>
  <c r="L104" i="3" s="1"/>
  <c r="H57" i="3"/>
  <c r="J57" i="3" s="1"/>
  <c r="M57" i="3" s="1"/>
  <c r="B87" i="23"/>
  <c r="C94" i="28"/>
  <c r="C93" i="28"/>
  <c r="K60" i="23"/>
  <c r="H38" i="4" s="1"/>
  <c r="H38" i="31" s="1"/>
  <c r="K67" i="23"/>
  <c r="H39" i="4" s="1"/>
  <c r="H39" i="31" s="1"/>
  <c r="B88" i="28"/>
  <c r="F47" i="28"/>
  <c r="G47" i="28" s="1"/>
  <c r="B89" i="28"/>
  <c r="F48" i="28"/>
  <c r="G48" i="28" s="1"/>
  <c r="B90" i="28"/>
  <c r="F49" i="28"/>
  <c r="F176" i="3"/>
  <c r="H176" i="3" s="1"/>
  <c r="H175" i="3"/>
  <c r="F191" i="3"/>
  <c r="F208" i="3"/>
  <c r="H208" i="3" s="1"/>
  <c r="H207" i="3"/>
  <c r="M133" i="3"/>
  <c r="L133" i="3"/>
  <c r="H101" i="3"/>
  <c r="J101" i="3" s="1"/>
  <c r="M101" i="3" s="1"/>
  <c r="H117" i="3"/>
  <c r="J117" i="3" s="1"/>
  <c r="L117" i="3" s="1"/>
  <c r="H82" i="3"/>
  <c r="L82" i="3" s="1"/>
  <c r="H79" i="3"/>
  <c r="J79" i="3" s="1"/>
  <c r="M79" i="3" s="1"/>
  <c r="H39" i="3"/>
  <c r="J39" i="3" s="1"/>
  <c r="L39" i="3" s="1"/>
  <c r="H54" i="3"/>
  <c r="J54" i="3" s="1"/>
  <c r="M54" i="3" s="1"/>
  <c r="H42" i="3"/>
  <c r="L42" i="3" s="1"/>
  <c r="B19" i="26"/>
  <c r="BE158" i="30" l="1"/>
  <c r="AM159" i="30"/>
  <c r="AN287" i="30"/>
  <c r="K275" i="30" s="1"/>
  <c r="AM288" i="30"/>
  <c r="AN288" i="30"/>
  <c r="L275" i="30" s="1"/>
  <c r="AM287" i="30"/>
  <c r="AO284" i="30"/>
  <c r="AO283" i="30"/>
  <c r="AO285" i="30"/>
  <c r="AP288" i="30"/>
  <c r="AQ287" i="30"/>
  <c r="AO288" i="30"/>
  <c r="AR280" i="30"/>
  <c r="AX282" i="30"/>
  <c r="AP286" i="30"/>
  <c r="AT279" i="30"/>
  <c r="AP281" i="30"/>
  <c r="AS283" i="30"/>
  <c r="AU288" i="30"/>
  <c r="AT283" i="30"/>
  <c r="AR286" i="30"/>
  <c r="AP284" i="30"/>
  <c r="AY285" i="30"/>
  <c r="AP279" i="30"/>
  <c r="AS284" i="30"/>
  <c r="AT286" i="30"/>
  <c r="AW284" i="30"/>
  <c r="AW287" i="30"/>
  <c r="AU280" i="30"/>
  <c r="AW288" i="30"/>
  <c r="AS280" i="30"/>
  <c r="AS286" i="30"/>
  <c r="AN282" i="30"/>
  <c r="F275" i="30" s="1"/>
  <c r="AY287" i="30"/>
  <c r="AV281" i="30"/>
  <c r="AS288" i="30"/>
  <c r="AR279" i="30"/>
  <c r="AW283" i="30"/>
  <c r="AX288" i="30"/>
  <c r="AV279" i="30"/>
  <c r="AV282" i="30"/>
  <c r="AY284" i="30"/>
  <c r="AV286" i="30"/>
  <c r="AW279" i="30"/>
  <c r="AO282" i="30"/>
  <c r="AR284" i="30"/>
  <c r="AW286" i="30"/>
  <c r="AQ281" i="30"/>
  <c r="AO287" i="30"/>
  <c r="AN280" i="30"/>
  <c r="D275" i="30" s="1"/>
  <c r="AS279" i="30"/>
  <c r="AS282" i="30"/>
  <c r="AV284" i="30"/>
  <c r="AP287" i="30"/>
  <c r="AM286" i="30"/>
  <c r="AU282" i="30"/>
  <c r="AX283" i="30"/>
  <c r="AO280" i="30"/>
  <c r="AX284" i="30"/>
  <c r="AP282" i="30"/>
  <c r="AQ286" i="30"/>
  <c r="AT281" i="30"/>
  <c r="AW285" i="30"/>
  <c r="AY288" i="30"/>
  <c r="AP285" i="30"/>
  <c r="AS281" i="30"/>
  <c r="AO281" i="30"/>
  <c r="AR283" i="30"/>
  <c r="AX286" i="30"/>
  <c r="AT282" i="30"/>
  <c r="AX281" i="30"/>
  <c r="AT284" i="30"/>
  <c r="AN283" i="30"/>
  <c r="G275" i="30" s="1"/>
  <c r="AM284" i="30"/>
  <c r="AM283" i="30"/>
  <c r="AX287" i="30"/>
  <c r="AM282" i="30"/>
  <c r="AU286" i="30"/>
  <c r="AM279" i="30"/>
  <c r="AP280" i="30"/>
  <c r="AQ283" i="30"/>
  <c r="AW281" i="30"/>
  <c r="AU287" i="30"/>
  <c r="AS285" i="30"/>
  <c r="AY281" i="30"/>
  <c r="AV283" i="30"/>
  <c r="AU281" i="30"/>
  <c r="AX285" i="30"/>
  <c r="AQ288" i="30"/>
  <c r="AN281" i="30"/>
  <c r="E275" i="30" s="1"/>
  <c r="AY279" i="30"/>
  <c r="AU285" i="30"/>
  <c r="AV285" i="30"/>
  <c r="AY280" i="30"/>
  <c r="AR285" i="30"/>
  <c r="AY282" i="30"/>
  <c r="AR282" i="30"/>
  <c r="AR281" i="30"/>
  <c r="AO286" i="30"/>
  <c r="AT280" i="30"/>
  <c r="AN284" i="30"/>
  <c r="H275" i="30" s="1"/>
  <c r="AM281" i="30"/>
  <c r="AP283" i="30"/>
  <c r="AS287" i="30"/>
  <c r="AU279" i="30"/>
  <c r="AQ280" i="30"/>
  <c r="AW282" i="30"/>
  <c r="AQ285" i="30"/>
  <c r="AT287" i="30"/>
  <c r="AU284" i="30"/>
  <c r="AN285" i="30"/>
  <c r="I275" i="30" s="1"/>
  <c r="AM280" i="30"/>
  <c r="AM285" i="30"/>
  <c r="AW280" i="30"/>
  <c r="AQ282" i="30"/>
  <c r="AR287" i="30"/>
  <c r="AX279" i="30"/>
  <c r="AT285" i="30"/>
  <c r="AU283" i="30"/>
  <c r="AX280" i="30"/>
  <c r="AO279" i="30"/>
  <c r="AT288" i="30"/>
  <c r="AQ279" i="30"/>
  <c r="AN279" i="30"/>
  <c r="C275" i="30" s="1"/>
  <c r="AQ284" i="30"/>
  <c r="AN286" i="30"/>
  <c r="J275" i="30" s="1"/>
  <c r="AY283" i="30"/>
  <c r="AV288" i="30"/>
  <c r="AZ279" i="30"/>
  <c r="BB279" i="30"/>
  <c r="BA279" i="30"/>
  <c r="BA280" i="30"/>
  <c r="AZ280" i="30"/>
  <c r="AZ284" i="30"/>
  <c r="BB280" i="30"/>
  <c r="BB281" i="30"/>
  <c r="AZ285" i="30"/>
  <c r="BA281" i="30"/>
  <c r="AZ281" i="30"/>
  <c r="AZ286" i="30"/>
  <c r="BA282" i="30"/>
  <c r="AZ282" i="30"/>
  <c r="BB282" i="30"/>
  <c r="BB284" i="30"/>
  <c r="AZ287" i="30"/>
  <c r="BA284" i="30"/>
  <c r="AZ283" i="30"/>
  <c r="BB283" i="30"/>
  <c r="BA283" i="30"/>
  <c r="BB285" i="30"/>
  <c r="BA285" i="30"/>
  <c r="AZ288" i="30"/>
  <c r="BB286" i="30"/>
  <c r="BA286" i="30"/>
  <c r="BB287" i="30"/>
  <c r="BA287" i="30"/>
  <c r="BA288" i="30"/>
  <c r="BB288" i="30"/>
  <c r="AL159" i="30"/>
  <c r="U288" i="30"/>
  <c r="U287" i="30"/>
  <c r="V288" i="30"/>
  <c r="L274" i="30" s="1"/>
  <c r="BD158" i="30"/>
  <c r="V287" i="30"/>
  <c r="K274" i="30" s="1"/>
  <c r="V279" i="30"/>
  <c r="C274" i="30" s="1"/>
  <c r="AD282" i="30"/>
  <c r="AG284" i="30"/>
  <c r="AD286" i="30"/>
  <c r="AE279" i="30"/>
  <c r="W282" i="30"/>
  <c r="Z284" i="30"/>
  <c r="AE286" i="30"/>
  <c r="AA288" i="30"/>
  <c r="Z279" i="30"/>
  <c r="V280" i="30"/>
  <c r="D274" i="30" s="1"/>
  <c r="AA279" i="30"/>
  <c r="AA282" i="30"/>
  <c r="AD284" i="30"/>
  <c r="X287" i="30"/>
  <c r="AF285" i="30"/>
  <c r="V281" i="30"/>
  <c r="E274" i="30" s="1"/>
  <c r="AC280" i="30"/>
  <c r="AE288" i="30"/>
  <c r="AF284" i="30"/>
  <c r="Y286" i="30"/>
  <c r="Z287" i="30"/>
  <c r="W286" i="30"/>
  <c r="AB285" i="30"/>
  <c r="W283" i="30"/>
  <c r="AB279" i="30"/>
  <c r="Z281" i="30"/>
  <c r="AB281" i="30"/>
  <c r="AE285" i="30"/>
  <c r="AG288" i="30"/>
  <c r="W288" i="30"/>
  <c r="AA281" i="30"/>
  <c r="W281" i="30"/>
  <c r="Z283" i="30"/>
  <c r="AF286" i="30"/>
  <c r="AB282" i="30"/>
  <c r="AF281" i="30"/>
  <c r="AB284" i="30"/>
  <c r="V283" i="30"/>
  <c r="G274" i="30" s="1"/>
  <c r="U284" i="30"/>
  <c r="Y283" i="30"/>
  <c r="X282" i="30"/>
  <c r="AB288" i="30"/>
  <c r="Y279" i="30"/>
  <c r="V286" i="30"/>
  <c r="J274" i="30" s="1"/>
  <c r="AG283" i="30"/>
  <c r="AD288" i="30"/>
  <c r="V284" i="30"/>
  <c r="H274" i="30" s="1"/>
  <c r="X288" i="30"/>
  <c r="AF282" i="30"/>
  <c r="Z286" i="30"/>
  <c r="AE283" i="30"/>
  <c r="AF288" i="30"/>
  <c r="AD279" i="30"/>
  <c r="U281" i="30"/>
  <c r="X283" i="30"/>
  <c r="AA287" i="30"/>
  <c r="AC279" i="30"/>
  <c r="Y280" i="30"/>
  <c r="AE282" i="30"/>
  <c r="Y285" i="30"/>
  <c r="AB287" i="30"/>
  <c r="Y281" i="30"/>
  <c r="W287" i="30"/>
  <c r="V285" i="30"/>
  <c r="I274" i="30" s="1"/>
  <c r="U280" i="30"/>
  <c r="U285" i="30"/>
  <c r="AC281" i="30"/>
  <c r="AF283" i="30"/>
  <c r="Y288" i="30"/>
  <c r="W280" i="30"/>
  <c r="AG279" i="30"/>
  <c r="AC285" i="30"/>
  <c r="AD285" i="30"/>
  <c r="AF280" i="30"/>
  <c r="AG280" i="30"/>
  <c r="AG285" i="30"/>
  <c r="Z285" i="30"/>
  <c r="AA280" i="30"/>
  <c r="Z282" i="30"/>
  <c r="AC282" i="30"/>
  <c r="V282" i="30"/>
  <c r="F274" i="30" s="1"/>
  <c r="AG287" i="30"/>
  <c r="AD281" i="30"/>
  <c r="AF279" i="30"/>
  <c r="W285" i="30"/>
  <c r="X286" i="30"/>
  <c r="AA283" i="30"/>
  <c r="AB283" i="30"/>
  <c r="U286" i="30"/>
  <c r="U282" i="30"/>
  <c r="X284" i="30"/>
  <c r="AC286" i="30"/>
  <c r="AE280" i="30"/>
  <c r="U279" i="30"/>
  <c r="X280" i="30"/>
  <c r="X285" i="30"/>
  <c r="X279" i="30"/>
  <c r="AE281" i="30"/>
  <c r="AA284" i="30"/>
  <c r="AC287" i="30"/>
  <c r="AB286" i="30"/>
  <c r="Y282" i="30"/>
  <c r="AA285" i="30"/>
  <c r="AE284" i="30"/>
  <c r="AG281" i="30"/>
  <c r="AE287" i="30"/>
  <c r="U283" i="30"/>
  <c r="AF287" i="30"/>
  <c r="AC284" i="30"/>
  <c r="AC283" i="30"/>
  <c r="AG282" i="30"/>
  <c r="AD283" i="30"/>
  <c r="Y284" i="30"/>
  <c r="AB280" i="30"/>
  <c r="W284" i="30"/>
  <c r="Y287" i="30"/>
  <c r="W279" i="30"/>
  <c r="Z280" i="30"/>
  <c r="X281" i="30"/>
  <c r="AC288" i="30"/>
  <c r="AA286" i="30"/>
  <c r="AH279" i="30"/>
  <c r="AJ279" i="30"/>
  <c r="AI279" i="30"/>
  <c r="AH280" i="30"/>
  <c r="AJ280" i="30"/>
  <c r="AH284" i="30"/>
  <c r="AI280" i="30"/>
  <c r="AH285" i="30"/>
  <c r="AI281" i="30"/>
  <c r="AH281" i="30"/>
  <c r="AJ281" i="30"/>
  <c r="AH286" i="30"/>
  <c r="AH282" i="30"/>
  <c r="AI282" i="30"/>
  <c r="AJ282" i="30"/>
  <c r="AJ283" i="30"/>
  <c r="AH287" i="30"/>
  <c r="AI284" i="30"/>
  <c r="AI283" i="30"/>
  <c r="AJ284" i="30"/>
  <c r="AH283" i="30"/>
  <c r="AJ285" i="30"/>
  <c r="AH288" i="30"/>
  <c r="AI285" i="30"/>
  <c r="AJ286" i="30"/>
  <c r="AI286" i="30"/>
  <c r="AI287" i="30"/>
  <c r="AJ287" i="30"/>
  <c r="AI288" i="30"/>
  <c r="AJ288" i="30"/>
  <c r="O286" i="30"/>
  <c r="L287" i="30"/>
  <c r="L280" i="30"/>
  <c r="H288" i="30"/>
  <c r="H49" i="28"/>
  <c r="F137" i="3" s="1"/>
  <c r="H137" i="3" s="1"/>
  <c r="G49" i="28"/>
  <c r="F138" i="3" s="1"/>
  <c r="H138" i="3" s="1"/>
  <c r="E325" i="30"/>
  <c r="E311" i="30"/>
  <c r="F106" i="3"/>
  <c r="H106" i="3" s="1"/>
  <c r="J106" i="3" s="1"/>
  <c r="M106" i="3" s="1"/>
  <c r="H47" i="28"/>
  <c r="F105" i="3" s="1"/>
  <c r="H105" i="3" s="1"/>
  <c r="J105" i="3" s="1"/>
  <c r="M105" i="3" s="1"/>
  <c r="O48" i="28"/>
  <c r="F59" i="3"/>
  <c r="H59" i="3" s="1"/>
  <c r="L59" i="3" s="1"/>
  <c r="F58" i="3"/>
  <c r="H58" i="3" s="1"/>
  <c r="L58" i="3" s="1"/>
  <c r="H11" i="3"/>
  <c r="L11" i="3" s="1"/>
  <c r="L15" i="3" s="1"/>
  <c r="B46" i="4"/>
  <c r="B46" i="31"/>
  <c r="F83" i="3"/>
  <c r="H83" i="3" s="1"/>
  <c r="L83" i="3" s="1"/>
  <c r="F84" i="3"/>
  <c r="H84" i="3" s="1"/>
  <c r="O47" i="28"/>
  <c r="C327" i="30"/>
  <c r="D326" i="30"/>
  <c r="E326" i="30" s="1"/>
  <c r="C313" i="30"/>
  <c r="D312" i="30"/>
  <c r="E312" i="30" s="1"/>
  <c r="C302" i="30"/>
  <c r="D301" i="30"/>
  <c r="F177" i="3"/>
  <c r="F193" i="3" s="1"/>
  <c r="F209" i="3" s="1"/>
  <c r="H41" i="4"/>
  <c r="H40" i="4"/>
  <c r="J104" i="3"/>
  <c r="M104" i="3" s="1"/>
  <c r="L61" i="23"/>
  <c r="B46" i="27"/>
  <c r="B86" i="23"/>
  <c r="K58" i="23"/>
  <c r="G38" i="4" s="1"/>
  <c r="C90" i="28"/>
  <c r="C89" i="28"/>
  <c r="K65" i="23"/>
  <c r="G39" i="4" s="1"/>
  <c r="G39" i="31" s="1"/>
  <c r="J38" i="4"/>
  <c r="J38" i="31" s="1"/>
  <c r="L68" i="23"/>
  <c r="H39" i="27"/>
  <c r="H38" i="27"/>
  <c r="C88" i="28"/>
  <c r="K79" i="23"/>
  <c r="L80" i="23" s="1"/>
  <c r="K72" i="23"/>
  <c r="L73" i="23" s="1"/>
  <c r="H48" i="28"/>
  <c r="F121" i="3" s="1"/>
  <c r="H121" i="3" s="1"/>
  <c r="J121" i="3" s="1"/>
  <c r="M121" i="3" s="1"/>
  <c r="F122" i="3"/>
  <c r="H122" i="3" s="1"/>
  <c r="L207" i="3"/>
  <c r="J207" i="3"/>
  <c r="M207" i="3" s="1"/>
  <c r="L208" i="3"/>
  <c r="J208" i="3"/>
  <c r="M208" i="3" s="1"/>
  <c r="F192" i="3"/>
  <c r="H192" i="3" s="1"/>
  <c r="H191" i="3"/>
  <c r="L175" i="3"/>
  <c r="J175" i="3"/>
  <c r="M175" i="3" s="1"/>
  <c r="J176" i="3"/>
  <c r="M176" i="3" s="1"/>
  <c r="L176" i="3"/>
  <c r="J39" i="4"/>
  <c r="J39" i="31" s="1"/>
  <c r="C87" i="28"/>
  <c r="J82" i="3"/>
  <c r="M82" i="3" s="1"/>
  <c r="L101" i="3"/>
  <c r="M117" i="3"/>
  <c r="L79" i="3"/>
  <c r="L54" i="3"/>
  <c r="M39" i="3"/>
  <c r="L57" i="3"/>
  <c r="J42" i="3"/>
  <c r="M42" i="3" s="1"/>
  <c r="AL160" i="30" l="1"/>
  <c r="AL164" i="30" s="1"/>
  <c r="AL162" i="30"/>
  <c r="AL166" i="30"/>
  <c r="AL168" i="30" s="1"/>
  <c r="Z288" i="30" s="1"/>
  <c r="N274" i="30"/>
  <c r="F26" i="3" s="1"/>
  <c r="N275" i="30"/>
  <c r="F41" i="3" s="1"/>
  <c r="F56" i="3" s="1"/>
  <c r="BG158" i="30"/>
  <c r="BD159" i="30"/>
  <c r="BD163" i="30" s="1"/>
  <c r="BD161" i="30"/>
  <c r="BD165" i="30"/>
  <c r="AM160" i="30"/>
  <c r="AM164" i="30" s="1"/>
  <c r="AM162" i="30"/>
  <c r="AM166" i="30"/>
  <c r="BE161" i="30"/>
  <c r="BH158" i="30"/>
  <c r="BE159" i="30"/>
  <c r="BE163" i="30" s="1"/>
  <c r="BE165" i="30"/>
  <c r="Q48" i="28"/>
  <c r="F43" i="3" s="1"/>
  <c r="H43" i="3" s="1"/>
  <c r="J43" i="3" s="1"/>
  <c r="M43" i="3" s="1"/>
  <c r="P48" i="28"/>
  <c r="F44" i="3" s="1"/>
  <c r="H44" i="3" s="1"/>
  <c r="L44" i="3" s="1"/>
  <c r="P47" i="28"/>
  <c r="F29" i="3" s="1"/>
  <c r="Q47" i="28"/>
  <c r="F28" i="3" s="1"/>
  <c r="E301" i="30"/>
  <c r="B45" i="4"/>
  <c r="B45" i="31"/>
  <c r="H40" i="27"/>
  <c r="H40" i="31"/>
  <c r="I38" i="4"/>
  <c r="I38" i="31" s="1"/>
  <c r="G38" i="31"/>
  <c r="H41" i="27"/>
  <c r="H41" i="31"/>
  <c r="J11" i="3"/>
  <c r="M11" i="3" s="1"/>
  <c r="M15" i="3" s="1"/>
  <c r="M16" i="3" s="1"/>
  <c r="J58" i="3"/>
  <c r="M58" i="3" s="1"/>
  <c r="J59" i="3"/>
  <c r="M59" i="3" s="1"/>
  <c r="C328" i="30"/>
  <c r="D327" i="30"/>
  <c r="E327" i="30" s="1"/>
  <c r="C314" i="30"/>
  <c r="D313" i="30"/>
  <c r="E313" i="30" s="1"/>
  <c r="C82" i="28"/>
  <c r="C303" i="30"/>
  <c r="D302" i="30"/>
  <c r="H120" i="3"/>
  <c r="J120" i="3" s="1"/>
  <c r="M120" i="3" s="1"/>
  <c r="B45" i="27"/>
  <c r="J41" i="4"/>
  <c r="J40" i="4"/>
  <c r="G40" i="4"/>
  <c r="G38" i="27"/>
  <c r="L66" i="23"/>
  <c r="L59" i="23"/>
  <c r="J38" i="27"/>
  <c r="J39" i="27"/>
  <c r="G39" i="27"/>
  <c r="I39" i="4"/>
  <c r="I39" i="31" s="1"/>
  <c r="G41" i="4"/>
  <c r="G41" i="31" s="1"/>
  <c r="L106" i="3"/>
  <c r="L121" i="3"/>
  <c r="J83" i="3"/>
  <c r="M83" i="3" s="1"/>
  <c r="L105" i="3"/>
  <c r="L138" i="3"/>
  <c r="J138" i="3"/>
  <c r="M138" i="3" s="1"/>
  <c r="L137" i="3"/>
  <c r="J137" i="3"/>
  <c r="M137" i="3" s="1"/>
  <c r="J122" i="3"/>
  <c r="M122" i="3" s="1"/>
  <c r="L122" i="3"/>
  <c r="L191" i="3"/>
  <c r="J191" i="3"/>
  <c r="M191" i="3" s="1"/>
  <c r="J192" i="3"/>
  <c r="M192" i="3" s="1"/>
  <c r="L192" i="3"/>
  <c r="H136" i="3"/>
  <c r="J136" i="3" s="1"/>
  <c r="M136" i="3" s="1"/>
  <c r="BE167" i="30" l="1"/>
  <c r="AV280" i="30" s="1"/>
  <c r="BW158" i="30"/>
  <c r="BH159" i="30"/>
  <c r="BH163" i="30" s="1"/>
  <c r="BH161" i="30"/>
  <c r="BH165" i="30"/>
  <c r="BH167" i="30" s="1"/>
  <c r="AY286" i="30" s="1"/>
  <c r="BV158" i="30"/>
  <c r="BG161" i="30"/>
  <c r="BG159" i="30"/>
  <c r="BG163" i="30" s="1"/>
  <c r="BG165" i="30"/>
  <c r="AM168" i="30"/>
  <c r="AR288" i="30" s="1"/>
  <c r="BD167" i="30"/>
  <c r="AD280" i="30" s="1"/>
  <c r="L43" i="3"/>
  <c r="J44" i="3"/>
  <c r="M44" i="3" s="1"/>
  <c r="M17" i="3"/>
  <c r="M18" i="3" s="1"/>
  <c r="I38" i="27"/>
  <c r="J41" i="27"/>
  <c r="J41" i="31"/>
  <c r="J40" i="27"/>
  <c r="J40" i="31"/>
  <c r="I40" i="4"/>
  <c r="I40" i="31" s="1"/>
  <c r="G40" i="31"/>
  <c r="C329" i="30"/>
  <c r="D328" i="30"/>
  <c r="E328" i="30" s="1"/>
  <c r="C315" i="30"/>
  <c r="D314" i="30"/>
  <c r="E314" i="30" s="1"/>
  <c r="E302" i="30"/>
  <c r="C304" i="30"/>
  <c r="D303" i="30"/>
  <c r="L120" i="3"/>
  <c r="G40" i="27"/>
  <c r="I41" i="4"/>
  <c r="I41" i="31" s="1"/>
  <c r="I39" i="27"/>
  <c r="G41" i="27"/>
  <c r="L136" i="3"/>
  <c r="H155" i="3"/>
  <c r="H40" i="3"/>
  <c r="H55" i="3"/>
  <c r="G29" i="3"/>
  <c r="G28" i="3"/>
  <c r="G26" i="3"/>
  <c r="BV165" i="30" l="1"/>
  <c r="BV159" i="30"/>
  <c r="BV163" i="30" s="1"/>
  <c r="BV161" i="30"/>
  <c r="AV287" i="30"/>
  <c r="BW165" i="30"/>
  <c r="BW161" i="30"/>
  <c r="BW159" i="30"/>
  <c r="BW163" i="30" s="1"/>
  <c r="BG167" i="30"/>
  <c r="AD287" i="30" s="1"/>
  <c r="H29" i="27"/>
  <c r="H29" i="4"/>
  <c r="I29" i="31"/>
  <c r="I40" i="27"/>
  <c r="D329" i="30"/>
  <c r="E329" i="30" s="1"/>
  <c r="C330" i="30"/>
  <c r="C316" i="30"/>
  <c r="D315" i="30"/>
  <c r="E315" i="30" s="1"/>
  <c r="E303" i="30"/>
  <c r="C305" i="30"/>
  <c r="D305" i="30" s="1"/>
  <c r="E305" i="30" s="1"/>
  <c r="D304" i="30"/>
  <c r="I41" i="27"/>
  <c r="H177" i="3"/>
  <c r="L155" i="3"/>
  <c r="J155" i="3"/>
  <c r="M155" i="3" s="1"/>
  <c r="H80" i="3"/>
  <c r="F103" i="3"/>
  <c r="H102" i="3"/>
  <c r="L55" i="3"/>
  <c r="J55" i="3"/>
  <c r="M55" i="3" s="1"/>
  <c r="H56" i="3"/>
  <c r="H41" i="3"/>
  <c r="J40" i="3"/>
  <c r="M40" i="3" s="1"/>
  <c r="L40" i="3"/>
  <c r="AR60" i="23"/>
  <c r="AR59" i="23"/>
  <c r="H27" i="3"/>
  <c r="L27" i="3" s="1"/>
  <c r="BW167" i="30" l="1"/>
  <c r="BV167" i="30"/>
  <c r="AG286" i="30" s="1"/>
  <c r="F29" i="31"/>
  <c r="E304" i="30"/>
  <c r="AT57" i="23"/>
  <c r="F85" i="3" s="1"/>
  <c r="F158" i="3" s="1"/>
  <c r="C331" i="30"/>
  <c r="D330" i="30"/>
  <c r="E330" i="30" s="1"/>
  <c r="D316" i="30"/>
  <c r="E316" i="30" s="1"/>
  <c r="C317" i="30"/>
  <c r="C306" i="30"/>
  <c r="D306" i="30" s="1"/>
  <c r="E306" i="30" s="1"/>
  <c r="L177" i="3"/>
  <c r="J177" i="3"/>
  <c r="M177" i="3" s="1"/>
  <c r="H209" i="3"/>
  <c r="H193" i="3"/>
  <c r="C83" i="28"/>
  <c r="B84" i="28"/>
  <c r="L41" i="3"/>
  <c r="L45" i="3" s="1"/>
  <c r="J41" i="3"/>
  <c r="M41" i="3" s="1"/>
  <c r="L80" i="3"/>
  <c r="J80" i="3"/>
  <c r="M80" i="3" s="1"/>
  <c r="L56" i="3"/>
  <c r="J56" i="3"/>
  <c r="M56" i="3" s="1"/>
  <c r="H103" i="3"/>
  <c r="H81" i="3"/>
  <c r="F119" i="3"/>
  <c r="H119" i="3" s="1"/>
  <c r="H118" i="3"/>
  <c r="F135" i="3"/>
  <c r="H135" i="3" s="1"/>
  <c r="H134" i="3"/>
  <c r="L102" i="3"/>
  <c r="J102" i="3"/>
  <c r="M102" i="3" s="1"/>
  <c r="J27" i="3"/>
  <c r="M27" i="3" s="1"/>
  <c r="H25" i="3"/>
  <c r="L25" i="3" s="1"/>
  <c r="K44" i="23" l="1"/>
  <c r="C84" i="28"/>
  <c r="C332" i="30"/>
  <c r="D331" i="30"/>
  <c r="C318" i="30"/>
  <c r="D317" i="30"/>
  <c r="L193" i="3"/>
  <c r="J193" i="3"/>
  <c r="M193" i="3" s="1"/>
  <c r="L209" i="3"/>
  <c r="J209" i="3"/>
  <c r="M209" i="3" s="1"/>
  <c r="F180" i="3"/>
  <c r="H158" i="3"/>
  <c r="L81" i="3"/>
  <c r="J81" i="3"/>
  <c r="M81" i="3" s="1"/>
  <c r="J103" i="3"/>
  <c r="M103" i="3" s="1"/>
  <c r="L103" i="3"/>
  <c r="L134" i="3"/>
  <c r="J134" i="3"/>
  <c r="M134" i="3" s="1"/>
  <c r="J135" i="3"/>
  <c r="M135" i="3" s="1"/>
  <c r="L135" i="3"/>
  <c r="J118" i="3"/>
  <c r="M118" i="3" s="1"/>
  <c r="L118" i="3"/>
  <c r="L119" i="3"/>
  <c r="J119" i="3"/>
  <c r="M119" i="3" s="1"/>
  <c r="H85" i="3"/>
  <c r="J85" i="3" s="1"/>
  <c r="M85" i="3" s="1"/>
  <c r="F107" i="3"/>
  <c r="L84" i="3"/>
  <c r="J25" i="3"/>
  <c r="M25" i="3" s="1"/>
  <c r="F29" i="4" l="1"/>
  <c r="G29" i="31" s="1"/>
  <c r="L29" i="23"/>
  <c r="E331" i="30"/>
  <c r="D332" i="30"/>
  <c r="C333" i="30"/>
  <c r="D333" i="30" s="1"/>
  <c r="E317" i="30"/>
  <c r="D318" i="30"/>
  <c r="C319" i="30"/>
  <c r="D319" i="30" s="1"/>
  <c r="L45" i="23"/>
  <c r="F32" i="4"/>
  <c r="F32" i="31" s="1"/>
  <c r="G32" i="31" s="1"/>
  <c r="L158" i="3"/>
  <c r="L159" i="3" s="1"/>
  <c r="J158" i="3"/>
  <c r="M158" i="3" s="1"/>
  <c r="M159" i="3" s="1"/>
  <c r="H180" i="3"/>
  <c r="F196" i="3"/>
  <c r="H107" i="3"/>
  <c r="J107" i="3" s="1"/>
  <c r="M107" i="3" s="1"/>
  <c r="M108" i="3" s="1"/>
  <c r="F123" i="3"/>
  <c r="F139" i="3" s="1"/>
  <c r="L85" i="3"/>
  <c r="J84" i="3"/>
  <c r="M84" i="3" s="1"/>
  <c r="M86" i="3" s="1"/>
  <c r="E332" i="30" l="1"/>
  <c r="E318" i="30"/>
  <c r="F29" i="27"/>
  <c r="G29" i="27" s="1"/>
  <c r="G29" i="4"/>
  <c r="C334" i="30"/>
  <c r="D334" i="30" s="1"/>
  <c r="C320" i="30"/>
  <c r="D320" i="30" s="1"/>
  <c r="M160" i="3"/>
  <c r="M161" i="3" s="1"/>
  <c r="M162" i="3" s="1"/>
  <c r="L38" i="4" s="1"/>
  <c r="N38" i="31" s="1"/>
  <c r="F32" i="27"/>
  <c r="G32" i="27" s="1"/>
  <c r="G32" i="4"/>
  <c r="F212" i="3"/>
  <c r="H212" i="3" s="1"/>
  <c r="H196" i="3"/>
  <c r="J180" i="3"/>
  <c r="M180" i="3" s="1"/>
  <c r="M181" i="3" s="1"/>
  <c r="L180" i="3"/>
  <c r="L181" i="3" s="1"/>
  <c r="H123" i="3"/>
  <c r="J123" i="3" s="1"/>
  <c r="M123" i="3" s="1"/>
  <c r="M124" i="3" s="1"/>
  <c r="H139" i="3"/>
  <c r="L107" i="3"/>
  <c r="L108" i="3" s="1"/>
  <c r="M109" i="3" s="1"/>
  <c r="M110" i="3" s="1"/>
  <c r="M111" i="3" s="1"/>
  <c r="K39" i="4" s="1"/>
  <c r="L39" i="31" s="1"/>
  <c r="L86" i="3"/>
  <c r="M87" i="3" s="1"/>
  <c r="M88" i="3" s="1"/>
  <c r="M89" i="3" s="1"/>
  <c r="K38" i="4" s="1"/>
  <c r="L38" i="31" s="1"/>
  <c r="M45" i="3"/>
  <c r="M46" i="3" s="1"/>
  <c r="M47" i="3" s="1"/>
  <c r="M48" i="3" s="1"/>
  <c r="I31" i="31" s="1"/>
  <c r="L60" i="3"/>
  <c r="M60" i="3"/>
  <c r="H24" i="3"/>
  <c r="J24" i="3" s="1"/>
  <c r="L24" i="3" s="1"/>
  <c r="E319" i="30" l="1"/>
  <c r="E333" i="30"/>
  <c r="E334" i="30"/>
  <c r="E320" i="30"/>
  <c r="M182" i="3"/>
  <c r="M183" i="3" s="1"/>
  <c r="M184" i="3" s="1"/>
  <c r="L39" i="4" s="1"/>
  <c r="N39" i="31" s="1"/>
  <c r="K38" i="27"/>
  <c r="K39" i="27"/>
  <c r="L38" i="27"/>
  <c r="H31" i="4"/>
  <c r="H31" i="27"/>
  <c r="J196" i="3"/>
  <c r="M196" i="3" s="1"/>
  <c r="M197" i="3" s="1"/>
  <c r="L196" i="3"/>
  <c r="L197" i="3" s="1"/>
  <c r="L212" i="3"/>
  <c r="L213" i="3" s="1"/>
  <c r="J212" i="3"/>
  <c r="M212" i="3" s="1"/>
  <c r="M213" i="3" s="1"/>
  <c r="L123" i="3"/>
  <c r="L124" i="3" s="1"/>
  <c r="M125" i="3" s="1"/>
  <c r="M126" i="3" s="1"/>
  <c r="M127" i="3" s="1"/>
  <c r="K40" i="4" s="1"/>
  <c r="L40" i="31" s="1"/>
  <c r="L139" i="3"/>
  <c r="L140" i="3" s="1"/>
  <c r="J139" i="3"/>
  <c r="M139" i="3" s="1"/>
  <c r="M140" i="3" s="1"/>
  <c r="M61" i="3"/>
  <c r="M62" i="3" s="1"/>
  <c r="M63" i="3" s="1"/>
  <c r="I32" i="31" s="1"/>
  <c r="H29" i="3"/>
  <c r="L29" i="3" s="1"/>
  <c r="H28" i="3"/>
  <c r="L28" i="3" s="1"/>
  <c r="M24" i="3"/>
  <c r="F30" i="4" l="1"/>
  <c r="F30" i="31" s="1"/>
  <c r="G30" i="31" s="1"/>
  <c r="L35" i="23"/>
  <c r="L40" i="23"/>
  <c r="F31" i="4"/>
  <c r="F31" i="31" s="1"/>
  <c r="G31" i="31" s="1"/>
  <c r="K40" i="27"/>
  <c r="L39" i="27"/>
  <c r="M214" i="3"/>
  <c r="M215" i="3" s="1"/>
  <c r="M216" i="3" s="1"/>
  <c r="L41" i="4" s="1"/>
  <c r="N41" i="31" s="1"/>
  <c r="H32" i="4"/>
  <c r="H32" i="27"/>
  <c r="M198" i="3"/>
  <c r="M199" i="3" s="1"/>
  <c r="M200" i="3" s="1"/>
  <c r="L40" i="4" s="1"/>
  <c r="N40" i="31" s="1"/>
  <c r="M141" i="3"/>
  <c r="M142" i="3" s="1"/>
  <c r="M143" i="3" s="1"/>
  <c r="K41" i="4" s="1"/>
  <c r="L41" i="31" s="1"/>
  <c r="J29" i="3"/>
  <c r="M29" i="3" s="1"/>
  <c r="J28" i="3"/>
  <c r="M28" i="3" s="1"/>
  <c r="G31" i="4" l="1"/>
  <c r="F31" i="27"/>
  <c r="G31" i="27" s="1"/>
  <c r="G30" i="4"/>
  <c r="F30" i="27"/>
  <c r="G30" i="27" s="1"/>
  <c r="L40" i="27"/>
  <c r="K41" i="27"/>
  <c r="L41" i="27"/>
  <c r="H26" i="3"/>
  <c r="L26" i="3" s="1"/>
  <c r="L30" i="3" s="1"/>
  <c r="J26" i="3" l="1"/>
  <c r="M26" i="3" s="1"/>
  <c r="M30" i="3" s="1"/>
  <c r="M31" i="3" s="1"/>
  <c r="M32" i="3" s="1"/>
  <c r="M33" i="3" s="1"/>
  <c r="I30" i="31" s="1"/>
  <c r="H30" i="27" l="1"/>
  <c r="H30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ismail - [2010]</author>
    <author>Lenovo</author>
  </authors>
  <commentList>
    <comment ref="G7" authorId="0" shapeId="0" xr:uid="{00000000-0006-0000-0200-000001000000}">
      <text>
        <r>
          <rPr>
            <b/>
            <sz val="10"/>
            <color indexed="81"/>
            <rFont val="Tahoma"/>
            <family val="2"/>
          </rPr>
          <t>dipilih slur</t>
        </r>
      </text>
    </comment>
    <comment ref="B89" authorId="1" shapeId="0" xr:uid="{A4FD8D35-5F10-4A37-9D0D-D79C6CA4E690}">
      <text>
        <r>
          <rPr>
            <b/>
            <sz val="8"/>
            <color indexed="81"/>
            <rFont val="Tahoma"/>
            <family val="2"/>
          </rPr>
          <t>Silahkan pilih channel untuk titik ukur (2,5,8 °C)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>Jika tidak, delete saja</t>
        </r>
      </text>
    </comment>
    <comment ref="B96" authorId="0" shapeId="0" xr:uid="{1766801E-14AB-4772-BC9E-A1806B0DB8B7}">
      <text>
        <r>
          <rPr>
            <b/>
            <sz val="9"/>
            <color indexed="81"/>
            <rFont val="Tahoma"/>
            <family val="2"/>
          </rPr>
          <t>Silahkan pilih standar untuk titik ukur (2,5,8 °C)
Jika tidak, delete saja</t>
        </r>
      </text>
    </comment>
  </commentList>
</comments>
</file>

<file path=xl/sharedStrings.xml><?xml version="1.0" encoding="utf-8"?>
<sst xmlns="http://schemas.openxmlformats.org/spreadsheetml/2006/main" count="2785" uniqueCount="421">
  <si>
    <t>LEMBAR KERJA KALIBRASI THERMOHYGROMETER</t>
  </si>
  <si>
    <t>Nomor Sertifikat : 79 /        /        -        / E -                 Dt</t>
  </si>
  <si>
    <t>Merek</t>
  </si>
  <si>
    <t>:</t>
  </si>
  <si>
    <t xml:space="preserve">Model/Tipe                    </t>
  </si>
  <si>
    <t xml:space="preserve">No. Seri                          </t>
  </si>
  <si>
    <t>Resolusi :</t>
  </si>
  <si>
    <t>Suhu</t>
  </si>
  <si>
    <t xml:space="preserve">             °C</t>
  </si>
  <si>
    <t>Kelembaban Relatif       :</t>
  </si>
  <si>
    <t xml:space="preserve">            %RH</t>
  </si>
  <si>
    <t>Tanggal Penerimaan Alat</t>
  </si>
  <si>
    <t xml:space="preserve">Tanggal Kalibrasi                            </t>
  </si>
  <si>
    <t xml:space="preserve">Tempat Kalibrasi                             </t>
  </si>
  <si>
    <t xml:space="preserve">Nama Ruang                                    </t>
  </si>
  <si>
    <t>Metode Kerja</t>
  </si>
  <si>
    <t>049-18</t>
  </si>
  <si>
    <t>I.</t>
  </si>
  <si>
    <t>Kondisi Ruang</t>
  </si>
  <si>
    <t>Awal</t>
  </si>
  <si>
    <t>Akhir</t>
  </si>
  <si>
    <t>1. Suhu</t>
  </si>
  <si>
    <r>
      <t>0</t>
    </r>
    <r>
      <rPr>
        <sz val="12"/>
        <rFont val="Arial"/>
        <family val="2"/>
      </rPr>
      <t>C</t>
    </r>
  </si>
  <si>
    <t xml:space="preserve">2. Kelembaban </t>
  </si>
  <si>
    <t>%RH</t>
  </si>
  <si>
    <t>II.</t>
  </si>
  <si>
    <t>Pemeriksaan Kondisi Fisik dan Fungsi Alat</t>
  </si>
  <si>
    <t>1. Fisik</t>
  </si>
  <si>
    <t>: Baik / Tidak baik</t>
  </si>
  <si>
    <t>2. Fungsi</t>
  </si>
  <si>
    <t>(Pilih salah satu dan coret yang tidak perlu)</t>
  </si>
  <si>
    <t>III.</t>
  </si>
  <si>
    <t>Pengujian Kinerja</t>
  </si>
  <si>
    <t>a. Kalibrasi Suhu pada kelembaban relatif 50% RH</t>
  </si>
  <si>
    <t>No</t>
  </si>
  <si>
    <r>
      <t>Titik Ukur (</t>
    </r>
    <r>
      <rPr>
        <sz val="12"/>
        <rFont val="Calibri"/>
        <family val="2"/>
      </rPr>
      <t>°</t>
    </r>
    <r>
      <rPr>
        <sz val="12"/>
        <rFont val="Arial"/>
        <family val="2"/>
      </rPr>
      <t>C)</t>
    </r>
  </si>
  <si>
    <t>Data</t>
  </si>
  <si>
    <t>Pembacaan (°C)</t>
  </si>
  <si>
    <t>Standar</t>
  </si>
  <si>
    <t>Alat</t>
  </si>
  <si>
    <t>b. Kalibrasi Kelembaban pada suhu 25°C</t>
  </si>
  <si>
    <t>Titik Ukur (%RH)</t>
  </si>
  <si>
    <t>Pembacaan (%RH)</t>
  </si>
  <si>
    <t>Standar (Naik)</t>
  </si>
  <si>
    <t>Alat (Naik)</t>
  </si>
  <si>
    <t>Standar (Turun)</t>
  </si>
  <si>
    <t>Alat (Turun)</t>
  </si>
  <si>
    <t>IV.</t>
  </si>
  <si>
    <t>Keterangan</t>
  </si>
  <si>
    <t>Ketidakpastian pengukuran dilaporkan pada tingkat kepercayaan 95% dengan faktor cakupan k=2</t>
  </si>
  <si>
    <t>V.</t>
  </si>
  <si>
    <t>Alat Ukur yang digunakan</t>
  </si>
  <si>
    <t>Thermohygrometer,Merek : KIMO, Model : KH - 210 - AO, SN : 14082463, 15062872, 15062874, 15062875</t>
  </si>
  <si>
    <t>Thermohygrometer,Merek : SEKONIC, Model : ST-50A, SN : HE 21-000670, HE 21-000669</t>
  </si>
  <si>
    <t>Climatic Chamber, Merek : Kambic, Model : KK-190, SN : 21026844</t>
  </si>
  <si>
    <t>Thermohygrometer Reference, Merek : Rotronic, Model : HC2A - SH Hygro Clip 2, SN : 20490964</t>
  </si>
  <si>
    <t>Thermohygrometer Reference, Merek : Fluke, Model : 1620A, SN : C12703</t>
  </si>
  <si>
    <t>Thermohygro Sensor, SN : C12703, C13549</t>
  </si>
  <si>
    <t>Thermohygrolightmeter, Merek : KIMO, KH-210-AO No Seri :14082463, 15062872, 15062873, 15062874, 15062875</t>
  </si>
  <si>
    <t>Thermohygrobarometer, Merek : Greisinger, Model : GFTB 200, SN : 34903046, 34903053, 34903051, 34904091</t>
  </si>
  <si>
    <t>Thermohygrobarometer, Merek : EXTECH, Model : SD700, SN : A.100586, A.100605, A.100609, A.100611, A.100616,</t>
  </si>
  <si>
    <t>Thermohygrobarometer, Merek : EXTECH, Model : SD700, SN : A.100617, A.100618, A.100615</t>
  </si>
  <si>
    <t>VI.</t>
  </si>
  <si>
    <t>Petugas Kalibrasi</t>
  </si>
  <si>
    <t>……………………………………………</t>
  </si>
  <si>
    <t>No.</t>
  </si>
  <si>
    <t>Tanggal</t>
  </si>
  <si>
    <t>Revisi</t>
  </si>
  <si>
    <t>Nama</t>
  </si>
  <si>
    <t>22.8.2022</t>
  </si>
  <si>
    <t>SN Rotronic 20490964</t>
  </si>
  <si>
    <t>diman</t>
  </si>
  <si>
    <t>Hasil pengujian kinerja suhu ke Sistem Internasional ( SI ) melalui Laboratorium SNSU</t>
  </si>
  <si>
    <t>Hasil pengujian kinerja suhu tertelusur ke Satuan SI melalui Laboratorium SNSU-BSN</t>
  </si>
  <si>
    <t>Hasil pengujian kinerja kelembaban relatif ke Sistem Internasional ( SI ) melalui Laboratorium SNSU</t>
  </si>
  <si>
    <t>Hasil pengujian kinerja kelembaban relatif tertelusur ke Satuan SI melalui Laboratorium SNSU-BSN</t>
  </si>
  <si>
    <t>25.8.2022</t>
  </si>
  <si>
    <t>Kolom pembacaan alat berada di F dan kolom pembacaan standar di kolom D</t>
  </si>
  <si>
    <t>Kolom pembacaan alat berada di D dan kolom pembacaan standar di kolom F</t>
  </si>
  <si>
    <t>venna</t>
  </si>
  <si>
    <t>Rumus koreksi naik kolom H-D</t>
  </si>
  <si>
    <t>Rumus koreksi naik kolom G-D</t>
  </si>
  <si>
    <t>21.12.2022</t>
  </si>
  <si>
    <t>Belum otomatis thermohygrometer digital dan analog</t>
  </si>
  <si>
    <t>Done</t>
  </si>
  <si>
    <t>Venna</t>
  </si>
  <si>
    <t>Nomor Sertifikat : 79 /</t>
  </si>
  <si>
    <t>Nomor Sertifikat : 84 /</t>
  </si>
  <si>
    <t>Extech</t>
  </si>
  <si>
    <t>SD 700</t>
  </si>
  <si>
    <t>Digital</t>
  </si>
  <si>
    <t>Analog</t>
  </si>
  <si>
    <t>Laboratorium Kalibrasi LPFK Banjarbaru</t>
  </si>
  <si>
    <t>-</t>
  </si>
  <si>
    <t>MK 049-18</t>
  </si>
  <si>
    <t>Rata-rata</t>
  </si>
  <si>
    <t>°C</t>
  </si>
  <si>
    <t>Baik</t>
  </si>
  <si>
    <t>Tidak Baik</t>
  </si>
  <si>
    <t>a. Kalibrasi Suhu</t>
  </si>
  <si>
    <t>Jumlah Data  (°C)</t>
  </si>
  <si>
    <t>Rata-Rata  (°C)</t>
  </si>
  <si>
    <t>Rata-Rata Terkoreksi  (°C)</t>
  </si>
  <si>
    <t>Koreksi   (°C)</t>
  </si>
  <si>
    <t>Stdev   (°C)</t>
  </si>
  <si>
    <t>(x)</t>
  </si>
  <si>
    <t>x1</t>
  </si>
  <si>
    <t>y1</t>
  </si>
  <si>
    <t>x2</t>
  </si>
  <si>
    <t>y2</t>
  </si>
  <si>
    <t>Jumlah Data  (%RH)</t>
  </si>
  <si>
    <t>Rata-Rata  (%RH)</t>
  </si>
  <si>
    <t>Rata-Rata Terkoreksi  (%RH)</t>
  </si>
  <si>
    <t>Koreksi   (%RH)</t>
  </si>
  <si>
    <t>Stdev   (%RH)</t>
  </si>
  <si>
    <t>Upscale</t>
  </si>
  <si>
    <t>Downscale</t>
  </si>
  <si>
    <t>Up-Down (ABS)</t>
  </si>
  <si>
    <t>Histerisis</t>
  </si>
  <si>
    <t>Pembacaan</t>
  </si>
  <si>
    <t>Metode Kalibrasi yang digunakan mengacu pada Keputusan Direktur Jenderal Pelayanan Kesehatan                                                                Nomor : HK.02.02/V/0412/2020 Nomor MK : 049-18</t>
  </si>
  <si>
    <t>Thermohygrometer Reference, Merek : Rotronic, Model : HC2A - SH Hygro Clip 2, SN : 72064154</t>
  </si>
  <si>
    <t>Thermohygrolight, Merek : Greisinger, Model : GFTB 200, SN : 34903051</t>
  </si>
  <si>
    <t>Vikki Akhsanudin Nurkholis</t>
  </si>
  <si>
    <t>VII.</t>
  </si>
  <si>
    <t>Tanggal Pembuatan Laporan</t>
  </si>
  <si>
    <t>UNCERTAINTY BUDGET</t>
  </si>
  <si>
    <t>S U H U</t>
  </si>
  <si>
    <t>Resolusi Alat :</t>
  </si>
  <si>
    <t xml:space="preserve"> °C</t>
  </si>
  <si>
    <t>Titik Ukur         :</t>
  </si>
  <si>
    <t>Komponen Ketidakpastian</t>
  </si>
  <si>
    <t>Unit</t>
  </si>
  <si>
    <t>Distribusi</t>
  </si>
  <si>
    <t>u</t>
  </si>
  <si>
    <t>pembagi</t>
  </si>
  <si>
    <r>
      <rPr>
        <sz val="11"/>
        <rFont val="Calibri"/>
        <family val="2"/>
      </rPr>
      <t>u</t>
    </r>
    <r>
      <rPr>
        <vertAlign val="subscript"/>
        <sz val="11"/>
        <rFont val="Calibri"/>
        <family val="2"/>
      </rPr>
      <t>i</t>
    </r>
  </si>
  <si>
    <r>
      <rPr>
        <sz val="11"/>
        <rFont val="Calibri"/>
        <family val="2"/>
      </rPr>
      <t>c</t>
    </r>
    <r>
      <rPr>
        <vertAlign val="subscript"/>
        <sz val="11"/>
        <rFont val="Calibri"/>
        <family val="2"/>
      </rPr>
      <t>i</t>
    </r>
  </si>
  <si>
    <r>
      <rPr>
        <sz val="11"/>
        <rFont val="Calibri"/>
        <family val="2"/>
      </rPr>
      <t>u</t>
    </r>
    <r>
      <rPr>
        <vertAlign val="subscript"/>
        <sz val="11"/>
        <rFont val="Calibri"/>
        <family val="2"/>
      </rPr>
      <t>i</t>
    </r>
    <r>
      <rPr>
        <sz val="11"/>
        <rFont val="Calibri"/>
        <family val="2"/>
      </rPr>
      <t>c</t>
    </r>
    <r>
      <rPr>
        <vertAlign val="subscript"/>
        <sz val="11"/>
        <rFont val="Calibri"/>
        <family val="2"/>
      </rPr>
      <t>i</t>
    </r>
  </si>
  <si>
    <r>
      <rPr>
        <sz val="11"/>
        <rFont val="Calibri"/>
        <family val="2"/>
      </rPr>
      <t>v</t>
    </r>
    <r>
      <rPr>
        <vertAlign val="subscript"/>
        <sz val="11"/>
        <rFont val="Calibri"/>
        <family val="2"/>
      </rPr>
      <t>i</t>
    </r>
  </si>
  <si>
    <r>
      <rPr>
        <sz val="11"/>
        <rFont val="Calibri"/>
        <family val="2"/>
      </rPr>
      <t>u</t>
    </r>
    <r>
      <rPr>
        <vertAlign val="subscript"/>
        <sz val="11"/>
        <rFont val="Calibri"/>
        <family val="2"/>
      </rPr>
      <t>i</t>
    </r>
    <r>
      <rPr>
        <sz val="11"/>
        <rFont val="Calibri"/>
        <family val="2"/>
      </rPr>
      <t>c</t>
    </r>
    <r>
      <rPr>
        <vertAlign val="subscript"/>
        <sz val="11"/>
        <rFont val="Calibri"/>
        <family val="2"/>
      </rPr>
      <t>i</t>
    </r>
    <r>
      <rPr>
        <vertAlign val="superscript"/>
        <sz val="11"/>
        <rFont val="Calibri"/>
        <family val="2"/>
      </rPr>
      <t>2</t>
    </r>
  </si>
  <si>
    <r>
      <rPr>
        <sz val="11"/>
        <rFont val="Calibri"/>
        <family val="2"/>
      </rPr>
      <t>(u</t>
    </r>
    <r>
      <rPr>
        <vertAlign val="subscript"/>
        <sz val="11"/>
        <rFont val="Calibri"/>
        <family val="2"/>
      </rPr>
      <t>i</t>
    </r>
    <r>
      <rPr>
        <sz val="11"/>
        <rFont val="Calibri"/>
        <family val="2"/>
      </rPr>
      <t>c</t>
    </r>
    <r>
      <rPr>
        <vertAlign val="subscript"/>
        <sz val="11"/>
        <rFont val="Calibri"/>
        <family val="2"/>
      </rPr>
      <t>i</t>
    </r>
    <r>
      <rPr>
        <sz val="11"/>
        <rFont val="Calibri"/>
        <family val="2"/>
      </rPr>
      <t>)</t>
    </r>
    <r>
      <rPr>
        <vertAlign val="superscript"/>
        <sz val="11"/>
        <rFont val="Calibri"/>
        <family val="2"/>
      </rPr>
      <t>4</t>
    </r>
    <r>
      <rPr>
        <sz val="11"/>
        <rFont val="Calibri"/>
        <family val="2"/>
      </rPr>
      <t>/v</t>
    </r>
    <r>
      <rPr>
        <vertAlign val="subscript"/>
        <sz val="11"/>
        <rFont val="Calibri"/>
        <family val="2"/>
      </rPr>
      <t>i</t>
    </r>
  </si>
  <si>
    <t>1. Repeatibility</t>
  </si>
  <si>
    <r>
      <rPr>
        <vertAlign val="superscript"/>
        <sz val="11"/>
        <rFont val="Calibri"/>
        <family val="2"/>
      </rPr>
      <t>○</t>
    </r>
    <r>
      <rPr>
        <sz val="11"/>
        <rFont val="Calibri"/>
        <family val="2"/>
      </rPr>
      <t>C</t>
    </r>
  </si>
  <si>
    <t>Normal</t>
  </si>
  <si>
    <t xml:space="preserve">2. Sertifikat Standar </t>
  </si>
  <si>
    <t>3. Drift Std.</t>
  </si>
  <si>
    <t>Rect</t>
  </si>
  <si>
    <t>4. Resolusi Alat</t>
  </si>
  <si>
    <t>5. Keseragaman</t>
  </si>
  <si>
    <t>6. Stabilitas</t>
  </si>
  <si>
    <t>KTP Gabungan Uc</t>
  </si>
  <si>
    <t>Derajat kebebasan effektif</t>
  </si>
  <si>
    <t>Faktor cakupan pada veff dan 95%</t>
  </si>
  <si>
    <t>KTP U(95) = k x uc</t>
  </si>
  <si>
    <t>K E L E M B A B A N   R E L A T I F ( N A I K )</t>
  </si>
  <si>
    <t>7. Hysterisis</t>
  </si>
  <si>
    <t>K E L E M B A B A N   R E L A T I F ( T U R U N )</t>
  </si>
  <si>
    <t>HASIL KALIBRASI THERMOHYGROMETER DIGITAL</t>
  </si>
  <si>
    <t>HASIL KALIBRASI THERMOHYGROMETER ANALOG</t>
  </si>
  <si>
    <t xml:space="preserve">Merek                                 </t>
  </si>
  <si>
    <t xml:space="preserve">Model/Tipe                        </t>
  </si>
  <si>
    <t xml:space="preserve">No. Seri                               </t>
  </si>
  <si>
    <t>Resolusi Suhu</t>
  </si>
  <si>
    <t>Resolusi Kelembaban Relatif</t>
  </si>
  <si>
    <t xml:space="preserve">Tanggal Kalibrasi                             </t>
  </si>
  <si>
    <t xml:space="preserve">Tempat Kalibrasi                            </t>
  </si>
  <si>
    <t xml:space="preserve">Nama Ruang                                   </t>
  </si>
  <si>
    <t xml:space="preserve">Metode Kerja                    </t>
  </si>
  <si>
    <t xml:space="preserve">1. Suhu                            </t>
  </si>
  <si>
    <t>2. Kelembaban</t>
  </si>
  <si>
    <t xml:space="preserve">1. Fisik          </t>
  </si>
  <si>
    <t xml:space="preserve">2. Fungsi      </t>
  </si>
  <si>
    <t>a. Kalibrasi Akurasi Suhu</t>
  </si>
  <si>
    <t>Titik Ukur (°C)</t>
  </si>
  <si>
    <t>Pembacaan Alat             (°C)</t>
  </si>
  <si>
    <t>Pembacaan Standar             (°C)</t>
  </si>
  <si>
    <t>Koreksi    (°C)</t>
  </si>
  <si>
    <t>Ketidakpastian Pengukuran       (°C)</t>
  </si>
  <si>
    <t>b. Kalibrasi Akurasi Kelembaban Relatif</t>
  </si>
  <si>
    <t>Pembacaan Alat          (%RH)</t>
  </si>
  <si>
    <t>Pembacaan Standar          (%RH)</t>
  </si>
  <si>
    <t>Koreksi                     (%RH)</t>
  </si>
  <si>
    <t>Ketidakpastian Pengukuran                 ( %RH )</t>
  </si>
  <si>
    <t>Naik</t>
  </si>
  <si>
    <t>Turun</t>
  </si>
  <si>
    <t>Paraf</t>
  </si>
  <si>
    <t>Dibuat :</t>
  </si>
  <si>
    <t>Diperiksa :</t>
  </si>
  <si>
    <t xml:space="preserve">Titik Ukur </t>
  </si>
  <si>
    <t>Pembacaan Alat</t>
  </si>
  <si>
    <t>Pembacaan Standar</t>
  </si>
  <si>
    <t>Koreksi</t>
  </si>
  <si>
    <t>Ketidakpastian Pengukuran</t>
  </si>
  <si>
    <t>(°C)</t>
  </si>
  <si>
    <t>Ketidakpastian Pengukuran                          (%RH)</t>
  </si>
  <si>
    <t>Menyetujui ,</t>
  </si>
  <si>
    <t>Kepala Instalasi Laboratorium</t>
  </si>
  <si>
    <t>Pengujian dan Kalibrasi</t>
  </si>
  <si>
    <t>Choirul Huda, S.Tr.Kes</t>
  </si>
  <si>
    <t>NIP 198008062010121001</t>
  </si>
  <si>
    <t>Halaman 2 dari 2 Halaman</t>
  </si>
  <si>
    <t>Thermohygrometer Reference,Merek : Fluke, Model : 1620A, SN : C12703 (C13548)</t>
  </si>
  <si>
    <t>Thermohygrometer Reference,Merek : Fluke, Model : 1620A, SN : C12703 (C13549)</t>
  </si>
  <si>
    <t>Kelembaban</t>
  </si>
  <si>
    <t>Set Point</t>
  </si>
  <si>
    <t>Kestabilan</t>
  </si>
  <si>
    <t>Keseragaman</t>
  </si>
  <si>
    <t>U95</t>
  </si>
  <si>
    <t>R H</t>
  </si>
  <si>
    <t>SUHU</t>
  </si>
  <si>
    <t>TERKOREKSI</t>
  </si>
  <si>
    <t>KOREKSI</t>
  </si>
  <si>
    <t>KELEMBABAN NAIK</t>
  </si>
  <si>
    <t>KELEMBABAN TURUN</t>
  </si>
  <si>
    <t>Azhar Alamsyah</t>
  </si>
  <si>
    <t>Choirul Huda</t>
  </si>
  <si>
    <t>Dewi Nofitasari</t>
  </si>
  <si>
    <t>Donny Martha</t>
  </si>
  <si>
    <t>Fatimah Novrianisa</t>
  </si>
  <si>
    <t>Gusti Arya Dinata</t>
  </si>
  <si>
    <t>Hamdan Syarif</t>
  </si>
  <si>
    <t>Hary Ernanto</t>
  </si>
  <si>
    <t>Isra Mahensa</t>
  </si>
  <si>
    <t>Muhammad Alpian Hadi</t>
  </si>
  <si>
    <t>Muhammad Arrizal Septiawan</t>
  </si>
  <si>
    <t>Muhammad Ihsan Ilyas</t>
  </si>
  <si>
    <t>Muhammad Iqbal Saiful Rahman</t>
  </si>
  <si>
    <t>Muhammad Irfan Husnuzhzhan</t>
  </si>
  <si>
    <t>Muhammad Zaenuri Sugiasmoro</t>
  </si>
  <si>
    <t>Rangga Setya Hantoko</t>
  </si>
  <si>
    <t>Ryan Rama Chaesar R</t>
  </si>
  <si>
    <t>Septia Khairunnisa</t>
  </si>
  <si>
    <t>Sholihatussa'diah</t>
  </si>
  <si>
    <t>Siti Fathul Jannah</t>
  </si>
  <si>
    <t>Taufik Priawan</t>
  </si>
  <si>
    <t>Venna Filosofia</t>
  </si>
  <si>
    <t>Wardimanul Abrar</t>
  </si>
  <si>
    <t>Yurdha Algifari</t>
  </si>
  <si>
    <t>INPUT SERTIFIKAT THERMOHYGROMETER</t>
  </si>
  <si>
    <t>KOREKSI KIMO THERMOHYGROMETER 15062873</t>
  </si>
  <si>
    <t>Tahun</t>
  </si>
  <si>
    <t>DRIFT</t>
  </si>
  <si>
    <t>Tekanan</t>
  </si>
  <si>
    <r>
      <rPr>
        <b/>
        <sz val="11"/>
        <rFont val="Calibri"/>
        <family val="2"/>
      </rPr>
      <t>°</t>
    </r>
    <r>
      <rPr>
        <b/>
        <i/>
        <sz val="11"/>
        <rFont val="Times New Roman"/>
        <family val="1"/>
      </rPr>
      <t>C</t>
    </r>
  </si>
  <si>
    <t>hPa</t>
  </si>
  <si>
    <t>KOREKSI KIMO THERMOHYGROMETER 15062874</t>
  </si>
  <si>
    <t>KOREKSI KIMO THERMOHYGROMETER 14082463</t>
  </si>
  <si>
    <t>KOREKSI KIMO THERMOHYGROMETER 15062872</t>
  </si>
  <si>
    <t>KOREKSI KIMO THERMOHYGROMETER 15062875</t>
  </si>
  <si>
    <t>KOREKSI GREISINGER 34903046</t>
  </si>
  <si>
    <t>KOREKSI GREISINGER 34903053</t>
  </si>
  <si>
    <t>KOREKSI GREISINGER 34903051</t>
  </si>
  <si>
    <t>KOREKSI GREISINGER 34904091</t>
  </si>
  <si>
    <t>KOREKSI Sekonic HE-21.000669</t>
  </si>
  <si>
    <t>KOREKSI Sekonic HE-21.000670</t>
  </si>
  <si>
    <t>KOREKSI EXTECH A.100586</t>
  </si>
  <si>
    <t>KOREKSI EXTECH A.100605</t>
  </si>
  <si>
    <t>KOREKSI EXTECH A.100609</t>
  </si>
  <si>
    <t>KOREKSI EXTECH A.100611</t>
  </si>
  <si>
    <t>KOREKSI EXTECH A.100616</t>
  </si>
  <si>
    <t>KOREKSI EXTECH A.100617</t>
  </si>
  <si>
    <t>KOREKSI EXTECH A.100618</t>
  </si>
  <si>
    <t>KOREKSI EXTECH A.100615</t>
  </si>
  <si>
    <t>No urut alat</t>
  </si>
  <si>
    <t>KOREKSI THERMOHYGROMETER</t>
  </si>
  <si>
    <r>
      <rPr>
        <b/>
        <sz val="11"/>
        <rFont val="Times New Roman"/>
        <family val="1"/>
      </rPr>
      <t>°</t>
    </r>
    <r>
      <rPr>
        <b/>
        <i/>
        <sz val="11"/>
        <rFont val="Times New Roman"/>
        <family val="1"/>
      </rPr>
      <t>C</t>
    </r>
  </si>
  <si>
    <t>Rata-rata standar</t>
  </si>
  <si>
    <t>Rata-rata Terkoreksi</t>
  </si>
  <si>
    <t>STDEV</t>
  </si>
  <si>
    <t>HASIL</t>
  </si>
  <si>
    <t>Koreksi Suhu</t>
  </si>
  <si>
    <t>Koreksi Kelembaban</t>
  </si>
  <si>
    <t>Koreksi tekanan</t>
  </si>
  <si>
    <t>Konversi TEXT</t>
  </si>
  <si>
    <t>Thermohygrolight, Merek : KIMO, Model : KH-210-AO, SN : 15062873</t>
  </si>
  <si>
    <t>Thermohygrolight, Merek : KIMO, Model : KH-210-AO, SN : 15062874</t>
  </si>
  <si>
    <t xml:space="preserve"> %RH</t>
  </si>
  <si>
    <t>Thermohygrolight, Merek : KIMO, Model : KH-210-AO, SN : 14082463</t>
  </si>
  <si>
    <t xml:space="preserve"> hPa</t>
  </si>
  <si>
    <t>Thermohygrolight, Merek : KIMO, Model : KH-210-AO, SN : 15062872</t>
  </si>
  <si>
    <t xml:space="preserve">( </t>
  </si>
  <si>
    <t xml:space="preserve"> ± </t>
  </si>
  <si>
    <t xml:space="preserve"> )</t>
  </si>
  <si>
    <t>Thermohygrolight, Merek : KIMO, Model : KH-210-AO, SN : 15062875</t>
  </si>
  <si>
    <t>Thermohygrolight, Merek : Greisinger, Model : GFTB 200, SN : 34903046</t>
  </si>
  <si>
    <t>Thermohygrolight, Merek : Greisinger, Model : GFTB 200, SN : 34903053</t>
  </si>
  <si>
    <t>Thermohygrolight, Merek : Greisinger, Model : GFTB 200, SN : 34904091</t>
  </si>
  <si>
    <t>Thermohygrolight, Merek : Sekonic, Model : ST-50A, SN : HE-21.000669</t>
  </si>
  <si>
    <t>Thermohygrolight, Merek : Sekonic, Model : ST-50A, SN : HE-21.000670</t>
  </si>
  <si>
    <t>Thermohygrolight, Merek : EXTECH, Model : SD700, SN : A.100586</t>
  </si>
  <si>
    <t>Thermohygrolight, Merek : EXTECH, Model : SD700, SN : A.100605</t>
  </si>
  <si>
    <t>Thermohygrolight, Merek : EXTECH, Model : SD700, SN : A.100609</t>
  </si>
  <si>
    <t>Thermohygrolight, Merek : EXTECH, Model : SD700, SN : A.100611</t>
  </si>
  <si>
    <t>Thermohygrolight, Merek : EXTECH, Model : SD700, SN : A.100616</t>
  </si>
  <si>
    <t>Thermohygrolight, Merek : EXTECH, Model : SD700, SN : A.100617</t>
  </si>
  <si>
    <t>Thermohygrolight, Merek : EXTECH, Model : SD700, SN : A.100618</t>
  </si>
  <si>
    <t>Thermohygrolight, Merek : EXTECH, Model : SD700, SN : A.100615</t>
  </si>
  <si>
    <t xml:space="preserve"> </t>
  </si>
  <si>
    <t>%</t>
  </si>
  <si>
    <t>RH</t>
  </si>
  <si>
    <t>20.1.2023</t>
  </si>
  <si>
    <t>Link UB Resolusi Thermohygro ada yg belum terlink</t>
  </si>
  <si>
    <t>Link repeat ub terlink dengan stdev uut</t>
  </si>
  <si>
    <t>A.100611</t>
  </si>
  <si>
    <t>CMC</t>
  </si>
  <si>
    <t>4 Januari 2023</t>
  </si>
  <si>
    <t>Terkoreksi</t>
  </si>
  <si>
    <t>V A L I D A S I</t>
  </si>
  <si>
    <r>
      <t>u</t>
    </r>
    <r>
      <rPr>
        <vertAlign val="subscript"/>
        <sz val="11"/>
        <color theme="1"/>
        <rFont val="Calibri"/>
        <family val="2"/>
      </rPr>
      <t>i</t>
    </r>
  </si>
  <si>
    <r>
      <t>c</t>
    </r>
    <r>
      <rPr>
        <vertAlign val="subscript"/>
        <sz val="11"/>
        <color theme="1"/>
        <rFont val="Calibri"/>
        <family val="2"/>
      </rPr>
      <t>i</t>
    </r>
  </si>
  <si>
    <r>
      <t>u</t>
    </r>
    <r>
      <rPr>
        <vertAlign val="subscript"/>
        <sz val="11"/>
        <color theme="1"/>
        <rFont val="Calibri"/>
        <family val="2"/>
      </rPr>
      <t>i</t>
    </r>
    <r>
      <rPr>
        <sz val="11"/>
        <color theme="1"/>
        <rFont val="Calibri"/>
        <family val="2"/>
      </rPr>
      <t>c</t>
    </r>
    <r>
      <rPr>
        <vertAlign val="subscript"/>
        <sz val="11"/>
        <color theme="1"/>
        <rFont val="Calibri"/>
        <family val="2"/>
      </rPr>
      <t>i</t>
    </r>
  </si>
  <si>
    <r>
      <t>v</t>
    </r>
    <r>
      <rPr>
        <vertAlign val="subscript"/>
        <sz val="11"/>
        <color theme="1"/>
        <rFont val="Calibri"/>
        <family val="2"/>
      </rPr>
      <t>i</t>
    </r>
  </si>
  <si>
    <r>
      <t>u</t>
    </r>
    <r>
      <rPr>
        <vertAlign val="subscript"/>
        <sz val="11"/>
        <color theme="1"/>
        <rFont val="Calibri"/>
        <family val="2"/>
      </rPr>
      <t>i</t>
    </r>
    <r>
      <rPr>
        <sz val="11"/>
        <color theme="1"/>
        <rFont val="Calibri"/>
        <family val="2"/>
      </rPr>
      <t>c</t>
    </r>
    <r>
      <rPr>
        <vertAlign val="subscript"/>
        <sz val="11"/>
        <color theme="1"/>
        <rFont val="Calibri"/>
        <family val="2"/>
      </rPr>
      <t>i</t>
    </r>
    <r>
      <rPr>
        <vertAlign val="superscript"/>
        <sz val="11"/>
        <color theme="1"/>
        <rFont val="Calibri"/>
        <family val="2"/>
      </rPr>
      <t>2</t>
    </r>
  </si>
  <si>
    <r>
      <t>(u</t>
    </r>
    <r>
      <rPr>
        <vertAlign val="subscript"/>
        <sz val="11"/>
        <color theme="1"/>
        <rFont val="Calibri"/>
        <family val="2"/>
      </rPr>
      <t>i</t>
    </r>
    <r>
      <rPr>
        <sz val="11"/>
        <color theme="1"/>
        <rFont val="Calibri"/>
        <family val="2"/>
      </rPr>
      <t>c</t>
    </r>
    <r>
      <rPr>
        <vertAlign val="subscript"/>
        <sz val="11"/>
        <color theme="1"/>
        <rFont val="Calibri"/>
        <family val="2"/>
      </rPr>
      <t>i</t>
    </r>
    <r>
      <rPr>
        <sz val="11"/>
        <color theme="1"/>
        <rFont val="Calibri"/>
        <family val="2"/>
      </rPr>
      <t>)</t>
    </r>
    <r>
      <rPr>
        <vertAlign val="superscript"/>
        <sz val="11"/>
        <color theme="1"/>
        <rFont val="Calibri"/>
        <family val="2"/>
      </rPr>
      <t>4</t>
    </r>
    <r>
      <rPr>
        <sz val="11"/>
        <color theme="1"/>
        <rFont val="Calibri"/>
        <family val="2"/>
      </rPr>
      <t>/v</t>
    </r>
    <r>
      <rPr>
        <vertAlign val="subscript"/>
        <sz val="11"/>
        <color theme="1"/>
        <rFont val="Calibri"/>
        <family val="2"/>
      </rPr>
      <t>i</t>
    </r>
  </si>
  <si>
    <r>
      <t>○</t>
    </r>
    <r>
      <rPr>
        <sz val="11"/>
        <color theme="1"/>
        <rFont val="Calibri"/>
        <family val="2"/>
      </rPr>
      <t>C</t>
    </r>
  </si>
  <si>
    <t>IF('Input Data.'!G7="Analog",B5*1,B5*0.5)</t>
  </si>
  <si>
    <t>Diman</t>
  </si>
  <si>
    <t>UB u Resolusi : IF('Input Data.'!G7="Analog",B5*0.2,B5*0.5)</t>
  </si>
  <si>
    <t>IF('Input Data.'!G7="Analog",SQRT(6),SQRT(3))</t>
  </si>
  <si>
    <t>UB pembagi Resolusi : SQRT(3)</t>
  </si>
  <si>
    <t>14.4.2023</t>
  </si>
  <si>
    <t>Update sertifikat thermohygro</t>
  </si>
  <si>
    <t>FORECAST(I39,K37:K38,I37:I38)                           FORECAST(I39,L37:L38,I37:I38)</t>
  </si>
  <si>
    <t>Temuan PRL : Interpolasi 80%RH Chamber untuk nilai kestabilan dan keseragaman</t>
  </si>
  <si>
    <t xml:space="preserve">Temuan PRL : Jika distribusi resolusi analog maka Triang, Jika digital maka React. </t>
  </si>
  <si>
    <t xml:space="preserve">D R I F T  S T A N D A R </t>
  </si>
  <si>
    <t>CH 1</t>
  </si>
  <si>
    <t>Thermocouple Data Logger, Merek : MADGETECH, Model : OctTemp 2000, SN : P40270</t>
  </si>
  <si>
    <t>validasi</t>
  </si>
  <si>
    <t>Thermocouple Data Logger, Merek : MADGETECH, Model : OctTemp 2000, SN : P41878</t>
  </si>
  <si>
    <t>Mobile Corder, Merek : Yokogawa, Model : GP 10, SN : S5T810599</t>
  </si>
  <si>
    <t>CH 2</t>
  </si>
  <si>
    <t>CH 3</t>
  </si>
  <si>
    <t>CH 4</t>
  </si>
  <si>
    <t>CH 5</t>
  </si>
  <si>
    <t>CH 6</t>
  </si>
  <si>
    <t>CH 7</t>
  </si>
  <si>
    <t>CH 8</t>
  </si>
  <si>
    <t>CH 9</t>
  </si>
  <si>
    <t>CH 10</t>
  </si>
  <si>
    <t>DATA SERTIFIKAT</t>
  </si>
  <si>
    <t>CH 11</t>
  </si>
  <si>
    <t>CH 12</t>
  </si>
  <si>
    <t>DATA STANDAR</t>
  </si>
  <si>
    <t>Drifft</t>
  </si>
  <si>
    <t>D R I F T</t>
  </si>
  <si>
    <t>Kumpulan DRIFT</t>
  </si>
  <si>
    <t>Reference Thermometer, Merek : APPA, Model : APPA51, SN : 03002948</t>
  </si>
  <si>
    <t>Reference Thermometer, Merek : FLUKE, Model : 1524, SN : 1803038</t>
  </si>
  <si>
    <t>Reference Thermometer, Merek : FLUKE, Model : 1524, SN : 1803037</t>
  </si>
  <si>
    <t>Drift Max</t>
  </si>
  <si>
    <t>U95 max</t>
  </si>
  <si>
    <t>Channel</t>
  </si>
  <si>
    <t>Suhu Terukur</t>
  </si>
  <si>
    <t>Suhu Terkoreksi</t>
  </si>
  <si>
    <t>koreksi</t>
  </si>
  <si>
    <t>Validasi</t>
  </si>
  <si>
    <t>Thermocouple Data Logger menggunakan Channel 1</t>
  </si>
  <si>
    <t>Thermocouple Data Logger menggunakan Channel 2</t>
  </si>
  <si>
    <t>Thermocouple Data Logger menggunakan Channel 3</t>
  </si>
  <si>
    <t>Thermocouple Data Logger menggunakan Channel 4</t>
  </si>
  <si>
    <t>Thermocouple Data Logger menggunakan Channel 5</t>
  </si>
  <si>
    <t>Thermocouple Data Logger menggunakan Channel 6</t>
  </si>
  <si>
    <t>Thermocouple Data Logger menggunakan Channel 7</t>
  </si>
  <si>
    <t>Thermocouple Data Logger menggunakan Channel 8</t>
  </si>
  <si>
    <t>Thermocouple Data Logger menggunakan Channel 9</t>
  </si>
  <si>
    <t>Thermocouple Data Logger menggunakan Channel 10</t>
  </si>
  <si>
    <t>SUHU 2</t>
  </si>
  <si>
    <t>SUHU 5</t>
  </si>
  <si>
    <t>SUHU 8</t>
  </si>
  <si>
    <t>1 / VII - 23 / E - 001 Dt</t>
  </si>
  <si>
    <t xml:space="preserve">Resolusi Kelembaban relatif     </t>
  </si>
  <si>
    <t>STANDAR</t>
  </si>
  <si>
    <t>CHAMBER</t>
  </si>
  <si>
    <t>Kelembaban Naik</t>
  </si>
  <si>
    <t>Kelembaban Turun</t>
  </si>
  <si>
    <t>4.7.2023</t>
  </si>
  <si>
    <t>tambahan optional titik ukur 2,5,8 °C</t>
  </si>
  <si>
    <t>Wireless Temperature Recorder : Merek : HIOKI, Model : LR 8510, SN : 200936000</t>
  </si>
  <si>
    <t>Wireless Temperature Recorder : Merek : HIOKI, Model : LR 8510, SN : 200936001</t>
  </si>
  <si>
    <t>Wireless Temperature Recorder : Merek : HIOKI, Model : LR 8510, SN : 200821397</t>
  </si>
  <si>
    <t>Wireless Temperature Recorder : Merek : HIOKI, Model : LR 8510, SN : 210411983</t>
  </si>
  <si>
    <t>Wireless Temperature Recorder : Merek : HIOKI, Model : LR 8510, SN : 210411984</t>
  </si>
  <si>
    <t>Wireless Temperature Recorder : Merek : HIOKI, Model : LR 8510, SN : 210411985</t>
  </si>
  <si>
    <t>Wireless Temperature Recorder : Merek : HIOKI, Model : LR 8510, SN : 210746054</t>
  </si>
  <si>
    <t>Wireless Temperature Recorder : Merek : HIOKI, Model : LR 8510, SN : 210746055</t>
  </si>
  <si>
    <t>Wireless Temperature Recorder : Merek : HIOKI, Model : LR 8510, SN : 210746056</t>
  </si>
  <si>
    <t>Wireless Temperature Recorder : Merek : HIOKI, Model : LR 8510, SN : 200821396</t>
  </si>
  <si>
    <t>Rev 5 : 7.7.2023</t>
  </si>
  <si>
    <t xml:space="preserve">                                                                 </t>
  </si>
  <si>
    <t xml:space="preserve">Nama Alat            : </t>
  </si>
  <si>
    <t xml:space="preserve">Nomor Order           : </t>
  </si>
  <si>
    <t>Model / Tipe</t>
  </si>
  <si>
    <t>Nomor Seri</t>
  </si>
  <si>
    <t>Nama Pemilik      :</t>
  </si>
  <si>
    <t xml:space="preserve">Identitas Pemilik     : </t>
  </si>
  <si>
    <t>Alamat Pemilik</t>
  </si>
  <si>
    <t>Jalan ABC</t>
  </si>
  <si>
    <t>Banjarbaru,</t>
  </si>
  <si>
    <t>Kepala Loka Pengamanan</t>
  </si>
  <si>
    <t>Fasilitas Kesehatan Banjarbaru</t>
  </si>
  <si>
    <t>Yuni Irmawati, SKM., MA</t>
  </si>
  <si>
    <t>NIP 197806222002122001</t>
  </si>
  <si>
    <t>KUNCI KOP SERTIFIKAT</t>
  </si>
  <si>
    <t>PENENTU KOP SERTIFIKAT</t>
  </si>
  <si>
    <t>BAHAN</t>
  </si>
  <si>
    <t>SERTIFIKAT KALIBRASI</t>
  </si>
  <si>
    <t>SERTIFIKAT PENGUJIAN</t>
  </si>
  <si>
    <t>Thermohygrometer</t>
  </si>
  <si>
    <t>INPUT DATA KALIBRASI THERMOHYGROMETER ANALOG</t>
  </si>
  <si>
    <t>INPUT DATA KALIBRASI THERMOHYGROMETER DIGITAL</t>
  </si>
  <si>
    <t>LAIK</t>
  </si>
  <si>
    <t>±</t>
  </si>
  <si>
    <t>(FORECAST(F46,OFFSET(L38:L42,MATCH(F46,I38:I42,1)-1,0,2),OFFSET(I38:I42,MATCH(F46,I38:I42,1)-1,0,2)))</t>
  </si>
  <si>
    <t>(FORECAST(F46,OFFSET(K38:K42,MATCH(F46,I38:I42,1)-1,0,2),OFFSET(I38:I42,MATCH(F46,I38:I42,1)-1,0,2)))</t>
  </si>
  <si>
    <t>`</t>
  </si>
  <si>
    <t>max</t>
  </si>
  <si>
    <t>ch 2</t>
  </si>
  <si>
    <t>ch 9</t>
  </si>
  <si>
    <t>16 September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</si>
</sst>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4">
    <numFmt numFmtId="164" formatCode="0.000"/>
    <numFmt numFmtId="165" formatCode="0.0"/>
    <numFmt numFmtId="166" formatCode="0.0000"/>
    <numFmt numFmtId="167" formatCode="0.0\ \ &quot;%RH&quot;"/>
    <numFmt numFmtId="168" formatCode="0.00000"/>
    <numFmt numFmtId="169" formatCode="0.0\ \ \ \ \ &quot;±&quot;"/>
    <numFmt numFmtId="170" formatCode="0.0\ \ &quot;°&quot;\C"/>
    <numFmt numFmtId="171" formatCode="0.00000000"/>
    <numFmt numFmtId="172" formatCode="0.0000000000000"/>
    <numFmt numFmtId="173" formatCode="\±\ 0.0"/>
    <numFmt numFmtId="174" formatCode="[$-421]dd\ mmmm\ yyyy;@"/>
    <numFmt numFmtId="175" formatCode="&quot;±&quot;\ 0.00"/>
    <numFmt numFmtId="176" formatCode="General\ \°\C"/>
    <numFmt numFmtId="177" formatCode="General\ &quot;:&quot;"/>
    <numFmt numFmtId="178" formatCode="General\ \ \ \ \ \ \ \ \ \ \ \ &quot;:&quot;"/>
    <numFmt numFmtId="179" formatCode="0.0000000000"/>
    <numFmt numFmtId="180" formatCode="0.0\ %&quot;RH&quot;"/>
    <numFmt numFmtId="181" formatCode="&quot;±&quot;\ 0.0"/>
    <numFmt numFmtId="182" formatCode="0.000000"/>
    <numFmt numFmtId="183" formatCode="\±\ 0.00"/>
    <numFmt numFmtId="184" formatCode="0.0000000"/>
    <numFmt numFmtId="185" formatCode="0.000000000000"/>
    <numFmt numFmtId="186" formatCode="0.00000000000"/>
    <numFmt numFmtId="187" formatCode="[$-C09]d\ mmmm\ yyyy;@"/>
  </numFmts>
  <fonts count="88">
    <font>
      <sz val="10"/>
      <name val="Arial"/>
      <charset val="134"/>
    </font>
    <font>
      <b/>
      <u/>
      <sz val="14"/>
      <name val="Arial"/>
      <family val="2"/>
    </font>
    <font>
      <b/>
      <sz val="12"/>
      <name val="Arial"/>
      <family val="2"/>
    </font>
    <font>
      <b/>
      <sz val="11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0"/>
      <name val="Arial"/>
      <family val="2"/>
    </font>
    <font>
      <i/>
      <sz val="10"/>
      <name val="Arial"/>
      <family val="2"/>
    </font>
    <font>
      <b/>
      <sz val="10"/>
      <name val="Arial"/>
      <family val="2"/>
    </font>
    <font>
      <sz val="11"/>
      <name val="Times New Roman"/>
      <family val="1"/>
    </font>
    <font>
      <b/>
      <sz val="11"/>
      <name val="Times New Roman"/>
      <family val="1"/>
    </font>
    <font>
      <sz val="10"/>
      <name val="Times New Roman"/>
      <family val="1"/>
    </font>
    <font>
      <b/>
      <sz val="8"/>
      <name val="Times New Roman"/>
      <family val="1"/>
    </font>
    <font>
      <b/>
      <sz val="8"/>
      <name val="Arial"/>
      <family val="2"/>
    </font>
    <font>
      <b/>
      <sz val="10"/>
      <name val="Times New Roman"/>
      <family val="1"/>
    </font>
    <font>
      <sz val="10"/>
      <name val="Calibri"/>
      <family val="2"/>
    </font>
    <font>
      <sz val="12"/>
      <name val="Calibri"/>
      <family val="2"/>
    </font>
    <font>
      <b/>
      <sz val="14"/>
      <name val="Times New Roman"/>
      <family val="1"/>
    </font>
    <font>
      <b/>
      <sz val="11"/>
      <name val="Calibri"/>
      <family val="2"/>
    </font>
    <font>
      <b/>
      <i/>
      <sz val="10"/>
      <name val="Times New Roman"/>
      <family val="1"/>
    </font>
    <font>
      <b/>
      <sz val="9"/>
      <name val="Arial"/>
      <family val="2"/>
    </font>
    <font>
      <sz val="12"/>
      <name val="Calibri"/>
      <family val="2"/>
      <scheme val="minor"/>
    </font>
    <font>
      <sz val="11"/>
      <name val="Arial"/>
      <family val="2"/>
    </font>
    <font>
      <sz val="8"/>
      <name val="Arial"/>
      <family val="2"/>
    </font>
    <font>
      <b/>
      <sz val="10"/>
      <name val="Calibri"/>
      <family val="2"/>
    </font>
    <font>
      <sz val="12"/>
      <name val="Arial"/>
      <family val="2"/>
    </font>
    <font>
      <b/>
      <sz val="11"/>
      <name val="Arial"/>
      <family val="2"/>
    </font>
    <font>
      <sz val="11"/>
      <name val="Calibri"/>
      <family val="2"/>
    </font>
    <font>
      <vertAlign val="superscript"/>
      <sz val="12"/>
      <name val="Arial"/>
      <family val="2"/>
    </font>
    <font>
      <i/>
      <u/>
      <sz val="12"/>
      <name val="Arial"/>
      <family val="2"/>
    </font>
    <font>
      <u/>
      <sz val="12"/>
      <name val="Arial"/>
      <family val="2"/>
    </font>
    <font>
      <sz val="13"/>
      <name val="Arial"/>
      <family val="2"/>
    </font>
    <font>
      <b/>
      <sz val="14"/>
      <name val="Calibri"/>
      <family val="2"/>
    </font>
    <font>
      <vertAlign val="superscript"/>
      <sz val="11"/>
      <name val="Calibri"/>
      <family val="2"/>
    </font>
    <font>
      <u/>
      <sz val="10"/>
      <name val="Calibri"/>
      <family val="2"/>
    </font>
    <font>
      <vertAlign val="subscript"/>
      <sz val="11"/>
      <name val="Calibri"/>
      <family val="2"/>
    </font>
    <font>
      <sz val="10"/>
      <name val="Arial"/>
      <family val="2"/>
    </font>
    <font>
      <sz val="11"/>
      <color theme="1"/>
      <name val="Arial"/>
      <family val="2"/>
    </font>
    <font>
      <sz val="12"/>
      <color rgb="FFFFFFFF"/>
      <name val="Arial"/>
      <family val="2"/>
    </font>
    <font>
      <sz val="11"/>
      <name val="Calibri"/>
      <family val="2"/>
      <scheme val="minor"/>
    </font>
    <font>
      <sz val="12"/>
      <color theme="1"/>
      <name val="Arial"/>
      <family val="2"/>
    </font>
    <font>
      <sz val="12"/>
      <color theme="0" tint="-0.34998626667073579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</font>
    <font>
      <sz val="11"/>
      <color theme="0" tint="-0.34998626667073579"/>
      <name val="Arial"/>
      <family val="2"/>
    </font>
    <font>
      <sz val="10"/>
      <color theme="0" tint="-0.34998626667073579"/>
      <name val="Arial"/>
      <family val="2"/>
    </font>
    <font>
      <sz val="8"/>
      <color theme="0" tint="-0.34998626667073579"/>
      <name val="Arial"/>
      <family val="2"/>
    </font>
    <font>
      <b/>
      <sz val="12"/>
      <color theme="1"/>
      <name val="Arial"/>
      <family val="2"/>
    </font>
    <font>
      <i/>
      <u/>
      <sz val="12"/>
      <color theme="1"/>
      <name val="Arial"/>
      <family val="2"/>
    </font>
    <font>
      <i/>
      <u/>
      <sz val="8"/>
      <name val="Arial"/>
      <family val="2"/>
    </font>
    <font>
      <b/>
      <sz val="9"/>
      <color indexed="81"/>
      <name val="Tahoma"/>
      <family val="2"/>
    </font>
    <font>
      <b/>
      <sz val="10"/>
      <color theme="0"/>
      <name val="Calibri"/>
      <family val="2"/>
    </font>
    <font>
      <sz val="10"/>
      <name val="Arial"/>
      <family val="2"/>
    </font>
    <font>
      <sz val="11"/>
      <color theme="1"/>
      <name val="Calibri"/>
      <family val="2"/>
    </font>
    <font>
      <vertAlign val="subscript"/>
      <sz val="11"/>
      <color theme="1"/>
      <name val="Calibri"/>
      <family val="2"/>
    </font>
    <font>
      <vertAlign val="superscript"/>
      <sz val="11"/>
      <color theme="1"/>
      <name val="Calibri"/>
      <family val="2"/>
    </font>
    <font>
      <b/>
      <sz val="18"/>
      <name val="Exotc350 Bd BT"/>
      <family val="5"/>
    </font>
    <font>
      <sz val="10"/>
      <color rgb="FFFF0000"/>
      <name val="Arial"/>
      <family val="2"/>
    </font>
    <font>
      <b/>
      <i/>
      <sz val="10"/>
      <color rgb="FFFF0000"/>
      <name val="Arial"/>
      <family val="2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b/>
      <i/>
      <sz val="8"/>
      <name val="Calibri"/>
      <family val="2"/>
      <scheme val="minor"/>
    </font>
    <font>
      <b/>
      <sz val="20"/>
      <name val="Exotc350 Bd BT"/>
      <family val="5"/>
    </font>
    <font>
      <b/>
      <sz val="10"/>
      <color rgb="FFFF0000"/>
      <name val="Arial"/>
      <family val="2"/>
    </font>
    <font>
      <sz val="26"/>
      <name val="Exotc350 Bd BT"/>
      <family val="5"/>
    </font>
    <font>
      <sz val="12"/>
      <color rgb="FFFF0000"/>
      <name val="Calibri"/>
      <family val="2"/>
    </font>
    <font>
      <sz val="12"/>
      <color rgb="FFFF000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0"/>
      <color indexed="81"/>
      <name val="Tahoma"/>
      <family val="2"/>
    </font>
    <font>
      <i/>
      <sz val="12"/>
      <name val="Arial"/>
      <family val="2"/>
    </font>
    <font>
      <b/>
      <sz val="16"/>
      <name val="Arial"/>
      <family val="2"/>
    </font>
    <font>
      <sz val="20"/>
      <name val="Arial"/>
      <family val="2"/>
    </font>
    <font>
      <sz val="22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24"/>
      <name val="Times New Roman"/>
      <family val="1"/>
    </font>
    <font>
      <sz val="10"/>
      <color theme="1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sz val="9"/>
      <name val="Calibri"/>
      <family val="2"/>
      <scheme val="minor"/>
    </font>
    <font>
      <b/>
      <sz val="11"/>
      <color theme="1"/>
      <name val="Times New Roman"/>
      <family val="1"/>
    </font>
    <font>
      <b/>
      <sz val="1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5" tint="-0.249977111117893"/>
      <name val="Arial"/>
      <family val="2"/>
    </font>
    <font>
      <sz val="11"/>
      <color theme="1"/>
      <name val="Times New Roman"/>
      <family val="1"/>
    </font>
    <font>
      <sz val="11"/>
      <color theme="5" tint="-0.249977111117893"/>
      <name val="Times New Roman"/>
      <family val="1"/>
    </font>
  </fonts>
  <fills count="2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99FF"/>
        <bgColor indexed="64"/>
      </patternFill>
    </fill>
  </fills>
  <borders count="5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hair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auto="1"/>
      </bottom>
      <diagonal/>
    </border>
    <border diagonalUp="1"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</borders>
  <cellStyleXfs count="7">
    <xf numFmtId="0" fontId="0" fillId="0" borderId="0">
      <alignment vertical="center"/>
    </xf>
    <xf numFmtId="0" fontId="35" fillId="0" borderId="0"/>
    <xf numFmtId="0" fontId="35" fillId="0" borderId="0">
      <protection locked="0"/>
    </xf>
    <xf numFmtId="0" fontId="35" fillId="0" borderId="0">
      <protection locked="0"/>
    </xf>
    <xf numFmtId="0" fontId="35" fillId="0" borderId="0"/>
    <xf numFmtId="9" fontId="52" fillId="0" borderId="0" applyFont="0" applyFill="0" applyBorder="0" applyAlignment="0" applyProtection="0"/>
    <xf numFmtId="0" fontId="35" fillId="0" borderId="0">
      <alignment vertical="center"/>
    </xf>
  </cellStyleXfs>
  <cellXfs count="894">
    <xf numFmtId="0" fontId="0" fillId="0" borderId="0" xfId="0">
      <alignment vertical="center"/>
    </xf>
    <xf numFmtId="0" fontId="24" fillId="7" borderId="0" xfId="0" applyFont="1" applyFill="1" applyAlignment="1">
      <alignment horizontal="center" vertical="center"/>
    </xf>
    <xf numFmtId="0" fontId="21" fillId="0" borderId="0" xfId="0" applyFont="1" applyProtection="1">
      <alignment vertical="center"/>
      <protection locked="0"/>
    </xf>
    <xf numFmtId="165" fontId="24" fillId="0" borderId="0" xfId="0" applyNumberFormat="1" applyFont="1">
      <alignment vertical="center"/>
    </xf>
    <xf numFmtId="0" fontId="24" fillId="0" borderId="0" xfId="0" applyFont="1">
      <alignment vertical="center"/>
    </xf>
    <xf numFmtId="0" fontId="24" fillId="7" borderId="0" xfId="0" applyFont="1" applyFill="1" applyAlignment="1">
      <alignment horizontal="right" vertical="center"/>
    </xf>
    <xf numFmtId="0" fontId="24" fillId="0" borderId="0" xfId="0" applyFont="1" applyProtection="1">
      <alignment vertical="center"/>
      <protection locked="0"/>
    </xf>
    <xf numFmtId="164" fontId="24" fillId="0" borderId="0" xfId="0" applyNumberFormat="1" applyFont="1" applyAlignment="1" applyProtection="1">
      <alignment horizontal="right" vertical="center"/>
      <protection locked="0"/>
    </xf>
    <xf numFmtId="0" fontId="2" fillId="0" borderId="0" xfId="0" applyFont="1" applyProtection="1">
      <alignment vertical="center"/>
      <protection locked="0"/>
    </xf>
    <xf numFmtId="2" fontId="24" fillId="0" borderId="0" xfId="0" applyNumberFormat="1" applyFont="1" applyAlignment="1">
      <alignment horizontal="center" vertical="center"/>
    </xf>
    <xf numFmtId="0" fontId="23" fillId="0" borderId="0" xfId="0" applyFont="1">
      <alignment vertical="center"/>
    </xf>
    <xf numFmtId="0" fontId="14" fillId="0" borderId="0" xfId="0" applyFont="1">
      <alignment vertical="center"/>
    </xf>
    <xf numFmtId="0" fontId="23" fillId="0" borderId="0" xfId="0" applyFont="1" applyAlignment="1">
      <alignment horizontal="center" vertical="center"/>
    </xf>
    <xf numFmtId="0" fontId="26" fillId="0" borderId="0" xfId="0" applyFont="1">
      <alignment vertical="center"/>
    </xf>
    <xf numFmtId="0" fontId="26" fillId="0" borderId="0" xfId="0" applyFont="1" applyAlignment="1">
      <alignment horizontal="center" vertical="center"/>
    </xf>
    <xf numFmtId="0" fontId="26" fillId="0" borderId="3" xfId="0" applyFont="1" applyBorder="1" applyAlignment="1">
      <alignment horizontal="center" vertical="center"/>
    </xf>
    <xf numFmtId="0" fontId="32" fillId="0" borderId="3" xfId="0" applyFont="1" applyBorder="1" applyAlignment="1">
      <alignment horizontal="center" vertical="center"/>
    </xf>
    <xf numFmtId="164" fontId="14" fillId="0" borderId="0" xfId="0" applyNumberFormat="1" applyFont="1">
      <alignment vertical="center"/>
    </xf>
    <xf numFmtId="0" fontId="17" fillId="0" borderId="0" xfId="0" applyFont="1">
      <alignment vertical="center"/>
    </xf>
    <xf numFmtId="1" fontId="26" fillId="0" borderId="3" xfId="0" applyNumberFormat="1" applyFont="1" applyBorder="1" applyAlignment="1">
      <alignment horizontal="center" vertical="center"/>
    </xf>
    <xf numFmtId="168" fontId="26" fillId="0" borderId="3" xfId="0" applyNumberFormat="1" applyFont="1" applyBorder="1" applyAlignment="1">
      <alignment horizontal="center" vertical="center"/>
    </xf>
    <xf numFmtId="166" fontId="26" fillId="0" borderId="3" xfId="0" applyNumberFormat="1" applyFont="1" applyBorder="1">
      <alignment vertical="center"/>
    </xf>
    <xf numFmtId="168" fontId="26" fillId="0" borderId="3" xfId="0" applyNumberFormat="1" applyFont="1" applyBorder="1">
      <alignment vertical="center"/>
    </xf>
    <xf numFmtId="2" fontId="26" fillId="0" borderId="3" xfId="0" applyNumberFormat="1" applyFont="1" applyBorder="1">
      <alignment vertical="center"/>
    </xf>
    <xf numFmtId="2" fontId="17" fillId="0" borderId="3" xfId="0" applyNumberFormat="1" applyFont="1" applyBorder="1">
      <alignment vertical="center"/>
    </xf>
    <xf numFmtId="2" fontId="23" fillId="0" borderId="0" xfId="0" applyNumberFormat="1" applyFont="1" applyAlignment="1">
      <alignment horizontal="center" vertical="center"/>
    </xf>
    <xf numFmtId="0" fontId="33" fillId="0" borderId="0" xfId="0" applyFont="1">
      <alignment vertical="center"/>
    </xf>
    <xf numFmtId="0" fontId="2" fillId="7" borderId="0" xfId="0" applyFont="1" applyFill="1" applyAlignment="1">
      <alignment horizontal="center" vertical="center"/>
    </xf>
    <xf numFmtId="2" fontId="24" fillId="0" borderId="3" xfId="0" applyNumberFormat="1" applyFont="1" applyBorder="1" applyAlignment="1">
      <alignment horizontal="center" vertical="center"/>
    </xf>
    <xf numFmtId="0" fontId="29" fillId="7" borderId="0" xfId="0" applyFont="1" applyFill="1" applyAlignment="1" applyProtection="1">
      <alignment horizontal="center" vertical="center"/>
      <protection locked="0"/>
    </xf>
    <xf numFmtId="166" fontId="26" fillId="0" borderId="3" xfId="0" applyNumberFormat="1" applyFont="1" applyBorder="1" applyAlignment="1">
      <alignment horizontal="center" vertical="center"/>
    </xf>
    <xf numFmtId="0" fontId="26" fillId="0" borderId="31" xfId="0" applyFont="1" applyBorder="1" applyAlignment="1">
      <alignment horizontal="center" vertical="center"/>
    </xf>
    <xf numFmtId="0" fontId="26" fillId="0" borderId="26" xfId="0" applyFont="1" applyBorder="1" applyAlignment="1">
      <alignment horizontal="center" vertical="center"/>
    </xf>
    <xf numFmtId="0" fontId="26" fillId="0" borderId="38" xfId="0" applyFont="1" applyBorder="1" applyAlignment="1">
      <alignment horizontal="center" vertical="center"/>
    </xf>
    <xf numFmtId="172" fontId="26" fillId="0" borderId="3" xfId="0" applyNumberFormat="1" applyFont="1" applyBorder="1" applyAlignment="1">
      <alignment horizontal="center" vertical="center"/>
    </xf>
    <xf numFmtId="171" fontId="26" fillId="0" borderId="3" xfId="0" applyNumberFormat="1" applyFont="1" applyBorder="1">
      <alignment vertical="center"/>
    </xf>
    <xf numFmtId="0" fontId="1" fillId="7" borderId="0" xfId="0" applyFont="1" applyFill="1">
      <alignment vertical="center"/>
    </xf>
    <xf numFmtId="0" fontId="30" fillId="7" borderId="0" xfId="0" applyFont="1" applyFill="1">
      <alignment vertical="center"/>
    </xf>
    <xf numFmtId="0" fontId="24" fillId="7" borderId="0" xfId="0" applyFont="1" applyFill="1">
      <alignment vertical="center"/>
    </xf>
    <xf numFmtId="0" fontId="24" fillId="0" borderId="0" xfId="0" applyFont="1" applyAlignment="1">
      <alignment horizontal="left" vertical="center"/>
    </xf>
    <xf numFmtId="0" fontId="2" fillId="0" borderId="0" xfId="0" applyFont="1">
      <alignment vertical="center"/>
    </xf>
    <xf numFmtId="0" fontId="2" fillId="7" borderId="0" xfId="0" applyFont="1" applyFill="1">
      <alignment vertical="center"/>
    </xf>
    <xf numFmtId="0" fontId="27" fillId="0" borderId="0" xfId="0" applyFont="1" applyAlignment="1">
      <alignment horizontal="left" vertical="center"/>
    </xf>
    <xf numFmtId="0" fontId="24" fillId="0" borderId="0" xfId="0" applyFont="1" applyAlignment="1">
      <alignment horizontal="right" vertical="center"/>
    </xf>
    <xf numFmtId="0" fontId="28" fillId="0" borderId="0" xfId="0" applyFont="1" applyAlignment="1">
      <alignment vertical="center" wrapText="1"/>
    </xf>
    <xf numFmtId="164" fontId="24" fillId="0" borderId="0" xfId="0" applyNumberFormat="1" applyFont="1" applyAlignment="1">
      <alignment horizontal="right" vertical="center"/>
    </xf>
    <xf numFmtId="165" fontId="24" fillId="0" borderId="0" xfId="0" applyNumberFormat="1" applyFont="1" applyProtection="1">
      <alignment vertical="center"/>
      <protection locked="0"/>
    </xf>
    <xf numFmtId="165" fontId="2" fillId="0" borderId="0" xfId="0" applyNumberFormat="1" applyFont="1" applyProtection="1">
      <alignment vertical="center"/>
      <protection locked="0"/>
    </xf>
    <xf numFmtId="0" fontId="21" fillId="7" borderId="0" xfId="0" applyFont="1" applyFill="1" applyAlignment="1">
      <alignment horizontal="center" vertical="center"/>
    </xf>
    <xf numFmtId="0" fontId="24" fillId="0" borderId="0" xfId="0" applyFont="1" applyAlignment="1">
      <alignment horizontal="center" vertical="center"/>
    </xf>
    <xf numFmtId="165" fontId="24" fillId="0" borderId="0" xfId="0" applyNumberFormat="1" applyFont="1" applyAlignment="1" applyProtection="1">
      <alignment horizontal="left" vertical="center" wrapText="1"/>
      <protection locked="0"/>
    </xf>
    <xf numFmtId="0" fontId="35" fillId="0" borderId="0" xfId="0" applyFont="1">
      <alignment vertical="center"/>
    </xf>
    <xf numFmtId="0" fontId="35" fillId="0" borderId="0" xfId="0" applyFont="1" applyProtection="1">
      <alignment vertical="center"/>
      <protection locked="0"/>
    </xf>
    <xf numFmtId="0" fontId="35" fillId="0" borderId="31" xfId="0" applyFont="1" applyBorder="1" applyProtection="1">
      <alignment vertical="center"/>
      <protection locked="0"/>
    </xf>
    <xf numFmtId="0" fontId="35" fillId="0" borderId="26" xfId="0" applyFont="1" applyBorder="1" applyProtection="1">
      <alignment vertical="center"/>
      <protection locked="0"/>
    </xf>
    <xf numFmtId="0" fontId="35" fillId="0" borderId="38" xfId="0" applyFont="1" applyBorder="1" applyProtection="1">
      <alignment vertical="center"/>
      <protection locked="0"/>
    </xf>
    <xf numFmtId="164" fontId="35" fillId="0" borderId="0" xfId="0" applyNumberFormat="1" applyFont="1" applyProtection="1">
      <alignment vertical="center"/>
      <protection locked="0"/>
    </xf>
    <xf numFmtId="0" fontId="7" fillId="0" borderId="0" xfId="0" applyFont="1" applyProtection="1">
      <alignment vertical="center"/>
      <protection locked="0"/>
    </xf>
    <xf numFmtId="166" fontId="7" fillId="0" borderId="0" xfId="0" applyNumberFormat="1" applyFont="1" applyProtection="1">
      <alignment vertical="center"/>
      <protection locked="0"/>
    </xf>
    <xf numFmtId="0" fontId="24" fillId="0" borderId="0" xfId="0" applyFont="1" applyAlignment="1" applyProtection="1">
      <alignment horizontal="left" vertical="center"/>
      <protection locked="0"/>
    </xf>
    <xf numFmtId="166" fontId="7" fillId="0" borderId="0" xfId="0" applyNumberFormat="1" applyFont="1">
      <alignment vertical="center"/>
    </xf>
    <xf numFmtId="0" fontId="39" fillId="0" borderId="0" xfId="0" applyFont="1">
      <alignment vertical="center"/>
    </xf>
    <xf numFmtId="0" fontId="40" fillId="0" borderId="0" xfId="0" applyFont="1">
      <alignment vertical="center"/>
    </xf>
    <xf numFmtId="0" fontId="35" fillId="0" borderId="3" xfId="0" applyFont="1" applyBorder="1" applyAlignment="1">
      <alignment horizontal="left" vertical="center" wrapText="1"/>
    </xf>
    <xf numFmtId="165" fontId="14" fillId="0" borderId="0" xfId="0" applyNumberFormat="1" applyFont="1">
      <alignment vertical="center"/>
    </xf>
    <xf numFmtId="165" fontId="43" fillId="3" borderId="3" xfId="0" applyNumberFormat="1" applyFont="1" applyFill="1" applyBorder="1">
      <alignment vertical="center"/>
    </xf>
    <xf numFmtId="0" fontId="24" fillId="7" borderId="0" xfId="0" applyFont="1" applyFill="1" applyAlignment="1">
      <alignment horizontal="left" vertical="center"/>
    </xf>
    <xf numFmtId="0" fontId="24" fillId="0" borderId="48" xfId="0" applyFont="1" applyBorder="1" applyAlignment="1"/>
    <xf numFmtId="0" fontId="24" fillId="0" borderId="0" xfId="0" applyFont="1" applyAlignment="1"/>
    <xf numFmtId="0" fontId="24" fillId="7" borderId="0" xfId="0" applyFont="1" applyFill="1" applyAlignment="1"/>
    <xf numFmtId="0" fontId="24" fillId="7" borderId="0" xfId="0" applyFont="1" applyFill="1" applyAlignment="1">
      <alignment horizontal="right"/>
    </xf>
    <xf numFmtId="0" fontId="24" fillId="0" borderId="41" xfId="0" applyFont="1" applyBorder="1" applyAlignment="1"/>
    <xf numFmtId="0" fontId="24" fillId="7" borderId="41" xfId="0" applyFont="1" applyFill="1" applyBorder="1" applyAlignment="1"/>
    <xf numFmtId="0" fontId="24" fillId="7" borderId="41" xfId="0" applyFont="1" applyFill="1" applyBorder="1" applyAlignment="1">
      <alignment horizontal="right"/>
    </xf>
    <xf numFmtId="0" fontId="24" fillId="0" borderId="42" xfId="0" applyFont="1" applyBorder="1" applyAlignment="1"/>
    <xf numFmtId="0" fontId="24" fillId="7" borderId="42" xfId="0" applyFont="1" applyFill="1" applyBorder="1" applyAlignment="1"/>
    <xf numFmtId="0" fontId="24" fillId="7" borderId="42" xfId="0" applyFont="1" applyFill="1" applyBorder="1" applyAlignment="1">
      <alignment horizontal="right"/>
    </xf>
    <xf numFmtId="0" fontId="24" fillId="7" borderId="42" xfId="0" applyFont="1" applyFill="1" applyBorder="1">
      <alignment vertical="center"/>
    </xf>
    <xf numFmtId="0" fontId="24" fillId="7" borderId="42" xfId="0" applyFont="1" applyFill="1" applyBorder="1" applyAlignment="1">
      <alignment horizontal="right" vertical="center"/>
    </xf>
    <xf numFmtId="0" fontId="24" fillId="0" borderId="0" xfId="0" applyFont="1" applyAlignment="1">
      <alignment horizontal="left"/>
    </xf>
    <xf numFmtId="0" fontId="2" fillId="7" borderId="0" xfId="0" applyFont="1" applyFill="1" applyAlignment="1"/>
    <xf numFmtId="0" fontId="24" fillId="0" borderId="0" xfId="0" applyFont="1" applyAlignment="1">
      <alignment horizontal="right"/>
    </xf>
    <xf numFmtId="0" fontId="24" fillId="0" borderId="45" xfId="0" applyFont="1" applyBorder="1" applyAlignment="1">
      <alignment horizontal="center"/>
    </xf>
    <xf numFmtId="0" fontId="24" fillId="7" borderId="46" xfId="0" applyFont="1" applyFill="1" applyBorder="1" applyAlignment="1">
      <alignment horizontal="center"/>
    </xf>
    <xf numFmtId="0" fontId="24" fillId="7" borderId="34" xfId="0" applyFont="1" applyFill="1" applyBorder="1" applyAlignment="1"/>
    <xf numFmtId="0" fontId="24" fillId="0" borderId="13" xfId="0" applyFont="1" applyBorder="1" applyAlignment="1"/>
    <xf numFmtId="0" fontId="27" fillId="7" borderId="0" xfId="0" applyFont="1" applyFill="1" applyAlignment="1"/>
    <xf numFmtId="9" fontId="24" fillId="0" borderId="0" xfId="0" applyNumberFormat="1" applyFont="1" applyAlignment="1">
      <alignment horizontal="center"/>
    </xf>
    <xf numFmtId="0" fontId="24" fillId="7" borderId="0" xfId="0" applyFont="1" applyFill="1" applyAlignment="1">
      <alignment horizontal="left"/>
    </xf>
    <xf numFmtId="0" fontId="24" fillId="7" borderId="23" xfId="0" applyFont="1" applyFill="1" applyBorder="1" applyAlignment="1">
      <alignment horizontal="left"/>
    </xf>
    <xf numFmtId="0" fontId="24" fillId="0" borderId="25" xfId="0" applyFont="1" applyBorder="1" applyAlignment="1"/>
    <xf numFmtId="0" fontId="2" fillId="0" borderId="0" xfId="0" applyFont="1" applyAlignment="1"/>
    <xf numFmtId="0" fontId="27" fillId="0" borderId="0" xfId="0" applyFont="1" applyAlignment="1">
      <alignment horizontal="left"/>
    </xf>
    <xf numFmtId="0" fontId="24" fillId="0" borderId="47" xfId="0" applyFont="1" applyBorder="1" applyAlignment="1"/>
    <xf numFmtId="164" fontId="24" fillId="0" borderId="0" xfId="0" applyNumberFormat="1" applyFont="1" applyAlignment="1">
      <alignment horizontal="right"/>
    </xf>
    <xf numFmtId="0" fontId="24" fillId="0" borderId="0" xfId="0" applyFont="1" applyAlignment="1">
      <alignment horizontal="center"/>
    </xf>
    <xf numFmtId="0" fontId="24" fillId="3" borderId="0" xfId="0" applyFont="1" applyFill="1" applyProtection="1">
      <alignment vertical="center"/>
      <protection locked="0"/>
    </xf>
    <xf numFmtId="165" fontId="2" fillId="0" borderId="0" xfId="0" applyNumberFormat="1" applyFont="1" applyAlignment="1">
      <alignment horizontal="left"/>
    </xf>
    <xf numFmtId="165" fontId="24" fillId="0" borderId="0" xfId="0" applyNumberFormat="1" applyFont="1" applyAlignment="1">
      <alignment horizontal="left"/>
    </xf>
    <xf numFmtId="0" fontId="29" fillId="7" borderId="0" xfId="0" applyFont="1" applyFill="1" applyAlignment="1">
      <alignment horizontal="center"/>
    </xf>
    <xf numFmtId="0" fontId="22" fillId="0" borderId="0" xfId="0" applyFont="1" applyAlignment="1"/>
    <xf numFmtId="0" fontId="42" fillId="0" borderId="3" xfId="0" applyFont="1" applyBorder="1" applyAlignment="1">
      <alignment horizontal="center" vertical="center"/>
    </xf>
    <xf numFmtId="174" fontId="35" fillId="0" borderId="3" xfId="0" applyNumberFormat="1" applyFont="1" applyBorder="1" applyAlignment="1">
      <alignment horizontal="center" vertical="center"/>
    </xf>
    <xf numFmtId="0" fontId="42" fillId="0" borderId="3" xfId="0" applyFont="1" applyBorder="1" applyAlignment="1">
      <alignment horizontal="center" vertical="center" wrapText="1"/>
    </xf>
    <xf numFmtId="174" fontId="42" fillId="0" borderId="3" xfId="0" applyNumberFormat="1" applyFont="1" applyBorder="1" applyAlignment="1">
      <alignment horizontal="center" vertical="center"/>
    </xf>
    <xf numFmtId="0" fontId="24" fillId="0" borderId="0" xfId="0" applyFont="1" applyAlignment="1" applyProtection="1">
      <alignment horizontal="center" vertical="center"/>
      <protection locked="0"/>
    </xf>
    <xf numFmtId="0" fontId="24" fillId="0" borderId="3" xfId="0" applyFont="1" applyBorder="1" applyAlignment="1">
      <alignment horizontal="center" vertical="center"/>
    </xf>
    <xf numFmtId="166" fontId="39" fillId="0" borderId="0" xfId="0" applyNumberFormat="1" applyFont="1">
      <alignment vertical="center"/>
    </xf>
    <xf numFmtId="0" fontId="37" fillId="0" borderId="0" xfId="0" applyFont="1">
      <alignment vertical="center"/>
    </xf>
    <xf numFmtId="165" fontId="24" fillId="0" borderId="0" xfId="0" applyNumberFormat="1" applyFont="1" applyAlignment="1">
      <alignment horizontal="right" vertical="center"/>
    </xf>
    <xf numFmtId="164" fontId="21" fillId="0" borderId="0" xfId="0" applyNumberFormat="1" applyFont="1">
      <alignment vertical="center"/>
    </xf>
    <xf numFmtId="9" fontId="40" fillId="0" borderId="0" xfId="0" applyNumberFormat="1" applyFont="1" applyAlignment="1">
      <alignment horizontal="center" vertical="center"/>
    </xf>
    <xf numFmtId="0" fontId="40" fillId="0" borderId="0" xfId="0" applyFont="1" applyAlignment="1">
      <alignment horizontal="center" vertical="center"/>
    </xf>
    <xf numFmtId="165" fontId="40" fillId="0" borderId="0" xfId="0" applyNumberFormat="1" applyFont="1">
      <alignment vertical="center"/>
    </xf>
    <xf numFmtId="165" fontId="40" fillId="0" borderId="0" xfId="0" applyNumberFormat="1" applyFont="1" applyAlignment="1">
      <alignment horizontal="left" vertical="center"/>
    </xf>
    <xf numFmtId="0" fontId="44" fillId="0" borderId="0" xfId="0" applyFont="1">
      <alignment vertical="center"/>
    </xf>
    <xf numFmtId="9" fontId="40" fillId="0" borderId="0" xfId="0" applyNumberFormat="1" applyFont="1">
      <alignment vertical="center"/>
    </xf>
    <xf numFmtId="0" fontId="45" fillId="0" borderId="0" xfId="0" applyFont="1">
      <alignment vertical="center"/>
    </xf>
    <xf numFmtId="0" fontId="46" fillId="0" borderId="0" xfId="0" applyFont="1">
      <alignment vertical="center"/>
    </xf>
    <xf numFmtId="9" fontId="44" fillId="0" borderId="0" xfId="0" applyNumberFormat="1" applyFont="1" applyAlignment="1">
      <alignment horizontal="center" vertical="center"/>
    </xf>
    <xf numFmtId="0" fontId="41" fillId="0" borderId="3" xfId="0" applyFont="1" applyBorder="1" applyAlignment="1">
      <alignment horizontal="center" vertical="center"/>
    </xf>
    <xf numFmtId="0" fontId="0" fillId="0" borderId="3" xfId="0" applyBorder="1">
      <alignment vertical="center"/>
    </xf>
    <xf numFmtId="0" fontId="35" fillId="0" borderId="3" xfId="0" applyFont="1" applyBorder="1">
      <alignment vertical="center"/>
    </xf>
    <xf numFmtId="2" fontId="0" fillId="3" borderId="0" xfId="0" applyNumberFormat="1" applyFill="1" applyAlignment="1">
      <alignment horizontal="center"/>
    </xf>
    <xf numFmtId="2" fontId="10" fillId="3" borderId="3" xfId="0" applyNumberFormat="1" applyFont="1" applyFill="1" applyBorder="1" applyAlignment="1">
      <alignment horizontal="center"/>
    </xf>
    <xf numFmtId="2" fontId="10" fillId="3" borderId="37" xfId="0" applyNumberFormat="1" applyFont="1" applyFill="1" applyBorder="1" applyAlignment="1">
      <alignment horizontal="center" vertical="center"/>
    </xf>
    <xf numFmtId="2" fontId="10" fillId="3" borderId="28" xfId="0" applyNumberFormat="1" applyFont="1" applyFill="1" applyBorder="1" applyAlignment="1">
      <alignment horizontal="center" vertical="center"/>
    </xf>
    <xf numFmtId="1" fontId="0" fillId="0" borderId="0" xfId="0" applyNumberFormat="1" applyAlignment="1"/>
    <xf numFmtId="0" fontId="39" fillId="0" borderId="0" xfId="0" applyFont="1" applyAlignment="1">
      <alignment horizontal="right" vertical="center"/>
    </xf>
    <xf numFmtId="0" fontId="48" fillId="0" borderId="0" xfId="0" applyFont="1" applyAlignment="1">
      <alignment vertical="center" wrapText="1"/>
    </xf>
    <xf numFmtId="0" fontId="39" fillId="0" borderId="0" xfId="0" applyFont="1" applyAlignment="1">
      <alignment horizontal="left" vertical="center"/>
    </xf>
    <xf numFmtId="0" fontId="48" fillId="0" borderId="0" xfId="0" applyFont="1" applyAlignment="1">
      <alignment horizontal="center" vertical="center" wrapText="1"/>
    </xf>
    <xf numFmtId="164" fontId="39" fillId="0" borderId="0" xfId="0" applyNumberFormat="1" applyFont="1" applyAlignment="1">
      <alignment horizontal="right" vertical="center"/>
    </xf>
    <xf numFmtId="166" fontId="39" fillId="0" borderId="0" xfId="0" applyNumberFormat="1" applyFont="1" applyAlignment="1">
      <alignment horizontal="center" vertical="center"/>
    </xf>
    <xf numFmtId="165" fontId="39" fillId="0" borderId="0" xfId="0" applyNumberFormat="1" applyFont="1" applyAlignment="1">
      <alignment horizontal="center" vertical="center"/>
    </xf>
    <xf numFmtId="2" fontId="39" fillId="0" borderId="0" xfId="0" applyNumberFormat="1" applyFont="1" applyAlignment="1">
      <alignment horizontal="center" vertical="center"/>
    </xf>
    <xf numFmtId="0" fontId="47" fillId="0" borderId="0" xfId="0" applyFont="1" applyAlignment="1">
      <alignment horizontal="center" vertical="center"/>
    </xf>
    <xf numFmtId="0" fontId="47" fillId="0" borderId="0" xfId="0" applyFont="1">
      <alignment vertical="center"/>
    </xf>
    <xf numFmtId="0" fontId="39" fillId="7" borderId="0" xfId="0" applyFont="1" applyFill="1" applyAlignment="1">
      <alignment horizontal="left" vertical="center"/>
    </xf>
    <xf numFmtId="2" fontId="39" fillId="0" borderId="3" xfId="0" applyNumberFormat="1" applyFont="1" applyBorder="1" applyAlignment="1">
      <alignment horizontal="center" vertical="center"/>
    </xf>
    <xf numFmtId="0" fontId="24" fillId="0" borderId="3" xfId="0" applyFont="1" applyBorder="1" applyAlignment="1">
      <alignment horizontal="center" vertical="center" wrapText="1"/>
    </xf>
    <xf numFmtId="165" fontId="24" fillId="0" borderId="3" xfId="0" applyNumberFormat="1" applyFont="1" applyBorder="1" applyAlignment="1">
      <alignment horizontal="center" vertical="center"/>
    </xf>
    <xf numFmtId="0" fontId="28" fillId="0" borderId="0" xfId="0" applyFont="1" applyAlignment="1">
      <alignment horizontal="center" vertical="center" wrapText="1"/>
    </xf>
    <xf numFmtId="0" fontId="2" fillId="0" borderId="0" xfId="0" applyFont="1" applyAlignment="1">
      <alignment horizontal="right" vertical="center"/>
    </xf>
    <xf numFmtId="0" fontId="24" fillId="0" borderId="40" xfId="0" applyFont="1" applyBorder="1" applyAlignment="1"/>
    <xf numFmtId="0" fontId="24" fillId="0" borderId="40" xfId="0" applyFont="1" applyBorder="1">
      <alignment vertical="center"/>
    </xf>
    <xf numFmtId="0" fontId="24" fillId="0" borderId="26" xfId="0" applyFont="1" applyBorder="1" applyAlignment="1"/>
    <xf numFmtId="0" fontId="24" fillId="7" borderId="26" xfId="0" applyFont="1" applyFill="1" applyBorder="1" applyAlignment="1">
      <alignment horizontal="left"/>
    </xf>
    <xf numFmtId="0" fontId="24" fillId="0" borderId="33" xfId="0" applyFont="1" applyBorder="1" applyAlignment="1"/>
    <xf numFmtId="0" fontId="24" fillId="7" borderId="47" xfId="0" applyFont="1" applyFill="1" applyBorder="1" applyAlignment="1"/>
    <xf numFmtId="0" fontId="24" fillId="7" borderId="47" xfId="0" applyFont="1" applyFill="1" applyBorder="1" applyAlignment="1">
      <alignment horizontal="right"/>
    </xf>
    <xf numFmtId="0" fontId="24" fillId="0" borderId="0" xfId="0" applyFont="1" applyAlignment="1">
      <alignment vertical="center" wrapText="1"/>
    </xf>
    <xf numFmtId="2" fontId="24" fillId="0" borderId="3" xfId="0" applyNumberFormat="1" applyFont="1" applyBorder="1" applyAlignment="1">
      <alignment horizontal="center" vertical="center" wrapText="1"/>
    </xf>
    <xf numFmtId="165" fontId="24" fillId="0" borderId="3" xfId="0" applyNumberFormat="1" applyFont="1" applyBorder="1" applyAlignment="1">
      <alignment horizontal="center" vertical="center" wrapText="1"/>
    </xf>
    <xf numFmtId="0" fontId="24" fillId="0" borderId="20" xfId="0" applyFont="1" applyBorder="1" applyAlignment="1">
      <alignment horizontal="center" vertical="center" wrapText="1"/>
    </xf>
    <xf numFmtId="0" fontId="24" fillId="0" borderId="0" xfId="0" applyFont="1" applyAlignment="1">
      <alignment horizontal="center" vertical="center" wrapText="1"/>
    </xf>
    <xf numFmtId="0" fontId="39" fillId="0" borderId="0" xfId="0" applyFont="1" applyAlignment="1">
      <alignment horizontal="center" vertical="center"/>
    </xf>
    <xf numFmtId="0" fontId="35" fillId="0" borderId="3" xfId="0" applyFont="1" applyBorder="1" applyAlignment="1" applyProtection="1">
      <alignment horizontal="center" vertical="center"/>
      <protection locked="0"/>
    </xf>
    <xf numFmtId="0" fontId="36" fillId="0" borderId="0" xfId="0" applyFont="1" applyAlignment="1">
      <alignment horizontal="center" vertical="center"/>
    </xf>
    <xf numFmtId="0" fontId="24" fillId="0" borderId="3" xfId="0" applyFont="1" applyBorder="1" applyAlignment="1">
      <alignment horizontal="left" vertical="center"/>
    </xf>
    <xf numFmtId="0" fontId="0" fillId="6" borderId="0" xfId="0" applyFill="1">
      <alignment vertical="center"/>
    </xf>
    <xf numFmtId="0" fontId="35" fillId="5" borderId="3" xfId="0" applyFont="1" applyFill="1" applyBorder="1" applyAlignment="1">
      <alignment horizontal="center" vertical="center"/>
    </xf>
    <xf numFmtId="2" fontId="39" fillId="0" borderId="0" xfId="0" applyNumberFormat="1" applyFont="1">
      <alignment vertical="center"/>
    </xf>
    <xf numFmtId="165" fontId="24" fillId="0" borderId="0" xfId="0" quotePrefix="1" applyNumberFormat="1" applyFont="1" applyAlignment="1" applyProtection="1">
      <alignment vertical="center" wrapText="1"/>
      <protection locked="0"/>
    </xf>
    <xf numFmtId="0" fontId="39" fillId="0" borderId="0" xfId="0" applyFont="1" applyAlignment="1">
      <alignment vertical="center" wrapText="1"/>
    </xf>
    <xf numFmtId="175" fontId="39" fillId="0" borderId="0" xfId="0" applyNumberFormat="1" applyFont="1">
      <alignment vertical="center"/>
    </xf>
    <xf numFmtId="0" fontId="24" fillId="7" borderId="0" xfId="0" applyFont="1" applyFill="1" applyAlignment="1" applyProtection="1">
      <alignment horizontal="left" vertical="center"/>
      <protection locked="0"/>
    </xf>
    <xf numFmtId="0" fontId="2" fillId="7" borderId="0" xfId="0" applyFont="1" applyFill="1" applyProtection="1">
      <alignment vertical="center"/>
      <protection locked="0"/>
    </xf>
    <xf numFmtId="0" fontId="24" fillId="7" borderId="0" xfId="0" applyFont="1" applyFill="1" applyProtection="1">
      <alignment vertical="center"/>
      <protection locked="0"/>
    </xf>
    <xf numFmtId="0" fontId="23" fillId="5" borderId="0" xfId="0" applyFont="1" applyFill="1">
      <alignment vertical="center"/>
    </xf>
    <xf numFmtId="9" fontId="36" fillId="0" borderId="0" xfId="0" applyNumberFormat="1" applyFont="1">
      <alignment vertical="center"/>
    </xf>
    <xf numFmtId="9" fontId="39" fillId="0" borderId="0" xfId="0" applyNumberFormat="1" applyFont="1" applyAlignment="1">
      <alignment horizontal="center" vertical="center"/>
    </xf>
    <xf numFmtId="9" fontId="39" fillId="0" borderId="0" xfId="0" applyNumberFormat="1" applyFont="1">
      <alignment vertical="center"/>
    </xf>
    <xf numFmtId="173" fontId="39" fillId="0" borderId="0" xfId="0" applyNumberFormat="1" applyFont="1" applyAlignment="1">
      <alignment horizontal="center" vertical="center"/>
    </xf>
    <xf numFmtId="0" fontId="39" fillId="7" borderId="0" xfId="0" applyFont="1" applyFill="1">
      <alignment vertical="center"/>
    </xf>
    <xf numFmtId="9" fontId="24" fillId="0" borderId="0" xfId="0" applyNumberFormat="1" applyFont="1">
      <alignment vertical="center"/>
    </xf>
    <xf numFmtId="169" fontId="24" fillId="0" borderId="0" xfId="0" applyNumberFormat="1" applyFont="1" applyAlignment="1">
      <alignment horizontal="left" vertical="center"/>
    </xf>
    <xf numFmtId="170" fontId="24" fillId="0" borderId="0" xfId="0" applyNumberFormat="1" applyFont="1" applyAlignment="1">
      <alignment horizontal="left" vertical="center"/>
    </xf>
    <xf numFmtId="0" fontId="27" fillId="0" borderId="0" xfId="0" applyFont="1">
      <alignment vertical="center"/>
    </xf>
    <xf numFmtId="167" fontId="24" fillId="0" borderId="0" xfId="0" applyNumberFormat="1" applyFont="1" applyAlignment="1">
      <alignment horizontal="left" vertical="center"/>
    </xf>
    <xf numFmtId="2" fontId="14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7" fillId="0" borderId="0" xfId="0" applyFont="1" applyAlignment="1">
      <alignment horizontal="left" vertical="center"/>
    </xf>
    <xf numFmtId="2" fontId="17" fillId="0" borderId="0" xfId="0" applyNumberFormat="1" applyFont="1">
      <alignment vertical="center"/>
    </xf>
    <xf numFmtId="165" fontId="43" fillId="3" borderId="0" xfId="0" applyNumberFormat="1" applyFont="1" applyFill="1">
      <alignment vertical="center"/>
    </xf>
    <xf numFmtId="166" fontId="26" fillId="0" borderId="20" xfId="0" applyNumberFormat="1" applyFont="1" applyBorder="1">
      <alignment vertical="center"/>
    </xf>
    <xf numFmtId="171" fontId="26" fillId="0" borderId="20" xfId="0" applyNumberFormat="1" applyFont="1" applyBorder="1">
      <alignment vertical="center"/>
    </xf>
    <xf numFmtId="0" fontId="2" fillId="0" borderId="0" xfId="0" applyFont="1" applyAlignment="1">
      <alignment horizontal="center" vertical="center"/>
    </xf>
    <xf numFmtId="0" fontId="2" fillId="7" borderId="0" xfId="0" applyFont="1" applyFill="1" applyAlignment="1" applyProtection="1">
      <alignment horizontal="left" vertical="center"/>
      <protection locked="0"/>
    </xf>
    <xf numFmtId="0" fontId="2" fillId="0" borderId="0" xfId="0" applyFont="1" applyAlignment="1" applyProtection="1">
      <alignment horizontal="left" vertical="center"/>
      <protection locked="0"/>
    </xf>
    <xf numFmtId="0" fontId="25" fillId="0" borderId="0" xfId="0" applyFont="1" applyAlignment="1" applyProtection="1">
      <alignment horizontal="center" vertical="center"/>
      <protection locked="0"/>
    </xf>
    <xf numFmtId="0" fontId="25" fillId="0" borderId="0" xfId="0" applyFont="1" applyProtection="1">
      <alignment vertical="center"/>
      <protection locked="0"/>
    </xf>
    <xf numFmtId="164" fontId="21" fillId="0" borderId="0" xfId="0" applyNumberFormat="1" applyFont="1" applyProtection="1">
      <alignment vertical="center"/>
      <protection locked="0"/>
    </xf>
    <xf numFmtId="166" fontId="21" fillId="0" borderId="0" xfId="0" applyNumberFormat="1" applyFont="1" applyProtection="1">
      <alignment vertical="center"/>
      <protection locked="0"/>
    </xf>
    <xf numFmtId="0" fontId="22" fillId="0" borderId="0" xfId="0" applyFont="1" applyAlignment="1" applyProtection="1">
      <alignment horizontal="right"/>
      <protection locked="0"/>
    </xf>
    <xf numFmtId="0" fontId="35" fillId="0" borderId="3" xfId="0" applyFont="1" applyBorder="1" applyAlignment="1">
      <alignment horizontal="center" vertical="center"/>
    </xf>
    <xf numFmtId="0" fontId="24" fillId="0" borderId="20" xfId="0" applyFont="1" applyBorder="1" applyAlignment="1">
      <alignment horizontal="center" vertical="center"/>
    </xf>
    <xf numFmtId="165" fontId="2" fillId="0" borderId="0" xfId="0" quotePrefix="1" applyNumberFormat="1" applyFont="1" applyAlignment="1" applyProtection="1">
      <alignment horizontal="left" vertical="center" wrapText="1"/>
      <protection locked="0"/>
    </xf>
    <xf numFmtId="0" fontId="35" fillId="0" borderId="0" xfId="0" applyFont="1" applyAlignment="1" applyProtection="1">
      <alignment horizontal="center" vertical="center"/>
      <protection locked="0"/>
    </xf>
    <xf numFmtId="165" fontId="24" fillId="0" borderId="0" xfId="0" applyNumberFormat="1" applyFont="1" applyAlignment="1">
      <alignment horizontal="center" vertical="center" wrapText="1"/>
    </xf>
    <xf numFmtId="2" fontId="43" fillId="3" borderId="3" xfId="0" applyNumberFormat="1" applyFont="1" applyFill="1" applyBorder="1">
      <alignment vertical="center"/>
    </xf>
    <xf numFmtId="177" fontId="24" fillId="7" borderId="0" xfId="0" applyNumberFormat="1" applyFont="1" applyFill="1" applyAlignment="1">
      <alignment horizontal="right" vertical="center"/>
    </xf>
    <xf numFmtId="178" fontId="24" fillId="7" borderId="0" xfId="0" applyNumberFormat="1" applyFont="1" applyFill="1">
      <alignment vertical="center"/>
    </xf>
    <xf numFmtId="177" fontId="24" fillId="7" borderId="0" xfId="0" applyNumberFormat="1" applyFont="1" applyFill="1" applyAlignment="1">
      <alignment horizontal="center" vertical="center"/>
    </xf>
    <xf numFmtId="0" fontId="24" fillId="7" borderId="0" xfId="0" applyFont="1" applyFill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165" fontId="24" fillId="0" borderId="0" xfId="0" applyNumberFormat="1" applyFont="1" applyAlignment="1" applyProtection="1">
      <alignment horizontal="center" vertical="center"/>
      <protection locked="0"/>
    </xf>
    <xf numFmtId="165" fontId="24" fillId="0" borderId="0" xfId="0" quotePrefix="1" applyNumberFormat="1" applyFont="1" applyAlignment="1" applyProtection="1">
      <alignment horizontal="center" vertical="center" wrapText="1"/>
      <protection locked="0"/>
    </xf>
    <xf numFmtId="165" fontId="2" fillId="0" borderId="0" xfId="0" quotePrefix="1" applyNumberFormat="1" applyFont="1" applyAlignment="1" applyProtection="1">
      <alignment horizontal="center" vertical="center" wrapText="1"/>
      <protection locked="0"/>
    </xf>
    <xf numFmtId="165" fontId="24" fillId="0" borderId="0" xfId="0" applyNumberFormat="1" applyFont="1" applyAlignment="1" applyProtection="1">
      <alignment horizontal="center" vertical="center" wrapText="1"/>
      <protection locked="0"/>
    </xf>
    <xf numFmtId="0" fontId="21" fillId="0" borderId="0" xfId="0" applyFont="1" applyAlignment="1" applyProtection="1">
      <alignment horizontal="center" vertical="center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166" fontId="7" fillId="0" borderId="0" xfId="0" applyNumberFormat="1" applyFont="1" applyAlignment="1" applyProtection="1">
      <alignment horizontal="center" vertical="center"/>
      <protection locked="0"/>
    </xf>
    <xf numFmtId="166" fontId="7" fillId="0" borderId="0" xfId="0" applyNumberFormat="1" applyFont="1" applyAlignment="1">
      <alignment horizontal="center" vertical="center"/>
    </xf>
    <xf numFmtId="2" fontId="0" fillId="0" borderId="0" xfId="0" applyNumberFormat="1" applyAlignment="1"/>
    <xf numFmtId="2" fontId="7" fillId="11" borderId="17" xfId="0" applyNumberFormat="1" applyFont="1" applyFill="1" applyBorder="1" applyAlignment="1">
      <alignment horizontal="center" vertical="center"/>
    </xf>
    <xf numFmtId="2" fontId="7" fillId="4" borderId="22" xfId="0" applyNumberFormat="1" applyFont="1" applyFill="1" applyBorder="1" applyAlignment="1">
      <alignment horizontal="center" vertical="center"/>
    </xf>
    <xf numFmtId="1" fontId="5" fillId="4" borderId="3" xfId="0" applyNumberFormat="1" applyFont="1" applyFill="1" applyBorder="1" applyAlignment="1">
      <alignment horizontal="center" vertical="center"/>
    </xf>
    <xf numFmtId="2" fontId="7" fillId="0" borderId="3" xfId="0" applyNumberFormat="1" applyFont="1" applyBorder="1" applyAlignment="1">
      <alignment horizontal="center" vertical="center"/>
    </xf>
    <xf numFmtId="2" fontId="0" fillId="4" borderId="3" xfId="0" applyNumberFormat="1" applyFill="1" applyBorder="1" applyAlignment="1">
      <alignment horizontal="center" vertical="center"/>
    </xf>
    <xf numFmtId="2" fontId="35" fillId="4" borderId="3" xfId="0" applyNumberFormat="1" applyFont="1" applyFill="1" applyBorder="1" applyAlignment="1">
      <alignment horizontal="center" vertical="center"/>
    </xf>
    <xf numFmtId="2" fontId="35" fillId="11" borderId="3" xfId="0" applyNumberFormat="1" applyFont="1" applyFill="1" applyBorder="1" applyAlignment="1">
      <alignment horizontal="center"/>
    </xf>
    <xf numFmtId="2" fontId="35" fillId="4" borderId="3" xfId="0" quotePrefix="1" applyNumberFormat="1" applyFont="1" applyFill="1" applyBorder="1" applyAlignment="1">
      <alignment horizontal="center" vertical="center"/>
    </xf>
    <xf numFmtId="2" fontId="7" fillId="11" borderId="23" xfId="0" applyNumberFormat="1" applyFont="1" applyFill="1" applyBorder="1" applyAlignment="1">
      <alignment horizontal="center" vertical="center"/>
    </xf>
    <xf numFmtId="2" fontId="7" fillId="4" borderId="25" xfId="0" applyNumberFormat="1" applyFont="1" applyFill="1" applyBorder="1" applyAlignment="1">
      <alignment horizontal="center" vertical="center"/>
    </xf>
    <xf numFmtId="2" fontId="0" fillId="4" borderId="3" xfId="0" applyNumberFormat="1" applyFill="1" applyBorder="1" applyAlignment="1">
      <alignment horizontal="center"/>
    </xf>
    <xf numFmtId="2" fontId="35" fillId="4" borderId="3" xfId="0" quotePrefix="1" applyNumberFormat="1" applyFont="1" applyFill="1" applyBorder="1" applyAlignment="1">
      <alignment horizontal="center"/>
    </xf>
    <xf numFmtId="1" fontId="0" fillId="0" borderId="4" xfId="0" applyNumberFormat="1" applyBorder="1" applyAlignment="1"/>
    <xf numFmtId="2" fontId="0" fillId="0" borderId="4" xfId="0" applyNumberFormat="1" applyBorder="1" applyAlignment="1"/>
    <xf numFmtId="2" fontId="0" fillId="0" borderId="9" xfId="0" applyNumberFormat="1" applyBorder="1" applyAlignment="1"/>
    <xf numFmtId="2" fontId="10" fillId="0" borderId="0" xfId="0" applyNumberFormat="1" applyFont="1" applyAlignment="1"/>
    <xf numFmtId="2" fontId="0" fillId="4" borderId="3" xfId="0" applyNumberFormat="1" applyFill="1" applyBorder="1" applyAlignment="1"/>
    <xf numFmtId="2" fontId="0" fillId="0" borderId="0" xfId="0" applyNumberFormat="1" applyAlignment="1">
      <alignment horizontal="center"/>
    </xf>
    <xf numFmtId="1" fontId="0" fillId="3" borderId="4" xfId="0" applyNumberFormat="1" applyFill="1" applyBorder="1" applyAlignment="1">
      <alignment horizontal="center" vertical="center"/>
    </xf>
    <xf numFmtId="2" fontId="35" fillId="3" borderId="0" xfId="0" quotePrefix="1" applyNumberFormat="1" applyFont="1" applyFill="1" applyAlignment="1">
      <alignment horizontal="center"/>
    </xf>
    <xf numFmtId="2" fontId="35" fillId="3" borderId="0" xfId="0" applyNumberFormat="1" applyFont="1" applyFill="1" applyAlignment="1">
      <alignment horizontal="center"/>
    </xf>
    <xf numFmtId="2" fontId="0" fillId="3" borderId="0" xfId="0" applyNumberFormat="1" applyFill="1" applyAlignment="1"/>
    <xf numFmtId="1" fontId="5" fillId="4" borderId="3" xfId="0" quotePrefix="1" applyNumberFormat="1" applyFont="1" applyFill="1" applyBorder="1" applyAlignment="1">
      <alignment horizontal="center" vertical="center"/>
    </xf>
    <xf numFmtId="1" fontId="5" fillId="11" borderId="3" xfId="0" applyNumberFormat="1" applyFont="1" applyFill="1" applyBorder="1" applyAlignment="1">
      <alignment horizontal="center" vertical="center"/>
    </xf>
    <xf numFmtId="2" fontId="35" fillId="4" borderId="3" xfId="0" applyNumberFormat="1" applyFont="1" applyFill="1" applyBorder="1" applyAlignment="1">
      <alignment horizontal="center"/>
    </xf>
    <xf numFmtId="2" fontId="0" fillId="0" borderId="2" xfId="0" applyNumberFormat="1" applyBorder="1" applyAlignment="1"/>
    <xf numFmtId="1" fontId="0" fillId="0" borderId="4" xfId="0" applyNumberFormat="1" applyBorder="1" applyAlignment="1">
      <alignment horizontal="center" vertical="center"/>
    </xf>
    <xf numFmtId="2" fontId="35" fillId="0" borderId="0" xfId="0" applyNumberFormat="1" applyFont="1" applyAlignment="1">
      <alignment horizontal="center"/>
    </xf>
    <xf numFmtId="2" fontId="35" fillId="0" borderId="0" xfId="0" quotePrefix="1" applyNumberFormat="1" applyFont="1" applyAlignment="1">
      <alignment horizontal="center"/>
    </xf>
    <xf numFmtId="2" fontId="10" fillId="2" borderId="7" xfId="0" applyNumberFormat="1" applyFont="1" applyFill="1" applyBorder="1" applyAlignment="1"/>
    <xf numFmtId="2" fontId="11" fillId="3" borderId="3" xfId="4" applyNumberFormat="1" applyFont="1" applyFill="1" applyBorder="1" applyAlignment="1">
      <alignment vertical="center"/>
    </xf>
    <xf numFmtId="2" fontId="0" fillId="0" borderId="3" xfId="0" applyNumberFormat="1" applyBorder="1" applyAlignment="1"/>
    <xf numFmtId="2" fontId="11" fillId="3" borderId="2" xfId="4" applyNumberFormat="1" applyFont="1" applyFill="1" applyBorder="1" applyAlignment="1">
      <alignment horizontal="center" vertical="center"/>
    </xf>
    <xf numFmtId="2" fontId="18" fillId="11" borderId="3" xfId="0" applyNumberFormat="1" applyFont="1" applyFill="1" applyBorder="1" applyAlignment="1">
      <alignment horizontal="center" vertical="center"/>
    </xf>
    <xf numFmtId="2" fontId="4" fillId="11" borderId="3" xfId="4" applyNumberFormat="1" applyFont="1" applyFill="1" applyBorder="1" applyAlignment="1">
      <alignment horizontal="center" vertical="center"/>
    </xf>
    <xf numFmtId="2" fontId="13" fillId="5" borderId="17" xfId="0" applyNumberFormat="1" applyFont="1" applyFill="1" applyBorder="1" applyAlignment="1">
      <alignment horizontal="center" vertical="center"/>
    </xf>
    <xf numFmtId="2" fontId="13" fillId="5" borderId="22" xfId="0" applyNumberFormat="1" applyFont="1" applyFill="1" applyBorder="1" applyAlignment="1">
      <alignment horizontal="center" vertical="center"/>
    </xf>
    <xf numFmtId="2" fontId="10" fillId="11" borderId="3" xfId="0" applyNumberFormat="1" applyFont="1" applyFill="1" applyBorder="1" applyAlignment="1">
      <alignment horizontal="center" vertical="center"/>
    </xf>
    <xf numFmtId="2" fontId="10" fillId="11" borderId="22" xfId="0" applyNumberFormat="1" applyFont="1" applyFill="1" applyBorder="1" applyAlignment="1">
      <alignment horizontal="center" vertical="center"/>
    </xf>
    <xf numFmtId="2" fontId="13" fillId="5" borderId="17" xfId="0" applyNumberFormat="1" applyFont="1" applyFill="1" applyBorder="1" applyAlignment="1">
      <alignment horizontal="center"/>
    </xf>
    <xf numFmtId="2" fontId="13" fillId="5" borderId="22" xfId="0" applyNumberFormat="1" applyFont="1" applyFill="1" applyBorder="1" applyAlignment="1">
      <alignment horizontal="center"/>
    </xf>
    <xf numFmtId="2" fontId="10" fillId="11" borderId="3" xfId="0" applyNumberFormat="1" applyFont="1" applyFill="1" applyBorder="1" applyAlignment="1">
      <alignment horizontal="center"/>
    </xf>
    <xf numFmtId="2" fontId="10" fillId="11" borderId="22" xfId="0" applyNumberFormat="1" applyFont="1" applyFill="1" applyBorder="1" applyAlignment="1">
      <alignment horizontal="center"/>
    </xf>
    <xf numFmtId="2" fontId="7" fillId="5" borderId="22" xfId="0" applyNumberFormat="1" applyFont="1" applyFill="1" applyBorder="1" applyAlignment="1">
      <alignment horizontal="center"/>
    </xf>
    <xf numFmtId="2" fontId="13" fillId="5" borderId="23" xfId="0" applyNumberFormat="1" applyFont="1" applyFill="1" applyBorder="1" applyAlignment="1">
      <alignment horizontal="center" vertical="center"/>
    </xf>
    <xf numFmtId="2" fontId="7" fillId="5" borderId="25" xfId="0" applyNumberFormat="1" applyFont="1" applyFill="1" applyBorder="1" applyAlignment="1">
      <alignment horizontal="center"/>
    </xf>
    <xf numFmtId="2" fontId="10" fillId="11" borderId="24" xfId="0" applyNumberFormat="1" applyFont="1" applyFill="1" applyBorder="1" applyAlignment="1">
      <alignment horizontal="center" vertical="center"/>
    </xf>
    <xf numFmtId="2" fontId="10" fillId="11" borderId="24" xfId="0" applyNumberFormat="1" applyFont="1" applyFill="1" applyBorder="1" applyAlignment="1">
      <alignment horizontal="center"/>
    </xf>
    <xf numFmtId="2" fontId="10" fillId="11" borderId="25" xfId="0" applyNumberFormat="1" applyFont="1" applyFill="1" applyBorder="1" applyAlignment="1">
      <alignment horizontal="center"/>
    </xf>
    <xf numFmtId="2" fontId="10" fillId="0" borderId="0" xfId="0" applyNumberFormat="1" applyFont="1" applyAlignment="1">
      <alignment horizontal="center" vertical="center"/>
    </xf>
    <xf numFmtId="2" fontId="10" fillId="0" borderId="8" xfId="0" applyNumberFormat="1" applyFont="1" applyBorder="1" applyAlignment="1"/>
    <xf numFmtId="2" fontId="10" fillId="3" borderId="3" xfId="0" applyNumberFormat="1" applyFont="1" applyFill="1" applyBorder="1" applyAlignment="1">
      <alignment horizontal="center" vertical="center"/>
    </xf>
    <xf numFmtId="2" fontId="10" fillId="3" borderId="27" xfId="0" applyNumberFormat="1" applyFont="1" applyFill="1" applyBorder="1" applyAlignment="1">
      <alignment horizontal="center" vertical="center"/>
    </xf>
    <xf numFmtId="2" fontId="10" fillId="3" borderId="27" xfId="0" applyNumberFormat="1" applyFont="1" applyFill="1" applyBorder="1" applyAlignment="1">
      <alignment horizontal="center"/>
    </xf>
    <xf numFmtId="2" fontId="10" fillId="3" borderId="28" xfId="0" applyNumberFormat="1" applyFont="1" applyFill="1" applyBorder="1" applyAlignment="1">
      <alignment horizontal="center"/>
    </xf>
    <xf numFmtId="2" fontId="10" fillId="3" borderId="0" xfId="0" applyNumberFormat="1" applyFont="1" applyFill="1" applyAlignment="1"/>
    <xf numFmtId="2" fontId="10" fillId="11" borderId="12" xfId="0" applyNumberFormat="1" applyFont="1" applyFill="1" applyBorder="1" applyAlignment="1">
      <alignment horizontal="center" vertical="center"/>
    </xf>
    <xf numFmtId="2" fontId="10" fillId="11" borderId="12" xfId="0" applyNumberFormat="1" applyFont="1" applyFill="1" applyBorder="1" applyAlignment="1">
      <alignment horizontal="center"/>
    </xf>
    <xf numFmtId="2" fontId="10" fillId="11" borderId="13" xfId="0" applyNumberFormat="1" applyFont="1" applyFill="1" applyBorder="1" applyAlignment="1">
      <alignment horizontal="center"/>
    </xf>
    <xf numFmtId="2" fontId="10" fillId="0" borderId="2" xfId="0" applyNumberFormat="1" applyFont="1" applyBorder="1" applyAlignment="1"/>
    <xf numFmtId="2" fontId="19" fillId="5" borderId="22" xfId="0" applyNumberFormat="1" applyFont="1" applyFill="1" applyBorder="1" applyAlignment="1">
      <alignment horizontal="center" vertical="center"/>
    </xf>
    <xf numFmtId="2" fontId="10" fillId="11" borderId="25" xfId="0" applyNumberFormat="1" applyFont="1" applyFill="1" applyBorder="1" applyAlignment="1">
      <alignment horizontal="center" vertical="center"/>
    </xf>
    <xf numFmtId="2" fontId="10" fillId="3" borderId="35" xfId="0" applyNumberFormat="1" applyFont="1" applyFill="1" applyBorder="1" applyAlignment="1">
      <alignment horizontal="center" vertical="center"/>
    </xf>
    <xf numFmtId="2" fontId="10" fillId="11" borderId="13" xfId="0" applyNumberFormat="1" applyFont="1" applyFill="1" applyBorder="1" applyAlignment="1">
      <alignment horizontal="center" vertical="center"/>
    </xf>
    <xf numFmtId="2" fontId="10" fillId="3" borderId="36" xfId="0" applyNumberFormat="1" applyFont="1" applyFill="1" applyBorder="1" applyAlignment="1">
      <alignment horizontal="center" vertical="center"/>
    </xf>
    <xf numFmtId="2" fontId="10" fillId="3" borderId="4" xfId="0" applyNumberFormat="1" applyFont="1" applyFill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2" fontId="10" fillId="3" borderId="0" xfId="0" applyNumberFormat="1" applyFont="1" applyFill="1" applyAlignment="1">
      <alignment horizontal="center" vertical="center"/>
    </xf>
    <xf numFmtId="1" fontId="11" fillId="3" borderId="3" xfId="4" applyNumberFormat="1" applyFont="1" applyFill="1" applyBorder="1" applyAlignment="1">
      <alignment horizontal="center" vertical="center"/>
    </xf>
    <xf numFmtId="1" fontId="11" fillId="3" borderId="11" xfId="4" applyNumberFormat="1" applyFont="1" applyFill="1" applyBorder="1" applyAlignment="1">
      <alignment horizontal="center" vertical="center"/>
    </xf>
    <xf numFmtId="2" fontId="11" fillId="3" borderId="2" xfId="4" applyNumberFormat="1" applyFont="1" applyFill="1" applyBorder="1" applyAlignment="1">
      <alignment horizontal="left" vertical="center" wrapText="1"/>
    </xf>
    <xf numFmtId="2" fontId="18" fillId="3" borderId="3" xfId="0" applyNumberFormat="1" applyFont="1" applyFill="1" applyBorder="1" applyAlignment="1">
      <alignment horizontal="center" vertical="center"/>
    </xf>
    <xf numFmtId="2" fontId="4" fillId="3" borderId="3" xfId="4" applyNumberFormat="1" applyFont="1" applyFill="1" applyBorder="1" applyAlignment="1">
      <alignment horizontal="center" vertical="center"/>
    </xf>
    <xf numFmtId="1" fontId="18" fillId="3" borderId="3" xfId="0" applyNumberFormat="1" applyFont="1" applyFill="1" applyBorder="1" applyAlignment="1">
      <alignment horizontal="center" vertical="center"/>
    </xf>
    <xf numFmtId="2" fontId="9" fillId="3" borderId="3" xfId="4" applyNumberFormat="1" applyFont="1" applyFill="1" applyBorder="1" applyAlignment="1">
      <alignment horizontal="center" vertical="center"/>
    </xf>
    <xf numFmtId="2" fontId="10" fillId="3" borderId="17" xfId="0" applyNumberFormat="1" applyFont="1" applyFill="1" applyBorder="1" applyAlignment="1">
      <alignment horizontal="center"/>
    </xf>
    <xf numFmtId="2" fontId="10" fillId="4" borderId="3" xfId="0" applyNumberFormat="1" applyFont="1" applyFill="1" applyBorder="1" applyAlignment="1">
      <alignment horizontal="center"/>
    </xf>
    <xf numFmtId="2" fontId="10" fillId="3" borderId="22" xfId="4" applyNumberFormat="1" applyFont="1" applyFill="1" applyBorder="1" applyAlignment="1">
      <alignment horizontal="center"/>
    </xf>
    <xf numFmtId="2" fontId="35" fillId="0" borderId="23" xfId="0" applyNumberFormat="1" applyFont="1" applyBorder="1" applyAlignment="1">
      <alignment horizontal="center" vertical="center"/>
    </xf>
    <xf numFmtId="2" fontId="0" fillId="4" borderId="24" xfId="0" applyNumberFormat="1" applyFill="1" applyBorder="1" applyAlignment="1">
      <alignment horizontal="center" vertical="center"/>
    </xf>
    <xf numFmtId="2" fontId="0" fillId="0" borderId="24" xfId="0" applyNumberFormat="1" applyBorder="1" applyAlignment="1">
      <alignment horizontal="center" vertical="center"/>
    </xf>
    <xf numFmtId="2" fontId="10" fillId="3" borderId="25" xfId="4" applyNumberFormat="1" applyFont="1" applyFill="1" applyBorder="1" applyAlignment="1">
      <alignment horizontal="center"/>
    </xf>
    <xf numFmtId="2" fontId="10" fillId="3" borderId="4" xfId="4" applyNumberFormat="1" applyFont="1" applyFill="1" applyBorder="1" applyAlignment="1">
      <alignment horizontal="center"/>
    </xf>
    <xf numFmtId="2" fontId="0" fillId="0" borderId="6" xfId="0" applyNumberFormat="1" applyBorder="1" applyAlignment="1"/>
    <xf numFmtId="2" fontId="13" fillId="3" borderId="0" xfId="4" applyNumberFormat="1" applyFont="1" applyFill="1"/>
    <xf numFmtId="2" fontId="0" fillId="4" borderId="12" xfId="0" applyNumberFormat="1" applyFill="1" applyBorder="1" applyAlignment="1"/>
    <xf numFmtId="2" fontId="0" fillId="4" borderId="13" xfId="0" applyNumberFormat="1" applyFill="1" applyBorder="1" applyAlignment="1"/>
    <xf numFmtId="2" fontId="9" fillId="3" borderId="0" xfId="4" applyNumberFormat="1" applyFont="1" applyFill="1"/>
    <xf numFmtId="2" fontId="0" fillId="4" borderId="22" xfId="0" applyNumberFormat="1" applyFill="1" applyBorder="1" applyAlignment="1"/>
    <xf numFmtId="2" fontId="10" fillId="3" borderId="4" xfId="0" applyNumberFormat="1" applyFont="1" applyFill="1" applyBorder="1" applyAlignment="1"/>
    <xf numFmtId="2" fontId="0" fillId="4" borderId="24" xfId="0" applyNumberFormat="1" applyFill="1" applyBorder="1" applyAlignment="1"/>
    <xf numFmtId="2" fontId="0" fillId="4" borderId="25" xfId="0" applyNumberFormat="1" applyFill="1" applyBorder="1" applyAlignment="1"/>
    <xf numFmtId="2" fontId="35" fillId="0" borderId="3" xfId="0" applyNumberFormat="1" applyFont="1" applyBorder="1" applyAlignment="1">
      <alignment horizontal="center" vertical="center" wrapText="1"/>
    </xf>
    <xf numFmtId="2" fontId="0" fillId="0" borderId="3" xfId="0" applyNumberFormat="1" applyBorder="1" applyAlignment="1">
      <alignment horizontal="center" vertical="center" wrapText="1"/>
    </xf>
    <xf numFmtId="2" fontId="10" fillId="11" borderId="3" xfId="0" applyNumberFormat="1" applyFont="1" applyFill="1" applyBorder="1">
      <alignment vertical="center"/>
    </xf>
    <xf numFmtId="1" fontId="10" fillId="11" borderId="3" xfId="0" applyNumberFormat="1" applyFont="1" applyFill="1" applyBorder="1" applyAlignment="1">
      <alignment horizontal="center" vertical="center"/>
    </xf>
    <xf numFmtId="179" fontId="8" fillId="3" borderId="17" xfId="4" applyNumberFormat="1" applyFont="1" applyFill="1" applyBorder="1" applyAlignment="1">
      <alignment horizontal="center" vertical="center"/>
    </xf>
    <xf numFmtId="2" fontId="8" fillId="3" borderId="3" xfId="4" applyNumberFormat="1" applyFont="1" applyFill="1" applyBorder="1" applyAlignment="1">
      <alignment horizontal="center" vertical="center"/>
    </xf>
    <xf numFmtId="2" fontId="20" fillId="0" borderId="22" xfId="0" applyNumberFormat="1" applyFont="1" applyBorder="1">
      <alignment vertical="center"/>
    </xf>
    <xf numFmtId="2" fontId="8" fillId="3" borderId="17" xfId="4" applyNumberFormat="1" applyFont="1" applyFill="1" applyBorder="1" applyAlignment="1">
      <alignment horizontal="center" vertical="center"/>
    </xf>
    <xf numFmtId="2" fontId="24" fillId="0" borderId="22" xfId="0" applyNumberFormat="1" applyFont="1" applyBorder="1" applyAlignment="1">
      <alignment horizontal="left" vertical="center"/>
    </xf>
    <xf numFmtId="2" fontId="10" fillId="3" borderId="23" xfId="0" applyNumberFormat="1" applyFont="1" applyFill="1" applyBorder="1" applyAlignment="1"/>
    <xf numFmtId="2" fontId="20" fillId="0" borderId="24" xfId="0" applyNumberFormat="1" applyFont="1" applyBorder="1" applyAlignment="1">
      <alignment horizontal="center" vertical="center"/>
    </xf>
    <xf numFmtId="2" fontId="20" fillId="0" borderId="25" xfId="0" applyNumberFormat="1" applyFont="1" applyBorder="1" applyAlignment="1">
      <alignment horizontal="center" vertical="center"/>
    </xf>
    <xf numFmtId="2" fontId="10" fillId="11" borderId="3" xfId="0" applyNumberFormat="1" applyFont="1" applyFill="1" applyBorder="1" applyAlignment="1">
      <alignment horizontal="left" vertical="center"/>
    </xf>
    <xf numFmtId="181" fontId="39" fillId="0" borderId="3" xfId="0" applyNumberFormat="1" applyFont="1" applyBorder="1" applyAlignment="1">
      <alignment horizontal="center" vertical="center"/>
    </xf>
    <xf numFmtId="0" fontId="24" fillId="0" borderId="11" xfId="0" applyFont="1" applyBorder="1" applyAlignment="1">
      <alignment horizontal="center" vertical="center" wrapText="1"/>
    </xf>
    <xf numFmtId="0" fontId="24" fillId="0" borderId="12" xfId="0" applyFont="1" applyBorder="1" applyAlignment="1">
      <alignment horizontal="center" vertical="center" wrapText="1"/>
    </xf>
    <xf numFmtId="0" fontId="24" fillId="0" borderId="12" xfId="0" applyFont="1" applyBorder="1" applyAlignment="1">
      <alignment horizontal="center" vertical="center"/>
    </xf>
    <xf numFmtId="2" fontId="24" fillId="0" borderId="13" xfId="0" applyNumberFormat="1" applyFont="1" applyBorder="1" applyAlignment="1">
      <alignment horizontal="center" vertical="center" wrapText="1"/>
    </xf>
    <xf numFmtId="0" fontId="24" fillId="0" borderId="24" xfId="0" applyFont="1" applyBorder="1" applyAlignment="1">
      <alignment horizontal="center" vertical="center"/>
    </xf>
    <xf numFmtId="165" fontId="24" fillId="0" borderId="25" xfId="0" applyNumberFormat="1" applyFont="1" applyBorder="1" applyAlignment="1">
      <alignment horizontal="center" vertical="center" wrapText="1"/>
    </xf>
    <xf numFmtId="165" fontId="24" fillId="0" borderId="13" xfId="0" applyNumberFormat="1" applyFont="1" applyBorder="1" applyAlignment="1">
      <alignment horizontal="center" vertical="center" wrapText="1"/>
    </xf>
    <xf numFmtId="0" fontId="24" fillId="0" borderId="17" xfId="0" applyFont="1" applyBorder="1" applyAlignment="1">
      <alignment horizontal="center" vertical="center"/>
    </xf>
    <xf numFmtId="0" fontId="24" fillId="0" borderId="23" xfId="0" applyFont="1" applyBorder="1" applyAlignment="1">
      <alignment horizontal="center" vertical="center"/>
    </xf>
    <xf numFmtId="0" fontId="24" fillId="0" borderId="34" xfId="0" applyFont="1" applyBorder="1" applyAlignment="1">
      <alignment horizontal="center" vertical="center"/>
    </xf>
    <xf numFmtId="0" fontId="24" fillId="0" borderId="34" xfId="0" applyFont="1" applyBorder="1" applyAlignment="1">
      <alignment horizontal="center" vertical="center" wrapText="1"/>
    </xf>
    <xf numFmtId="2" fontId="24" fillId="0" borderId="21" xfId="0" applyNumberFormat="1" applyFont="1" applyBorder="1" applyAlignment="1">
      <alignment horizontal="center" vertical="center" wrapText="1"/>
    </xf>
    <xf numFmtId="165" fontId="24" fillId="0" borderId="21" xfId="0" applyNumberFormat="1" applyFont="1" applyBorder="1" applyAlignment="1">
      <alignment horizontal="center" vertical="center" wrapText="1"/>
    </xf>
    <xf numFmtId="0" fontId="24" fillId="0" borderId="48" xfId="0" applyFont="1" applyBorder="1" applyAlignment="1">
      <alignment horizontal="center" vertical="center" wrapText="1"/>
    </xf>
    <xf numFmtId="0" fontId="24" fillId="0" borderId="53" xfId="0" applyFont="1" applyBorder="1" applyAlignment="1">
      <alignment horizontal="center" vertical="center" wrapText="1"/>
    </xf>
    <xf numFmtId="0" fontId="24" fillId="0" borderId="54" xfId="0" applyFont="1" applyBorder="1" applyAlignment="1">
      <alignment horizontal="center" vertical="center" wrapText="1"/>
    </xf>
    <xf numFmtId="0" fontId="24" fillId="0" borderId="55" xfId="0" applyFont="1" applyBorder="1" applyAlignment="1">
      <alignment horizontal="center" vertical="center" wrapText="1"/>
    </xf>
    <xf numFmtId="0" fontId="24" fillId="0" borderId="32" xfId="0" applyFont="1" applyBorder="1" applyAlignment="1">
      <alignment horizontal="center" vertical="center" wrapText="1"/>
    </xf>
    <xf numFmtId="0" fontId="24" fillId="0" borderId="45" xfId="0" applyFont="1" applyBorder="1" applyAlignment="1">
      <alignment horizontal="center" vertical="center" wrapText="1"/>
    </xf>
    <xf numFmtId="0" fontId="24" fillId="0" borderId="56" xfId="0" applyFont="1" applyBorder="1" applyAlignment="1">
      <alignment horizontal="center" vertical="center"/>
    </xf>
    <xf numFmtId="0" fontId="24" fillId="0" borderId="56" xfId="0" applyFont="1" applyBorder="1" applyAlignment="1">
      <alignment horizontal="center" vertical="center" wrapText="1"/>
    </xf>
    <xf numFmtId="0" fontId="24" fillId="0" borderId="46" xfId="0" applyFont="1" applyBorder="1" applyAlignment="1">
      <alignment horizontal="center" vertical="center" wrapText="1"/>
    </xf>
    <xf numFmtId="0" fontId="24" fillId="0" borderId="11" xfId="0" applyFont="1" applyBorder="1" applyAlignment="1">
      <alignment horizontal="center" vertical="center"/>
    </xf>
    <xf numFmtId="0" fontId="24" fillId="0" borderId="52" xfId="0" applyFont="1" applyBorder="1" applyAlignment="1">
      <alignment horizontal="center" vertical="center" wrapText="1"/>
    </xf>
    <xf numFmtId="0" fontId="24" fillId="0" borderId="18" xfId="0" applyFont="1" applyBorder="1" applyAlignment="1">
      <alignment horizontal="center" vertical="center"/>
    </xf>
    <xf numFmtId="0" fontId="24" fillId="0" borderId="18" xfId="0" applyFont="1" applyBorder="1" applyAlignment="1">
      <alignment horizontal="center" vertical="center" wrapText="1"/>
    </xf>
    <xf numFmtId="0" fontId="24" fillId="0" borderId="19" xfId="0" applyFont="1" applyBorder="1" applyAlignment="1">
      <alignment horizontal="center" vertical="center" wrapText="1"/>
    </xf>
    <xf numFmtId="2" fontId="0" fillId="0" borderId="0" xfId="0" applyNumberFormat="1">
      <alignment vertical="center"/>
    </xf>
    <xf numFmtId="182" fontId="0" fillId="0" borderId="0" xfId="0" applyNumberFormat="1">
      <alignment vertical="center"/>
    </xf>
    <xf numFmtId="182" fontId="0" fillId="5" borderId="0" xfId="0" applyNumberFormat="1" applyFill="1">
      <alignment vertical="center"/>
    </xf>
    <xf numFmtId="176" fontId="24" fillId="0" borderId="0" xfId="0" applyNumberFormat="1" applyFont="1" applyAlignment="1">
      <alignment horizontal="left" vertical="center"/>
    </xf>
    <xf numFmtId="0" fontId="2" fillId="3" borderId="0" xfId="1" applyFont="1" applyFill="1" applyAlignment="1" applyProtection="1">
      <alignment vertical="center"/>
      <protection locked="0"/>
    </xf>
    <xf numFmtId="0" fontId="39" fillId="0" borderId="0" xfId="0" applyFont="1" applyProtection="1">
      <alignment vertical="center"/>
      <protection locked="0"/>
    </xf>
    <xf numFmtId="0" fontId="35" fillId="0" borderId="0" xfId="0" applyFont="1" applyAlignment="1" applyProtection="1">
      <alignment horizontal="left" vertical="center"/>
      <protection locked="0"/>
    </xf>
    <xf numFmtId="0" fontId="42" fillId="3" borderId="3" xfId="0" applyFont="1" applyFill="1" applyBorder="1" applyAlignment="1">
      <alignment horizontal="center" vertical="center"/>
    </xf>
    <xf numFmtId="0" fontId="35" fillId="0" borderId="3" xfId="0" applyFont="1" applyBorder="1" applyAlignment="1">
      <alignment horizontal="center" vertical="center" wrapText="1"/>
    </xf>
    <xf numFmtId="2" fontId="35" fillId="0" borderId="0" xfId="0" applyNumberFormat="1" applyFont="1" applyAlignment="1"/>
    <xf numFmtId="0" fontId="24" fillId="0" borderId="44" xfId="0" applyFont="1" applyBorder="1" applyAlignment="1">
      <alignment vertical="center" wrapText="1"/>
    </xf>
    <xf numFmtId="0" fontId="24" fillId="0" borderId="36" xfId="0" applyFont="1" applyBorder="1" applyAlignment="1">
      <alignment vertical="center" wrapText="1"/>
    </xf>
    <xf numFmtId="0" fontId="24" fillId="0" borderId="20" xfId="0" applyFont="1" applyBorder="1" applyAlignment="1">
      <alignment horizontal="center" vertical="top" wrapText="1"/>
    </xf>
    <xf numFmtId="0" fontId="24" fillId="0" borderId="50" xfId="0" applyFont="1" applyBorder="1" applyAlignment="1">
      <alignment horizontal="center" vertical="top" wrapText="1"/>
    </xf>
    <xf numFmtId="0" fontId="24" fillId="0" borderId="43" xfId="0" applyFont="1" applyBorder="1" applyAlignment="1">
      <alignment vertical="top" wrapText="1"/>
    </xf>
    <xf numFmtId="0" fontId="24" fillId="0" borderId="0" xfId="5" applyNumberFormat="1" applyFont="1" applyAlignment="1" applyProtection="1">
      <alignment horizontal="left" vertical="center"/>
    </xf>
    <xf numFmtId="183" fontId="39" fillId="0" borderId="3" xfId="0" applyNumberFormat="1" applyFont="1" applyBorder="1" applyAlignment="1">
      <alignment horizontal="center" vertical="center"/>
    </xf>
    <xf numFmtId="2" fontId="43" fillId="13" borderId="3" xfId="0" applyNumberFormat="1" applyFont="1" applyFill="1" applyBorder="1">
      <alignment vertical="center"/>
    </xf>
    <xf numFmtId="165" fontId="43" fillId="13" borderId="3" xfId="0" applyNumberFormat="1" applyFont="1" applyFill="1" applyBorder="1">
      <alignment vertical="center"/>
    </xf>
    <xf numFmtId="2" fontId="8" fillId="0" borderId="3" xfId="0" applyNumberFormat="1" applyFont="1" applyBorder="1" applyAlignment="1">
      <alignment horizontal="right"/>
    </xf>
    <xf numFmtId="173" fontId="39" fillId="13" borderId="0" xfId="0" applyNumberFormat="1" applyFont="1" applyFill="1" applyAlignment="1">
      <alignment horizontal="center" vertical="center"/>
    </xf>
    <xf numFmtId="0" fontId="26" fillId="0" borderId="31" xfId="0" applyFont="1" applyBorder="1" applyAlignment="1">
      <alignment horizontal="left" vertical="center"/>
    </xf>
    <xf numFmtId="164" fontId="26" fillId="0" borderId="3" xfId="0" applyNumberFormat="1" applyFont="1" applyBorder="1" applyAlignment="1">
      <alignment horizontal="center" vertical="center"/>
    </xf>
    <xf numFmtId="179" fontId="26" fillId="0" borderId="3" xfId="0" applyNumberFormat="1" applyFont="1" applyBorder="1" applyAlignment="1">
      <alignment horizontal="center" vertical="center"/>
    </xf>
    <xf numFmtId="184" fontId="26" fillId="0" borderId="3" xfId="0" applyNumberFormat="1" applyFont="1" applyBorder="1" applyAlignment="1">
      <alignment horizontal="center" vertical="center"/>
    </xf>
    <xf numFmtId="182" fontId="26" fillId="0" borderId="3" xfId="0" applyNumberFormat="1" applyFont="1" applyBorder="1" applyAlignment="1">
      <alignment horizontal="center" vertical="center"/>
    </xf>
    <xf numFmtId="185" fontId="26" fillId="0" borderId="3" xfId="0" applyNumberFormat="1" applyFont="1" applyBorder="1" applyAlignment="1">
      <alignment horizontal="center" vertical="center"/>
    </xf>
    <xf numFmtId="186" fontId="26" fillId="0" borderId="3" xfId="0" applyNumberFormat="1" applyFont="1" applyBorder="1" applyAlignment="1">
      <alignment horizontal="center" vertical="center"/>
    </xf>
    <xf numFmtId="0" fontId="53" fillId="5" borderId="31" xfId="0" applyFont="1" applyFill="1" applyBorder="1" applyAlignment="1">
      <alignment horizontal="left" vertical="center"/>
    </xf>
    <xf numFmtId="0" fontId="53" fillId="5" borderId="26" xfId="0" applyFont="1" applyFill="1" applyBorder="1" applyAlignment="1">
      <alignment horizontal="center" vertical="center"/>
    </xf>
    <xf numFmtId="0" fontId="53" fillId="5" borderId="38" xfId="0" applyFont="1" applyFill="1" applyBorder="1" applyAlignment="1">
      <alignment horizontal="center" vertical="center"/>
    </xf>
    <xf numFmtId="0" fontId="55" fillId="5" borderId="3" xfId="0" applyFont="1" applyFill="1" applyBorder="1" applyAlignment="1">
      <alignment horizontal="center" vertical="center"/>
    </xf>
    <xf numFmtId="0" fontId="53" fillId="5" borderId="3" xfId="0" applyFont="1" applyFill="1" applyBorder="1" applyAlignment="1">
      <alignment horizontal="center" vertical="center"/>
    </xf>
    <xf numFmtId="166" fontId="53" fillId="5" borderId="3" xfId="0" applyNumberFormat="1" applyFont="1" applyFill="1" applyBorder="1" applyAlignment="1">
      <alignment horizontal="center" vertical="center"/>
    </xf>
    <xf numFmtId="168" fontId="53" fillId="5" borderId="3" xfId="0" applyNumberFormat="1" applyFont="1" applyFill="1" applyBorder="1" applyAlignment="1">
      <alignment horizontal="center" vertical="center"/>
    </xf>
    <xf numFmtId="179" fontId="53" fillId="5" borderId="3" xfId="0" applyNumberFormat="1" applyFont="1" applyFill="1" applyBorder="1" applyAlignment="1">
      <alignment horizontal="center" vertical="center"/>
    </xf>
    <xf numFmtId="1" fontId="53" fillId="5" borderId="3" xfId="0" applyNumberFormat="1" applyFont="1" applyFill="1" applyBorder="1" applyAlignment="1">
      <alignment horizontal="center" vertical="center"/>
    </xf>
    <xf numFmtId="171" fontId="26" fillId="0" borderId="3" xfId="0" applyNumberFormat="1" applyFont="1" applyBorder="1" applyAlignment="1">
      <alignment horizontal="center" vertical="center"/>
    </xf>
    <xf numFmtId="0" fontId="42" fillId="2" borderId="3" xfId="0" applyFont="1" applyFill="1" applyBorder="1" applyAlignment="1">
      <alignment horizontal="center" vertical="center" wrapText="1"/>
    </xf>
    <xf numFmtId="0" fontId="42" fillId="2" borderId="3" xfId="0" applyFont="1" applyFill="1" applyBorder="1" applyAlignment="1">
      <alignment horizontal="center" vertical="center"/>
    </xf>
    <xf numFmtId="0" fontId="0" fillId="5" borderId="0" xfId="0" applyFill="1">
      <alignment vertical="center"/>
    </xf>
    <xf numFmtId="0" fontId="42" fillId="5" borderId="3" xfId="0" applyFont="1" applyFill="1" applyBorder="1" applyAlignment="1">
      <alignment horizontal="center" vertical="center"/>
    </xf>
    <xf numFmtId="0" fontId="42" fillId="5" borderId="38" xfId="0" applyFont="1" applyFill="1" applyBorder="1" applyAlignment="1">
      <alignment horizontal="center" vertical="center" wrapText="1"/>
    </xf>
    <xf numFmtId="2" fontId="35" fillId="15" borderId="0" xfId="6" applyNumberFormat="1" applyFill="1">
      <alignment vertical="center"/>
    </xf>
    <xf numFmtId="2" fontId="35" fillId="15" borderId="0" xfId="6" applyNumberFormat="1" applyFill="1" applyAlignment="1">
      <alignment horizontal="center" vertical="center"/>
    </xf>
    <xf numFmtId="2" fontId="57" fillId="15" borderId="0" xfId="6" applyNumberFormat="1" applyFont="1" applyFill="1" applyAlignment="1">
      <alignment horizontal="center" vertical="center"/>
    </xf>
    <xf numFmtId="2" fontId="57" fillId="12" borderId="3" xfId="6" applyNumberFormat="1" applyFont="1" applyFill="1" applyBorder="1" applyAlignment="1">
      <alignment horizontal="center" vertical="center" wrapText="1"/>
    </xf>
    <xf numFmtId="2" fontId="57" fillId="15" borderId="0" xfId="6" applyNumberFormat="1" applyFont="1" applyFill="1" applyAlignment="1">
      <alignment horizontal="center" vertical="center" wrapText="1"/>
    </xf>
    <xf numFmtId="2" fontId="35" fillId="0" borderId="0" xfId="6" applyNumberFormat="1">
      <alignment vertical="center"/>
    </xf>
    <xf numFmtId="1" fontId="35" fillId="17" borderId="3" xfId="6" applyNumberFormat="1" applyFill="1" applyBorder="1" applyAlignment="1">
      <alignment horizontal="center"/>
    </xf>
    <xf numFmtId="2" fontId="5" fillId="18" borderId="3" xfId="6" applyNumberFormat="1" applyFont="1" applyFill="1" applyBorder="1" applyAlignment="1"/>
    <xf numFmtId="2" fontId="58" fillId="12" borderId="3" xfId="6" applyNumberFormat="1" applyFont="1" applyFill="1" applyBorder="1" applyAlignment="1"/>
    <xf numFmtId="2" fontId="58" fillId="15" borderId="0" xfId="6" applyNumberFormat="1" applyFont="1" applyFill="1" applyAlignment="1"/>
    <xf numFmtId="2" fontId="35" fillId="17" borderId="3" xfId="6" applyNumberFormat="1" applyFill="1" applyBorder="1" applyAlignment="1">
      <alignment horizontal="center" vertical="top" wrapText="1"/>
    </xf>
    <xf numFmtId="2" fontId="35" fillId="17" borderId="3" xfId="6" applyNumberFormat="1" applyFill="1" applyBorder="1" applyAlignment="1">
      <alignment horizontal="center"/>
    </xf>
    <xf numFmtId="2" fontId="58" fillId="12" borderId="3" xfId="6" applyNumberFormat="1" applyFont="1" applyFill="1" applyBorder="1" applyAlignment="1">
      <alignment horizontal="center"/>
    </xf>
    <xf numFmtId="2" fontId="57" fillId="12" borderId="3" xfId="6" applyNumberFormat="1" applyFont="1" applyFill="1" applyBorder="1" applyAlignment="1">
      <alignment horizontal="center" vertical="center"/>
    </xf>
    <xf numFmtId="2" fontId="7" fillId="0" borderId="17" xfId="6" applyNumberFormat="1" applyFont="1" applyBorder="1" applyAlignment="1">
      <alignment horizontal="center" vertical="center"/>
    </xf>
    <xf numFmtId="2" fontId="35" fillId="19" borderId="3" xfId="6" applyNumberFormat="1" applyFill="1" applyBorder="1" applyAlignment="1">
      <alignment horizontal="center" vertical="center"/>
    </xf>
    <xf numFmtId="2" fontId="35" fillId="20" borderId="20" xfId="6" applyNumberFormat="1" applyFill="1" applyBorder="1" applyAlignment="1">
      <alignment horizontal="center"/>
    </xf>
    <xf numFmtId="2" fontId="57" fillId="12" borderId="3" xfId="6" applyNumberFormat="1" applyFont="1" applyFill="1" applyBorder="1" applyAlignment="1">
      <alignment horizontal="center"/>
    </xf>
    <xf numFmtId="2" fontId="57" fillId="15" borderId="0" xfId="6" applyNumberFormat="1" applyFont="1" applyFill="1" applyAlignment="1">
      <alignment horizontal="center"/>
    </xf>
    <xf numFmtId="2" fontId="35" fillId="19" borderId="22" xfId="6" applyNumberFormat="1" applyFill="1" applyBorder="1" applyAlignment="1">
      <alignment horizontal="center" vertical="center"/>
    </xf>
    <xf numFmtId="2" fontId="7" fillId="15" borderId="0" xfId="6" applyNumberFormat="1" applyFont="1" applyFill="1" applyAlignment="1">
      <alignment horizontal="center"/>
    </xf>
    <xf numFmtId="2" fontId="35" fillId="15" borderId="0" xfId="6" applyNumberFormat="1" applyFill="1" applyAlignment="1">
      <alignment horizontal="center"/>
    </xf>
    <xf numFmtId="2" fontId="7" fillId="15" borderId="24" xfId="6" applyNumberFormat="1" applyFont="1" applyFill="1" applyBorder="1" applyAlignment="1">
      <alignment horizontal="center" vertical="center"/>
    </xf>
    <xf numFmtId="2" fontId="35" fillId="15" borderId="0" xfId="6" applyNumberFormat="1" applyFill="1" applyAlignment="1"/>
    <xf numFmtId="2" fontId="7" fillId="15" borderId="0" xfId="6" applyNumberFormat="1" applyFont="1" applyFill="1" applyAlignment="1">
      <alignment horizontal="center" vertical="center"/>
    </xf>
    <xf numFmtId="2" fontId="57" fillId="12" borderId="0" xfId="6" applyNumberFormat="1" applyFont="1" applyFill="1" applyAlignment="1">
      <alignment horizontal="center" vertical="center"/>
    </xf>
    <xf numFmtId="2" fontId="35" fillId="19" borderId="3" xfId="6" applyNumberFormat="1" applyFill="1" applyBorder="1" applyAlignment="1">
      <alignment horizontal="center" vertical="top"/>
    </xf>
    <xf numFmtId="2" fontId="7" fillId="0" borderId="43" xfId="6" applyNumberFormat="1" applyFont="1" applyBorder="1" applyAlignment="1">
      <alignment horizontal="center" vertical="center"/>
    </xf>
    <xf numFmtId="2" fontId="35" fillId="19" borderId="3" xfId="6" applyNumberFormat="1" applyFill="1" applyBorder="1" applyAlignment="1">
      <alignment horizontal="center"/>
    </xf>
    <xf numFmtId="2" fontId="35" fillId="19" borderId="3" xfId="6" applyNumberFormat="1" applyFill="1" applyBorder="1" applyAlignment="1">
      <alignment horizontal="center" vertical="top" wrapText="1"/>
    </xf>
    <xf numFmtId="2" fontId="59" fillId="15" borderId="0" xfId="6" applyNumberFormat="1" applyFont="1" applyFill="1" applyAlignment="1"/>
    <xf numFmtId="2" fontId="35" fillId="19" borderId="31" xfId="6" applyNumberFormat="1" applyFill="1" applyBorder="1" applyAlignment="1">
      <alignment horizontal="center" vertical="center"/>
    </xf>
    <xf numFmtId="2" fontId="60" fillId="15" borderId="0" xfId="3" applyNumberFormat="1" applyFont="1" applyFill="1" applyProtection="1"/>
    <xf numFmtId="2" fontId="60" fillId="15" borderId="0" xfId="6" applyNumberFormat="1" applyFont="1" applyFill="1">
      <alignment vertical="center"/>
    </xf>
    <xf numFmtId="2" fontId="61" fillId="15" borderId="0" xfId="6" applyNumberFormat="1" applyFont="1" applyFill="1" applyAlignment="1">
      <alignment horizontal="center" vertical="center"/>
    </xf>
    <xf numFmtId="2" fontId="59" fillId="15" borderId="0" xfId="6" applyNumberFormat="1" applyFont="1" applyFill="1" applyAlignment="1">
      <alignment horizontal="center"/>
    </xf>
    <xf numFmtId="2" fontId="59" fillId="15" borderId="0" xfId="6" applyNumberFormat="1" applyFont="1" applyFill="1" applyAlignment="1">
      <alignment horizontal="center" vertical="center"/>
    </xf>
    <xf numFmtId="182" fontId="35" fillId="19" borderId="22" xfId="6" applyNumberFormat="1" applyFill="1" applyBorder="1" applyAlignment="1">
      <alignment horizontal="center" vertical="center"/>
    </xf>
    <xf numFmtId="2" fontId="7" fillId="0" borderId="14" xfId="6" applyNumberFormat="1" applyFont="1" applyBorder="1" applyAlignment="1">
      <alignment horizontal="center" vertical="center"/>
    </xf>
    <xf numFmtId="2" fontId="57" fillId="12" borderId="15" xfId="6" applyNumberFormat="1" applyFont="1" applyFill="1" applyBorder="1" applyAlignment="1">
      <alignment horizontal="center"/>
    </xf>
    <xf numFmtId="2" fontId="57" fillId="12" borderId="15" xfId="6" applyNumberFormat="1" applyFont="1" applyFill="1" applyBorder="1" applyAlignment="1">
      <alignment horizontal="center" vertical="center"/>
    </xf>
    <xf numFmtId="2" fontId="35" fillId="19" borderId="15" xfId="6" applyNumberFormat="1" applyFill="1" applyBorder="1" applyAlignment="1">
      <alignment horizontal="center" vertical="center"/>
    </xf>
    <xf numFmtId="2" fontId="35" fillId="20" borderId="27" xfId="6" applyNumberFormat="1" applyFill="1" applyBorder="1" applyAlignment="1">
      <alignment horizontal="center"/>
    </xf>
    <xf numFmtId="2" fontId="35" fillId="19" borderId="16" xfId="6" applyNumberFormat="1" applyFill="1" applyBorder="1" applyAlignment="1">
      <alignment horizontal="center" vertical="center"/>
    </xf>
    <xf numFmtId="2" fontId="35" fillId="15" borderId="22" xfId="6" applyNumberFormat="1" applyFill="1" applyBorder="1" applyAlignment="1">
      <alignment horizontal="center" vertical="center"/>
    </xf>
    <xf numFmtId="2" fontId="62" fillId="16" borderId="0" xfId="6" applyNumberFormat="1" applyFont="1" applyFill="1">
      <alignment vertical="center"/>
    </xf>
    <xf numFmtId="1" fontId="7" fillId="14" borderId="0" xfId="6" applyNumberFormat="1" applyFont="1" applyFill="1" applyAlignment="1">
      <alignment horizontal="center" vertical="center"/>
    </xf>
    <xf numFmtId="1" fontId="7" fillId="14" borderId="0" xfId="6" applyNumberFormat="1" applyFont="1" applyFill="1" applyAlignment="1">
      <alignment horizontal="center"/>
    </xf>
    <xf numFmtId="2" fontId="35" fillId="5" borderId="20" xfId="6" applyNumberFormat="1" applyFill="1" applyBorder="1" applyAlignment="1">
      <alignment horizontal="center" vertical="center"/>
    </xf>
    <xf numFmtId="2" fontId="35" fillId="5" borderId="20" xfId="6" applyNumberFormat="1" applyFill="1" applyBorder="1" applyAlignment="1">
      <alignment horizontal="left" vertical="center" wrapText="1"/>
    </xf>
    <xf numFmtId="2" fontId="35" fillId="5" borderId="3" xfId="6" applyNumberFormat="1" applyFill="1" applyBorder="1" applyAlignment="1">
      <alignment horizontal="left" vertical="center" wrapText="1"/>
    </xf>
    <xf numFmtId="2" fontId="35" fillId="0" borderId="0" xfId="6" applyNumberFormat="1" applyAlignment="1">
      <alignment horizontal="center" vertical="center"/>
    </xf>
    <xf numFmtId="2" fontId="57" fillId="0" borderId="0" xfId="6" applyNumberFormat="1" applyFont="1" applyAlignment="1">
      <alignment horizontal="center" vertical="center"/>
    </xf>
    <xf numFmtId="2" fontId="35" fillId="0" borderId="0" xfId="6" applyNumberFormat="1" applyAlignment="1">
      <alignment vertical="center" wrapText="1"/>
    </xf>
    <xf numFmtId="2" fontId="35" fillId="0" borderId="0" xfId="6" applyNumberFormat="1" applyAlignment="1">
      <alignment horizontal="left" vertical="center" wrapText="1"/>
    </xf>
    <xf numFmtId="2" fontId="35" fillId="0" borderId="0" xfId="6" applyNumberFormat="1" applyAlignment="1">
      <alignment horizontal="center" vertical="center" wrapText="1"/>
    </xf>
    <xf numFmtId="2" fontId="35" fillId="21" borderId="0" xfId="6" applyNumberFormat="1" applyFill="1">
      <alignment vertical="center"/>
    </xf>
    <xf numFmtId="2" fontId="35" fillId="21" borderId="20" xfId="6" applyNumberFormat="1" applyFill="1" applyBorder="1" applyAlignment="1">
      <alignment horizontal="center" vertical="center"/>
    </xf>
    <xf numFmtId="2" fontId="35" fillId="21" borderId="20" xfId="6" applyNumberFormat="1" applyFill="1" applyBorder="1" applyAlignment="1">
      <alignment horizontal="left" vertical="center" wrapText="1"/>
    </xf>
    <xf numFmtId="2" fontId="35" fillId="21" borderId="50" xfId="6" applyNumberFormat="1" applyFill="1" applyBorder="1" applyAlignment="1">
      <alignment horizontal="left" vertical="center" wrapText="1"/>
    </xf>
    <xf numFmtId="2" fontId="15" fillId="21" borderId="3" xfId="6" applyNumberFormat="1" applyFont="1" applyFill="1" applyBorder="1" applyAlignment="1">
      <alignment horizontal="left" vertical="center" wrapText="1"/>
    </xf>
    <xf numFmtId="2" fontId="35" fillId="21" borderId="3" xfId="6" applyNumberFormat="1" applyFill="1" applyBorder="1" applyAlignment="1">
      <alignment horizontal="left" vertical="top" wrapText="1"/>
    </xf>
    <xf numFmtId="2" fontId="35" fillId="21" borderId="0" xfId="6" applyNumberFormat="1" applyFill="1" applyAlignment="1">
      <alignment horizontal="center" vertical="center"/>
    </xf>
    <xf numFmtId="2" fontId="57" fillId="21" borderId="0" xfId="6" applyNumberFormat="1" applyFont="1" applyFill="1" applyAlignment="1">
      <alignment horizontal="center" vertical="center"/>
    </xf>
    <xf numFmtId="2" fontId="35" fillId="21" borderId="0" xfId="6" applyNumberFormat="1" applyFill="1" applyAlignment="1">
      <alignment vertical="top" wrapText="1"/>
    </xf>
    <xf numFmtId="2" fontId="35" fillId="21" borderId="0" xfId="6" applyNumberFormat="1" applyFill="1" applyAlignment="1">
      <alignment horizontal="left" vertical="top" wrapText="1"/>
    </xf>
    <xf numFmtId="2" fontId="35" fillId="21" borderId="0" xfId="6" applyNumberFormat="1" applyFill="1" applyAlignment="1">
      <alignment horizontal="center" vertical="center" wrapText="1"/>
    </xf>
    <xf numFmtId="2" fontId="7" fillId="0" borderId="3" xfId="6" applyNumberFormat="1" applyFont="1" applyBorder="1" applyAlignment="1">
      <alignment horizontal="center" vertical="center"/>
    </xf>
    <xf numFmtId="2" fontId="35" fillId="22" borderId="3" xfId="6" applyNumberFormat="1" applyFill="1" applyBorder="1" applyAlignment="1">
      <alignment horizontal="center" vertical="center"/>
    </xf>
    <xf numFmtId="2" fontId="35" fillId="22" borderId="22" xfId="6" applyNumberFormat="1" applyFill="1" applyBorder="1" applyAlignment="1">
      <alignment horizontal="center" vertical="center"/>
    </xf>
    <xf numFmtId="2" fontId="35" fillId="0" borderId="0" xfId="6" applyNumberFormat="1" applyAlignment="1"/>
    <xf numFmtId="2" fontId="57" fillId="0" borderId="0" xfId="6" applyNumberFormat="1" applyFont="1" applyAlignment="1">
      <alignment horizontal="center"/>
    </xf>
    <xf numFmtId="2" fontId="7" fillId="15" borderId="0" xfId="6" applyNumberFormat="1" applyFont="1" applyFill="1">
      <alignment vertical="center"/>
    </xf>
    <xf numFmtId="2" fontId="7" fillId="14" borderId="3" xfId="6" applyNumberFormat="1" applyFont="1" applyFill="1" applyBorder="1" applyAlignment="1">
      <alignment horizontal="center" vertical="center"/>
    </xf>
    <xf numFmtId="2" fontId="7" fillId="0" borderId="0" xfId="6" applyNumberFormat="1" applyFont="1">
      <alignment vertical="center"/>
    </xf>
    <xf numFmtId="2" fontId="7" fillId="0" borderId="0" xfId="6" applyNumberFormat="1" applyFont="1" applyAlignment="1">
      <alignment horizontal="center" vertical="center"/>
    </xf>
    <xf numFmtId="2" fontId="63" fillId="0" borderId="0" xfId="6" applyNumberFormat="1" applyFont="1" applyAlignment="1">
      <alignment horizontal="center" vertical="center"/>
    </xf>
    <xf numFmtId="2" fontId="35" fillId="15" borderId="27" xfId="6" applyNumberFormat="1" applyFill="1" applyBorder="1">
      <alignment vertical="center"/>
    </xf>
    <xf numFmtId="2" fontId="35" fillId="5" borderId="3" xfId="6" applyNumberFormat="1" applyFill="1" applyBorder="1" applyAlignment="1">
      <alignment horizontal="center" vertical="center"/>
    </xf>
    <xf numFmtId="2" fontId="35" fillId="5" borderId="3" xfId="6" applyNumberFormat="1" applyFill="1" applyBorder="1" applyAlignment="1">
      <alignment vertical="center" wrapText="1"/>
    </xf>
    <xf numFmtId="2" fontId="35" fillId="21" borderId="3" xfId="6" applyNumberFormat="1" applyFill="1" applyBorder="1" applyAlignment="1">
      <alignment horizontal="center" vertical="center"/>
    </xf>
    <xf numFmtId="2" fontId="35" fillId="21" borderId="3" xfId="6" applyNumberFormat="1" applyFill="1" applyBorder="1" applyAlignment="1">
      <alignment vertical="top" wrapText="1"/>
    </xf>
    <xf numFmtId="2" fontId="35" fillId="21" borderId="3" xfId="6" applyNumberFormat="1" applyFill="1" applyBorder="1" applyAlignment="1">
      <alignment vertical="center" wrapText="1"/>
    </xf>
    <xf numFmtId="2" fontId="35" fillId="21" borderId="3" xfId="6" applyNumberFormat="1" applyFill="1" applyBorder="1" applyAlignment="1">
      <alignment horizontal="left" vertical="center" wrapText="1"/>
    </xf>
    <xf numFmtId="2" fontId="35" fillId="21" borderId="3" xfId="6" applyNumberFormat="1" applyFill="1" applyBorder="1" applyAlignment="1">
      <alignment horizontal="center" vertical="center" wrapText="1"/>
    </xf>
    <xf numFmtId="2" fontId="35" fillId="22" borderId="3" xfId="6" applyNumberFormat="1" applyFill="1" applyBorder="1" applyAlignment="1">
      <alignment horizontal="center" vertical="top"/>
    </xf>
    <xf numFmtId="2" fontId="35" fillId="0" borderId="0" xfId="6" applyNumberFormat="1" applyAlignment="1">
      <alignment horizontal="center" vertical="top"/>
    </xf>
    <xf numFmtId="2" fontId="35" fillId="22" borderId="3" xfId="6" applyNumberFormat="1" applyFill="1" applyBorder="1" applyAlignment="1">
      <alignment horizontal="center"/>
    </xf>
    <xf numFmtId="2" fontId="7" fillId="14" borderId="3" xfId="6" applyNumberFormat="1" applyFont="1" applyFill="1" applyBorder="1" applyAlignment="1">
      <alignment horizontal="center"/>
    </xf>
    <xf numFmtId="2" fontId="35" fillId="21" borderId="31" xfId="6" applyNumberFormat="1" applyFill="1" applyBorder="1" applyAlignment="1">
      <alignment horizontal="left" vertical="center" wrapText="1"/>
    </xf>
    <xf numFmtId="2" fontId="35" fillId="22" borderId="31" xfId="6" applyNumberFormat="1" applyFill="1" applyBorder="1" applyAlignment="1">
      <alignment horizontal="center" vertical="center"/>
    </xf>
    <xf numFmtId="2" fontId="7" fillId="14" borderId="31" xfId="6" applyNumberFormat="1" applyFont="1" applyFill="1" applyBorder="1" applyAlignment="1">
      <alignment horizontal="center" vertical="center"/>
    </xf>
    <xf numFmtId="2" fontId="35" fillId="0" borderId="0" xfId="6" applyNumberFormat="1" applyAlignment="1">
      <alignment vertical="top" wrapText="1"/>
    </xf>
    <xf numFmtId="2" fontId="35" fillId="0" borderId="0" xfId="6" applyNumberFormat="1" applyAlignment="1">
      <alignment horizontal="left" vertical="top" wrapText="1"/>
    </xf>
    <xf numFmtId="2" fontId="12" fillId="0" borderId="0" xfId="6" applyNumberFormat="1" applyFont="1" applyAlignment="1">
      <alignment horizontal="left" vertical="top" wrapText="1"/>
    </xf>
    <xf numFmtId="2" fontId="7" fillId="24" borderId="0" xfId="6" applyNumberFormat="1" applyFont="1" applyFill="1" applyAlignment="1">
      <alignment horizontal="center" vertical="center"/>
    </xf>
    <xf numFmtId="2" fontId="23" fillId="0" borderId="0" xfId="6" applyNumberFormat="1" applyFont="1" applyAlignment="1">
      <alignment horizontal="center" vertical="center"/>
    </xf>
    <xf numFmtId="2" fontId="35" fillId="19" borderId="0" xfId="6" applyNumberFormat="1" applyFill="1" applyAlignment="1">
      <alignment horizontal="center"/>
    </xf>
    <xf numFmtId="2" fontId="24" fillId="0" borderId="0" xfId="6" applyNumberFormat="1" applyFont="1" applyAlignment="1">
      <alignment horizontal="left" vertical="center"/>
    </xf>
    <xf numFmtId="2" fontId="24" fillId="0" borderId="0" xfId="6" applyNumberFormat="1" applyFont="1">
      <alignment vertical="center"/>
    </xf>
    <xf numFmtId="2" fontId="35" fillId="22" borderId="0" xfId="6" applyNumberFormat="1" applyFill="1" applyAlignment="1">
      <alignment horizontal="center"/>
    </xf>
    <xf numFmtId="2" fontId="7" fillId="0" borderId="0" xfId="6" applyNumberFormat="1" applyFont="1" applyAlignment="1">
      <alignment horizontal="center"/>
    </xf>
    <xf numFmtId="2" fontId="24" fillId="15" borderId="0" xfId="6" applyNumberFormat="1" applyFont="1" applyFill="1">
      <alignment vertical="center"/>
    </xf>
    <xf numFmtId="2" fontId="41" fillId="0" borderId="0" xfId="6" applyNumberFormat="1" applyFont="1" applyAlignment="1">
      <alignment horizontal="center" vertical="center" wrapText="1"/>
    </xf>
    <xf numFmtId="2" fontId="42" fillId="25" borderId="0" xfId="6" applyNumberFormat="1" applyFont="1" applyFill="1" applyAlignment="1">
      <alignment vertical="center" wrapText="1"/>
    </xf>
    <xf numFmtId="2" fontId="15" fillId="25" borderId="0" xfId="6" applyNumberFormat="1" applyFont="1" applyFill="1" applyAlignment="1">
      <alignment horizontal="left" vertical="center" wrapText="1"/>
    </xf>
    <xf numFmtId="2" fontId="7" fillId="0" borderId="0" xfId="6" applyNumberFormat="1" applyFont="1" applyAlignment="1">
      <alignment horizontal="center" vertical="center" wrapText="1"/>
    </xf>
    <xf numFmtId="2" fontId="42" fillId="0" borderId="0" xfId="6" applyNumberFormat="1" applyFont="1" applyAlignment="1">
      <alignment horizontal="center"/>
    </xf>
    <xf numFmtId="2" fontId="42" fillId="8" borderId="0" xfId="6" applyNumberFormat="1" applyFont="1" applyFill="1" applyAlignment="1">
      <alignment horizontal="center" vertical="center"/>
    </xf>
    <xf numFmtId="2" fontId="35" fillId="0" borderId="0" xfId="6" applyNumberFormat="1" applyAlignment="1">
      <alignment horizontal="center"/>
    </xf>
    <xf numFmtId="2" fontId="7" fillId="0" borderId="0" xfId="6" applyNumberFormat="1" applyFont="1" applyAlignment="1">
      <alignment horizontal="center" vertical="top" wrapText="1"/>
    </xf>
    <xf numFmtId="2" fontId="35" fillId="26" borderId="0" xfId="6" applyNumberFormat="1" applyFill="1" applyAlignment="1">
      <alignment horizontal="center" vertical="center"/>
    </xf>
    <xf numFmtId="2" fontId="35" fillId="5" borderId="0" xfId="6" applyNumberFormat="1" applyFill="1">
      <alignment vertical="center"/>
    </xf>
    <xf numFmtId="2" fontId="7" fillId="0" borderId="3" xfId="6" applyNumberFormat="1" applyFont="1" applyBorder="1" applyAlignment="1">
      <alignment horizontal="center" vertical="center" wrapText="1"/>
    </xf>
    <xf numFmtId="2" fontId="35" fillId="0" borderId="3" xfId="6" applyNumberFormat="1" applyBorder="1" applyAlignment="1">
      <alignment horizontal="center" vertical="center"/>
    </xf>
    <xf numFmtId="2" fontId="57" fillId="0" borderId="3" xfId="6" applyNumberFormat="1" applyFont="1" applyBorder="1" applyAlignment="1">
      <alignment horizontal="center" vertical="center"/>
    </xf>
    <xf numFmtId="2" fontId="35" fillId="0" borderId="3" xfId="6" applyNumberFormat="1" applyBorder="1" applyAlignment="1">
      <alignment horizontal="center" wrapText="1"/>
    </xf>
    <xf numFmtId="2" fontId="7" fillId="15" borderId="0" xfId="6" applyNumberFormat="1" applyFont="1" applyFill="1" applyAlignment="1">
      <alignment horizontal="center" vertical="top" wrapText="1"/>
    </xf>
    <xf numFmtId="2" fontId="7" fillId="15" borderId="0" xfId="6" applyNumberFormat="1" applyFont="1" applyFill="1" applyAlignment="1">
      <alignment horizontal="center" vertical="center" wrapText="1"/>
    </xf>
    <xf numFmtId="2" fontId="57" fillId="27" borderId="0" xfId="6" applyNumberFormat="1" applyFont="1" applyFill="1" applyAlignment="1">
      <alignment horizontal="center" vertical="center"/>
    </xf>
    <xf numFmtId="2" fontId="65" fillId="0" borderId="0" xfId="6" applyNumberFormat="1" applyFont="1">
      <alignment vertical="center"/>
    </xf>
    <xf numFmtId="2" fontId="65" fillId="0" borderId="0" xfId="6" applyNumberFormat="1" applyFont="1" applyAlignment="1">
      <alignment horizontal="center" vertical="center"/>
    </xf>
    <xf numFmtId="2" fontId="66" fillId="0" borderId="0" xfId="6" applyNumberFormat="1" applyFont="1" applyAlignment="1" applyProtection="1">
      <alignment horizontal="center" vertical="center"/>
      <protection locked="0"/>
    </xf>
    <xf numFmtId="2" fontId="57" fillId="0" borderId="0" xfId="6" applyNumberFormat="1" applyFont="1">
      <alignment vertical="center"/>
    </xf>
    <xf numFmtId="2" fontId="66" fillId="0" borderId="0" xfId="6" applyNumberFormat="1" applyFont="1" applyAlignment="1">
      <alignment horizontal="center" vertical="center"/>
    </xf>
    <xf numFmtId="2" fontId="71" fillId="15" borderId="0" xfId="6" applyNumberFormat="1" applyFont="1" applyFill="1">
      <alignment vertical="center"/>
    </xf>
    <xf numFmtId="0" fontId="0" fillId="15" borderId="0" xfId="0" applyFill="1">
      <alignment vertical="center"/>
    </xf>
    <xf numFmtId="0" fontId="0" fillId="22" borderId="3" xfId="0" applyFill="1" applyBorder="1" applyAlignment="1">
      <alignment horizontal="center" vertical="center"/>
    </xf>
    <xf numFmtId="2" fontId="0" fillId="22" borderId="3" xfId="0" applyNumberFormat="1" applyFill="1" applyBorder="1" applyAlignment="1">
      <alignment horizontal="center" vertical="center"/>
    </xf>
    <xf numFmtId="0" fontId="35" fillId="22" borderId="3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5" borderId="3" xfId="0" applyFill="1" applyBorder="1" applyAlignment="1">
      <alignment horizontal="left" vertical="center" wrapText="1"/>
    </xf>
    <xf numFmtId="0" fontId="0" fillId="22" borderId="3" xfId="0" applyFill="1" applyBorder="1" applyAlignment="1">
      <alignment horizontal="center" vertical="center" wrapText="1"/>
    </xf>
    <xf numFmtId="0" fontId="35" fillId="5" borderId="3" xfId="0" applyFont="1" applyFill="1" applyBorder="1" applyAlignment="1">
      <alignment horizontal="left" vertical="center" wrapText="1"/>
    </xf>
    <xf numFmtId="0" fontId="0" fillId="5" borderId="3" xfId="0" applyFill="1" applyBorder="1" applyAlignment="1">
      <alignment horizontal="center" vertical="center"/>
    </xf>
    <xf numFmtId="0" fontId="0" fillId="5" borderId="3" xfId="0" applyFill="1" applyBorder="1" applyAlignment="1">
      <alignment vertical="center" wrapText="1"/>
    </xf>
    <xf numFmtId="2" fontId="0" fillId="24" borderId="3" xfId="0" applyNumberFormat="1" applyFill="1" applyBorder="1" applyAlignment="1">
      <alignment horizontal="center" vertical="center"/>
    </xf>
    <xf numFmtId="2" fontId="0" fillId="20" borderId="3" xfId="0" applyNumberFormat="1" applyFill="1" applyBorder="1" applyAlignment="1">
      <alignment horizontal="center" vertical="center"/>
    </xf>
    <xf numFmtId="2" fontId="35" fillId="22" borderId="3" xfId="0" applyNumberFormat="1" applyFont="1" applyFill="1" applyBorder="1" applyAlignment="1">
      <alignment horizontal="center" vertical="center"/>
    </xf>
    <xf numFmtId="0" fontId="0" fillId="5" borderId="3" xfId="0" applyFill="1" applyBorder="1">
      <alignment vertical="center"/>
    </xf>
    <xf numFmtId="2" fontId="0" fillId="0" borderId="3" xfId="0" applyNumberFormat="1" applyBorder="1" applyAlignment="1">
      <alignment horizontal="center" vertical="center"/>
    </xf>
    <xf numFmtId="165" fontId="0" fillId="22" borderId="3" xfId="0" applyNumberFormat="1" applyFill="1" applyBorder="1" applyAlignment="1">
      <alignment horizontal="center" vertical="center"/>
    </xf>
    <xf numFmtId="0" fontId="7" fillId="24" borderId="3" xfId="0" applyFont="1" applyFill="1" applyBorder="1" applyAlignment="1">
      <alignment horizontal="center" vertical="center"/>
    </xf>
    <xf numFmtId="0" fontId="7" fillId="20" borderId="3" xfId="0" applyFont="1" applyFill="1" applyBorder="1">
      <alignment vertical="center"/>
    </xf>
    <xf numFmtId="0" fontId="7" fillId="20" borderId="3" xfId="0" applyFont="1" applyFill="1" applyBorder="1" applyAlignment="1">
      <alignment horizontal="center" vertical="center"/>
    </xf>
    <xf numFmtId="0" fontId="39" fillId="0" borderId="0" xfId="0" applyFont="1" applyAlignment="1">
      <alignment horizontal="center" vertical="center" wrapText="1"/>
    </xf>
    <xf numFmtId="0" fontId="35" fillId="0" borderId="0" xfId="4"/>
    <xf numFmtId="0" fontId="7" fillId="0" borderId="0" xfId="4" applyFont="1" applyAlignment="1" applyProtection="1">
      <alignment horizontal="center" wrapText="1"/>
      <protection hidden="1"/>
    </xf>
    <xf numFmtId="0" fontId="35" fillId="0" borderId="0" xfId="4" applyProtection="1">
      <protection locked="0"/>
    </xf>
    <xf numFmtId="0" fontId="79" fillId="0" borderId="0" xfId="4" applyFont="1" applyAlignment="1">
      <alignment horizontal="center" vertical="center" wrapText="1"/>
    </xf>
    <xf numFmtId="0" fontId="7" fillId="0" borderId="0" xfId="4" applyFont="1" applyProtection="1">
      <protection locked="0"/>
    </xf>
    <xf numFmtId="0" fontId="9" fillId="0" borderId="31" xfId="4" applyFont="1" applyBorder="1" applyAlignment="1">
      <alignment horizontal="left" vertical="top" wrapText="1"/>
    </xf>
    <xf numFmtId="0" fontId="9" fillId="0" borderId="38" xfId="4" applyFont="1" applyBorder="1" applyAlignment="1">
      <alignment horizontal="left" vertical="top" wrapText="1"/>
    </xf>
    <xf numFmtId="0" fontId="35" fillId="0" borderId="0" xfId="4" applyAlignment="1">
      <alignment horizontal="left" vertical="top"/>
    </xf>
    <xf numFmtId="0" fontId="9" fillId="0" borderId="38" xfId="4" applyFont="1" applyBorder="1" applyAlignment="1">
      <alignment horizontal="left" vertical="top"/>
    </xf>
    <xf numFmtId="0" fontId="9" fillId="0" borderId="0" xfId="4" applyFont="1" applyAlignment="1">
      <alignment vertical="center" wrapText="1"/>
    </xf>
    <xf numFmtId="0" fontId="9" fillId="0" borderId="0" xfId="4" applyFont="1" applyAlignment="1">
      <alignment horizontal="center" vertical="center" wrapText="1"/>
    </xf>
    <xf numFmtId="0" fontId="82" fillId="0" borderId="0" xfId="4" applyFont="1"/>
    <xf numFmtId="0" fontId="35" fillId="0" borderId="0" xfId="4" applyAlignment="1">
      <alignment vertical="top" wrapText="1"/>
    </xf>
    <xf numFmtId="0" fontId="9" fillId="0" borderId="31" xfId="4" applyFont="1" applyBorder="1" applyAlignment="1">
      <alignment vertical="top"/>
    </xf>
    <xf numFmtId="0" fontId="9" fillId="0" borderId="38" xfId="4" applyFont="1" applyBorder="1" applyAlignment="1" applyProtection="1">
      <alignment vertical="top" wrapText="1"/>
      <protection locked="0"/>
    </xf>
    <xf numFmtId="0" fontId="9" fillId="0" borderId="38" xfId="4" applyFont="1" applyBorder="1" applyAlignment="1" applyProtection="1">
      <alignment vertical="top"/>
      <protection locked="0"/>
    </xf>
    <xf numFmtId="0" fontId="83" fillId="0" borderId="0" xfId="4" applyFont="1" applyAlignment="1">
      <alignment vertical="top"/>
    </xf>
    <xf numFmtId="0" fontId="9" fillId="0" borderId="0" xfId="4" applyFont="1" applyAlignment="1" applyProtection="1">
      <alignment horizontal="center" vertical="top" wrapText="1"/>
      <protection locked="0"/>
    </xf>
    <xf numFmtId="0" fontId="79" fillId="0" borderId="0" xfId="4" applyFont="1" applyAlignment="1">
      <alignment wrapText="1"/>
    </xf>
    <xf numFmtId="0" fontId="76" fillId="0" borderId="0" xfId="4" applyFont="1" applyAlignment="1">
      <alignment horizontal="center"/>
    </xf>
    <xf numFmtId="0" fontId="3" fillId="0" borderId="0" xfId="4" applyFont="1"/>
    <xf numFmtId="0" fontId="9" fillId="0" borderId="0" xfId="4" applyFont="1" applyAlignment="1">
      <alignment vertical="top" wrapText="1"/>
    </xf>
    <xf numFmtId="0" fontId="9" fillId="0" borderId="0" xfId="4" applyFont="1" applyAlignment="1">
      <alignment horizontal="justify" vertical="center" wrapText="1"/>
    </xf>
    <xf numFmtId="0" fontId="84" fillId="0" borderId="0" xfId="4" applyFont="1" applyAlignment="1">
      <alignment vertical="center"/>
    </xf>
    <xf numFmtId="0" fontId="35" fillId="0" borderId="1" xfId="4" applyBorder="1"/>
    <xf numFmtId="0" fontId="85" fillId="0" borderId="5" xfId="4" applyFont="1" applyBorder="1"/>
    <xf numFmtId="0" fontId="35" fillId="0" borderId="4" xfId="4" applyBorder="1"/>
    <xf numFmtId="0" fontId="35" fillId="0" borderId="6" xfId="4" applyBorder="1"/>
    <xf numFmtId="0" fontId="35" fillId="0" borderId="4" xfId="4" applyBorder="1" applyAlignment="1">
      <alignment wrapText="1"/>
    </xf>
    <xf numFmtId="0" fontId="35" fillId="0" borderId="6" xfId="4" applyBorder="1" applyAlignment="1">
      <alignment wrapText="1"/>
    </xf>
    <xf numFmtId="0" fontId="85" fillId="0" borderId="6" xfId="4" applyFont="1" applyBorder="1"/>
    <xf numFmtId="0" fontId="86" fillId="0" borderId="6" xfId="4" applyFont="1" applyBorder="1" applyAlignment="1">
      <alignment horizontal="left" wrapText="1"/>
    </xf>
    <xf numFmtId="0" fontId="35" fillId="0" borderId="0" xfId="4" applyAlignment="1">
      <alignment wrapText="1"/>
    </xf>
    <xf numFmtId="0" fontId="86" fillId="0" borderId="4" xfId="4" applyFont="1" applyBorder="1" applyAlignment="1">
      <alignment wrapText="1"/>
    </xf>
    <xf numFmtId="174" fontId="86" fillId="0" borderId="6" xfId="4" applyNumberFormat="1" applyFont="1" applyBorder="1" applyAlignment="1">
      <alignment horizontal="left"/>
    </xf>
    <xf numFmtId="174" fontId="35" fillId="0" borderId="6" xfId="4" applyNumberFormat="1" applyBorder="1"/>
    <xf numFmtId="0" fontId="87" fillId="0" borderId="6" xfId="4" applyFont="1" applyBorder="1" applyAlignment="1">
      <alignment horizontal="left" wrapText="1"/>
    </xf>
    <xf numFmtId="0" fontId="86" fillId="0" borderId="6" xfId="4" applyFont="1" applyBorder="1" applyAlignment="1">
      <alignment wrapText="1"/>
    </xf>
    <xf numFmtId="0" fontId="86" fillId="0" borderId="4" xfId="4" applyFont="1" applyBorder="1"/>
    <xf numFmtId="0" fontId="86" fillId="0" borderId="7" xfId="4" applyFont="1" applyBorder="1"/>
    <xf numFmtId="0" fontId="86" fillId="0" borderId="10" xfId="4" applyFont="1" applyBorder="1" applyAlignment="1">
      <alignment wrapText="1"/>
    </xf>
    <xf numFmtId="165" fontId="24" fillId="0" borderId="0" xfId="1" applyNumberFormat="1" applyFont="1" applyAlignment="1" applyProtection="1">
      <alignment horizontal="center" vertical="center"/>
      <protection hidden="1"/>
    </xf>
    <xf numFmtId="2" fontId="24" fillId="0" borderId="0" xfId="1" applyNumberFormat="1" applyFont="1" applyAlignment="1" applyProtection="1">
      <alignment vertical="center"/>
      <protection hidden="1"/>
    </xf>
    <xf numFmtId="0" fontId="1" fillId="0" borderId="0" xfId="0" applyFont="1" applyAlignment="1">
      <alignment horizontal="center"/>
    </xf>
    <xf numFmtId="0" fontId="24" fillId="0" borderId="0" xfId="0" applyFont="1" applyAlignment="1" applyProtection="1">
      <alignment horizontal="center"/>
      <protection locked="0"/>
    </xf>
    <xf numFmtId="0" fontId="24" fillId="0" borderId="0" xfId="0" applyFont="1" applyAlignment="1" applyProtection="1">
      <protection locked="0"/>
    </xf>
    <xf numFmtId="0" fontId="24" fillId="0" borderId="0" xfId="0" applyFont="1" applyAlignment="1" applyProtection="1">
      <alignment horizontal="left"/>
      <protection locked="0"/>
    </xf>
    <xf numFmtId="0" fontId="24" fillId="0" borderId="0" xfId="0" applyFont="1" applyAlignment="1" applyProtection="1">
      <alignment horizontal="right"/>
      <protection locked="0"/>
    </xf>
    <xf numFmtId="0" fontId="24" fillId="0" borderId="0" xfId="0" applyFont="1" applyAlignment="1" applyProtection="1">
      <alignment horizontal="right" vertical="center"/>
      <protection locked="0"/>
    </xf>
    <xf numFmtId="0" fontId="70" fillId="0" borderId="48" xfId="0" applyFont="1" applyBorder="1" applyAlignment="1" applyProtection="1">
      <alignment horizontal="center" vertical="center"/>
      <protection locked="0"/>
    </xf>
    <xf numFmtId="180" fontId="24" fillId="0" borderId="0" xfId="0" applyNumberFormat="1" applyFont="1" applyAlignment="1" applyProtection="1">
      <protection locked="0"/>
    </xf>
    <xf numFmtId="176" fontId="24" fillId="0" borderId="0" xfId="0" quotePrefix="1" applyNumberFormat="1" applyFont="1" applyAlignment="1" applyProtection="1">
      <alignment horizontal="left"/>
      <protection locked="0"/>
    </xf>
    <xf numFmtId="0" fontId="24" fillId="0" borderId="0" xfId="0" quotePrefix="1" applyFont="1" applyAlignment="1" applyProtection="1">
      <alignment horizontal="left"/>
      <protection locked="0"/>
    </xf>
    <xf numFmtId="0" fontId="2" fillId="0" borderId="0" xfId="0" applyFont="1" applyAlignment="1" applyProtection="1">
      <alignment horizontal="right" vertical="center"/>
      <protection locked="0"/>
    </xf>
    <xf numFmtId="0" fontId="24" fillId="0" borderId="3" xfId="0" applyFont="1" applyBorder="1" applyAlignment="1" applyProtection="1">
      <alignment horizontal="center"/>
      <protection locked="0"/>
    </xf>
    <xf numFmtId="0" fontId="24" fillId="0" borderId="3" xfId="0" applyFont="1" applyBorder="1" applyAlignment="1"/>
    <xf numFmtId="165" fontId="24" fillId="0" borderId="0" xfId="0" applyNumberFormat="1" applyFont="1" applyAlignment="1" applyProtection="1">
      <alignment horizontal="center"/>
      <protection locked="0"/>
    </xf>
    <xf numFmtId="0" fontId="27" fillId="0" borderId="0" xfId="0" applyFont="1" applyAlignment="1" applyProtection="1">
      <alignment horizontal="left"/>
      <protection locked="0"/>
    </xf>
    <xf numFmtId="0" fontId="28" fillId="0" borderId="0" xfId="0" applyFont="1" applyAlignment="1" applyProtection="1">
      <alignment horizontal="center" vertical="center" wrapText="1"/>
      <protection locked="0"/>
    </xf>
    <xf numFmtId="164" fontId="24" fillId="0" borderId="0" xfId="0" applyNumberFormat="1" applyFont="1" applyAlignment="1" applyProtection="1">
      <alignment horizontal="center"/>
      <protection locked="0"/>
    </xf>
    <xf numFmtId="164" fontId="24" fillId="0" borderId="0" xfId="0" applyNumberFormat="1" applyFont="1" applyAlignment="1" applyProtection="1">
      <alignment horizontal="right"/>
      <protection locked="0"/>
    </xf>
    <xf numFmtId="0" fontId="24" fillId="0" borderId="0" xfId="0" applyFont="1" applyAlignment="1">
      <alignment horizontal="center" wrapText="1"/>
    </xf>
    <xf numFmtId="0" fontId="24" fillId="0" borderId="57" xfId="0" applyFont="1" applyBorder="1" applyAlignment="1">
      <alignment horizontal="center"/>
    </xf>
    <xf numFmtId="2" fontId="24" fillId="0" borderId="0" xfId="0" applyNumberFormat="1" applyFont="1" applyAlignment="1">
      <alignment horizontal="center"/>
    </xf>
    <xf numFmtId="2" fontId="24" fillId="0" borderId="0" xfId="0" applyNumberFormat="1" applyFont="1" applyAlignment="1"/>
    <xf numFmtId="165" fontId="24" fillId="0" borderId="57" xfId="0" applyNumberFormat="1" applyFont="1" applyBorder="1" applyAlignment="1">
      <alignment horizontal="center" vertical="center" wrapText="1"/>
    </xf>
    <xf numFmtId="0" fontId="2" fillId="0" borderId="0" xfId="0" applyFont="1" applyAlignment="1" applyProtection="1">
      <protection locked="0"/>
    </xf>
    <xf numFmtId="164" fontId="24" fillId="0" borderId="0" xfId="0" applyNumberFormat="1" applyFont="1" applyAlignment="1">
      <alignment horizontal="center"/>
    </xf>
    <xf numFmtId="2" fontId="24" fillId="0" borderId="57" xfId="0" applyNumberFormat="1" applyFont="1" applyBorder="1" applyAlignment="1">
      <alignment vertical="center" wrapText="1"/>
    </xf>
    <xf numFmtId="165" fontId="24" fillId="0" borderId="0" xfId="0" applyNumberFormat="1" applyFont="1" applyAlignment="1">
      <alignment horizontal="center"/>
    </xf>
    <xf numFmtId="0" fontId="24" fillId="0" borderId="0" xfId="0" applyFont="1" applyAlignment="1" applyProtection="1">
      <alignment vertical="center" wrapText="1"/>
      <protection locked="0"/>
    </xf>
    <xf numFmtId="0" fontId="24" fillId="0" borderId="57" xfId="0" applyFont="1" applyBorder="1" applyAlignment="1">
      <alignment horizontal="center" vertical="center" wrapText="1"/>
    </xf>
    <xf numFmtId="2" fontId="24" fillId="0" borderId="57" xfId="0" applyNumberFormat="1" applyFont="1" applyBorder="1" applyAlignment="1">
      <alignment horizontal="center" vertical="center"/>
    </xf>
    <xf numFmtId="2" fontId="24" fillId="0" borderId="57" xfId="0" applyNumberFormat="1" applyFont="1" applyBorder="1" applyAlignment="1">
      <alignment horizontal="center" vertical="center" wrapText="1"/>
    </xf>
    <xf numFmtId="165" fontId="24" fillId="0" borderId="0" xfId="0" applyNumberFormat="1" applyFont="1" applyAlignment="1">
      <alignment horizontal="center" vertical="center"/>
    </xf>
    <xf numFmtId="0" fontId="24" fillId="0" borderId="33" xfId="0" applyFont="1" applyBorder="1" applyAlignment="1" applyProtection="1">
      <protection locked="0"/>
    </xf>
    <xf numFmtId="0" fontId="24" fillId="0" borderId="48" xfId="0" applyFont="1" applyBorder="1" applyAlignment="1" applyProtection="1">
      <protection locked="0"/>
    </xf>
    <xf numFmtId="165" fontId="2" fillId="0" borderId="0" xfId="0" applyNumberFormat="1" applyFont="1" applyAlignment="1" applyProtection="1">
      <alignment horizontal="left"/>
      <protection locked="0"/>
    </xf>
    <xf numFmtId="165" fontId="24" fillId="0" borderId="0" xfId="0" applyNumberFormat="1" applyFont="1" applyAlignment="1" applyProtection="1">
      <alignment horizontal="left"/>
      <protection locked="0"/>
    </xf>
    <xf numFmtId="0" fontId="29" fillId="0" borderId="0" xfId="0" applyFont="1" applyAlignment="1">
      <alignment horizontal="center"/>
    </xf>
    <xf numFmtId="0" fontId="24" fillId="0" borderId="48" xfId="0" applyFont="1" applyBorder="1" applyAlignment="1">
      <alignment horizontal="center"/>
    </xf>
    <xf numFmtId="0" fontId="66" fillId="0" borderId="0" xfId="0" applyFont="1" applyProtection="1">
      <alignment vertical="center"/>
      <protection locked="0"/>
    </xf>
    <xf numFmtId="0" fontId="66" fillId="0" borderId="0" xfId="0" applyFont="1" applyAlignment="1" applyProtection="1">
      <alignment horizontal="left"/>
      <protection locked="0"/>
    </xf>
    <xf numFmtId="0" fontId="66" fillId="0" borderId="3" xfId="0" applyFont="1" applyBorder="1" applyAlignment="1" applyProtection="1">
      <alignment horizontal="center" vertical="center"/>
      <protection locked="0"/>
    </xf>
    <xf numFmtId="0" fontId="66" fillId="0" borderId="0" xfId="0" applyFont="1" applyAlignment="1" applyProtection="1">
      <alignment horizontal="left" vertical="center"/>
      <protection locked="0"/>
    </xf>
    <xf numFmtId="0" fontId="66" fillId="0" borderId="3" xfId="0" applyFont="1" applyBorder="1" applyAlignment="1" applyProtection="1">
      <alignment horizontal="center" vertical="center" wrapText="1"/>
      <protection locked="0"/>
    </xf>
    <xf numFmtId="165" fontId="66" fillId="0" borderId="3" xfId="0" applyNumberFormat="1" applyFont="1" applyBorder="1" applyAlignment="1" applyProtection="1">
      <alignment horizontal="center" vertical="center"/>
      <protection locked="0"/>
    </xf>
    <xf numFmtId="2" fontId="66" fillId="0" borderId="3" xfId="0" applyNumberFormat="1" applyFont="1" applyBorder="1" applyAlignment="1" applyProtection="1">
      <alignment horizontal="center" vertical="center"/>
      <protection locked="0"/>
    </xf>
    <xf numFmtId="2" fontId="66" fillId="0" borderId="0" xfId="0" applyNumberFormat="1" applyFont="1" applyAlignment="1">
      <alignment horizontal="left" vertical="center"/>
    </xf>
    <xf numFmtId="0" fontId="66" fillId="0" borderId="0" xfId="0" applyFont="1" applyAlignment="1">
      <alignment horizontal="left" vertical="center"/>
    </xf>
    <xf numFmtId="0" fontId="66" fillId="0" borderId="0" xfId="0" applyFont="1">
      <alignment vertical="center"/>
    </xf>
    <xf numFmtId="0" fontId="66" fillId="0" borderId="3" xfId="0" applyFont="1" applyBorder="1" applyAlignment="1">
      <alignment horizontal="center" vertical="center"/>
    </xf>
    <xf numFmtId="2" fontId="66" fillId="0" borderId="3" xfId="0" applyNumberFormat="1" applyFont="1" applyBorder="1" applyAlignment="1">
      <alignment horizontal="center" vertical="center"/>
    </xf>
    <xf numFmtId="165" fontId="66" fillId="0" borderId="3" xfId="0" applyNumberFormat="1" applyFont="1" applyBorder="1" applyAlignment="1">
      <alignment horizontal="center" vertical="center"/>
    </xf>
    <xf numFmtId="165" fontId="66" fillId="0" borderId="0" xfId="0" applyNumberFormat="1" applyFont="1" applyProtection="1">
      <alignment vertical="center"/>
      <protection locked="0"/>
    </xf>
    <xf numFmtId="2" fontId="24" fillId="0" borderId="31" xfId="0" applyNumberFormat="1" applyFont="1" applyBorder="1" applyAlignment="1">
      <alignment horizontal="right" vertical="center"/>
    </xf>
    <xf numFmtId="165" fontId="66" fillId="0" borderId="38" xfId="0" applyNumberFormat="1" applyFont="1" applyBorder="1" applyAlignment="1">
      <alignment horizontal="left" vertical="center"/>
    </xf>
    <xf numFmtId="0" fontId="66" fillId="0" borderId="0" xfId="5" applyNumberFormat="1" applyFont="1" applyAlignment="1" applyProtection="1">
      <alignment horizontal="left" vertical="center"/>
    </xf>
    <xf numFmtId="2" fontId="66" fillId="0" borderId="0" xfId="0" applyNumberFormat="1" applyFont="1" applyAlignment="1">
      <alignment horizontal="center" vertical="center"/>
    </xf>
    <xf numFmtId="0" fontId="26" fillId="0" borderId="3" xfId="0" applyFont="1" applyBorder="1">
      <alignment vertical="center"/>
    </xf>
    <xf numFmtId="168" fontId="26" fillId="2" borderId="3" xfId="0" applyNumberFormat="1" applyFont="1" applyFill="1" applyBorder="1" applyAlignment="1">
      <alignment horizontal="center" vertical="center"/>
    </xf>
    <xf numFmtId="166" fontId="26" fillId="2" borderId="3" xfId="0" applyNumberFormat="1" applyFont="1" applyFill="1" applyBorder="1">
      <alignment vertical="center"/>
    </xf>
    <xf numFmtId="179" fontId="26" fillId="2" borderId="3" xfId="0" applyNumberFormat="1" applyFont="1" applyFill="1" applyBorder="1" applyAlignment="1">
      <alignment horizontal="center" vertical="center"/>
    </xf>
    <xf numFmtId="171" fontId="26" fillId="2" borderId="3" xfId="0" applyNumberFormat="1" applyFont="1" applyFill="1" applyBorder="1">
      <alignment vertical="center"/>
    </xf>
    <xf numFmtId="2" fontId="8" fillId="2" borderId="3" xfId="0" applyNumberFormat="1" applyFont="1" applyFill="1" applyBorder="1" applyAlignment="1">
      <alignment horizontal="right"/>
    </xf>
    <xf numFmtId="2" fontId="43" fillId="2" borderId="3" xfId="0" applyNumberFormat="1" applyFont="1" applyFill="1" applyBorder="1">
      <alignment vertical="center"/>
    </xf>
    <xf numFmtId="185" fontId="26" fillId="2" borderId="3" xfId="0" applyNumberFormat="1" applyFont="1" applyFill="1" applyBorder="1" applyAlignment="1">
      <alignment horizontal="center" vertical="center"/>
    </xf>
    <xf numFmtId="186" fontId="26" fillId="2" borderId="3" xfId="0" applyNumberFormat="1" applyFont="1" applyFill="1" applyBorder="1" applyAlignment="1">
      <alignment horizontal="center" vertical="center"/>
    </xf>
    <xf numFmtId="166" fontId="26" fillId="2" borderId="3" xfId="0" applyNumberFormat="1" applyFont="1" applyFill="1" applyBorder="1" applyAlignment="1">
      <alignment horizontal="center" vertical="center"/>
    </xf>
    <xf numFmtId="164" fontId="26" fillId="2" borderId="3" xfId="0" applyNumberFormat="1" applyFont="1" applyFill="1" applyBorder="1" applyAlignment="1">
      <alignment horizontal="center" vertical="center"/>
    </xf>
    <xf numFmtId="184" fontId="26" fillId="2" borderId="3" xfId="0" applyNumberFormat="1" applyFont="1" applyFill="1" applyBorder="1" applyAlignment="1">
      <alignment horizontal="center" vertical="center"/>
    </xf>
    <xf numFmtId="184" fontId="35" fillId="0" borderId="3" xfId="6" applyNumberFormat="1" applyBorder="1" applyAlignment="1">
      <alignment horizontal="center" vertical="center"/>
    </xf>
    <xf numFmtId="2" fontId="35" fillId="2" borderId="0" xfId="6" applyNumberFormat="1" applyFill="1" applyAlignment="1">
      <alignment horizontal="center"/>
    </xf>
    <xf numFmtId="2" fontId="42" fillId="2" borderId="0" xfId="6" applyNumberFormat="1" applyFont="1" applyFill="1" applyAlignment="1">
      <alignment horizontal="center" vertical="center"/>
    </xf>
    <xf numFmtId="2" fontId="35" fillId="2" borderId="0" xfId="6" applyNumberFormat="1" applyFill="1">
      <alignment vertical="center"/>
    </xf>
    <xf numFmtId="164" fontId="35" fillId="0" borderId="3" xfId="6" applyNumberFormat="1" applyBorder="1" applyAlignment="1">
      <alignment horizontal="center" vertical="center"/>
    </xf>
    <xf numFmtId="165" fontId="43" fillId="0" borderId="3" xfId="0" applyNumberFormat="1" applyFont="1" applyBorder="1">
      <alignment vertical="center"/>
    </xf>
    <xf numFmtId="182" fontId="26" fillId="2" borderId="3" xfId="0" applyNumberFormat="1" applyFont="1" applyFill="1" applyBorder="1" applyAlignment="1">
      <alignment horizontal="center" vertical="center"/>
    </xf>
    <xf numFmtId="2" fontId="57" fillId="5" borderId="3" xfId="0" applyNumberFormat="1" applyFont="1" applyFill="1" applyBorder="1" applyAlignment="1">
      <alignment horizontal="center"/>
    </xf>
    <xf numFmtId="2" fontId="57" fillId="12" borderId="3" xfId="0" applyNumberFormat="1" applyFont="1" applyFill="1" applyBorder="1" applyAlignment="1">
      <alignment horizontal="center"/>
    </xf>
    <xf numFmtId="2" fontId="57" fillId="22" borderId="3" xfId="0" applyNumberFormat="1" applyFont="1" applyFill="1" applyBorder="1" applyAlignment="1">
      <alignment horizontal="center"/>
    </xf>
    <xf numFmtId="182" fontId="57" fillId="12" borderId="3" xfId="0" applyNumberFormat="1" applyFont="1" applyFill="1" applyBorder="1" applyAlignment="1">
      <alignment horizontal="center"/>
    </xf>
    <xf numFmtId="2" fontId="57" fillId="28" borderId="3" xfId="0" applyNumberFormat="1" applyFont="1" applyFill="1" applyBorder="1" applyAlignment="1">
      <alignment horizontal="center"/>
    </xf>
    <xf numFmtId="164" fontId="57" fillId="5" borderId="3" xfId="0" applyNumberFormat="1" applyFont="1" applyFill="1" applyBorder="1" applyAlignment="1">
      <alignment horizontal="center"/>
    </xf>
    <xf numFmtId="165" fontId="2" fillId="0" borderId="0" xfId="0" quotePrefix="1" applyNumberFormat="1" applyFont="1" applyProtection="1">
      <alignment vertical="center"/>
      <protection locked="0"/>
    </xf>
    <xf numFmtId="165" fontId="24" fillId="0" borderId="0" xfId="0" quotePrefix="1" applyNumberFormat="1" applyFont="1" applyProtection="1">
      <alignment vertical="center"/>
      <protection locked="0"/>
    </xf>
    <xf numFmtId="0" fontId="35" fillId="0" borderId="26" xfId="0" applyFont="1" applyBorder="1" applyAlignment="1" applyProtection="1">
      <alignment horizontal="left" vertical="center"/>
      <protection locked="0"/>
    </xf>
    <xf numFmtId="2" fontId="66" fillId="0" borderId="38" xfId="0" applyNumberFormat="1" applyFont="1" applyBorder="1" applyAlignment="1">
      <alignment horizontal="left" vertical="center"/>
    </xf>
    <xf numFmtId="0" fontId="24" fillId="0" borderId="11" xfId="0" applyFont="1" applyBorder="1" applyAlignment="1">
      <alignment horizontal="center" vertical="center"/>
    </xf>
    <xf numFmtId="0" fontId="24" fillId="0" borderId="17" xfId="0" applyFont="1" applyBorder="1" applyAlignment="1">
      <alignment horizontal="center" vertical="center"/>
    </xf>
    <xf numFmtId="0" fontId="24" fillId="0" borderId="13" xfId="0" applyFont="1" applyBorder="1" applyAlignment="1">
      <alignment horizontal="center" vertical="center" wrapText="1"/>
    </xf>
    <xf numFmtId="0" fontId="24" fillId="0" borderId="22" xfId="0" applyFont="1" applyBorder="1" applyAlignment="1">
      <alignment horizontal="center" vertical="center" wrapText="1"/>
    </xf>
    <xf numFmtId="0" fontId="24" fillId="0" borderId="52" xfId="0" applyFont="1" applyBorder="1" applyAlignment="1">
      <alignment horizontal="center" vertical="center"/>
    </xf>
    <xf numFmtId="0" fontId="24" fillId="0" borderId="18" xfId="0" applyFont="1" applyBorder="1" applyAlignment="1">
      <alignment horizontal="center" vertical="center"/>
    </xf>
    <xf numFmtId="0" fontId="24" fillId="0" borderId="19" xfId="0" applyFont="1" applyBorder="1" applyAlignment="1">
      <alignment horizontal="center" vertical="center"/>
    </xf>
    <xf numFmtId="0" fontId="24" fillId="0" borderId="0" xfId="0" applyFont="1" applyAlignment="1">
      <alignment horizontal="center" vertical="center" wrapText="1"/>
    </xf>
    <xf numFmtId="0" fontId="24" fillId="0" borderId="16" xfId="0" applyFont="1" applyBorder="1" applyAlignment="1">
      <alignment horizontal="center" vertical="center"/>
    </xf>
    <xf numFmtId="0" fontId="24" fillId="0" borderId="28" xfId="0" applyFont="1" applyBorder="1" applyAlignment="1">
      <alignment horizontal="center" vertical="center"/>
    </xf>
    <xf numFmtId="0" fontId="24" fillId="0" borderId="30" xfId="0" applyFont="1" applyBorder="1" applyAlignment="1">
      <alignment horizontal="center" vertical="center"/>
    </xf>
    <xf numFmtId="0" fontId="24" fillId="0" borderId="23" xfId="0" applyFont="1" applyBorder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24" fillId="0" borderId="15" xfId="0" applyFont="1" applyBorder="1" applyAlignment="1">
      <alignment horizontal="center" vertical="center"/>
    </xf>
    <xf numFmtId="0" fontId="24" fillId="0" borderId="20" xfId="0" applyFont="1" applyBorder="1" applyAlignment="1">
      <alignment horizontal="center" vertical="center"/>
    </xf>
    <xf numFmtId="0" fontId="24" fillId="0" borderId="15" xfId="0" applyFont="1" applyBorder="1" applyAlignment="1">
      <alignment horizontal="center" vertical="center" wrapText="1"/>
    </xf>
    <xf numFmtId="0" fontId="24" fillId="0" borderId="20" xfId="0" applyFont="1" applyBorder="1" applyAlignment="1">
      <alignment horizontal="center" vertical="center" wrapText="1"/>
    </xf>
    <xf numFmtId="0" fontId="24" fillId="0" borderId="31" xfId="0" applyFont="1" applyBorder="1" applyAlignment="1">
      <alignment horizontal="center" vertical="center"/>
    </xf>
    <xf numFmtId="0" fontId="24" fillId="0" borderId="26" xfId="0" applyFont="1" applyBorder="1" applyAlignment="1">
      <alignment horizontal="center" vertical="center"/>
    </xf>
    <xf numFmtId="0" fontId="24" fillId="0" borderId="38" xfId="0" applyFont="1" applyBorder="1" applyAlignment="1">
      <alignment horizontal="center" vertical="center"/>
    </xf>
    <xf numFmtId="0" fontId="24" fillId="7" borderId="0" xfId="0" applyFont="1" applyFill="1" applyAlignment="1">
      <alignment horizontal="center" vertical="center"/>
    </xf>
    <xf numFmtId="0" fontId="24" fillId="0" borderId="51" xfId="0" applyFont="1" applyBorder="1" applyAlignment="1">
      <alignment horizontal="center" vertical="center"/>
    </xf>
    <xf numFmtId="0" fontId="49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/>
    </xf>
    <xf numFmtId="0" fontId="24" fillId="0" borderId="25" xfId="0" applyFont="1" applyBorder="1" applyAlignment="1">
      <alignment horizontal="center" vertical="center" wrapText="1"/>
    </xf>
    <xf numFmtId="0" fontId="42" fillId="2" borderId="31" xfId="0" applyFont="1" applyFill="1" applyBorder="1" applyAlignment="1">
      <alignment horizontal="center" vertical="center"/>
    </xf>
    <xf numFmtId="0" fontId="42" fillId="2" borderId="38" xfId="0" applyFont="1" applyFill="1" applyBorder="1" applyAlignment="1">
      <alignment horizontal="center" vertical="center"/>
    </xf>
    <xf numFmtId="0" fontId="42" fillId="2" borderId="15" xfId="0" applyFont="1" applyFill="1" applyBorder="1" applyAlignment="1">
      <alignment horizontal="center" vertical="center"/>
    </xf>
    <xf numFmtId="0" fontId="42" fillId="2" borderId="27" xfId="0" applyFont="1" applyFill="1" applyBorder="1" applyAlignment="1">
      <alignment horizontal="center" vertical="center"/>
    </xf>
    <xf numFmtId="0" fontId="42" fillId="2" borderId="20" xfId="0" applyFont="1" applyFill="1" applyBorder="1" applyAlignment="1">
      <alignment horizontal="center" vertical="center"/>
    </xf>
    <xf numFmtId="174" fontId="42" fillId="2" borderId="15" xfId="0" applyNumberFormat="1" applyFont="1" applyFill="1" applyBorder="1" applyAlignment="1">
      <alignment horizontal="center" vertical="center"/>
    </xf>
    <xf numFmtId="174" fontId="42" fillId="2" borderId="27" xfId="0" applyNumberFormat="1" applyFont="1" applyFill="1" applyBorder="1" applyAlignment="1">
      <alignment horizontal="center" vertical="center"/>
    </xf>
    <xf numFmtId="174" fontId="42" fillId="2" borderId="20" xfId="0" applyNumberFormat="1" applyFont="1" applyFill="1" applyBorder="1" applyAlignment="1">
      <alignment horizontal="center" vertical="center"/>
    </xf>
    <xf numFmtId="0" fontId="35" fillId="2" borderId="15" xfId="0" applyFont="1" applyFill="1" applyBorder="1" applyAlignment="1">
      <alignment horizontal="center" vertical="center"/>
    </xf>
    <xf numFmtId="0" fontId="35" fillId="2" borderId="27" xfId="0" applyFont="1" applyFill="1" applyBorder="1" applyAlignment="1">
      <alignment horizontal="center" vertical="center"/>
    </xf>
    <xf numFmtId="0" fontId="35" fillId="2" borderId="20" xfId="0" applyFont="1" applyFill="1" applyBorder="1" applyAlignment="1">
      <alignment horizontal="center" vertical="center"/>
    </xf>
    <xf numFmtId="0" fontId="42" fillId="5" borderId="31" xfId="0" applyFont="1" applyFill="1" applyBorder="1" applyAlignment="1">
      <alignment horizontal="center" vertical="center"/>
    </xf>
    <xf numFmtId="0" fontId="42" fillId="5" borderId="38" xfId="0" applyFont="1" applyFill="1" applyBorder="1" applyAlignment="1">
      <alignment horizontal="center" vertical="center"/>
    </xf>
    <xf numFmtId="0" fontId="42" fillId="5" borderId="15" xfId="0" applyFont="1" applyFill="1" applyBorder="1" applyAlignment="1">
      <alignment horizontal="center" vertical="center"/>
    </xf>
    <xf numFmtId="0" fontId="42" fillId="5" borderId="20" xfId="0" applyFont="1" applyFill="1" applyBorder="1" applyAlignment="1">
      <alignment horizontal="center" vertical="center"/>
    </xf>
    <xf numFmtId="174" fontId="42" fillId="5" borderId="15" xfId="0" applyNumberFormat="1" applyFont="1" applyFill="1" applyBorder="1" applyAlignment="1">
      <alignment horizontal="center" vertical="center"/>
    </xf>
    <xf numFmtId="174" fontId="42" fillId="5" borderId="20" xfId="0" applyNumberFormat="1" applyFont="1" applyFill="1" applyBorder="1" applyAlignment="1">
      <alignment horizontal="center" vertical="center"/>
    </xf>
    <xf numFmtId="0" fontId="35" fillId="5" borderId="15" xfId="0" applyFont="1" applyFill="1" applyBorder="1" applyAlignment="1">
      <alignment horizontal="center" vertical="center"/>
    </xf>
    <xf numFmtId="0" fontId="35" fillId="5" borderId="20" xfId="0" applyFont="1" applyFill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42" fillId="0" borderId="15" xfId="0" applyFont="1" applyBorder="1" applyAlignment="1">
      <alignment horizontal="center" vertical="center"/>
    </xf>
    <xf numFmtId="0" fontId="42" fillId="0" borderId="27" xfId="0" applyFont="1" applyBorder="1" applyAlignment="1">
      <alignment horizontal="center" vertical="center"/>
    </xf>
    <xf numFmtId="0" fontId="42" fillId="0" borderId="20" xfId="0" applyFont="1" applyBorder="1" applyAlignment="1">
      <alignment horizontal="center" vertical="center"/>
    </xf>
    <xf numFmtId="174" fontId="42" fillId="0" borderId="15" xfId="0" applyNumberFormat="1" applyFont="1" applyBorder="1" applyAlignment="1">
      <alignment horizontal="center" vertical="center"/>
    </xf>
    <xf numFmtId="174" fontId="42" fillId="0" borderId="20" xfId="0" applyNumberFormat="1" applyFont="1" applyBorder="1" applyAlignment="1">
      <alignment horizontal="center" vertical="center"/>
    </xf>
    <xf numFmtId="0" fontId="41" fillId="0" borderId="3" xfId="0" applyFont="1" applyBorder="1" applyAlignment="1">
      <alignment horizontal="center" vertical="center"/>
    </xf>
    <xf numFmtId="0" fontId="66" fillId="0" borderId="0" xfId="0" applyFont="1" applyAlignment="1" applyProtection="1">
      <alignment horizontal="left"/>
      <protection locked="0"/>
    </xf>
    <xf numFmtId="0" fontId="66" fillId="0" borderId="0" xfId="0" applyFont="1" applyAlignment="1" applyProtection="1">
      <alignment horizontal="left" vertical="center"/>
      <protection locked="0"/>
    </xf>
    <xf numFmtId="0" fontId="24" fillId="0" borderId="3" xfId="0" applyFont="1" applyBorder="1" applyAlignment="1">
      <alignment horizontal="center" vertical="center"/>
    </xf>
    <xf numFmtId="0" fontId="24" fillId="0" borderId="0" xfId="0" applyFont="1" applyAlignment="1" applyProtection="1">
      <alignment horizontal="center" vertical="center"/>
      <protection locked="0"/>
    </xf>
    <xf numFmtId="0" fontId="1" fillId="0" borderId="0" xfId="0" applyFont="1" applyAlignment="1">
      <alignment horizontal="center" vertical="center"/>
    </xf>
    <xf numFmtId="0" fontId="49" fillId="0" borderId="0" xfId="0" applyFont="1" applyAlignment="1" applyProtection="1">
      <alignment horizontal="center" vertical="center" wrapText="1"/>
      <protection locked="0"/>
    </xf>
    <xf numFmtId="0" fontId="24" fillId="0" borderId="0" xfId="0" applyFont="1" applyAlignment="1" applyProtection="1">
      <alignment horizontal="center" vertical="center" wrapText="1"/>
      <protection locked="0"/>
    </xf>
    <xf numFmtId="0" fontId="24" fillId="0" borderId="3" xfId="0" applyFont="1" applyBorder="1" applyAlignment="1">
      <alignment horizontal="center" vertical="center" wrapText="1"/>
    </xf>
    <xf numFmtId="0" fontId="24" fillId="0" borderId="37" xfId="0" applyFont="1" applyBorder="1" applyAlignment="1">
      <alignment horizontal="center" wrapText="1"/>
    </xf>
    <xf numFmtId="2" fontId="24" fillId="0" borderId="3" xfId="0" applyNumberFormat="1" applyFont="1" applyBorder="1" applyAlignment="1">
      <alignment horizontal="center" vertical="center"/>
    </xf>
    <xf numFmtId="174" fontId="66" fillId="0" borderId="0" xfId="0" quotePrefix="1" applyNumberFormat="1" applyFont="1" applyAlignment="1" applyProtection="1">
      <alignment horizontal="left" vertical="center"/>
      <protection locked="0"/>
    </xf>
    <xf numFmtId="0" fontId="24" fillId="0" borderId="0" xfId="0" applyFont="1" applyAlignment="1">
      <alignment horizontal="left" vertical="center" wrapText="1"/>
    </xf>
    <xf numFmtId="0" fontId="2" fillId="0" borderId="0" xfId="0" applyFont="1" applyAlignment="1" applyProtection="1">
      <alignment horizontal="left"/>
      <protection locked="0"/>
    </xf>
    <xf numFmtId="0" fontId="24" fillId="0" borderId="37" xfId="0" applyFont="1" applyBorder="1" applyAlignment="1">
      <alignment horizontal="center" vertical="center" wrapText="1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right" vertical="center"/>
    </xf>
    <xf numFmtId="0" fontId="26" fillId="0" borderId="3" xfId="0" applyFont="1" applyBorder="1" applyAlignment="1">
      <alignment horizontal="left" vertical="center"/>
    </xf>
    <xf numFmtId="0" fontId="17" fillId="0" borderId="3" xfId="0" applyFont="1" applyBorder="1" applyAlignment="1">
      <alignment horizontal="left" vertical="center"/>
    </xf>
    <xf numFmtId="0" fontId="26" fillId="0" borderId="3" xfId="0" applyFont="1" applyBorder="1" applyAlignment="1">
      <alignment horizontal="center" vertical="center"/>
    </xf>
    <xf numFmtId="0" fontId="26" fillId="0" borderId="31" xfId="0" applyFont="1" applyBorder="1" applyAlignment="1">
      <alignment horizontal="left" vertical="center"/>
    </xf>
    <xf numFmtId="0" fontId="26" fillId="0" borderId="26" xfId="0" applyFont="1" applyBorder="1" applyAlignment="1">
      <alignment horizontal="left" vertical="center"/>
    </xf>
    <xf numFmtId="0" fontId="26" fillId="0" borderId="38" xfId="0" applyFont="1" applyBorder="1" applyAlignment="1">
      <alignment horizontal="left" vertical="center"/>
    </xf>
    <xf numFmtId="0" fontId="26" fillId="0" borderId="20" xfId="0" applyFont="1" applyBorder="1" applyAlignment="1">
      <alignment horizontal="left" vertical="center"/>
    </xf>
    <xf numFmtId="2" fontId="23" fillId="0" borderId="0" xfId="0" applyNumberFormat="1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23" fillId="10" borderId="0" xfId="0" applyFont="1" applyFill="1" applyAlignment="1">
      <alignment horizontal="center" vertical="center"/>
    </xf>
    <xf numFmtId="0" fontId="26" fillId="0" borderId="15" xfId="0" applyFont="1" applyBorder="1" applyAlignment="1">
      <alignment horizontal="center" vertical="center"/>
    </xf>
    <xf numFmtId="0" fontId="26" fillId="0" borderId="20" xfId="0" applyFont="1" applyBorder="1" applyAlignment="1">
      <alignment horizontal="center" vertical="center"/>
    </xf>
    <xf numFmtId="0" fontId="51" fillId="9" borderId="0" xfId="0" applyFont="1" applyFill="1" applyAlignment="1">
      <alignment horizontal="center" vertical="center"/>
    </xf>
    <xf numFmtId="0" fontId="17" fillId="0" borderId="31" xfId="0" applyFont="1" applyBorder="1" applyAlignment="1">
      <alignment horizontal="left" vertical="center"/>
    </xf>
    <xf numFmtId="0" fontId="17" fillId="0" borderId="26" xfId="0" applyFont="1" applyBorder="1" applyAlignment="1">
      <alignment horizontal="left" vertical="center"/>
    </xf>
    <xf numFmtId="0" fontId="17" fillId="0" borderId="38" xfId="0" applyFont="1" applyBorder="1" applyAlignment="1">
      <alignment horizontal="left" vertical="center"/>
    </xf>
    <xf numFmtId="0" fontId="26" fillId="0" borderId="49" xfId="0" applyFont="1" applyBorder="1" applyAlignment="1">
      <alignment horizontal="center" vertical="center"/>
    </xf>
    <xf numFmtId="0" fontId="26" fillId="0" borderId="39" xfId="0" applyFont="1" applyBorder="1" applyAlignment="1">
      <alignment horizontal="center" vertical="center"/>
    </xf>
    <xf numFmtId="0" fontId="26" fillId="0" borderId="44" xfId="0" applyFont="1" applyBorder="1" applyAlignment="1">
      <alignment horizontal="center" vertical="center"/>
    </xf>
    <xf numFmtId="0" fontId="26" fillId="0" borderId="50" xfId="0" applyFont="1" applyBorder="1" applyAlignment="1">
      <alignment horizontal="center" vertical="center"/>
    </xf>
    <xf numFmtId="0" fontId="26" fillId="0" borderId="40" xfId="0" applyFont="1" applyBorder="1" applyAlignment="1">
      <alignment horizontal="center" vertical="center"/>
    </xf>
    <xf numFmtId="0" fontId="26" fillId="0" borderId="43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53" fillId="5" borderId="3" xfId="0" applyFont="1" applyFill="1" applyBorder="1" applyAlignment="1">
      <alignment horizontal="center" vertical="center"/>
    </xf>
    <xf numFmtId="0" fontId="53" fillId="5" borderId="31" xfId="0" applyFont="1" applyFill="1" applyBorder="1" applyAlignment="1">
      <alignment horizontal="left" vertical="center"/>
    </xf>
    <xf numFmtId="0" fontId="53" fillId="5" borderId="26" xfId="0" applyFont="1" applyFill="1" applyBorder="1" applyAlignment="1">
      <alignment horizontal="left" vertical="center"/>
    </xf>
    <xf numFmtId="0" fontId="53" fillId="5" borderId="38" xfId="0" applyFont="1" applyFill="1" applyBorder="1" applyAlignment="1">
      <alignment horizontal="left" vertical="center"/>
    </xf>
    <xf numFmtId="0" fontId="53" fillId="5" borderId="3" xfId="0" applyFont="1" applyFill="1" applyBorder="1" applyAlignment="1">
      <alignment horizontal="left" vertical="center"/>
    </xf>
    <xf numFmtId="0" fontId="24" fillId="7" borderId="0" xfId="0" applyFont="1" applyFill="1" applyAlignment="1" applyProtection="1">
      <alignment horizontal="left" vertical="center" wrapText="1"/>
      <protection locked="0"/>
    </xf>
    <xf numFmtId="9" fontId="38" fillId="0" borderId="0" xfId="0" applyNumberFormat="1" applyFont="1" applyAlignment="1" applyProtection="1">
      <alignment horizontal="center" vertical="center"/>
      <protection locked="0"/>
    </xf>
    <xf numFmtId="0" fontId="35" fillId="0" borderId="15" xfId="0" applyFont="1" applyBorder="1" applyAlignment="1" applyProtection="1">
      <alignment horizontal="center" vertical="center"/>
      <protection locked="0"/>
    </xf>
    <xf numFmtId="0" fontId="35" fillId="0" borderId="3" xfId="0" applyFont="1" applyBorder="1" applyAlignment="1" applyProtection="1">
      <alignment horizontal="center" vertical="center"/>
      <protection locked="0"/>
    </xf>
    <xf numFmtId="0" fontId="35" fillId="0" borderId="20" xfId="0" applyFont="1" applyBorder="1" applyAlignment="1" applyProtection="1">
      <alignment horizontal="left" vertical="center"/>
      <protection locked="0"/>
    </xf>
    <xf numFmtId="0" fontId="36" fillId="0" borderId="0" xfId="0" applyFont="1" applyAlignment="1">
      <alignment horizontal="center" vertical="center"/>
    </xf>
    <xf numFmtId="165" fontId="39" fillId="0" borderId="31" xfId="0" applyNumberFormat="1" applyFont="1" applyBorder="1" applyAlignment="1">
      <alignment horizontal="center" vertical="center"/>
    </xf>
    <xf numFmtId="165" fontId="39" fillId="0" borderId="38" xfId="0" applyNumberFormat="1" applyFont="1" applyBorder="1" applyAlignment="1">
      <alignment horizontal="center" vertical="center"/>
    </xf>
    <xf numFmtId="0" fontId="24" fillId="0" borderId="49" xfId="0" applyFont="1" applyBorder="1" applyAlignment="1">
      <alignment horizontal="center" vertical="center" wrapText="1"/>
    </xf>
    <xf numFmtId="0" fontId="24" fillId="0" borderId="44" xfId="0" applyFont="1" applyBorder="1" applyAlignment="1">
      <alignment horizontal="center" vertical="center" wrapText="1"/>
    </xf>
    <xf numFmtId="0" fontId="24" fillId="0" borderId="36" xfId="0" applyFont="1" applyBorder="1" applyAlignment="1">
      <alignment horizontal="center" vertical="center" wrapText="1"/>
    </xf>
    <xf numFmtId="0" fontId="24" fillId="0" borderId="50" xfId="0" applyFont="1" applyBorder="1" applyAlignment="1">
      <alignment horizontal="center" vertical="center" wrapText="1"/>
    </xf>
    <xf numFmtId="0" fontId="24" fillId="0" borderId="43" xfId="0" applyFont="1" applyBorder="1" applyAlignment="1">
      <alignment horizontal="center" vertical="center" wrapText="1"/>
    </xf>
    <xf numFmtId="0" fontId="24" fillId="7" borderId="0" xfId="0" applyFont="1" applyFill="1" applyAlignment="1">
      <alignment horizontal="left" vertical="center"/>
    </xf>
    <xf numFmtId="0" fontId="39" fillId="0" borderId="0" xfId="0" applyFont="1" applyAlignment="1">
      <alignment horizontal="center" vertical="center" wrapText="1"/>
    </xf>
    <xf numFmtId="165" fontId="24" fillId="0" borderId="3" xfId="0" applyNumberFormat="1" applyFont="1" applyBorder="1" applyAlignment="1">
      <alignment horizontal="center" vertical="center"/>
    </xf>
    <xf numFmtId="173" fontId="39" fillId="0" borderId="0" xfId="0" applyNumberFormat="1" applyFont="1" applyAlignment="1">
      <alignment horizontal="center" vertical="center"/>
    </xf>
    <xf numFmtId="0" fontId="39" fillId="0" borderId="0" xfId="0" applyFont="1" applyAlignment="1">
      <alignment horizontal="center" vertical="center"/>
    </xf>
    <xf numFmtId="9" fontId="39" fillId="0" borderId="0" xfId="0" applyNumberFormat="1" applyFont="1" applyAlignment="1">
      <alignment horizontal="center" vertical="center"/>
    </xf>
    <xf numFmtId="0" fontId="24" fillId="0" borderId="27" xfId="0" applyFont="1" applyBorder="1" applyAlignment="1">
      <alignment horizontal="center" vertical="center" wrapText="1"/>
    </xf>
    <xf numFmtId="0" fontId="35" fillId="0" borderId="0" xfId="0" quotePrefix="1" applyFont="1" applyAlignment="1" applyProtection="1">
      <alignment horizontal="center" vertical="center"/>
      <protection locked="0"/>
    </xf>
    <xf numFmtId="0" fontId="35" fillId="0" borderId="0" xfId="0" applyFont="1" applyAlignment="1" applyProtection="1">
      <alignment horizontal="center" vertical="center"/>
      <protection locked="0"/>
    </xf>
    <xf numFmtId="0" fontId="35" fillId="0" borderId="0" xfId="0" applyFont="1" applyAlignment="1" applyProtection="1">
      <alignment horizontal="left" vertical="center"/>
      <protection locked="0"/>
    </xf>
    <xf numFmtId="165" fontId="2" fillId="0" borderId="0" xfId="0" quotePrefix="1" applyNumberFormat="1" applyFont="1" applyAlignment="1" applyProtection="1">
      <alignment horizontal="left" vertical="center" wrapText="1"/>
      <protection locked="0"/>
    </xf>
    <xf numFmtId="165" fontId="24" fillId="0" borderId="0" xfId="0" quotePrefix="1" applyNumberFormat="1" applyFont="1" applyAlignment="1" applyProtection="1">
      <alignment horizontal="left" vertical="center" wrapText="1"/>
      <protection locked="0"/>
    </xf>
    <xf numFmtId="0" fontId="24" fillId="0" borderId="31" xfId="0" applyFont="1" applyBorder="1" applyAlignment="1">
      <alignment horizontal="center" vertical="center" wrapText="1"/>
    </xf>
    <xf numFmtId="0" fontId="24" fillId="0" borderId="38" xfId="0" applyFont="1" applyBorder="1" applyAlignment="1">
      <alignment horizontal="center" vertical="center" wrapText="1"/>
    </xf>
    <xf numFmtId="0" fontId="24" fillId="0" borderId="39" xfId="0" applyFont="1" applyBorder="1" applyAlignment="1">
      <alignment horizontal="center" vertical="center" wrapText="1"/>
    </xf>
    <xf numFmtId="0" fontId="24" fillId="0" borderId="40" xfId="0" applyFont="1" applyBorder="1" applyAlignment="1">
      <alignment horizontal="center" vertical="center" wrapText="1"/>
    </xf>
    <xf numFmtId="0" fontId="24" fillId="0" borderId="20" xfId="0" applyFont="1" applyBorder="1" applyAlignment="1">
      <alignment horizontal="center" vertical="top" wrapText="1"/>
    </xf>
    <xf numFmtId="0" fontId="66" fillId="7" borderId="0" xfId="0" applyFont="1" applyFill="1" applyAlignment="1">
      <alignment horizontal="center" vertical="center"/>
    </xf>
    <xf numFmtId="165" fontId="66" fillId="0" borderId="31" xfId="0" applyNumberFormat="1" applyFont="1" applyBorder="1" applyAlignment="1">
      <alignment horizontal="center" vertical="center"/>
    </xf>
    <xf numFmtId="165" fontId="66" fillId="0" borderId="38" xfId="0" applyNumberFormat="1" applyFont="1" applyBorder="1" applyAlignment="1">
      <alignment horizontal="center" vertical="center"/>
    </xf>
    <xf numFmtId="165" fontId="66" fillId="0" borderId="3" xfId="0" applyNumberFormat="1" applyFont="1" applyBorder="1" applyAlignment="1">
      <alignment horizontal="center" vertical="center"/>
    </xf>
    <xf numFmtId="0" fontId="66" fillId="7" borderId="0" xfId="0" applyFont="1" applyFill="1" applyAlignment="1" applyProtection="1">
      <alignment horizontal="left" vertical="center" wrapText="1"/>
      <protection locked="0"/>
    </xf>
    <xf numFmtId="0" fontId="9" fillId="0" borderId="31" xfId="4" applyFont="1" applyBorder="1" applyAlignment="1">
      <alignment horizontal="left" vertical="top" wrapText="1"/>
    </xf>
    <xf numFmtId="0" fontId="9" fillId="0" borderId="26" xfId="4" applyFont="1" applyBorder="1" applyAlignment="1">
      <alignment horizontal="left" vertical="top" wrapText="1"/>
    </xf>
    <xf numFmtId="0" fontId="78" fillId="0" borderId="0" xfId="4" applyFont="1" applyAlignment="1" applyProtection="1">
      <alignment horizontal="center" vertical="center"/>
      <protection locked="0"/>
    </xf>
    <xf numFmtId="174" fontId="80" fillId="0" borderId="0" xfId="4" quotePrefix="1" applyNumberFormat="1" applyFont="1" applyAlignment="1" applyProtection="1">
      <alignment horizontal="center" vertical="center"/>
      <protection locked="0"/>
    </xf>
    <xf numFmtId="174" fontId="80" fillId="0" borderId="0" xfId="4" applyNumberFormat="1" applyFont="1" applyAlignment="1" applyProtection="1">
      <alignment horizontal="center" vertical="center"/>
      <protection locked="0"/>
    </xf>
    <xf numFmtId="0" fontId="9" fillId="0" borderId="0" xfId="4" applyFont="1" applyAlignment="1">
      <alignment horizontal="center"/>
    </xf>
    <xf numFmtId="0" fontId="81" fillId="0" borderId="0" xfId="4" applyFont="1" applyAlignment="1">
      <alignment horizontal="right" vertical="center"/>
    </xf>
    <xf numFmtId="0" fontId="77" fillId="0" borderId="0" xfId="4" applyFont="1" applyAlignment="1">
      <alignment horizontal="center"/>
    </xf>
    <xf numFmtId="0" fontId="80" fillId="0" borderId="0" xfId="4" applyFont="1" applyAlignment="1" applyProtection="1">
      <alignment horizontal="left"/>
      <protection locked="0"/>
    </xf>
    <xf numFmtId="0" fontId="9" fillId="0" borderId="0" xfId="4" applyFont="1" applyAlignment="1">
      <alignment horizontal="left" vertical="center" wrapText="1"/>
    </xf>
    <xf numFmtId="0" fontId="82" fillId="0" borderId="0" xfId="4" quotePrefix="1" applyFont="1" applyAlignment="1" applyProtection="1">
      <alignment horizontal="left" vertical="center" wrapText="1"/>
      <protection locked="0"/>
    </xf>
    <xf numFmtId="11" fontId="80" fillId="0" borderId="0" xfId="4" quotePrefix="1" applyNumberFormat="1" applyFont="1" applyAlignment="1" applyProtection="1">
      <alignment horizontal="left"/>
      <protection locked="0"/>
    </xf>
    <xf numFmtId="0" fontId="80" fillId="0" borderId="0" xfId="4" quotePrefix="1" applyFont="1" applyAlignment="1" applyProtection="1">
      <alignment horizontal="left"/>
      <protection locked="0"/>
    </xf>
    <xf numFmtId="0" fontId="82" fillId="0" borderId="0" xfId="4" applyFont="1" applyAlignment="1" applyProtection="1">
      <alignment horizontal="left" vertical="center" wrapText="1"/>
      <protection locked="0"/>
    </xf>
    <xf numFmtId="0" fontId="9" fillId="0" borderId="0" xfId="4" applyFont="1" applyAlignment="1" applyProtection="1">
      <alignment horizontal="left" vertical="top" wrapText="1"/>
      <protection locked="0"/>
    </xf>
    <xf numFmtId="0" fontId="9" fillId="0" borderId="0" xfId="4" applyFont="1" applyAlignment="1" applyProtection="1">
      <alignment horizontal="justify" vertical="top" wrapText="1"/>
      <protection locked="0"/>
    </xf>
    <xf numFmtId="187" fontId="80" fillId="0" borderId="0" xfId="4" quotePrefix="1" applyNumberFormat="1" applyFont="1" applyAlignment="1" applyProtection="1">
      <alignment horizontal="left" vertical="center"/>
      <protection locked="0"/>
    </xf>
    <xf numFmtId="187" fontId="80" fillId="0" borderId="0" xfId="4" applyNumberFormat="1" applyFont="1" applyAlignment="1" applyProtection="1">
      <alignment horizontal="left" vertical="center"/>
      <protection locked="0"/>
    </xf>
    <xf numFmtId="0" fontId="9" fillId="0" borderId="0" xfId="4" applyFont="1" applyAlignment="1">
      <alignment horizontal="left" vertical="top" wrapText="1"/>
    </xf>
    <xf numFmtId="0" fontId="76" fillId="0" borderId="0" xfId="4" applyFont="1" applyAlignment="1">
      <alignment horizontal="center"/>
    </xf>
    <xf numFmtId="174" fontId="9" fillId="0" borderId="0" xfId="4" applyNumberFormat="1" applyFont="1" applyAlignment="1">
      <alignment horizontal="left" vertical="center" wrapText="1"/>
    </xf>
    <xf numFmtId="174" fontId="9" fillId="0" borderId="0" xfId="4" applyNumberFormat="1" applyFont="1" applyAlignment="1">
      <alignment horizontal="left" vertical="top" wrapText="1"/>
    </xf>
    <xf numFmtId="0" fontId="8" fillId="0" borderId="0" xfId="4" applyFont="1" applyAlignment="1">
      <alignment horizontal="left" vertical="center" wrapText="1"/>
    </xf>
    <xf numFmtId="2" fontId="62" fillId="16" borderId="0" xfId="6" applyNumberFormat="1" applyFont="1" applyFill="1" applyAlignment="1">
      <alignment horizontal="center" vertical="center"/>
    </xf>
    <xf numFmtId="2" fontId="7" fillId="15" borderId="0" xfId="6" applyNumberFormat="1" applyFont="1" applyFill="1" applyAlignment="1">
      <alignment horizontal="center" vertical="center"/>
    </xf>
    <xf numFmtId="2" fontId="35" fillId="15" borderId="0" xfId="6" applyNumberFormat="1" applyFill="1" applyAlignment="1">
      <alignment horizontal="center"/>
    </xf>
    <xf numFmtId="2" fontId="56" fillId="16" borderId="0" xfId="6" applyNumberFormat="1" applyFont="1" applyFill="1" applyAlignment="1">
      <alignment horizontal="center" vertical="center"/>
    </xf>
    <xf numFmtId="2" fontId="7" fillId="0" borderId="15" xfId="6" applyNumberFormat="1" applyFont="1" applyBorder="1" applyAlignment="1">
      <alignment horizontal="center" vertical="center"/>
    </xf>
    <xf numFmtId="2" fontId="7" fillId="0" borderId="20" xfId="6" applyNumberFormat="1" applyFont="1" applyBorder="1" applyAlignment="1">
      <alignment horizontal="center" vertical="center"/>
    </xf>
    <xf numFmtId="2" fontId="35" fillId="0" borderId="3" xfId="6" applyNumberFormat="1" applyBorder="1" applyAlignment="1">
      <alignment horizontal="left" vertical="top" wrapText="1"/>
    </xf>
    <xf numFmtId="2" fontId="35" fillId="0" borderId="3" xfId="6" applyNumberFormat="1" applyBorder="1" applyAlignment="1">
      <alignment horizontal="center" vertical="top" wrapText="1"/>
    </xf>
    <xf numFmtId="2" fontId="64" fillId="23" borderId="0" xfId="6" applyNumberFormat="1" applyFont="1" applyFill="1" applyAlignment="1">
      <alignment horizontal="center" vertical="center"/>
    </xf>
    <xf numFmtId="2" fontId="35" fillId="22" borderId="0" xfId="6" applyNumberFormat="1" applyFill="1" applyAlignment="1">
      <alignment horizontal="center" vertical="center"/>
    </xf>
    <xf numFmtId="0" fontId="7" fillId="24" borderId="40" xfId="0" applyFont="1" applyFill="1" applyBorder="1" applyAlignment="1">
      <alignment horizontal="center" vertical="center"/>
    </xf>
    <xf numFmtId="0" fontId="7" fillId="24" borderId="0" xfId="0" applyFont="1" applyFill="1" applyAlignment="1">
      <alignment horizontal="center" vertical="center"/>
    </xf>
    <xf numFmtId="0" fontId="72" fillId="15" borderId="40" xfId="0" applyFont="1" applyFill="1" applyBorder="1" applyAlignment="1">
      <alignment horizontal="center" vertical="center"/>
    </xf>
    <xf numFmtId="0" fontId="73" fillId="15" borderId="40" xfId="0" applyFont="1" applyFill="1" applyBorder="1" applyAlignment="1">
      <alignment horizontal="center" vertical="center"/>
    </xf>
    <xf numFmtId="0" fontId="74" fillId="15" borderId="0" xfId="0" applyFont="1" applyFill="1" applyAlignment="1">
      <alignment horizontal="center" vertical="center"/>
    </xf>
    <xf numFmtId="0" fontId="75" fillId="15" borderId="0" xfId="0" applyFont="1" applyFill="1" applyAlignment="1">
      <alignment horizontal="center" vertical="center"/>
    </xf>
    <xf numFmtId="0" fontId="6" fillId="24" borderId="0" xfId="0" applyFont="1" applyFill="1" applyAlignment="1">
      <alignment horizontal="center" vertical="center"/>
    </xf>
    <xf numFmtId="2" fontId="12" fillId="11" borderId="11" xfId="0" applyNumberFormat="1" applyFont="1" applyFill="1" applyBorder="1" applyAlignment="1">
      <alignment horizontal="center" vertical="center"/>
    </xf>
    <xf numFmtId="2" fontId="12" fillId="11" borderId="13" xfId="0" applyNumberFormat="1" applyFont="1" applyFill="1" applyBorder="1" applyAlignment="1">
      <alignment horizontal="center" vertical="center"/>
    </xf>
    <xf numFmtId="2" fontId="5" fillId="11" borderId="3" xfId="0" applyNumberFormat="1" applyFont="1" applyFill="1" applyBorder="1" applyAlignment="1">
      <alignment horizontal="center" vertical="center"/>
    </xf>
    <xf numFmtId="2" fontId="4" fillId="11" borderId="3" xfId="4" applyNumberFormat="1" applyFont="1" applyFill="1" applyBorder="1" applyAlignment="1">
      <alignment horizontal="center" vertical="center"/>
    </xf>
    <xf numFmtId="2" fontId="17" fillId="11" borderId="3" xfId="4" applyNumberFormat="1" applyFont="1" applyFill="1" applyBorder="1" applyAlignment="1">
      <alignment horizontal="center" vertical="center"/>
    </xf>
    <xf numFmtId="1" fontId="0" fillId="14" borderId="3" xfId="0" applyNumberFormat="1" applyFill="1" applyBorder="1" applyAlignment="1">
      <alignment horizontal="center" vertical="center"/>
    </xf>
    <xf numFmtId="2" fontId="11" fillId="11" borderId="3" xfId="4" applyNumberFormat="1" applyFont="1" applyFill="1" applyBorder="1" applyAlignment="1">
      <alignment horizontal="center" vertical="center"/>
    </xf>
    <xf numFmtId="2" fontId="16" fillId="2" borderId="4" xfId="0" applyNumberFormat="1" applyFont="1" applyFill="1" applyBorder="1" applyAlignment="1">
      <alignment horizontal="center" vertical="center"/>
    </xf>
    <xf numFmtId="2" fontId="16" fillId="2" borderId="0" xfId="0" applyNumberFormat="1" applyFont="1" applyFill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" fontId="0" fillId="0" borderId="4" xfId="0" applyNumberFormat="1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1" fontId="0" fillId="14" borderId="1" xfId="0" applyNumberFormat="1" applyFill="1" applyBorder="1" applyAlignment="1">
      <alignment horizontal="center" vertical="center"/>
    </xf>
    <xf numFmtId="1" fontId="0" fillId="14" borderId="4" xfId="0" applyNumberFormat="1" applyFill="1" applyBorder="1" applyAlignment="1">
      <alignment horizontal="center" vertical="center"/>
    </xf>
    <xf numFmtId="1" fontId="0" fillId="14" borderId="7" xfId="0" applyNumberFormat="1" applyFill="1" applyBorder="1" applyAlignment="1">
      <alignment horizontal="center" vertical="center"/>
    </xf>
    <xf numFmtId="1" fontId="0" fillId="0" borderId="3" xfId="0" applyNumberFormat="1" applyBorder="1" applyAlignment="1">
      <alignment horizontal="center" vertical="center"/>
    </xf>
    <xf numFmtId="2" fontId="5" fillId="11" borderId="31" xfId="0" applyNumberFormat="1" applyFont="1" applyFill="1" applyBorder="1" applyAlignment="1">
      <alignment horizontal="center" vertical="center"/>
    </xf>
    <xf numFmtId="2" fontId="5" fillId="11" borderId="26" xfId="0" applyNumberFormat="1" applyFont="1" applyFill="1" applyBorder="1" applyAlignment="1">
      <alignment horizontal="center" vertical="center"/>
    </xf>
    <xf numFmtId="2" fontId="5" fillId="11" borderId="38" xfId="0" applyNumberFormat="1" applyFont="1" applyFill="1" applyBorder="1" applyAlignment="1">
      <alignment horizontal="center" vertical="center"/>
    </xf>
    <xf numFmtId="1" fontId="11" fillId="11" borderId="3" xfId="4" applyNumberFormat="1" applyFont="1" applyFill="1" applyBorder="1" applyAlignment="1">
      <alignment horizontal="center" vertical="center"/>
    </xf>
    <xf numFmtId="2" fontId="13" fillId="11" borderId="3" xfId="0" applyNumberFormat="1" applyFont="1" applyFill="1" applyBorder="1" applyAlignment="1">
      <alignment horizontal="center" vertical="center"/>
    </xf>
    <xf numFmtId="2" fontId="13" fillId="11" borderId="3" xfId="0" applyNumberFormat="1" applyFont="1" applyFill="1" applyBorder="1" applyAlignment="1">
      <alignment horizontal="center" vertical="center" wrapText="1"/>
    </xf>
    <xf numFmtId="2" fontId="13" fillId="11" borderId="12" xfId="0" applyNumberFormat="1" applyFont="1" applyFill="1" applyBorder="1" applyAlignment="1">
      <alignment horizontal="center" vertical="center"/>
    </xf>
    <xf numFmtId="2" fontId="13" fillId="11" borderId="12" xfId="0" applyNumberFormat="1" applyFont="1" applyFill="1" applyBorder="1" applyAlignment="1">
      <alignment horizontal="center" vertical="center" wrapText="1"/>
    </xf>
    <xf numFmtId="2" fontId="11" fillId="11" borderId="12" xfId="4" applyNumberFormat="1" applyFont="1" applyFill="1" applyBorder="1" applyAlignment="1">
      <alignment horizontal="center" vertical="center"/>
    </xf>
    <xf numFmtId="2" fontId="11" fillId="11" borderId="13" xfId="4" applyNumberFormat="1" applyFont="1" applyFill="1" applyBorder="1" applyAlignment="1">
      <alignment horizontal="center" vertical="center"/>
    </xf>
    <xf numFmtId="2" fontId="11" fillId="5" borderId="11" xfId="0" applyNumberFormat="1" applyFont="1" applyFill="1" applyBorder="1" applyAlignment="1">
      <alignment horizontal="center" vertical="center"/>
    </xf>
    <xf numFmtId="2" fontId="11" fillId="5" borderId="13" xfId="0" applyNumberFormat="1" applyFont="1" applyFill="1" applyBorder="1" applyAlignment="1">
      <alignment horizontal="center" vertical="center"/>
    </xf>
    <xf numFmtId="2" fontId="18" fillId="11" borderId="3" xfId="0" applyNumberFormat="1" applyFont="1" applyFill="1" applyBorder="1" applyAlignment="1">
      <alignment horizontal="center" vertical="center"/>
    </xf>
    <xf numFmtId="2" fontId="18" fillId="11" borderId="49" xfId="0" applyNumberFormat="1" applyFont="1" applyFill="1" applyBorder="1" applyAlignment="1">
      <alignment horizontal="center" vertical="center"/>
    </xf>
    <xf numFmtId="2" fontId="18" fillId="11" borderId="39" xfId="0" applyNumberFormat="1" applyFont="1" applyFill="1" applyBorder="1" applyAlignment="1">
      <alignment horizontal="center" vertical="center"/>
    </xf>
    <xf numFmtId="2" fontId="18" fillId="11" borderId="44" xfId="0" applyNumberFormat="1" applyFont="1" applyFill="1" applyBorder="1" applyAlignment="1">
      <alignment horizontal="center" vertical="center"/>
    </xf>
    <xf numFmtId="2" fontId="18" fillId="11" borderId="22" xfId="0" applyNumberFormat="1" applyFont="1" applyFill="1" applyBorder="1" applyAlignment="1">
      <alignment horizontal="center" vertical="center"/>
    </xf>
    <xf numFmtId="2" fontId="13" fillId="5" borderId="17" xfId="0" applyNumberFormat="1" applyFont="1" applyFill="1" applyBorder="1" applyAlignment="1">
      <alignment horizontal="center" vertical="center"/>
    </xf>
    <xf numFmtId="2" fontId="13" fillId="5" borderId="22" xfId="0" applyNumberFormat="1" applyFont="1" applyFill="1" applyBorder="1" applyAlignment="1">
      <alignment horizontal="center" vertical="center"/>
    </xf>
    <xf numFmtId="2" fontId="10" fillId="2" borderId="0" xfId="0" applyNumberFormat="1" applyFont="1" applyFill="1" applyAlignment="1">
      <alignment horizontal="center"/>
    </xf>
    <xf numFmtId="2" fontId="10" fillId="11" borderId="3" xfId="0" applyNumberFormat="1" applyFont="1" applyFill="1" applyBorder="1" applyAlignment="1">
      <alignment horizontal="center" vertical="center"/>
    </xf>
    <xf numFmtId="2" fontId="10" fillId="11" borderId="12" xfId="0" applyNumberFormat="1" applyFont="1" applyFill="1" applyBorder="1" applyAlignment="1">
      <alignment horizontal="center" vertical="center"/>
    </xf>
    <xf numFmtId="2" fontId="10" fillId="11" borderId="24" xfId="0" applyNumberFormat="1" applyFont="1" applyFill="1" applyBorder="1" applyAlignment="1">
      <alignment horizontal="center" vertical="center"/>
    </xf>
    <xf numFmtId="2" fontId="10" fillId="11" borderId="15" xfId="0" applyNumberFormat="1" applyFont="1" applyFill="1" applyBorder="1" applyAlignment="1">
      <alignment horizontal="center" vertical="center"/>
    </xf>
    <xf numFmtId="2" fontId="10" fillId="11" borderId="27" xfId="0" applyNumberFormat="1" applyFont="1" applyFill="1" applyBorder="1" applyAlignment="1">
      <alignment horizontal="center" vertical="center"/>
    </xf>
    <xf numFmtId="2" fontId="10" fillId="11" borderId="29" xfId="0" applyNumberFormat="1" applyFont="1" applyFill="1" applyBorder="1" applyAlignment="1">
      <alignment horizontal="center" vertical="center"/>
    </xf>
    <xf numFmtId="2" fontId="10" fillId="11" borderId="18" xfId="0" applyNumberFormat="1" applyFont="1" applyFill="1" applyBorder="1" applyAlignment="1">
      <alignment horizontal="center" vertical="center"/>
    </xf>
    <xf numFmtId="2" fontId="11" fillId="3" borderId="3" xfId="4" applyNumberFormat="1" applyFont="1" applyFill="1" applyBorder="1" applyAlignment="1">
      <alignment horizontal="center" vertical="center" wrapText="1"/>
    </xf>
    <xf numFmtId="2" fontId="11" fillId="3" borderId="12" xfId="4" applyNumberFormat="1" applyFont="1" applyFill="1" applyBorder="1" applyAlignment="1">
      <alignment horizontal="left" vertical="center" wrapText="1"/>
    </xf>
    <xf numFmtId="2" fontId="11" fillId="3" borderId="13" xfId="4" applyNumberFormat="1" applyFont="1" applyFill="1" applyBorder="1" applyAlignment="1">
      <alignment horizontal="left" vertical="center" wrapText="1"/>
    </xf>
    <xf numFmtId="2" fontId="18" fillId="3" borderId="3" xfId="0" applyNumberFormat="1" applyFont="1" applyFill="1" applyBorder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/>
    </xf>
    <xf numFmtId="2" fontId="13" fillId="3" borderId="11" xfId="4" applyNumberFormat="1" applyFont="1" applyFill="1" applyBorder="1" applyAlignment="1">
      <alignment horizontal="center" vertical="center"/>
    </xf>
    <xf numFmtId="2" fontId="13" fillId="3" borderId="12" xfId="4" applyNumberFormat="1" applyFont="1" applyFill="1" applyBorder="1" applyAlignment="1">
      <alignment horizontal="center" vertical="center"/>
    </xf>
    <xf numFmtId="2" fontId="13" fillId="3" borderId="13" xfId="4" applyNumberFormat="1" applyFont="1" applyFill="1" applyBorder="1" applyAlignment="1">
      <alignment horizontal="center" vertical="center"/>
    </xf>
    <xf numFmtId="1" fontId="13" fillId="11" borderId="3" xfId="0" applyNumberFormat="1" applyFont="1" applyFill="1" applyBorder="1" applyAlignment="1">
      <alignment horizontal="center" vertical="center"/>
    </xf>
    <xf numFmtId="2" fontId="11" fillId="3" borderId="17" xfId="0" applyNumberFormat="1" applyFont="1" applyFill="1" applyBorder="1" applyAlignment="1">
      <alignment horizontal="center" vertical="center" wrapText="1"/>
    </xf>
    <xf numFmtId="2" fontId="11" fillId="3" borderId="3" xfId="0" applyNumberFormat="1" applyFont="1" applyFill="1" applyBorder="1" applyAlignment="1">
      <alignment horizontal="center" vertical="center" wrapText="1"/>
    </xf>
    <xf numFmtId="2" fontId="13" fillId="3" borderId="22" xfId="4" applyNumberFormat="1" applyFont="1" applyFill="1" applyBorder="1" applyAlignment="1">
      <alignment horizontal="center" vertical="center" wrapText="1"/>
    </xf>
    <xf numFmtId="2" fontId="10" fillId="3" borderId="11" xfId="0" applyNumberFormat="1" applyFont="1" applyFill="1" applyBorder="1" applyAlignment="1">
      <alignment horizontal="center" vertical="center"/>
    </xf>
    <xf numFmtId="2" fontId="10" fillId="3" borderId="17" xfId="0" applyNumberFormat="1" applyFont="1" applyFill="1" applyBorder="1" applyAlignment="1">
      <alignment horizontal="center" vertical="center"/>
    </xf>
    <xf numFmtId="2" fontId="10" fillId="3" borderId="23" xfId="0" applyNumberFormat="1" applyFont="1" applyFill="1" applyBorder="1" applyAlignment="1">
      <alignment horizontal="center" vertical="center"/>
    </xf>
  </cellXfs>
  <cellStyles count="7">
    <cellStyle name="Normal" xfId="0" builtinId="0"/>
    <cellStyle name="Normal 2" xfId="2" xr:uid="{00000000-0005-0000-0000-000001000000}"/>
    <cellStyle name="Normal 2 2" xfId="3" xr:uid="{00000000-0005-0000-0000-000002000000}"/>
    <cellStyle name="Normal 2 3" xfId="4" xr:uid="{73C7D218-9DC6-4AD7-BB4C-C3B9FFFC20B3}"/>
    <cellStyle name="Normal 3" xfId="6" xr:uid="{EB2A7455-B82C-4C84-BF7D-09DE58502DA0}"/>
    <cellStyle name="Normal_Daftar kelistrikan (ecg)" xfId="1" xr:uid="{00000000-0005-0000-0000-000003000000}"/>
    <cellStyle name="Percent" xfId="5" builtinId="5"/>
  </cellStyles>
  <dxfs count="0"/>
  <tableStyles count="0" defaultTableStyle="TableStyleMedium2" defaultPivotStyle="PivotStyleLight16"/>
  <colors>
    <mruColors>
      <color rgb="FF66FFFF"/>
      <color rgb="FFF0F6BA"/>
      <color rgb="FF00FFFF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9321</xdr:colOff>
      <xdr:row>78</xdr:row>
      <xdr:rowOff>0</xdr:rowOff>
    </xdr:from>
    <xdr:to>
      <xdr:col>9</xdr:col>
      <xdr:colOff>285377</xdr:colOff>
      <xdr:row>78</xdr:row>
      <xdr:rowOff>0</xdr:rowOff>
    </xdr:to>
    <xdr:pic>
      <xdr:nvPicPr>
        <xdr:cNvPr id="6" name="_x0000_s9235" descr=" 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5609590" y="5996940"/>
          <a:ext cx="276225" cy="0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9</xdr:col>
      <xdr:colOff>9321</xdr:colOff>
      <xdr:row>78</xdr:row>
      <xdr:rowOff>0</xdr:rowOff>
    </xdr:from>
    <xdr:to>
      <xdr:col>9</xdr:col>
      <xdr:colOff>285377</xdr:colOff>
      <xdr:row>78</xdr:row>
      <xdr:rowOff>0</xdr:rowOff>
    </xdr:to>
    <xdr:pic>
      <xdr:nvPicPr>
        <xdr:cNvPr id="7" name="_x0000_s9236" descr=" 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5609590" y="5996940"/>
          <a:ext cx="276225" cy="0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9</xdr:col>
      <xdr:colOff>9321</xdr:colOff>
      <xdr:row>78</xdr:row>
      <xdr:rowOff>0</xdr:rowOff>
    </xdr:from>
    <xdr:to>
      <xdr:col>9</xdr:col>
      <xdr:colOff>285377</xdr:colOff>
      <xdr:row>78</xdr:row>
      <xdr:rowOff>0</xdr:rowOff>
    </xdr:to>
    <xdr:pic>
      <xdr:nvPicPr>
        <xdr:cNvPr id="8" name="_x0000_s9237" descr=" 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5609590" y="5996940"/>
          <a:ext cx="276225" cy="0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9</xdr:col>
      <xdr:colOff>9321</xdr:colOff>
      <xdr:row>78</xdr:row>
      <xdr:rowOff>0</xdr:rowOff>
    </xdr:from>
    <xdr:to>
      <xdr:col>9</xdr:col>
      <xdr:colOff>285377</xdr:colOff>
      <xdr:row>78</xdr:row>
      <xdr:rowOff>0</xdr:rowOff>
    </xdr:to>
    <xdr:pic>
      <xdr:nvPicPr>
        <xdr:cNvPr id="9" name="_x0000_s9238" descr=" 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5609590" y="5996940"/>
          <a:ext cx="276225" cy="0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9</xdr:col>
      <xdr:colOff>9321</xdr:colOff>
      <xdr:row>78</xdr:row>
      <xdr:rowOff>0</xdr:rowOff>
    </xdr:from>
    <xdr:to>
      <xdr:col>9</xdr:col>
      <xdr:colOff>285377</xdr:colOff>
      <xdr:row>78</xdr:row>
      <xdr:rowOff>0</xdr:rowOff>
    </xdr:to>
    <xdr:pic>
      <xdr:nvPicPr>
        <xdr:cNvPr id="10" name="_x0000_s9239" descr=" 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5609590" y="5996940"/>
          <a:ext cx="276225" cy="0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9</xdr:col>
      <xdr:colOff>9321</xdr:colOff>
      <xdr:row>78</xdr:row>
      <xdr:rowOff>0</xdr:rowOff>
    </xdr:from>
    <xdr:to>
      <xdr:col>9</xdr:col>
      <xdr:colOff>285377</xdr:colOff>
      <xdr:row>78</xdr:row>
      <xdr:rowOff>0</xdr:rowOff>
    </xdr:to>
    <xdr:pic>
      <xdr:nvPicPr>
        <xdr:cNvPr id="11" name="_x0000_s9240" descr=" 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5609590" y="5996940"/>
          <a:ext cx="276225" cy="0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9</xdr:col>
      <xdr:colOff>9321</xdr:colOff>
      <xdr:row>78</xdr:row>
      <xdr:rowOff>0</xdr:rowOff>
    </xdr:from>
    <xdr:to>
      <xdr:col>9</xdr:col>
      <xdr:colOff>285377</xdr:colOff>
      <xdr:row>78</xdr:row>
      <xdr:rowOff>0</xdr:rowOff>
    </xdr:to>
    <xdr:pic>
      <xdr:nvPicPr>
        <xdr:cNvPr id="12" name="_x0000_s9241" descr=" 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5609590" y="5996940"/>
          <a:ext cx="276225" cy="0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9</xdr:col>
      <xdr:colOff>9321</xdr:colOff>
      <xdr:row>78</xdr:row>
      <xdr:rowOff>0</xdr:rowOff>
    </xdr:from>
    <xdr:to>
      <xdr:col>9</xdr:col>
      <xdr:colOff>285377</xdr:colOff>
      <xdr:row>78</xdr:row>
      <xdr:rowOff>0</xdr:rowOff>
    </xdr:to>
    <xdr:pic>
      <xdr:nvPicPr>
        <xdr:cNvPr id="13" name="_x0000_s9242" descr=" 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5609590" y="5996940"/>
          <a:ext cx="276225" cy="0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9</xdr:col>
      <xdr:colOff>9321</xdr:colOff>
      <xdr:row>78</xdr:row>
      <xdr:rowOff>0</xdr:rowOff>
    </xdr:from>
    <xdr:to>
      <xdr:col>9</xdr:col>
      <xdr:colOff>285377</xdr:colOff>
      <xdr:row>78</xdr:row>
      <xdr:rowOff>0</xdr:rowOff>
    </xdr:to>
    <xdr:pic>
      <xdr:nvPicPr>
        <xdr:cNvPr id="14" name="_x0000_s9243" descr=" 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5609590" y="5996940"/>
          <a:ext cx="276225" cy="0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9</xdr:col>
      <xdr:colOff>9321</xdr:colOff>
      <xdr:row>78</xdr:row>
      <xdr:rowOff>0</xdr:rowOff>
    </xdr:from>
    <xdr:to>
      <xdr:col>9</xdr:col>
      <xdr:colOff>285377</xdr:colOff>
      <xdr:row>78</xdr:row>
      <xdr:rowOff>0</xdr:rowOff>
    </xdr:to>
    <xdr:pic>
      <xdr:nvPicPr>
        <xdr:cNvPr id="15" name="_x0000_s9244" descr=" 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5609590" y="5996940"/>
          <a:ext cx="276225" cy="0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9</xdr:col>
      <xdr:colOff>9321</xdr:colOff>
      <xdr:row>78</xdr:row>
      <xdr:rowOff>0</xdr:rowOff>
    </xdr:from>
    <xdr:to>
      <xdr:col>9</xdr:col>
      <xdr:colOff>285377</xdr:colOff>
      <xdr:row>78</xdr:row>
      <xdr:rowOff>0</xdr:rowOff>
    </xdr:to>
    <xdr:pic>
      <xdr:nvPicPr>
        <xdr:cNvPr id="16" name="_x0000_s9245" descr=" 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5609590" y="5996940"/>
          <a:ext cx="276225" cy="0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9</xdr:col>
      <xdr:colOff>9321</xdr:colOff>
      <xdr:row>78</xdr:row>
      <xdr:rowOff>0</xdr:rowOff>
    </xdr:from>
    <xdr:to>
      <xdr:col>9</xdr:col>
      <xdr:colOff>285377</xdr:colOff>
      <xdr:row>78</xdr:row>
      <xdr:rowOff>0</xdr:rowOff>
    </xdr:to>
    <xdr:pic>
      <xdr:nvPicPr>
        <xdr:cNvPr id="17" name="_x0000_s9246" descr=" 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5609590" y="5996940"/>
          <a:ext cx="276225" cy="0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9</xdr:col>
      <xdr:colOff>9321</xdr:colOff>
      <xdr:row>78</xdr:row>
      <xdr:rowOff>0</xdr:rowOff>
    </xdr:from>
    <xdr:to>
      <xdr:col>9</xdr:col>
      <xdr:colOff>285377</xdr:colOff>
      <xdr:row>78</xdr:row>
      <xdr:rowOff>0</xdr:rowOff>
    </xdr:to>
    <xdr:pic>
      <xdr:nvPicPr>
        <xdr:cNvPr id="18" name="_x0000_s9247" descr=" 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5609590" y="5996940"/>
          <a:ext cx="276225" cy="0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9</xdr:col>
      <xdr:colOff>9321</xdr:colOff>
      <xdr:row>78</xdr:row>
      <xdr:rowOff>0</xdr:rowOff>
    </xdr:from>
    <xdr:to>
      <xdr:col>9</xdr:col>
      <xdr:colOff>285377</xdr:colOff>
      <xdr:row>78</xdr:row>
      <xdr:rowOff>0</xdr:rowOff>
    </xdr:to>
    <xdr:pic>
      <xdr:nvPicPr>
        <xdr:cNvPr id="19" name="_x0000_s9248" descr=" 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5609590" y="5996940"/>
          <a:ext cx="276225" cy="0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9</xdr:col>
      <xdr:colOff>9321</xdr:colOff>
      <xdr:row>78</xdr:row>
      <xdr:rowOff>0</xdr:rowOff>
    </xdr:from>
    <xdr:to>
      <xdr:col>9</xdr:col>
      <xdr:colOff>285377</xdr:colOff>
      <xdr:row>78</xdr:row>
      <xdr:rowOff>0</xdr:rowOff>
    </xdr:to>
    <xdr:pic>
      <xdr:nvPicPr>
        <xdr:cNvPr id="20" name="_x0000_s9249" descr=" 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5609590" y="5996940"/>
          <a:ext cx="276225" cy="0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9</xdr:col>
      <xdr:colOff>9321</xdr:colOff>
      <xdr:row>78</xdr:row>
      <xdr:rowOff>0</xdr:rowOff>
    </xdr:from>
    <xdr:to>
      <xdr:col>9</xdr:col>
      <xdr:colOff>285377</xdr:colOff>
      <xdr:row>78</xdr:row>
      <xdr:rowOff>0</xdr:rowOff>
    </xdr:to>
    <xdr:pic>
      <xdr:nvPicPr>
        <xdr:cNvPr id="21" name="_x0000_s9250" descr=" 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5609590" y="5996940"/>
          <a:ext cx="276225" cy="0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9321</xdr:colOff>
      <xdr:row>83</xdr:row>
      <xdr:rowOff>0</xdr:rowOff>
    </xdr:from>
    <xdr:to>
      <xdr:col>9</xdr:col>
      <xdr:colOff>285377</xdr:colOff>
      <xdr:row>83</xdr:row>
      <xdr:rowOff>0</xdr:rowOff>
    </xdr:to>
    <xdr:pic>
      <xdr:nvPicPr>
        <xdr:cNvPr id="2" name="_x0000_s9235" descr=" ">
          <a:extLst>
            <a:ext uri="{FF2B5EF4-FFF2-40B4-BE49-F238E27FC236}">
              <a16:creationId xmlns:a16="http://schemas.microsoft.com/office/drawing/2014/main" id="{887A4A31-19E3-4052-9120-A48D5923606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6048171" y="14516100"/>
          <a:ext cx="276056" cy="0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9</xdr:col>
      <xdr:colOff>9321</xdr:colOff>
      <xdr:row>83</xdr:row>
      <xdr:rowOff>0</xdr:rowOff>
    </xdr:from>
    <xdr:to>
      <xdr:col>9</xdr:col>
      <xdr:colOff>285377</xdr:colOff>
      <xdr:row>83</xdr:row>
      <xdr:rowOff>0</xdr:rowOff>
    </xdr:to>
    <xdr:pic>
      <xdr:nvPicPr>
        <xdr:cNvPr id="3" name="_x0000_s9236" descr=" ">
          <a:extLst>
            <a:ext uri="{FF2B5EF4-FFF2-40B4-BE49-F238E27FC236}">
              <a16:creationId xmlns:a16="http://schemas.microsoft.com/office/drawing/2014/main" id="{DEC25DDB-BBDA-4C9E-A372-D36A654C3A85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6048171" y="14516100"/>
          <a:ext cx="276056" cy="0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9</xdr:col>
      <xdr:colOff>9321</xdr:colOff>
      <xdr:row>83</xdr:row>
      <xdr:rowOff>0</xdr:rowOff>
    </xdr:from>
    <xdr:to>
      <xdr:col>9</xdr:col>
      <xdr:colOff>285377</xdr:colOff>
      <xdr:row>83</xdr:row>
      <xdr:rowOff>0</xdr:rowOff>
    </xdr:to>
    <xdr:pic>
      <xdr:nvPicPr>
        <xdr:cNvPr id="4" name="_x0000_s9237" descr=" ">
          <a:extLst>
            <a:ext uri="{FF2B5EF4-FFF2-40B4-BE49-F238E27FC236}">
              <a16:creationId xmlns:a16="http://schemas.microsoft.com/office/drawing/2014/main" id="{DE6E8218-265F-40F7-832E-FEED8AAB76C6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6048171" y="14516100"/>
          <a:ext cx="276056" cy="0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9</xdr:col>
      <xdr:colOff>9321</xdr:colOff>
      <xdr:row>83</xdr:row>
      <xdr:rowOff>0</xdr:rowOff>
    </xdr:from>
    <xdr:to>
      <xdr:col>9</xdr:col>
      <xdr:colOff>285377</xdr:colOff>
      <xdr:row>83</xdr:row>
      <xdr:rowOff>0</xdr:rowOff>
    </xdr:to>
    <xdr:pic>
      <xdr:nvPicPr>
        <xdr:cNvPr id="5" name="_x0000_s9238" descr=" ">
          <a:extLst>
            <a:ext uri="{FF2B5EF4-FFF2-40B4-BE49-F238E27FC236}">
              <a16:creationId xmlns:a16="http://schemas.microsoft.com/office/drawing/2014/main" id="{B9D8B5D8-4836-40DE-930B-C7779983A8A1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6048171" y="14516100"/>
          <a:ext cx="276056" cy="0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9</xdr:col>
      <xdr:colOff>9321</xdr:colOff>
      <xdr:row>83</xdr:row>
      <xdr:rowOff>0</xdr:rowOff>
    </xdr:from>
    <xdr:to>
      <xdr:col>9</xdr:col>
      <xdr:colOff>285377</xdr:colOff>
      <xdr:row>83</xdr:row>
      <xdr:rowOff>0</xdr:rowOff>
    </xdr:to>
    <xdr:pic>
      <xdr:nvPicPr>
        <xdr:cNvPr id="6" name="_x0000_s9239" descr=" ">
          <a:extLst>
            <a:ext uri="{FF2B5EF4-FFF2-40B4-BE49-F238E27FC236}">
              <a16:creationId xmlns:a16="http://schemas.microsoft.com/office/drawing/2014/main" id="{96955E83-5AF3-4FBC-9670-C8B28E8C1FE5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6048171" y="14516100"/>
          <a:ext cx="276056" cy="0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9</xdr:col>
      <xdr:colOff>9321</xdr:colOff>
      <xdr:row>83</xdr:row>
      <xdr:rowOff>0</xdr:rowOff>
    </xdr:from>
    <xdr:to>
      <xdr:col>9</xdr:col>
      <xdr:colOff>285377</xdr:colOff>
      <xdr:row>83</xdr:row>
      <xdr:rowOff>0</xdr:rowOff>
    </xdr:to>
    <xdr:pic>
      <xdr:nvPicPr>
        <xdr:cNvPr id="7" name="_x0000_s9240" descr=" ">
          <a:extLst>
            <a:ext uri="{FF2B5EF4-FFF2-40B4-BE49-F238E27FC236}">
              <a16:creationId xmlns:a16="http://schemas.microsoft.com/office/drawing/2014/main" id="{C58F469A-FD42-4540-B1B1-7CA6DCE27662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6048171" y="14516100"/>
          <a:ext cx="276056" cy="0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9</xdr:col>
      <xdr:colOff>9321</xdr:colOff>
      <xdr:row>83</xdr:row>
      <xdr:rowOff>0</xdr:rowOff>
    </xdr:from>
    <xdr:to>
      <xdr:col>9</xdr:col>
      <xdr:colOff>285377</xdr:colOff>
      <xdr:row>83</xdr:row>
      <xdr:rowOff>0</xdr:rowOff>
    </xdr:to>
    <xdr:pic>
      <xdr:nvPicPr>
        <xdr:cNvPr id="8" name="_x0000_s9241" descr=" ">
          <a:extLst>
            <a:ext uri="{FF2B5EF4-FFF2-40B4-BE49-F238E27FC236}">
              <a16:creationId xmlns:a16="http://schemas.microsoft.com/office/drawing/2014/main" id="{59283B55-10F3-4C4D-9750-56CFA776E5D7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6048171" y="14516100"/>
          <a:ext cx="276056" cy="0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9</xdr:col>
      <xdr:colOff>9321</xdr:colOff>
      <xdr:row>83</xdr:row>
      <xdr:rowOff>0</xdr:rowOff>
    </xdr:from>
    <xdr:to>
      <xdr:col>9</xdr:col>
      <xdr:colOff>285377</xdr:colOff>
      <xdr:row>83</xdr:row>
      <xdr:rowOff>0</xdr:rowOff>
    </xdr:to>
    <xdr:pic>
      <xdr:nvPicPr>
        <xdr:cNvPr id="9" name="_x0000_s9242" descr=" ">
          <a:extLst>
            <a:ext uri="{FF2B5EF4-FFF2-40B4-BE49-F238E27FC236}">
              <a16:creationId xmlns:a16="http://schemas.microsoft.com/office/drawing/2014/main" id="{377C17FF-6918-4993-B783-41D9EBD75171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6048171" y="14516100"/>
          <a:ext cx="276056" cy="0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9</xdr:col>
      <xdr:colOff>9321</xdr:colOff>
      <xdr:row>83</xdr:row>
      <xdr:rowOff>0</xdr:rowOff>
    </xdr:from>
    <xdr:to>
      <xdr:col>9</xdr:col>
      <xdr:colOff>285377</xdr:colOff>
      <xdr:row>83</xdr:row>
      <xdr:rowOff>0</xdr:rowOff>
    </xdr:to>
    <xdr:pic>
      <xdr:nvPicPr>
        <xdr:cNvPr id="10" name="_x0000_s9243" descr=" ">
          <a:extLst>
            <a:ext uri="{FF2B5EF4-FFF2-40B4-BE49-F238E27FC236}">
              <a16:creationId xmlns:a16="http://schemas.microsoft.com/office/drawing/2014/main" id="{A7871CDB-5A91-4288-AD5A-00CECD77D49E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6048171" y="14516100"/>
          <a:ext cx="276056" cy="0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9</xdr:col>
      <xdr:colOff>9321</xdr:colOff>
      <xdr:row>83</xdr:row>
      <xdr:rowOff>0</xdr:rowOff>
    </xdr:from>
    <xdr:to>
      <xdr:col>9</xdr:col>
      <xdr:colOff>285377</xdr:colOff>
      <xdr:row>83</xdr:row>
      <xdr:rowOff>0</xdr:rowOff>
    </xdr:to>
    <xdr:pic>
      <xdr:nvPicPr>
        <xdr:cNvPr id="11" name="_x0000_s9244" descr=" ">
          <a:extLst>
            <a:ext uri="{FF2B5EF4-FFF2-40B4-BE49-F238E27FC236}">
              <a16:creationId xmlns:a16="http://schemas.microsoft.com/office/drawing/2014/main" id="{82847973-EC66-434C-AD66-D327C0042379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6048171" y="14516100"/>
          <a:ext cx="276056" cy="0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9</xdr:col>
      <xdr:colOff>9321</xdr:colOff>
      <xdr:row>83</xdr:row>
      <xdr:rowOff>0</xdr:rowOff>
    </xdr:from>
    <xdr:to>
      <xdr:col>9</xdr:col>
      <xdr:colOff>285377</xdr:colOff>
      <xdr:row>83</xdr:row>
      <xdr:rowOff>0</xdr:rowOff>
    </xdr:to>
    <xdr:pic>
      <xdr:nvPicPr>
        <xdr:cNvPr id="12" name="_x0000_s9245" descr=" ">
          <a:extLst>
            <a:ext uri="{FF2B5EF4-FFF2-40B4-BE49-F238E27FC236}">
              <a16:creationId xmlns:a16="http://schemas.microsoft.com/office/drawing/2014/main" id="{FBB4C47B-E67D-42A6-B065-EFD88CD4BF82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6048171" y="14516100"/>
          <a:ext cx="276056" cy="0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9</xdr:col>
      <xdr:colOff>9321</xdr:colOff>
      <xdr:row>83</xdr:row>
      <xdr:rowOff>0</xdr:rowOff>
    </xdr:from>
    <xdr:to>
      <xdr:col>9</xdr:col>
      <xdr:colOff>285377</xdr:colOff>
      <xdr:row>83</xdr:row>
      <xdr:rowOff>0</xdr:rowOff>
    </xdr:to>
    <xdr:pic>
      <xdr:nvPicPr>
        <xdr:cNvPr id="13" name="_x0000_s9246" descr=" ">
          <a:extLst>
            <a:ext uri="{FF2B5EF4-FFF2-40B4-BE49-F238E27FC236}">
              <a16:creationId xmlns:a16="http://schemas.microsoft.com/office/drawing/2014/main" id="{03A126AD-6C65-4A65-BF90-A798A6B4CC51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6048171" y="14516100"/>
          <a:ext cx="276056" cy="0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9</xdr:col>
      <xdr:colOff>9321</xdr:colOff>
      <xdr:row>83</xdr:row>
      <xdr:rowOff>0</xdr:rowOff>
    </xdr:from>
    <xdr:to>
      <xdr:col>9</xdr:col>
      <xdr:colOff>285377</xdr:colOff>
      <xdr:row>83</xdr:row>
      <xdr:rowOff>0</xdr:rowOff>
    </xdr:to>
    <xdr:pic>
      <xdr:nvPicPr>
        <xdr:cNvPr id="14" name="_x0000_s9247" descr=" ">
          <a:extLst>
            <a:ext uri="{FF2B5EF4-FFF2-40B4-BE49-F238E27FC236}">
              <a16:creationId xmlns:a16="http://schemas.microsoft.com/office/drawing/2014/main" id="{CFBF002C-0CE3-4B24-8033-0499888E538D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6048171" y="14516100"/>
          <a:ext cx="276056" cy="0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9</xdr:col>
      <xdr:colOff>9321</xdr:colOff>
      <xdr:row>83</xdr:row>
      <xdr:rowOff>0</xdr:rowOff>
    </xdr:from>
    <xdr:to>
      <xdr:col>9</xdr:col>
      <xdr:colOff>285377</xdr:colOff>
      <xdr:row>83</xdr:row>
      <xdr:rowOff>0</xdr:rowOff>
    </xdr:to>
    <xdr:pic>
      <xdr:nvPicPr>
        <xdr:cNvPr id="15" name="_x0000_s9248" descr=" ">
          <a:extLst>
            <a:ext uri="{FF2B5EF4-FFF2-40B4-BE49-F238E27FC236}">
              <a16:creationId xmlns:a16="http://schemas.microsoft.com/office/drawing/2014/main" id="{88D29F99-833D-4C5C-8A7F-90C54122F573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6048171" y="14516100"/>
          <a:ext cx="276056" cy="0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9</xdr:col>
      <xdr:colOff>9321</xdr:colOff>
      <xdr:row>83</xdr:row>
      <xdr:rowOff>0</xdr:rowOff>
    </xdr:from>
    <xdr:to>
      <xdr:col>9</xdr:col>
      <xdr:colOff>285377</xdr:colOff>
      <xdr:row>83</xdr:row>
      <xdr:rowOff>0</xdr:rowOff>
    </xdr:to>
    <xdr:pic>
      <xdr:nvPicPr>
        <xdr:cNvPr id="16" name="_x0000_s9249" descr=" ">
          <a:extLst>
            <a:ext uri="{FF2B5EF4-FFF2-40B4-BE49-F238E27FC236}">
              <a16:creationId xmlns:a16="http://schemas.microsoft.com/office/drawing/2014/main" id="{5721C553-E11B-4D56-A406-8D86EFA0D428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6048171" y="14516100"/>
          <a:ext cx="276056" cy="0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9</xdr:col>
      <xdr:colOff>9321</xdr:colOff>
      <xdr:row>83</xdr:row>
      <xdr:rowOff>0</xdr:rowOff>
    </xdr:from>
    <xdr:to>
      <xdr:col>9</xdr:col>
      <xdr:colOff>285377</xdr:colOff>
      <xdr:row>83</xdr:row>
      <xdr:rowOff>0</xdr:rowOff>
    </xdr:to>
    <xdr:pic>
      <xdr:nvPicPr>
        <xdr:cNvPr id="17" name="_x0000_s9250" descr=" ">
          <a:extLst>
            <a:ext uri="{FF2B5EF4-FFF2-40B4-BE49-F238E27FC236}">
              <a16:creationId xmlns:a16="http://schemas.microsoft.com/office/drawing/2014/main" id="{1052DCCF-F38F-4514-8AE5-20E7A89FB6F1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6048171" y="14516100"/>
          <a:ext cx="276056" cy="0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805180</xdr:colOff>
      <xdr:row>36</xdr:row>
      <xdr:rowOff>199243</xdr:rowOff>
    </xdr:from>
    <xdr:to>
      <xdr:col>10</xdr:col>
      <xdr:colOff>805180</xdr:colOff>
      <xdr:row>37</xdr:row>
      <xdr:rowOff>126578</xdr:rowOff>
    </xdr:to>
    <xdr:sp macro="" textlink="">
      <xdr:nvSpPr>
        <xdr:cNvPr id="12" name="rect">
          <a:extLst>
            <a:ext uri="{FF2B5EF4-FFF2-40B4-BE49-F238E27FC236}">
              <a16:creationId xmlns:a16="http://schemas.microsoft.com/office/drawing/2014/main" id="{A4318E93-0F92-44F7-9311-9A3EA2DC7E42}"/>
            </a:ext>
          </a:extLst>
        </xdr:cNvPr>
        <xdr:cNvSpPr/>
      </xdr:nvSpPr>
      <xdr:spPr>
        <a:xfrm>
          <a:off x="2834005" y="5123668"/>
          <a:ext cx="0" cy="127360"/>
        </a:xfrm>
        <a:prstGeom prst="rect">
          <a:avLst/>
        </a:prstGeom>
        <a:solidFill>
          <a:srgbClr val="FFFFFF"/>
        </a:solidFill>
        <a:ln>
          <a:noFill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471805</xdr:colOff>
      <xdr:row>37</xdr:row>
      <xdr:rowOff>113518</xdr:rowOff>
    </xdr:from>
    <xdr:to>
      <xdr:col>10</xdr:col>
      <xdr:colOff>471805</xdr:colOff>
      <xdr:row>37</xdr:row>
      <xdr:rowOff>240878</xdr:rowOff>
    </xdr:to>
    <xdr:sp macro="" textlink="">
      <xdr:nvSpPr>
        <xdr:cNvPr id="3" name="rect">
          <a:extLst>
            <a:ext uri="{FF2B5EF4-FFF2-40B4-BE49-F238E27FC236}">
              <a16:creationId xmlns:a16="http://schemas.microsoft.com/office/drawing/2014/main" id="{DD64BFA7-DD8A-48BA-A04B-370B63ECC75E}"/>
            </a:ext>
          </a:extLst>
        </xdr:cNvPr>
        <xdr:cNvSpPr/>
      </xdr:nvSpPr>
      <xdr:spPr>
        <a:xfrm>
          <a:off x="7472680" y="7628743"/>
          <a:ext cx="0" cy="127360"/>
        </a:xfrm>
        <a:prstGeom prst="rect">
          <a:avLst/>
        </a:prstGeom>
        <a:solidFill>
          <a:srgbClr val="FFFFFF"/>
        </a:solidFill>
        <a:ln>
          <a:noFill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10</xdr:col>
      <xdr:colOff>805180</xdr:colOff>
      <xdr:row>37</xdr:row>
      <xdr:rowOff>199243</xdr:rowOff>
    </xdr:from>
    <xdr:to>
      <xdr:col>10</xdr:col>
      <xdr:colOff>805180</xdr:colOff>
      <xdr:row>38</xdr:row>
      <xdr:rowOff>126578</xdr:rowOff>
    </xdr:to>
    <xdr:sp macro="" textlink="">
      <xdr:nvSpPr>
        <xdr:cNvPr id="4" name="rect">
          <a:extLst>
            <a:ext uri="{FF2B5EF4-FFF2-40B4-BE49-F238E27FC236}">
              <a16:creationId xmlns:a16="http://schemas.microsoft.com/office/drawing/2014/main" id="{2F435723-0CF2-4CD3-BF01-97FF9C8F869D}"/>
            </a:ext>
          </a:extLst>
        </xdr:cNvPr>
        <xdr:cNvSpPr/>
      </xdr:nvSpPr>
      <xdr:spPr>
        <a:xfrm>
          <a:off x="7266940" y="6996283"/>
          <a:ext cx="0" cy="125455"/>
        </a:xfrm>
        <a:prstGeom prst="rect">
          <a:avLst/>
        </a:prstGeom>
        <a:solidFill>
          <a:srgbClr val="FFFFFF"/>
        </a:solidFill>
        <a:ln>
          <a:noFill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10</xdr:col>
      <xdr:colOff>805180</xdr:colOff>
      <xdr:row>38</xdr:row>
      <xdr:rowOff>199243</xdr:rowOff>
    </xdr:from>
    <xdr:to>
      <xdr:col>10</xdr:col>
      <xdr:colOff>805180</xdr:colOff>
      <xdr:row>39</xdr:row>
      <xdr:rowOff>126578</xdr:rowOff>
    </xdr:to>
    <xdr:sp macro="" textlink="">
      <xdr:nvSpPr>
        <xdr:cNvPr id="5" name="rect">
          <a:extLst>
            <a:ext uri="{FF2B5EF4-FFF2-40B4-BE49-F238E27FC236}">
              <a16:creationId xmlns:a16="http://schemas.microsoft.com/office/drawing/2014/main" id="{C847F089-628E-4A59-A4D8-47A1A9D18DC6}"/>
            </a:ext>
          </a:extLst>
        </xdr:cNvPr>
        <xdr:cNvSpPr/>
      </xdr:nvSpPr>
      <xdr:spPr>
        <a:xfrm>
          <a:off x="7266940" y="6996283"/>
          <a:ext cx="0" cy="125455"/>
        </a:xfrm>
        <a:prstGeom prst="rect">
          <a:avLst/>
        </a:prstGeom>
        <a:solidFill>
          <a:srgbClr val="FFFFFF"/>
        </a:solidFill>
        <a:ln>
          <a:noFill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10</xdr:col>
      <xdr:colOff>805180</xdr:colOff>
      <xdr:row>39</xdr:row>
      <xdr:rowOff>199243</xdr:rowOff>
    </xdr:from>
    <xdr:to>
      <xdr:col>10</xdr:col>
      <xdr:colOff>805180</xdr:colOff>
      <xdr:row>40</xdr:row>
      <xdr:rowOff>126578</xdr:rowOff>
    </xdr:to>
    <xdr:sp macro="" textlink="">
      <xdr:nvSpPr>
        <xdr:cNvPr id="6" name="rect">
          <a:extLst>
            <a:ext uri="{FF2B5EF4-FFF2-40B4-BE49-F238E27FC236}">
              <a16:creationId xmlns:a16="http://schemas.microsoft.com/office/drawing/2014/main" id="{C9083708-D387-49F6-B262-B5A7EF9EA41A}"/>
            </a:ext>
          </a:extLst>
        </xdr:cNvPr>
        <xdr:cNvSpPr/>
      </xdr:nvSpPr>
      <xdr:spPr>
        <a:xfrm>
          <a:off x="7266940" y="7194403"/>
          <a:ext cx="0" cy="178795"/>
        </a:xfrm>
        <a:prstGeom prst="rect">
          <a:avLst/>
        </a:prstGeom>
        <a:solidFill>
          <a:srgbClr val="FFFFFF"/>
        </a:solidFill>
        <a:ln>
          <a:noFill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10</xdr:col>
      <xdr:colOff>805180</xdr:colOff>
      <xdr:row>39</xdr:row>
      <xdr:rowOff>199243</xdr:rowOff>
    </xdr:from>
    <xdr:to>
      <xdr:col>10</xdr:col>
      <xdr:colOff>805180</xdr:colOff>
      <xdr:row>40</xdr:row>
      <xdr:rowOff>126578</xdr:rowOff>
    </xdr:to>
    <xdr:sp macro="" textlink="">
      <xdr:nvSpPr>
        <xdr:cNvPr id="7" name="rect">
          <a:extLst>
            <a:ext uri="{FF2B5EF4-FFF2-40B4-BE49-F238E27FC236}">
              <a16:creationId xmlns:a16="http://schemas.microsoft.com/office/drawing/2014/main" id="{1A6196C0-8921-4F0A-9B06-EA2E725A5DFF}"/>
            </a:ext>
          </a:extLst>
        </xdr:cNvPr>
        <xdr:cNvSpPr/>
      </xdr:nvSpPr>
      <xdr:spPr>
        <a:xfrm>
          <a:off x="7266940" y="6996283"/>
          <a:ext cx="0" cy="125455"/>
        </a:xfrm>
        <a:prstGeom prst="rect">
          <a:avLst/>
        </a:prstGeom>
        <a:solidFill>
          <a:srgbClr val="FFFFFF"/>
        </a:solidFill>
        <a:ln>
          <a:noFill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10</xdr:col>
      <xdr:colOff>805180</xdr:colOff>
      <xdr:row>40</xdr:row>
      <xdr:rowOff>199243</xdr:rowOff>
    </xdr:from>
    <xdr:to>
      <xdr:col>10</xdr:col>
      <xdr:colOff>805180</xdr:colOff>
      <xdr:row>41</xdr:row>
      <xdr:rowOff>126578</xdr:rowOff>
    </xdr:to>
    <xdr:sp macro="" textlink="">
      <xdr:nvSpPr>
        <xdr:cNvPr id="8" name="rect">
          <a:extLst>
            <a:ext uri="{FF2B5EF4-FFF2-40B4-BE49-F238E27FC236}">
              <a16:creationId xmlns:a16="http://schemas.microsoft.com/office/drawing/2014/main" id="{EAAFBAF2-B7EE-4387-BA49-2DBBF5760279}"/>
            </a:ext>
          </a:extLst>
        </xdr:cNvPr>
        <xdr:cNvSpPr/>
      </xdr:nvSpPr>
      <xdr:spPr>
        <a:xfrm>
          <a:off x="7266940" y="7194403"/>
          <a:ext cx="0" cy="178795"/>
        </a:xfrm>
        <a:prstGeom prst="rect">
          <a:avLst/>
        </a:prstGeom>
        <a:solidFill>
          <a:srgbClr val="FFFFFF"/>
        </a:solidFill>
        <a:ln>
          <a:noFill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805180</xdr:colOff>
      <xdr:row>37</xdr:row>
      <xdr:rowOff>199243</xdr:rowOff>
    </xdr:from>
    <xdr:to>
      <xdr:col>11</xdr:col>
      <xdr:colOff>805180</xdr:colOff>
      <xdr:row>38</xdr:row>
      <xdr:rowOff>126578</xdr:rowOff>
    </xdr:to>
    <xdr:sp macro="" textlink="">
      <xdr:nvSpPr>
        <xdr:cNvPr id="3" name="rect">
          <a:extLst>
            <a:ext uri="{FF2B5EF4-FFF2-40B4-BE49-F238E27FC236}">
              <a16:creationId xmlns:a16="http://schemas.microsoft.com/office/drawing/2014/main" id="{452A1C2C-0673-40DF-8384-0106CF0201EA}"/>
            </a:ext>
          </a:extLst>
        </xdr:cNvPr>
        <xdr:cNvSpPr/>
      </xdr:nvSpPr>
      <xdr:spPr>
        <a:xfrm>
          <a:off x="8215630" y="7666843"/>
          <a:ext cx="0" cy="181335"/>
        </a:xfrm>
        <a:prstGeom prst="rect">
          <a:avLst/>
        </a:prstGeom>
        <a:solidFill>
          <a:srgbClr val="FFFFFF"/>
        </a:solidFill>
        <a:ln>
          <a:noFill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11</xdr:col>
      <xdr:colOff>805180</xdr:colOff>
      <xdr:row>39</xdr:row>
      <xdr:rowOff>199243</xdr:rowOff>
    </xdr:from>
    <xdr:to>
      <xdr:col>11</xdr:col>
      <xdr:colOff>805180</xdr:colOff>
      <xdr:row>40</xdr:row>
      <xdr:rowOff>126578</xdr:rowOff>
    </xdr:to>
    <xdr:sp macro="" textlink="">
      <xdr:nvSpPr>
        <xdr:cNvPr id="5" name="rect">
          <a:extLst>
            <a:ext uri="{FF2B5EF4-FFF2-40B4-BE49-F238E27FC236}">
              <a16:creationId xmlns:a16="http://schemas.microsoft.com/office/drawing/2014/main" id="{C8DC9A63-4D1C-47D9-9585-B3DBF8B6AED2}"/>
            </a:ext>
          </a:extLst>
        </xdr:cNvPr>
        <xdr:cNvSpPr/>
      </xdr:nvSpPr>
      <xdr:spPr>
        <a:xfrm>
          <a:off x="8215630" y="8174843"/>
          <a:ext cx="0" cy="181335"/>
        </a:xfrm>
        <a:prstGeom prst="rect">
          <a:avLst/>
        </a:prstGeom>
        <a:solidFill>
          <a:srgbClr val="FFFFFF"/>
        </a:solidFill>
        <a:ln>
          <a:noFill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11</xdr:col>
      <xdr:colOff>805180</xdr:colOff>
      <xdr:row>39</xdr:row>
      <xdr:rowOff>199243</xdr:rowOff>
    </xdr:from>
    <xdr:to>
      <xdr:col>11</xdr:col>
      <xdr:colOff>805180</xdr:colOff>
      <xdr:row>40</xdr:row>
      <xdr:rowOff>126578</xdr:rowOff>
    </xdr:to>
    <xdr:sp macro="" textlink="">
      <xdr:nvSpPr>
        <xdr:cNvPr id="6" name="rect">
          <a:extLst>
            <a:ext uri="{FF2B5EF4-FFF2-40B4-BE49-F238E27FC236}">
              <a16:creationId xmlns:a16="http://schemas.microsoft.com/office/drawing/2014/main" id="{7F12FA63-C2AE-4958-826B-A9FF9FE7E417}"/>
            </a:ext>
          </a:extLst>
        </xdr:cNvPr>
        <xdr:cNvSpPr/>
      </xdr:nvSpPr>
      <xdr:spPr>
        <a:xfrm>
          <a:off x="8215630" y="8174843"/>
          <a:ext cx="0" cy="181335"/>
        </a:xfrm>
        <a:prstGeom prst="rect">
          <a:avLst/>
        </a:prstGeom>
        <a:solidFill>
          <a:srgbClr val="FFFFFF"/>
        </a:solidFill>
        <a:ln>
          <a:noFill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11</xdr:col>
      <xdr:colOff>805180</xdr:colOff>
      <xdr:row>40</xdr:row>
      <xdr:rowOff>199243</xdr:rowOff>
    </xdr:from>
    <xdr:to>
      <xdr:col>11</xdr:col>
      <xdr:colOff>805180</xdr:colOff>
      <xdr:row>41</xdr:row>
      <xdr:rowOff>126578</xdr:rowOff>
    </xdr:to>
    <xdr:sp macro="" textlink="">
      <xdr:nvSpPr>
        <xdr:cNvPr id="7" name="rect">
          <a:extLst>
            <a:ext uri="{FF2B5EF4-FFF2-40B4-BE49-F238E27FC236}">
              <a16:creationId xmlns:a16="http://schemas.microsoft.com/office/drawing/2014/main" id="{7D3F0C64-364C-448F-87CB-01609A5A617C}"/>
            </a:ext>
          </a:extLst>
        </xdr:cNvPr>
        <xdr:cNvSpPr/>
      </xdr:nvSpPr>
      <xdr:spPr>
        <a:xfrm>
          <a:off x="8215630" y="8428843"/>
          <a:ext cx="0" cy="168635"/>
        </a:xfrm>
        <a:prstGeom prst="rect">
          <a:avLst/>
        </a:prstGeom>
        <a:solidFill>
          <a:srgbClr val="FFFFFF"/>
        </a:solidFill>
        <a:ln>
          <a:noFill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Z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mbar Kerja"/>
      <sheetName val="Riwayat Revisi"/>
      <sheetName val="ID"/>
      <sheetName val="UB"/>
      <sheetName val="Penyelia"/>
      <sheetName val="LH"/>
      <sheetName val="SERTIFIKAT"/>
      <sheetName val="FORECAST"/>
      <sheetName val="DATA SERTIFIKAT PS320"/>
      <sheetName val="DB Suhu"/>
      <sheetName val="DB ESA"/>
      <sheetName val="Cetik cetik"/>
      <sheetName val="kesimpulan"/>
    </sheetNames>
    <sheetDataSet>
      <sheetData sheetId="0" refreshError="1"/>
      <sheetData sheetId="1" refreshError="1"/>
      <sheetData sheetId="2" refreshError="1">
        <row r="2">
          <cell r="I2" t="str">
            <v>1 / IV - 21 / E - 00.000 DL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9" tint="0.79998168889431442"/>
  </sheetPr>
  <dimension ref="A1:IW134"/>
  <sheetViews>
    <sheetView showGridLines="0" view="pageBreakPreview" zoomScaleNormal="117" zoomScaleSheetLayoutView="100" workbookViewId="0">
      <selection activeCell="B25" sqref="B25:B26"/>
    </sheetView>
  </sheetViews>
  <sheetFormatPr defaultColWidth="9" defaultRowHeight="15"/>
  <cols>
    <col min="1" max="1" width="4.21875" style="4" customWidth="1"/>
    <col min="2" max="2" width="11" style="68" customWidth="1"/>
    <col min="3" max="3" width="14.5546875" style="68" customWidth="1"/>
    <col min="4" max="4" width="10.5546875" style="68" customWidth="1"/>
    <col min="5" max="14" width="9.77734375" style="68" customWidth="1"/>
    <col min="15" max="257" width="9.21875" style="68" customWidth="1"/>
    <col min="258" max="16384" width="9" style="4"/>
  </cols>
  <sheetData>
    <row r="1" spans="1:15" ht="19.5" customHeight="1">
      <c r="A1" s="677" t="s">
        <v>0</v>
      </c>
      <c r="B1" s="677"/>
      <c r="C1" s="677"/>
      <c r="D1" s="677"/>
      <c r="E1" s="677"/>
      <c r="F1" s="677"/>
      <c r="G1" s="677"/>
      <c r="H1" s="677"/>
      <c r="I1" s="677"/>
      <c r="J1" s="677"/>
      <c r="K1" s="677"/>
      <c r="L1" s="677"/>
      <c r="M1" s="677"/>
      <c r="N1" s="36"/>
      <c r="O1" s="36"/>
    </row>
    <row r="2" spans="1:15" ht="18.75" customHeight="1">
      <c r="A2" s="685" t="s">
        <v>1</v>
      </c>
      <c r="B2" s="685"/>
      <c r="C2" s="685"/>
      <c r="D2" s="685"/>
      <c r="E2" s="685"/>
      <c r="F2" s="685"/>
      <c r="G2" s="685"/>
      <c r="H2" s="685"/>
      <c r="I2" s="685"/>
      <c r="J2" s="685"/>
      <c r="K2" s="685"/>
      <c r="L2" s="685"/>
      <c r="M2" s="685"/>
      <c r="N2" s="38"/>
      <c r="O2" s="38"/>
    </row>
    <row r="3" spans="1:15" ht="18.75" customHeight="1">
      <c r="B3" s="27"/>
      <c r="C3" s="27"/>
      <c r="D3" s="27"/>
      <c r="E3" s="27"/>
      <c r="F3" s="27"/>
      <c r="G3" s="27"/>
      <c r="H3" s="27"/>
      <c r="I3" s="27"/>
      <c r="J3" s="27"/>
    </row>
    <row r="4" spans="1:15" ht="15.75" customHeight="1">
      <c r="B4" s="69" t="s">
        <v>2</v>
      </c>
      <c r="D4" s="70" t="s">
        <v>3</v>
      </c>
      <c r="E4" s="71"/>
      <c r="F4" s="71"/>
      <c r="G4" s="72"/>
      <c r="H4" s="73"/>
      <c r="I4" s="71"/>
    </row>
    <row r="5" spans="1:15" ht="15.75" customHeight="1">
      <c r="B5" s="38" t="s">
        <v>4</v>
      </c>
      <c r="D5" s="5" t="s">
        <v>3</v>
      </c>
      <c r="E5" s="74"/>
      <c r="F5" s="74"/>
      <c r="G5" s="75"/>
      <c r="H5" s="76"/>
      <c r="I5" s="74"/>
    </row>
    <row r="6" spans="1:15" ht="15.75" customHeight="1">
      <c r="B6" s="38" t="s">
        <v>5</v>
      </c>
      <c r="D6" s="5" t="s">
        <v>3</v>
      </c>
      <c r="E6" s="74"/>
      <c r="F6" s="74"/>
      <c r="G6" s="77"/>
      <c r="H6" s="78"/>
      <c r="I6" s="74"/>
    </row>
    <row r="7" spans="1:15" ht="15.75" customHeight="1">
      <c r="B7" s="38" t="s">
        <v>6</v>
      </c>
      <c r="C7" s="68" t="s">
        <v>7</v>
      </c>
      <c r="D7" s="5" t="s">
        <v>3</v>
      </c>
      <c r="E7" s="74" t="s">
        <v>8</v>
      </c>
      <c r="F7" s="75"/>
      <c r="G7" s="75"/>
      <c r="H7" s="76"/>
      <c r="I7" s="74"/>
    </row>
    <row r="8" spans="1:15" ht="15.75" customHeight="1">
      <c r="B8" s="38"/>
      <c r="C8" s="68" t="s">
        <v>9</v>
      </c>
      <c r="D8" s="5"/>
      <c r="E8" s="74" t="s">
        <v>10</v>
      </c>
      <c r="F8" s="75"/>
      <c r="G8" s="75"/>
      <c r="H8" s="76"/>
      <c r="I8" s="74"/>
    </row>
    <row r="9" spans="1:15" ht="15.75" customHeight="1">
      <c r="B9" s="38" t="s">
        <v>11</v>
      </c>
      <c r="D9" s="5" t="s">
        <v>3</v>
      </c>
      <c r="E9" s="74"/>
      <c r="F9" s="75"/>
      <c r="G9" s="75"/>
      <c r="H9" s="76"/>
      <c r="I9" s="74"/>
    </row>
    <row r="10" spans="1:15" ht="15.75" customHeight="1">
      <c r="B10" s="69" t="s">
        <v>12</v>
      </c>
      <c r="D10" s="5" t="s">
        <v>3</v>
      </c>
      <c r="E10" s="74"/>
      <c r="F10" s="75"/>
      <c r="G10" s="75"/>
      <c r="H10" s="76"/>
      <c r="I10" s="74"/>
    </row>
    <row r="11" spans="1:15" ht="15.75" customHeight="1">
      <c r="B11" s="69" t="s">
        <v>13</v>
      </c>
      <c r="D11" s="5" t="s">
        <v>3</v>
      </c>
      <c r="E11" s="74"/>
      <c r="F11" s="75"/>
      <c r="G11" s="75"/>
      <c r="H11" s="76"/>
      <c r="I11" s="74"/>
    </row>
    <row r="12" spans="1:15" ht="15.75" customHeight="1">
      <c r="B12" s="38" t="s">
        <v>14</v>
      </c>
      <c r="D12" s="5" t="s">
        <v>3</v>
      </c>
      <c r="E12" s="93"/>
      <c r="F12" s="149"/>
      <c r="G12" s="149"/>
      <c r="H12" s="150"/>
      <c r="I12" s="93"/>
    </row>
    <row r="13" spans="1:15" ht="15.75" customHeight="1">
      <c r="B13" s="38" t="s">
        <v>15</v>
      </c>
      <c r="D13" s="5" t="s">
        <v>3</v>
      </c>
      <c r="E13" s="93" t="s">
        <v>16</v>
      </c>
      <c r="F13" s="149"/>
      <c r="G13" s="149"/>
      <c r="H13" s="150"/>
      <c r="I13" s="93"/>
    </row>
    <row r="14" spans="1:15" ht="14.25" customHeight="1" thickBot="1">
      <c r="B14" s="69"/>
      <c r="C14" s="69"/>
      <c r="D14" s="70"/>
      <c r="E14" s="69"/>
      <c r="F14" s="69"/>
      <c r="G14" s="69"/>
      <c r="H14" s="69"/>
      <c r="I14" s="69"/>
      <c r="J14" s="79"/>
    </row>
    <row r="15" spans="1:15" ht="15.75" customHeight="1" thickBot="1">
      <c r="A15" s="143" t="s">
        <v>17</v>
      </c>
      <c r="B15" s="80" t="s">
        <v>18</v>
      </c>
      <c r="C15" s="80"/>
      <c r="D15" s="81"/>
      <c r="E15" s="82" t="s">
        <v>19</v>
      </c>
      <c r="F15" s="83" t="s">
        <v>20</v>
      </c>
      <c r="G15" s="69"/>
      <c r="H15" s="69"/>
      <c r="I15" s="69"/>
      <c r="J15" s="1"/>
    </row>
    <row r="16" spans="1:15" ht="18" customHeight="1">
      <c r="A16" s="143"/>
      <c r="B16" s="66" t="s">
        <v>21</v>
      </c>
      <c r="D16" s="81" t="s">
        <v>3</v>
      </c>
      <c r="E16" s="84"/>
      <c r="F16" s="85"/>
      <c r="G16" s="86" t="s">
        <v>22</v>
      </c>
      <c r="J16" s="87"/>
    </row>
    <row r="17" spans="1:16" ht="16.5" customHeight="1" thickBot="1">
      <c r="A17" s="143"/>
      <c r="B17" s="88" t="s">
        <v>23</v>
      </c>
      <c r="D17" s="81" t="s">
        <v>3</v>
      </c>
      <c r="E17" s="89"/>
      <c r="F17" s="90"/>
      <c r="G17" s="69" t="s">
        <v>24</v>
      </c>
      <c r="J17" s="87"/>
    </row>
    <row r="18" spans="1:16" ht="7.5" customHeight="1">
      <c r="A18" s="143"/>
      <c r="B18" s="91"/>
      <c r="C18" s="91"/>
      <c r="D18" s="91"/>
      <c r="E18" s="69"/>
      <c r="J18" s="92"/>
    </row>
    <row r="19" spans="1:16" ht="19.5" customHeight="1">
      <c r="A19" s="143" t="s">
        <v>25</v>
      </c>
      <c r="B19" s="91" t="s">
        <v>26</v>
      </c>
      <c r="G19" s="92"/>
      <c r="I19" s="79"/>
    </row>
    <row r="20" spans="1:16" ht="21" customHeight="1">
      <c r="A20" s="143"/>
      <c r="B20" s="68" t="s">
        <v>27</v>
      </c>
      <c r="E20" s="68" t="s">
        <v>28</v>
      </c>
      <c r="L20" s="142"/>
    </row>
    <row r="21" spans="1:16" ht="15.75" customHeight="1">
      <c r="A21" s="143"/>
      <c r="B21" s="68" t="s">
        <v>29</v>
      </c>
      <c r="C21" s="4"/>
      <c r="D21" s="4"/>
      <c r="E21" s="68" t="s">
        <v>28</v>
      </c>
      <c r="F21" s="4"/>
      <c r="G21" s="4"/>
      <c r="H21" s="687" t="s">
        <v>30</v>
      </c>
      <c r="I21" s="687"/>
      <c r="J21" s="687"/>
      <c r="K21" s="687"/>
      <c r="L21" s="142"/>
      <c r="M21" s="4"/>
      <c r="N21" s="4"/>
      <c r="O21" s="4"/>
      <c r="P21" s="4"/>
    </row>
    <row r="22" spans="1:16" ht="12" customHeight="1">
      <c r="A22" s="143"/>
      <c r="F22" s="142"/>
      <c r="G22" s="142"/>
      <c r="H22" s="142"/>
      <c r="I22" s="142"/>
      <c r="J22" s="142"/>
    </row>
    <row r="23" spans="1:16" ht="20.100000000000001" customHeight="1">
      <c r="A23" s="143" t="s">
        <v>31</v>
      </c>
      <c r="B23" s="91" t="s">
        <v>32</v>
      </c>
      <c r="K23" s="94"/>
      <c r="L23" s="94"/>
    </row>
    <row r="24" spans="1:16" ht="20.100000000000001" customHeight="1">
      <c r="B24" s="91" t="s">
        <v>33</v>
      </c>
      <c r="K24" s="94"/>
      <c r="L24" s="94"/>
    </row>
    <row r="25" spans="1:16" s="68" customFormat="1" ht="31.5" customHeight="1">
      <c r="A25" s="678" t="s">
        <v>34</v>
      </c>
      <c r="B25" s="680" t="s">
        <v>35</v>
      </c>
      <c r="C25" s="682" t="s">
        <v>36</v>
      </c>
      <c r="D25" s="683"/>
      <c r="E25" s="683"/>
      <c r="F25" s="683"/>
      <c r="G25" s="683"/>
      <c r="H25" s="683"/>
      <c r="I25" s="684"/>
      <c r="J25" s="672"/>
      <c r="K25" s="672"/>
      <c r="L25" s="672"/>
      <c r="M25" s="151"/>
    </row>
    <row r="26" spans="1:16" s="68" customFormat="1" ht="31.5" customHeight="1">
      <c r="A26" s="679"/>
      <c r="B26" s="681"/>
      <c r="C26" s="140" t="s">
        <v>37</v>
      </c>
      <c r="D26" s="140">
        <v>1</v>
      </c>
      <c r="E26" s="106">
        <v>2</v>
      </c>
      <c r="F26" s="140">
        <v>3</v>
      </c>
      <c r="G26" s="106">
        <v>4</v>
      </c>
      <c r="H26" s="140">
        <v>5</v>
      </c>
      <c r="I26" s="140">
        <v>6</v>
      </c>
      <c r="J26" s="672"/>
      <c r="K26" s="672"/>
      <c r="L26" s="672"/>
      <c r="M26" s="151"/>
    </row>
    <row r="27" spans="1:16" s="68" customFormat="1" ht="33" customHeight="1">
      <c r="A27" s="106">
        <v>1</v>
      </c>
      <c r="B27" s="678"/>
      <c r="C27" s="140" t="s">
        <v>38</v>
      </c>
      <c r="D27" s="140"/>
      <c r="E27" s="140"/>
      <c r="F27" s="140"/>
      <c r="G27" s="106"/>
      <c r="H27" s="140"/>
      <c r="I27" s="152"/>
      <c r="J27" s="151"/>
      <c r="K27" s="151"/>
      <c r="L27" s="9"/>
      <c r="M27" s="4"/>
    </row>
    <row r="28" spans="1:16" s="68" customFormat="1" ht="33" customHeight="1">
      <c r="A28" s="106">
        <v>2</v>
      </c>
      <c r="B28" s="679"/>
      <c r="C28" s="140" t="s">
        <v>39</v>
      </c>
      <c r="D28" s="106"/>
      <c r="E28" s="106"/>
      <c r="F28" s="106"/>
      <c r="G28" s="106"/>
      <c r="H28" s="106"/>
      <c r="I28" s="153"/>
      <c r="J28" s="4"/>
      <c r="K28" s="4"/>
      <c r="L28" s="9"/>
    </row>
    <row r="29" spans="1:16" s="68" customFormat="1" ht="33" customHeight="1">
      <c r="A29" s="49"/>
      <c r="B29" s="49"/>
      <c r="C29" s="155"/>
      <c r="D29" s="49"/>
      <c r="E29" s="49"/>
      <c r="F29" s="49"/>
      <c r="G29" s="49"/>
      <c r="H29" s="49"/>
      <c r="I29" s="199"/>
      <c r="J29" s="4"/>
      <c r="K29" s="4"/>
      <c r="L29" s="9"/>
    </row>
    <row r="30" spans="1:16" s="68" customFormat="1" ht="31.5" customHeight="1">
      <c r="A30" s="678" t="s">
        <v>34</v>
      </c>
      <c r="B30" s="680" t="s">
        <v>35</v>
      </c>
      <c r="C30" s="682" t="s">
        <v>36</v>
      </c>
      <c r="D30" s="683"/>
      <c r="E30" s="683"/>
      <c r="F30" s="683"/>
      <c r="G30" s="683"/>
      <c r="H30" s="683"/>
      <c r="I30" s="684"/>
      <c r="J30" s="672"/>
      <c r="K30" s="672"/>
      <c r="L30" s="672"/>
      <c r="M30" s="151"/>
    </row>
    <row r="31" spans="1:16" s="68" customFormat="1" ht="31.5" customHeight="1">
      <c r="A31" s="679"/>
      <c r="B31" s="681"/>
      <c r="C31" s="140" t="s">
        <v>37</v>
      </c>
      <c r="D31" s="140">
        <v>1</v>
      </c>
      <c r="E31" s="106">
        <v>2</v>
      </c>
      <c r="F31" s="140">
        <v>3</v>
      </c>
      <c r="G31" s="106">
        <v>4</v>
      </c>
      <c r="H31" s="140">
        <v>5</v>
      </c>
      <c r="I31" s="140">
        <v>6</v>
      </c>
      <c r="J31" s="672"/>
      <c r="K31" s="672"/>
      <c r="L31" s="672"/>
      <c r="M31" s="151"/>
    </row>
    <row r="32" spans="1:16" s="68" customFormat="1" ht="33" customHeight="1">
      <c r="A32" s="106">
        <v>1</v>
      </c>
      <c r="B32" s="678"/>
      <c r="C32" s="140" t="s">
        <v>38</v>
      </c>
      <c r="D32" s="140"/>
      <c r="E32" s="140"/>
      <c r="F32" s="140"/>
      <c r="G32" s="106"/>
      <c r="H32" s="140"/>
      <c r="I32" s="152"/>
      <c r="J32" s="151"/>
      <c r="K32" s="151"/>
      <c r="L32" s="9"/>
      <c r="M32" s="4"/>
    </row>
    <row r="33" spans="1:13" s="68" customFormat="1" ht="33" customHeight="1">
      <c r="A33" s="106">
        <v>2</v>
      </c>
      <c r="B33" s="679"/>
      <c r="C33" s="140" t="s">
        <v>39</v>
      </c>
      <c r="D33" s="106"/>
      <c r="E33" s="106"/>
      <c r="F33" s="106"/>
      <c r="G33" s="106"/>
      <c r="H33" s="106"/>
      <c r="I33" s="153"/>
      <c r="J33" s="4"/>
      <c r="K33" s="4"/>
      <c r="L33" s="9"/>
    </row>
    <row r="34" spans="1:13" ht="20.100000000000001" customHeight="1">
      <c r="B34" s="91"/>
      <c r="K34" s="94"/>
      <c r="L34" s="94"/>
    </row>
    <row r="35" spans="1:13" s="68" customFormat="1" ht="31.5" customHeight="1">
      <c r="A35" s="678" t="s">
        <v>34</v>
      </c>
      <c r="B35" s="680" t="s">
        <v>35</v>
      </c>
      <c r="C35" s="682" t="s">
        <v>36</v>
      </c>
      <c r="D35" s="683"/>
      <c r="E35" s="683"/>
      <c r="F35" s="683"/>
      <c r="G35" s="683"/>
      <c r="H35" s="683"/>
      <c r="I35" s="684"/>
      <c r="J35" s="672"/>
      <c r="K35" s="672"/>
      <c r="L35" s="672"/>
      <c r="M35" s="151"/>
    </row>
    <row r="36" spans="1:13" s="68" customFormat="1" ht="31.5" customHeight="1">
      <c r="A36" s="679"/>
      <c r="B36" s="681"/>
      <c r="C36" s="140" t="s">
        <v>37</v>
      </c>
      <c r="D36" s="140">
        <v>1</v>
      </c>
      <c r="E36" s="106">
        <v>2</v>
      </c>
      <c r="F36" s="140">
        <v>3</v>
      </c>
      <c r="G36" s="106">
        <v>4</v>
      </c>
      <c r="H36" s="140">
        <v>5</v>
      </c>
      <c r="I36" s="140">
        <v>6</v>
      </c>
      <c r="J36" s="672"/>
      <c r="K36" s="672"/>
      <c r="L36" s="672"/>
      <c r="M36" s="151"/>
    </row>
    <row r="37" spans="1:13" s="68" customFormat="1" ht="33" customHeight="1">
      <c r="A37" s="106">
        <v>1</v>
      </c>
      <c r="B37" s="678"/>
      <c r="C37" s="140" t="s">
        <v>38</v>
      </c>
      <c r="D37" s="140"/>
      <c r="E37" s="140"/>
      <c r="F37" s="140"/>
      <c r="G37" s="106"/>
      <c r="H37" s="140"/>
      <c r="I37" s="152"/>
      <c r="J37" s="151"/>
      <c r="K37" s="151"/>
      <c r="L37" s="9"/>
      <c r="M37" s="4"/>
    </row>
    <row r="38" spans="1:13" s="68" customFormat="1" ht="33" customHeight="1">
      <c r="A38" s="106">
        <v>2</v>
      </c>
      <c r="B38" s="679"/>
      <c r="C38" s="140" t="s">
        <v>39</v>
      </c>
      <c r="D38" s="106"/>
      <c r="E38" s="106"/>
      <c r="F38" s="106"/>
      <c r="G38" s="106"/>
      <c r="H38" s="106"/>
      <c r="I38" s="153"/>
      <c r="J38" s="4"/>
      <c r="K38" s="4"/>
      <c r="L38" s="9"/>
    </row>
    <row r="39" spans="1:13" ht="20.100000000000001" customHeight="1">
      <c r="B39" s="91"/>
      <c r="K39" s="94"/>
      <c r="L39" s="94"/>
    </row>
    <row r="40" spans="1:13" s="68" customFormat="1" ht="31.5" customHeight="1">
      <c r="A40" s="678" t="s">
        <v>34</v>
      </c>
      <c r="B40" s="680" t="s">
        <v>35</v>
      </c>
      <c r="C40" s="682" t="s">
        <v>36</v>
      </c>
      <c r="D40" s="683"/>
      <c r="E40" s="683"/>
      <c r="F40" s="683"/>
      <c r="G40" s="683"/>
      <c r="H40" s="683"/>
      <c r="I40" s="684"/>
      <c r="J40" s="672"/>
      <c r="K40" s="672"/>
      <c r="L40" s="672"/>
      <c r="M40" s="151"/>
    </row>
    <row r="41" spans="1:13" s="68" customFormat="1" ht="31.5" customHeight="1">
      <c r="A41" s="679"/>
      <c r="B41" s="681"/>
      <c r="C41" s="140" t="s">
        <v>37</v>
      </c>
      <c r="D41" s="140">
        <v>1</v>
      </c>
      <c r="E41" s="106">
        <v>2</v>
      </c>
      <c r="F41" s="140">
        <v>3</v>
      </c>
      <c r="G41" s="106">
        <v>4</v>
      </c>
      <c r="H41" s="140">
        <v>5</v>
      </c>
      <c r="I41" s="140">
        <v>6</v>
      </c>
      <c r="J41" s="672"/>
      <c r="K41" s="672"/>
      <c r="L41" s="672"/>
      <c r="M41" s="151"/>
    </row>
    <row r="42" spans="1:13" s="68" customFormat="1" ht="33" customHeight="1">
      <c r="A42" s="106">
        <v>1</v>
      </c>
      <c r="B42" s="678"/>
      <c r="C42" s="140" t="s">
        <v>38</v>
      </c>
      <c r="D42" s="140"/>
      <c r="E42" s="140"/>
      <c r="F42" s="140"/>
      <c r="G42" s="106"/>
      <c r="H42" s="140"/>
      <c r="I42" s="152"/>
      <c r="J42" s="151"/>
      <c r="K42" s="151"/>
      <c r="L42" s="9"/>
      <c r="M42" s="4"/>
    </row>
    <row r="43" spans="1:13" s="68" customFormat="1" ht="33" customHeight="1">
      <c r="A43" s="106">
        <v>2</v>
      </c>
      <c r="B43" s="679"/>
      <c r="C43" s="140" t="s">
        <v>39</v>
      </c>
      <c r="D43" s="106"/>
      <c r="E43" s="106"/>
      <c r="F43" s="106"/>
      <c r="G43" s="106"/>
      <c r="H43" s="106"/>
      <c r="I43" s="153"/>
      <c r="J43" s="4"/>
      <c r="K43" s="4"/>
      <c r="L43" s="9"/>
    </row>
    <row r="44" spans="1:13" s="68" customFormat="1" ht="33" customHeight="1">
      <c r="A44" s="49"/>
      <c r="B44" s="49"/>
      <c r="C44" s="155"/>
      <c r="D44" s="49"/>
      <c r="E44" s="49"/>
      <c r="F44" s="49"/>
      <c r="G44" s="49"/>
      <c r="H44" s="49"/>
      <c r="I44" s="199"/>
      <c r="J44" s="4"/>
      <c r="K44" s="4"/>
      <c r="L44" s="9"/>
    </row>
    <row r="45" spans="1:13" s="68" customFormat="1" ht="33" customHeight="1">
      <c r="A45" s="49"/>
      <c r="B45" s="49"/>
      <c r="C45" s="155"/>
      <c r="D45" s="49"/>
      <c r="E45" s="49"/>
      <c r="F45" s="49"/>
      <c r="G45" s="49"/>
      <c r="H45" s="49"/>
      <c r="I45" s="199"/>
      <c r="J45" s="4"/>
      <c r="K45" s="4"/>
      <c r="L45" s="9"/>
    </row>
    <row r="46" spans="1:13" s="68" customFormat="1" ht="33" customHeight="1">
      <c r="A46" s="49"/>
      <c r="B46" s="49"/>
      <c r="C46" s="155"/>
      <c r="D46" s="49"/>
      <c r="E46" s="49"/>
      <c r="F46" s="49"/>
      <c r="G46" s="49"/>
      <c r="H46" s="49"/>
      <c r="I46" s="199"/>
      <c r="J46" s="4"/>
      <c r="K46" s="4"/>
      <c r="L46" s="9"/>
    </row>
    <row r="47" spans="1:13" s="68" customFormat="1" ht="33" customHeight="1">
      <c r="A47" s="49"/>
      <c r="B47" s="49"/>
      <c r="C47" s="155"/>
      <c r="D47" s="49"/>
      <c r="E47" s="49"/>
      <c r="F47" s="49"/>
      <c r="G47" s="49"/>
      <c r="H47" s="49"/>
      <c r="I47" s="199"/>
      <c r="J47" s="4"/>
      <c r="K47" s="4"/>
      <c r="L47" s="9"/>
    </row>
    <row r="48" spans="1:13" s="68" customFormat="1" ht="33" customHeight="1">
      <c r="A48" s="49"/>
      <c r="B48" s="49"/>
      <c r="C48" s="155"/>
      <c r="D48" s="49"/>
      <c r="E48" s="49"/>
      <c r="F48" s="49"/>
      <c r="G48" s="49"/>
      <c r="H48" s="49"/>
      <c r="I48" s="199"/>
      <c r="J48" s="4"/>
      <c r="K48" s="4"/>
      <c r="L48" s="9"/>
    </row>
    <row r="49" spans="1:15" s="68" customFormat="1" ht="33" customHeight="1">
      <c r="A49" s="49"/>
      <c r="B49" s="49"/>
      <c r="C49" s="155"/>
      <c r="D49" s="49"/>
      <c r="E49" s="49"/>
      <c r="F49" s="49"/>
      <c r="G49" s="49"/>
      <c r="H49" s="49"/>
      <c r="I49" s="199"/>
      <c r="J49" s="4"/>
      <c r="K49" s="4"/>
      <c r="L49" s="9"/>
    </row>
    <row r="50" spans="1:15" ht="20.100000000000001" customHeight="1" thickBot="1">
      <c r="B50" s="91" t="s">
        <v>40</v>
      </c>
      <c r="K50" s="94"/>
      <c r="L50" s="94"/>
    </row>
    <row r="51" spans="1:15" s="68" customFormat="1" ht="31.5" customHeight="1" thickBot="1">
      <c r="A51" s="665" t="s">
        <v>34</v>
      </c>
      <c r="B51" s="667" t="s">
        <v>41</v>
      </c>
      <c r="C51" s="686" t="s">
        <v>36</v>
      </c>
      <c r="D51" s="670"/>
      <c r="E51" s="670"/>
      <c r="F51" s="670"/>
      <c r="G51" s="670"/>
      <c r="H51" s="670"/>
      <c r="I51" s="671"/>
      <c r="J51" s="672"/>
      <c r="K51" s="672"/>
      <c r="L51" s="672"/>
      <c r="M51" s="672"/>
      <c r="N51" s="672"/>
      <c r="O51" s="672"/>
    </row>
    <row r="52" spans="1:15" s="68" customFormat="1" ht="31.5" customHeight="1" thickBot="1">
      <c r="A52" s="676"/>
      <c r="B52" s="689"/>
      <c r="C52" s="334" t="s">
        <v>42</v>
      </c>
      <c r="D52" s="339">
        <v>1</v>
      </c>
      <c r="E52" s="340">
        <v>2</v>
      </c>
      <c r="F52" s="341">
        <v>3</v>
      </c>
      <c r="G52" s="340">
        <v>4</v>
      </c>
      <c r="H52" s="341">
        <v>5</v>
      </c>
      <c r="I52" s="342">
        <v>6</v>
      </c>
      <c r="J52" s="155"/>
      <c r="K52" s="155"/>
      <c r="L52" s="155"/>
      <c r="M52" s="155"/>
      <c r="N52" s="49"/>
      <c r="O52" s="49"/>
    </row>
    <row r="53" spans="1:15" s="68" customFormat="1" ht="33" customHeight="1">
      <c r="A53" s="330">
        <v>1</v>
      </c>
      <c r="B53" s="674">
        <v>40</v>
      </c>
      <c r="C53" s="335" t="s">
        <v>43</v>
      </c>
      <c r="D53" s="331"/>
      <c r="E53" s="154"/>
      <c r="F53" s="154"/>
      <c r="G53" s="196"/>
      <c r="H53" s="154"/>
      <c r="I53" s="332"/>
      <c r="J53" s="151"/>
      <c r="K53" s="151"/>
      <c r="L53" s="9"/>
      <c r="M53" s="4"/>
    </row>
    <row r="54" spans="1:15" s="68" customFormat="1" ht="33" customHeight="1" thickBot="1">
      <c r="A54" s="328">
        <v>2</v>
      </c>
      <c r="B54" s="674"/>
      <c r="C54" s="336" t="s">
        <v>44</v>
      </c>
      <c r="D54" s="329"/>
      <c r="E54" s="325"/>
      <c r="F54" s="325"/>
      <c r="G54" s="325"/>
      <c r="H54" s="325"/>
      <c r="I54" s="326"/>
      <c r="J54" s="4"/>
      <c r="K54" s="4"/>
      <c r="L54" s="9"/>
    </row>
    <row r="55" spans="1:15" s="68" customFormat="1" ht="33" customHeight="1">
      <c r="A55" s="328">
        <v>3</v>
      </c>
      <c r="B55" s="674"/>
      <c r="C55" s="337" t="s">
        <v>45</v>
      </c>
      <c r="D55" s="343"/>
      <c r="E55" s="323"/>
      <c r="F55" s="323"/>
      <c r="G55" s="323"/>
      <c r="H55" s="323"/>
      <c r="I55" s="327"/>
      <c r="J55" s="4"/>
      <c r="K55" s="4"/>
      <c r="L55" s="9"/>
    </row>
    <row r="56" spans="1:15" s="68" customFormat="1" ht="33" customHeight="1" thickBot="1">
      <c r="A56" s="329">
        <v>4</v>
      </c>
      <c r="B56" s="675"/>
      <c r="C56" s="336" t="s">
        <v>46</v>
      </c>
      <c r="D56" s="329"/>
      <c r="E56" s="325"/>
      <c r="F56" s="325"/>
      <c r="G56" s="325"/>
      <c r="H56" s="325"/>
      <c r="I56" s="326"/>
      <c r="J56" s="4"/>
      <c r="K56" s="4"/>
      <c r="L56" s="9"/>
    </row>
    <row r="57" spans="1:15" ht="20.100000000000001" customHeight="1" thickBot="1">
      <c r="B57" s="91"/>
      <c r="K57" s="94"/>
      <c r="L57" s="94"/>
    </row>
    <row r="58" spans="1:15" s="68" customFormat="1" ht="31.5" customHeight="1" thickBot="1">
      <c r="A58" s="665" t="s">
        <v>34</v>
      </c>
      <c r="B58" s="667" t="s">
        <v>41</v>
      </c>
      <c r="C58" s="686" t="s">
        <v>36</v>
      </c>
      <c r="D58" s="670"/>
      <c r="E58" s="670"/>
      <c r="F58" s="670"/>
      <c r="G58" s="670"/>
      <c r="H58" s="670"/>
      <c r="I58" s="671"/>
      <c r="J58" s="672"/>
      <c r="K58" s="672"/>
      <c r="L58" s="672"/>
      <c r="M58" s="672"/>
      <c r="N58" s="672"/>
      <c r="O58" s="672"/>
    </row>
    <row r="59" spans="1:15" s="68" customFormat="1" ht="31.5" customHeight="1" thickBot="1">
      <c r="A59" s="666"/>
      <c r="B59" s="668"/>
      <c r="C59" s="338" t="s">
        <v>42</v>
      </c>
      <c r="D59" s="344">
        <v>1</v>
      </c>
      <c r="E59" s="345">
        <v>2</v>
      </c>
      <c r="F59" s="346">
        <v>3</v>
      </c>
      <c r="G59" s="345">
        <v>4</v>
      </c>
      <c r="H59" s="346">
        <v>5</v>
      </c>
      <c r="I59" s="347">
        <v>6</v>
      </c>
      <c r="J59" s="155"/>
      <c r="K59" s="155"/>
      <c r="L59" s="155"/>
      <c r="M59" s="155"/>
      <c r="N59" s="49"/>
      <c r="O59" s="49"/>
    </row>
    <row r="60" spans="1:15" s="68" customFormat="1" ht="33" customHeight="1">
      <c r="A60" s="328">
        <v>1</v>
      </c>
      <c r="B60" s="673">
        <v>50</v>
      </c>
      <c r="C60" s="337" t="s">
        <v>43</v>
      </c>
      <c r="D60" s="321"/>
      <c r="E60" s="322"/>
      <c r="F60" s="322"/>
      <c r="G60" s="323"/>
      <c r="H60" s="322"/>
      <c r="I60" s="324"/>
      <c r="J60" s="151"/>
      <c r="K60" s="151"/>
      <c r="L60" s="9"/>
      <c r="M60" s="4"/>
    </row>
    <row r="61" spans="1:15" s="68" customFormat="1" ht="33" customHeight="1" thickBot="1">
      <c r="A61" s="328">
        <v>2</v>
      </c>
      <c r="B61" s="674"/>
      <c r="C61" s="336" t="s">
        <v>44</v>
      </c>
      <c r="D61" s="329"/>
      <c r="E61" s="325"/>
      <c r="F61" s="325"/>
      <c r="G61" s="325"/>
      <c r="H61" s="325"/>
      <c r="I61" s="326"/>
      <c r="J61" s="4"/>
      <c r="K61" s="4"/>
      <c r="L61" s="9"/>
    </row>
    <row r="62" spans="1:15" s="68" customFormat="1" ht="33" customHeight="1">
      <c r="A62" s="328">
        <v>3</v>
      </c>
      <c r="B62" s="674"/>
      <c r="C62" s="335" t="s">
        <v>45</v>
      </c>
      <c r="D62" s="330"/>
      <c r="E62" s="196"/>
      <c r="F62" s="196"/>
      <c r="G62" s="196"/>
      <c r="H62" s="196"/>
      <c r="I62" s="333"/>
      <c r="J62" s="4"/>
      <c r="K62" s="4"/>
      <c r="L62" s="9"/>
    </row>
    <row r="63" spans="1:15" s="68" customFormat="1" ht="33" customHeight="1" thickBot="1">
      <c r="A63" s="329">
        <v>4</v>
      </c>
      <c r="B63" s="675"/>
      <c r="C63" s="336" t="s">
        <v>46</v>
      </c>
      <c r="D63" s="329"/>
      <c r="E63" s="325"/>
      <c r="F63" s="325"/>
      <c r="G63" s="325"/>
      <c r="H63" s="325"/>
      <c r="I63" s="326"/>
      <c r="J63" s="4"/>
      <c r="K63" s="4"/>
      <c r="L63" s="9"/>
    </row>
    <row r="64" spans="1:15" ht="20.100000000000001" customHeight="1" thickBot="1">
      <c r="B64" s="91"/>
      <c r="K64" s="94"/>
      <c r="L64" s="94"/>
    </row>
    <row r="65" spans="1:15" s="68" customFormat="1" ht="31.5" customHeight="1" thickBot="1">
      <c r="A65" s="665" t="s">
        <v>34</v>
      </c>
      <c r="B65" s="667" t="s">
        <v>41</v>
      </c>
      <c r="C65" s="669" t="s">
        <v>36</v>
      </c>
      <c r="D65" s="670"/>
      <c r="E65" s="670"/>
      <c r="F65" s="670"/>
      <c r="G65" s="670"/>
      <c r="H65" s="670"/>
      <c r="I65" s="671"/>
      <c r="J65" s="672"/>
      <c r="K65" s="672"/>
      <c r="L65" s="672"/>
      <c r="M65" s="672"/>
      <c r="N65" s="672"/>
      <c r="O65" s="672"/>
    </row>
    <row r="66" spans="1:15" s="68" customFormat="1" ht="31.5" customHeight="1" thickBot="1">
      <c r="A66" s="666"/>
      <c r="B66" s="668"/>
      <c r="C66" s="334" t="s">
        <v>42</v>
      </c>
      <c r="D66" s="339">
        <v>1</v>
      </c>
      <c r="E66" s="340">
        <v>2</v>
      </c>
      <c r="F66" s="341">
        <v>3</v>
      </c>
      <c r="G66" s="340">
        <v>4</v>
      </c>
      <c r="H66" s="341">
        <v>5</v>
      </c>
      <c r="I66" s="342">
        <v>6</v>
      </c>
      <c r="J66" s="155"/>
      <c r="K66" s="155"/>
      <c r="L66" s="155"/>
      <c r="M66" s="155"/>
      <c r="N66" s="49"/>
      <c r="O66" s="49"/>
    </row>
    <row r="67" spans="1:15" s="68" customFormat="1" ht="33" customHeight="1">
      <c r="A67" s="328">
        <v>1</v>
      </c>
      <c r="B67" s="673">
        <v>60</v>
      </c>
      <c r="C67" s="337" t="s">
        <v>43</v>
      </c>
      <c r="D67" s="321"/>
      <c r="E67" s="322"/>
      <c r="F67" s="322"/>
      <c r="G67" s="323"/>
      <c r="H67" s="322"/>
      <c r="I67" s="324"/>
      <c r="J67" s="151"/>
      <c r="K67" s="151"/>
      <c r="L67" s="9"/>
      <c r="M67" s="4"/>
    </row>
    <row r="68" spans="1:15" s="68" customFormat="1" ht="33" customHeight="1" thickBot="1">
      <c r="A68" s="328">
        <v>2</v>
      </c>
      <c r="B68" s="674"/>
      <c r="C68" s="336" t="s">
        <v>44</v>
      </c>
      <c r="D68" s="329"/>
      <c r="E68" s="325"/>
      <c r="F68" s="325"/>
      <c r="G68" s="325"/>
      <c r="H68" s="325"/>
      <c r="I68" s="326"/>
      <c r="J68" s="4"/>
      <c r="K68" s="4"/>
      <c r="L68" s="9"/>
    </row>
    <row r="69" spans="1:15" s="68" customFormat="1" ht="33" customHeight="1">
      <c r="A69" s="328">
        <v>3</v>
      </c>
      <c r="B69" s="674"/>
      <c r="C69" s="337" t="s">
        <v>45</v>
      </c>
      <c r="D69" s="343"/>
      <c r="E69" s="323"/>
      <c r="F69" s="323"/>
      <c r="G69" s="323"/>
      <c r="H69" s="323"/>
      <c r="I69" s="327"/>
      <c r="J69" s="4"/>
      <c r="K69" s="4"/>
      <c r="L69" s="9"/>
    </row>
    <row r="70" spans="1:15" s="68" customFormat="1" ht="33" customHeight="1" thickBot="1">
      <c r="A70" s="329">
        <v>4</v>
      </c>
      <c r="B70" s="675"/>
      <c r="C70" s="336" t="s">
        <v>46</v>
      </c>
      <c r="D70" s="329"/>
      <c r="E70" s="325"/>
      <c r="F70" s="325"/>
      <c r="G70" s="325"/>
      <c r="H70" s="325"/>
      <c r="I70" s="326"/>
      <c r="J70" s="4"/>
      <c r="K70" s="4"/>
      <c r="L70" s="9"/>
    </row>
    <row r="71" spans="1:15" s="68" customFormat="1" ht="33" customHeight="1" thickBot="1">
      <c r="A71" s="49"/>
      <c r="B71" s="49"/>
      <c r="C71" s="155"/>
      <c r="D71" s="49"/>
      <c r="E71" s="49"/>
      <c r="F71" s="49"/>
      <c r="G71" s="49"/>
      <c r="H71" s="49"/>
      <c r="I71" s="199"/>
      <c r="J71" s="4"/>
      <c r="K71" s="4"/>
      <c r="L71" s="9"/>
    </row>
    <row r="72" spans="1:15" s="68" customFormat="1" ht="31.5" customHeight="1" thickBot="1">
      <c r="A72" s="665" t="s">
        <v>34</v>
      </c>
      <c r="B72" s="667" t="s">
        <v>41</v>
      </c>
      <c r="C72" s="669" t="s">
        <v>36</v>
      </c>
      <c r="D72" s="670"/>
      <c r="E72" s="670"/>
      <c r="F72" s="670"/>
      <c r="G72" s="670"/>
      <c r="H72" s="670"/>
      <c r="I72" s="671"/>
      <c r="J72" s="672"/>
      <c r="K72" s="672"/>
      <c r="L72" s="672"/>
      <c r="M72" s="672"/>
      <c r="N72" s="672"/>
      <c r="O72" s="672"/>
    </row>
    <row r="73" spans="1:15" s="68" customFormat="1" ht="31.5" customHeight="1" thickBot="1">
      <c r="A73" s="666"/>
      <c r="B73" s="668"/>
      <c r="C73" s="334" t="s">
        <v>42</v>
      </c>
      <c r="D73" s="339">
        <v>1</v>
      </c>
      <c r="E73" s="340">
        <v>2</v>
      </c>
      <c r="F73" s="341">
        <v>3</v>
      </c>
      <c r="G73" s="340">
        <v>4</v>
      </c>
      <c r="H73" s="341">
        <v>5</v>
      </c>
      <c r="I73" s="342">
        <v>6</v>
      </c>
      <c r="J73" s="155"/>
      <c r="K73" s="155"/>
      <c r="L73" s="155"/>
      <c r="M73" s="155"/>
      <c r="N73" s="49"/>
      <c r="O73" s="49"/>
    </row>
    <row r="74" spans="1:15" s="68" customFormat="1" ht="33" customHeight="1">
      <c r="A74" s="328">
        <v>1</v>
      </c>
      <c r="B74" s="673">
        <v>70</v>
      </c>
      <c r="C74" s="337" t="s">
        <v>43</v>
      </c>
      <c r="D74" s="321"/>
      <c r="E74" s="322"/>
      <c r="F74" s="322"/>
      <c r="G74" s="323"/>
      <c r="H74" s="322"/>
      <c r="I74" s="324"/>
      <c r="J74" s="151"/>
      <c r="K74" s="151"/>
      <c r="L74" s="9"/>
      <c r="M74" s="4"/>
    </row>
    <row r="75" spans="1:15" s="68" customFormat="1" ht="33" customHeight="1" thickBot="1">
      <c r="A75" s="328">
        <v>2</v>
      </c>
      <c r="B75" s="674"/>
      <c r="C75" s="336" t="s">
        <v>44</v>
      </c>
      <c r="D75" s="329"/>
      <c r="E75" s="325"/>
      <c r="F75" s="325"/>
      <c r="G75" s="325"/>
      <c r="H75" s="325"/>
      <c r="I75" s="326"/>
      <c r="J75" s="4"/>
      <c r="K75" s="4"/>
      <c r="L75" s="9"/>
    </row>
    <row r="76" spans="1:15" s="68" customFormat="1" ht="33" customHeight="1">
      <c r="A76" s="328">
        <v>3</v>
      </c>
      <c r="B76" s="674"/>
      <c r="C76" s="337" t="s">
        <v>45</v>
      </c>
      <c r="D76" s="343"/>
      <c r="E76" s="323"/>
      <c r="F76" s="323"/>
      <c r="G76" s="323"/>
      <c r="H76" s="323"/>
      <c r="I76" s="327"/>
      <c r="J76" s="4"/>
      <c r="K76" s="4"/>
      <c r="L76" s="9"/>
    </row>
    <row r="77" spans="1:15" s="68" customFormat="1" ht="33" customHeight="1" thickBot="1">
      <c r="A77" s="329">
        <v>4</v>
      </c>
      <c r="B77" s="675"/>
      <c r="C77" s="336" t="s">
        <v>46</v>
      </c>
      <c r="D77" s="329"/>
      <c r="E77" s="325"/>
      <c r="F77" s="325"/>
      <c r="G77" s="325"/>
      <c r="H77" s="325"/>
      <c r="I77" s="326"/>
      <c r="J77" s="4"/>
      <c r="K77" s="4"/>
      <c r="L77" s="9"/>
    </row>
    <row r="78" spans="1:15" s="68" customFormat="1" ht="33" customHeight="1">
      <c r="A78" s="49"/>
      <c r="B78" s="49"/>
      <c r="C78" s="155"/>
      <c r="D78" s="49"/>
      <c r="E78" s="49"/>
      <c r="F78" s="49"/>
      <c r="G78" s="49"/>
      <c r="H78" s="49"/>
      <c r="I78" s="199"/>
      <c r="J78" s="4"/>
      <c r="K78" s="4"/>
      <c r="L78" s="9"/>
    </row>
    <row r="79" spans="1:15" ht="15.6">
      <c r="A79" s="143" t="s">
        <v>47</v>
      </c>
      <c r="B79" s="688" t="s">
        <v>48</v>
      </c>
      <c r="C79" s="688"/>
    </row>
    <row r="80" spans="1:15">
      <c r="B80" s="88" t="s">
        <v>49</v>
      </c>
      <c r="C80" s="4"/>
    </row>
    <row r="81" spans="1:11">
      <c r="B81" s="145"/>
      <c r="C81" s="144"/>
      <c r="D81" s="144"/>
      <c r="E81" s="144"/>
      <c r="F81" s="144"/>
      <c r="G81" s="144"/>
      <c r="H81" s="144"/>
      <c r="I81" s="144"/>
      <c r="J81" s="144"/>
      <c r="K81" s="144"/>
    </row>
    <row r="82" spans="1:11">
      <c r="B82" s="146"/>
      <c r="C82" s="146"/>
      <c r="D82" s="146"/>
      <c r="E82" s="146"/>
      <c r="F82" s="146"/>
      <c r="G82" s="146"/>
      <c r="H82" s="146"/>
      <c r="I82" s="146"/>
      <c r="J82" s="146"/>
      <c r="K82" s="146"/>
    </row>
    <row r="83" spans="1:11">
      <c r="B83" s="147"/>
      <c r="C83" s="146"/>
      <c r="D83" s="146"/>
      <c r="E83" s="146"/>
      <c r="F83" s="146"/>
      <c r="G83" s="146"/>
      <c r="H83" s="146"/>
      <c r="I83" s="146"/>
      <c r="J83" s="146"/>
      <c r="K83" s="146"/>
    </row>
    <row r="84" spans="1:11">
      <c r="B84" s="88"/>
    </row>
    <row r="85" spans="1:11" ht="16.2" thickBot="1">
      <c r="A85" s="40" t="s">
        <v>50</v>
      </c>
      <c r="B85" s="80" t="s">
        <v>51</v>
      </c>
    </row>
    <row r="86" spans="1:11" ht="15.6" hidden="1" thickBot="1">
      <c r="B86" s="148"/>
      <c r="C86" s="3" t="s">
        <v>52</v>
      </c>
    </row>
    <row r="87" spans="1:11" ht="15.6" hidden="1" thickBot="1">
      <c r="B87" s="67"/>
      <c r="C87" s="3" t="s">
        <v>53</v>
      </c>
    </row>
    <row r="88" spans="1:11" ht="15.6" thickBot="1">
      <c r="B88" s="67"/>
      <c r="C88" s="3" t="s">
        <v>54</v>
      </c>
    </row>
    <row r="89" spans="1:11" ht="15.6" thickBot="1">
      <c r="B89" s="67"/>
      <c r="C89" s="3" t="s">
        <v>55</v>
      </c>
    </row>
    <row r="90" spans="1:11" ht="15.6" thickBot="1">
      <c r="B90" s="67"/>
      <c r="C90" s="3" t="s">
        <v>56</v>
      </c>
    </row>
    <row r="91" spans="1:11" ht="15.6" thickBot="1">
      <c r="B91" s="67"/>
      <c r="C91" s="3" t="s">
        <v>57</v>
      </c>
    </row>
    <row r="92" spans="1:11" ht="15.6" thickBot="1">
      <c r="B92" s="67"/>
      <c r="C92" s="68" t="s">
        <v>58</v>
      </c>
    </row>
    <row r="93" spans="1:11" ht="15.6" thickBot="1">
      <c r="B93" s="67"/>
      <c r="C93" s="96" t="s">
        <v>59</v>
      </c>
    </row>
    <row r="94" spans="1:11" ht="15.6" thickBot="1">
      <c r="B94" s="67"/>
      <c r="C94" s="68" t="s">
        <v>60</v>
      </c>
    </row>
    <row r="95" spans="1:11" ht="15.6" thickBot="1">
      <c r="B95" s="67"/>
      <c r="C95" s="68" t="s">
        <v>61</v>
      </c>
    </row>
    <row r="96" spans="1:11" ht="15.75" customHeight="1">
      <c r="B96" s="3"/>
      <c r="C96" s="95"/>
    </row>
    <row r="97" spans="1:14" ht="15.6">
      <c r="A97" s="40" t="s">
        <v>62</v>
      </c>
      <c r="B97" s="97" t="s">
        <v>63</v>
      </c>
      <c r="C97" s="98"/>
    </row>
    <row r="98" spans="1:14">
      <c r="B98" s="68" t="s">
        <v>64</v>
      </c>
    </row>
    <row r="99" spans="1:14" ht="15.6" thickBot="1"/>
    <row r="100" spans="1:14" ht="15.6" thickBot="1">
      <c r="B100" s="95"/>
      <c r="C100" s="95"/>
      <c r="N100" s="67"/>
    </row>
    <row r="101" spans="1:14">
      <c r="B101" s="95"/>
      <c r="C101" s="95"/>
    </row>
    <row r="102" spans="1:14">
      <c r="B102" s="3"/>
      <c r="C102" s="95"/>
    </row>
    <row r="103" spans="1:14">
      <c r="B103" s="3"/>
      <c r="C103" s="95"/>
    </row>
    <row r="104" spans="1:14">
      <c r="B104" s="3"/>
      <c r="C104" s="95"/>
    </row>
    <row r="105" spans="1:14">
      <c r="B105" s="3"/>
      <c r="C105" s="95"/>
    </row>
    <row r="106" spans="1:14">
      <c r="B106" s="3"/>
      <c r="C106" s="95"/>
    </row>
    <row r="107" spans="1:14">
      <c r="B107" s="3"/>
      <c r="C107" s="95"/>
    </row>
    <row r="108" spans="1:14">
      <c r="B108" s="3"/>
      <c r="C108" s="95"/>
    </row>
    <row r="109" spans="1:14">
      <c r="B109" s="3"/>
      <c r="C109" s="95"/>
    </row>
    <row r="110" spans="1:14">
      <c r="B110" s="3"/>
      <c r="C110" s="95"/>
    </row>
    <row r="111" spans="1:14">
      <c r="B111" s="98"/>
      <c r="C111" s="98"/>
    </row>
    <row r="112" spans="1:14">
      <c r="B112" s="98"/>
      <c r="C112" s="98"/>
    </row>
    <row r="114" spans="2:15">
      <c r="E114" s="99"/>
    </row>
    <row r="116" spans="2:15">
      <c r="D116" s="99"/>
    </row>
    <row r="117" spans="2:15">
      <c r="D117" s="99"/>
    </row>
    <row r="118" spans="2:15" ht="15.6" thickBot="1">
      <c r="B118" s="4"/>
      <c r="D118" s="99"/>
    </row>
    <row r="119" spans="2:15" ht="15.6" thickBot="1">
      <c r="B119" s="4"/>
      <c r="O119" s="67"/>
    </row>
    <row r="121" spans="2:15">
      <c r="M121" s="4"/>
    </row>
    <row r="124" spans="2:15">
      <c r="B124" s="100"/>
    </row>
    <row r="125" spans="2:15">
      <c r="B125" s="100"/>
    </row>
    <row r="126" spans="2:15">
      <c r="B126" s="100"/>
    </row>
    <row r="134" spans="15:15">
      <c r="O134" s="4"/>
    </row>
  </sheetData>
  <mergeCells count="52">
    <mergeCell ref="A35:A36"/>
    <mergeCell ref="B35:B36"/>
    <mergeCell ref="C35:I35"/>
    <mergeCell ref="J35:J36"/>
    <mergeCell ref="K35:K36"/>
    <mergeCell ref="B79:C79"/>
    <mergeCell ref="L30:L31"/>
    <mergeCell ref="B32:B33"/>
    <mergeCell ref="C30:I30"/>
    <mergeCell ref="J51:O51"/>
    <mergeCell ref="B51:B52"/>
    <mergeCell ref="C51:I51"/>
    <mergeCell ref="K40:K41"/>
    <mergeCell ref="L40:L41"/>
    <mergeCell ref="B42:B43"/>
    <mergeCell ref="B60:B63"/>
    <mergeCell ref="B53:B56"/>
    <mergeCell ref="B67:B70"/>
    <mergeCell ref="H21:K21"/>
    <mergeCell ref="A30:A31"/>
    <mergeCell ref="B30:B31"/>
    <mergeCell ref="J30:J31"/>
    <mergeCell ref="K30:K31"/>
    <mergeCell ref="A58:A59"/>
    <mergeCell ref="B58:B59"/>
    <mergeCell ref="C58:I58"/>
    <mergeCell ref="J58:O58"/>
    <mergeCell ref="A65:A66"/>
    <mergeCell ref="B65:B66"/>
    <mergeCell ref="C65:I65"/>
    <mergeCell ref="J65:O65"/>
    <mergeCell ref="A51:A52"/>
    <mergeCell ref="A1:M1"/>
    <mergeCell ref="A25:A26"/>
    <mergeCell ref="B25:B26"/>
    <mergeCell ref="C25:I25"/>
    <mergeCell ref="J25:J26"/>
    <mergeCell ref="K25:K26"/>
    <mergeCell ref="L25:L26"/>
    <mergeCell ref="B27:B28"/>
    <mergeCell ref="A2:M2"/>
    <mergeCell ref="L35:L36"/>
    <mergeCell ref="B37:B38"/>
    <mergeCell ref="A40:A41"/>
    <mergeCell ref="B40:B41"/>
    <mergeCell ref="C40:I40"/>
    <mergeCell ref="J40:J41"/>
    <mergeCell ref="A72:A73"/>
    <mergeCell ref="B72:B73"/>
    <mergeCell ref="C72:I72"/>
    <mergeCell ref="J72:O72"/>
    <mergeCell ref="B74:B77"/>
  </mergeCells>
  <printOptions horizontalCentered="1"/>
  <pageMargins left="0.511811023622047" right="0.23622047244094499" top="0.62" bottom="0.23622047244094499" header="0.23622047244094499" footer="0.23622047244094499"/>
  <pageSetup paperSize="9" scale="63" orientation="portrait" r:id="rId1"/>
  <headerFooter>
    <oddHeader>&amp;R&amp;"-,Regular"&amp;8SH.LK - 049-18 / Rev : 1</oddHeader>
  </headerFooter>
  <rowBreaks count="2" manualBreakCount="2">
    <brk id="49" max="13" man="1"/>
    <brk id="100" max="12" man="1"/>
  </rowBreaks>
  <colBreaks count="1" manualBreakCount="1">
    <brk id="14" max="96" man="1"/>
  </col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0644E-E95D-4DBD-A837-1B461605E7EF}">
  <sheetPr>
    <tabColor theme="7" tint="0.79998168889431442"/>
  </sheetPr>
  <dimension ref="A23:S99"/>
  <sheetViews>
    <sheetView topLeftCell="A62" zoomScale="83" zoomScaleNormal="83" workbookViewId="0">
      <selection activeCell="H80" sqref="H80"/>
    </sheetView>
  </sheetViews>
  <sheetFormatPr defaultRowHeight="13.2"/>
  <cols>
    <col min="1" max="1" width="19.77734375" bestFit="1" customWidth="1"/>
    <col min="2" max="4" width="16.44140625" customWidth="1"/>
    <col min="5" max="5" width="14.5546875" customWidth="1"/>
    <col min="7" max="7" width="9.5546875" bestFit="1" customWidth="1"/>
    <col min="8" max="8" width="11.5546875" bestFit="1" customWidth="1"/>
    <col min="9" max="10" width="9.44140625" bestFit="1" customWidth="1"/>
    <col min="11" max="11" width="11" customWidth="1"/>
    <col min="12" max="12" width="12.5546875" customWidth="1"/>
    <col min="16" max="16" width="9.5546875" bestFit="1" customWidth="1"/>
    <col min="17" max="18" width="12.44140625" bestFit="1" customWidth="1"/>
  </cols>
  <sheetData>
    <row r="23" spans="1:19">
      <c r="A23" s="833" t="s">
        <v>373</v>
      </c>
      <c r="B23" s="833"/>
      <c r="C23" s="833"/>
      <c r="D23" s="833"/>
      <c r="E23" s="833"/>
      <c r="F23" s="517"/>
      <c r="G23" s="517"/>
      <c r="H23" s="517"/>
      <c r="I23" s="834" t="s">
        <v>374</v>
      </c>
      <c r="J23" s="834"/>
      <c r="K23" s="834"/>
      <c r="L23" s="834"/>
      <c r="M23" s="834"/>
      <c r="N23" s="834"/>
      <c r="O23" s="834"/>
      <c r="P23" s="834"/>
      <c r="Q23" s="834"/>
      <c r="R23" s="834"/>
      <c r="S23" s="834"/>
    </row>
    <row r="24" spans="1:19">
      <c r="A24" s="833"/>
      <c r="B24" s="833"/>
      <c r="C24" s="833"/>
      <c r="D24" s="833"/>
      <c r="E24" s="833"/>
      <c r="F24" s="517"/>
      <c r="G24" s="517"/>
      <c r="H24" s="517"/>
      <c r="I24" s="834"/>
      <c r="J24" s="834"/>
      <c r="K24" s="834"/>
      <c r="L24" s="834"/>
      <c r="M24" s="834"/>
      <c r="N24" s="834"/>
      <c r="O24" s="834"/>
      <c r="P24" s="834"/>
      <c r="Q24" s="834"/>
      <c r="R24" s="834"/>
      <c r="S24" s="834"/>
    </row>
    <row r="25" spans="1:19">
      <c r="A25" s="833"/>
      <c r="B25" s="833"/>
      <c r="C25" s="833"/>
      <c r="D25" s="833"/>
      <c r="E25" s="833"/>
      <c r="F25" s="517"/>
      <c r="G25" s="517"/>
      <c r="H25" s="517"/>
      <c r="I25" s="834"/>
      <c r="J25" s="834"/>
      <c r="K25" s="834"/>
      <c r="L25" s="834"/>
      <c r="M25" s="834"/>
      <c r="N25" s="834"/>
      <c r="O25" s="834"/>
      <c r="P25" s="834"/>
      <c r="Q25" s="834"/>
      <c r="R25" s="834"/>
      <c r="S25" s="834"/>
    </row>
    <row r="26" spans="1:19">
      <c r="A26" s="833"/>
      <c r="B26" s="833"/>
      <c r="C26" s="833"/>
      <c r="D26" s="833"/>
      <c r="E26" s="833"/>
      <c r="F26" s="517"/>
      <c r="G26" s="517"/>
      <c r="H26" s="517"/>
      <c r="I26" s="834"/>
      <c r="J26" s="834"/>
      <c r="K26" s="834"/>
      <c r="L26" s="834"/>
      <c r="M26" s="834"/>
      <c r="N26" s="834"/>
      <c r="O26" s="834"/>
      <c r="P26" s="834"/>
      <c r="Q26" s="834"/>
      <c r="R26" s="834"/>
      <c r="S26" s="834"/>
    </row>
    <row r="27" spans="1:19">
      <c r="A27" s="833"/>
      <c r="B27" s="833"/>
      <c r="C27" s="833"/>
      <c r="D27" s="833"/>
      <c r="E27" s="833"/>
      <c r="F27" s="517"/>
      <c r="G27" s="517"/>
      <c r="H27" s="517"/>
      <c r="I27" s="834"/>
      <c r="J27" s="834"/>
      <c r="K27" s="834"/>
      <c r="L27" s="834"/>
      <c r="M27" s="834"/>
      <c r="N27" s="834"/>
      <c r="O27" s="834"/>
      <c r="P27" s="834"/>
      <c r="Q27" s="834"/>
      <c r="R27" s="834"/>
      <c r="S27" s="834"/>
    </row>
    <row r="28" spans="1:19">
      <c r="A28" s="833"/>
      <c r="B28" s="833"/>
      <c r="C28" s="833"/>
      <c r="D28" s="833"/>
      <c r="E28" s="833"/>
      <c r="F28" s="517"/>
      <c r="G28" s="517"/>
      <c r="H28" s="517"/>
      <c r="I28" s="834"/>
      <c r="J28" s="834"/>
      <c r="K28" s="834"/>
      <c r="L28" s="834"/>
      <c r="M28" s="834"/>
      <c r="N28" s="834"/>
      <c r="O28" s="834"/>
      <c r="P28" s="834"/>
      <c r="Q28" s="834"/>
      <c r="R28" s="834"/>
      <c r="S28" s="834"/>
    </row>
    <row r="29" spans="1:19">
      <c r="A29" s="833"/>
      <c r="B29" s="833"/>
      <c r="C29" s="833"/>
      <c r="D29" s="833"/>
      <c r="E29" s="833"/>
      <c r="F29" s="517"/>
      <c r="G29" s="517"/>
      <c r="H29" s="517"/>
      <c r="I29" s="834"/>
      <c r="J29" s="834"/>
      <c r="K29" s="834"/>
      <c r="L29" s="834"/>
      <c r="M29" s="834"/>
      <c r="N29" s="834"/>
      <c r="O29" s="834"/>
      <c r="P29" s="834"/>
      <c r="Q29" s="834"/>
      <c r="R29" s="834"/>
      <c r="S29" s="834"/>
    </row>
    <row r="30" spans="1:19">
      <c r="A30" s="833"/>
      <c r="B30" s="833"/>
      <c r="C30" s="833"/>
      <c r="D30" s="833"/>
      <c r="E30" s="833"/>
      <c r="F30" s="517"/>
      <c r="G30" s="517"/>
      <c r="H30" s="517"/>
      <c r="I30" s="834"/>
      <c r="J30" s="834"/>
      <c r="K30" s="834"/>
      <c r="L30" s="834"/>
      <c r="M30" s="834"/>
      <c r="N30" s="834"/>
      <c r="O30" s="834"/>
      <c r="P30" s="834"/>
      <c r="Q30" s="834"/>
      <c r="R30" s="834"/>
      <c r="S30" s="834"/>
    </row>
    <row r="31" spans="1:19">
      <c r="A31" s="517"/>
      <c r="B31" s="517"/>
      <c r="C31" s="517"/>
      <c r="D31" s="517"/>
      <c r="E31" s="517"/>
      <c r="F31" s="517"/>
      <c r="G31" s="517"/>
      <c r="H31" s="517"/>
      <c r="I31" s="834"/>
      <c r="J31" s="834"/>
      <c r="K31" s="834"/>
      <c r="L31" s="834"/>
      <c r="M31" s="834"/>
      <c r="N31" s="834"/>
      <c r="O31" s="834"/>
      <c r="P31" s="834"/>
      <c r="Q31" s="834"/>
      <c r="R31" s="834"/>
      <c r="S31" s="834"/>
    </row>
    <row r="32" spans="1:19">
      <c r="A32" s="517"/>
      <c r="B32" s="517"/>
      <c r="C32" s="517"/>
      <c r="D32" s="517"/>
      <c r="E32" s="517"/>
      <c r="F32" s="517"/>
      <c r="G32" s="517"/>
      <c r="H32" s="517"/>
      <c r="I32" s="834"/>
      <c r="J32" s="834"/>
      <c r="K32" s="834"/>
      <c r="L32" s="834"/>
      <c r="M32" s="834"/>
      <c r="N32" s="834"/>
      <c r="O32" s="834"/>
      <c r="P32" s="834"/>
      <c r="Q32" s="834"/>
      <c r="R32" s="834"/>
      <c r="S32" s="834"/>
    </row>
    <row r="33" spans="1:19" ht="79.2">
      <c r="A33" s="161" t="s">
        <v>7</v>
      </c>
      <c r="B33" s="522" t="s">
        <v>121</v>
      </c>
      <c r="C33" s="522" t="s">
        <v>202</v>
      </c>
      <c r="D33" s="522" t="s">
        <v>203</v>
      </c>
      <c r="E33" s="517"/>
      <c r="F33" s="517"/>
      <c r="G33" s="517"/>
      <c r="H33" s="517"/>
      <c r="I33" s="831" t="s">
        <v>204</v>
      </c>
      <c r="J33" s="831"/>
      <c r="K33" s="831"/>
      <c r="L33" s="831"/>
      <c r="M33" s="831"/>
      <c r="N33" s="517"/>
      <c r="O33" s="832" t="s">
        <v>7</v>
      </c>
      <c r="P33" s="832"/>
      <c r="Q33" s="832"/>
      <c r="R33" s="832"/>
      <c r="S33" s="832"/>
    </row>
    <row r="34" spans="1:19">
      <c r="A34" s="521">
        <v>10</v>
      </c>
      <c r="B34" s="518">
        <v>0.12</v>
      </c>
      <c r="C34" s="519">
        <v>0.3</v>
      </c>
      <c r="D34" s="519">
        <v>0.3</v>
      </c>
      <c r="E34" s="517"/>
      <c r="F34" s="517"/>
      <c r="G34" s="517"/>
      <c r="H34" s="517"/>
      <c r="I34" s="161" t="s">
        <v>205</v>
      </c>
      <c r="J34" s="161" t="s">
        <v>192</v>
      </c>
      <c r="K34" s="161" t="s">
        <v>206</v>
      </c>
      <c r="L34" s="161" t="s">
        <v>207</v>
      </c>
      <c r="M34" s="161" t="s">
        <v>208</v>
      </c>
      <c r="N34" s="517"/>
      <c r="O34" s="161" t="s">
        <v>205</v>
      </c>
      <c r="P34" s="161" t="s">
        <v>192</v>
      </c>
      <c r="Q34" s="161" t="s">
        <v>206</v>
      </c>
      <c r="R34" s="161" t="s">
        <v>207</v>
      </c>
      <c r="S34" s="161" t="s">
        <v>208</v>
      </c>
    </row>
    <row r="35" spans="1:19">
      <c r="A35" s="521">
        <v>15</v>
      </c>
      <c r="B35" s="518">
        <v>0.11</v>
      </c>
      <c r="C35" s="518">
        <v>0.19</v>
      </c>
      <c r="D35" s="518">
        <v>0.19</v>
      </c>
      <c r="E35" s="517"/>
      <c r="F35" s="517"/>
      <c r="G35" s="517"/>
      <c r="H35" s="517"/>
      <c r="I35" s="195"/>
      <c r="J35" s="520"/>
      <c r="K35" s="520"/>
      <c r="L35" s="520"/>
      <c r="M35" s="520"/>
      <c r="N35" s="517"/>
      <c r="O35" s="195">
        <v>2</v>
      </c>
      <c r="P35" s="520"/>
      <c r="Q35" s="532">
        <f>_xlfn.FORECAST.LINEAR(O35,Q38:Q42,O38:O42)</f>
        <v>2.8000000000000032E-2</v>
      </c>
      <c r="R35" s="532">
        <f>_xlfn.FORECAST.LINEAR(O35,R38:R42,O38:O42)</f>
        <v>-6.3999999999999987E-2</v>
      </c>
      <c r="S35" s="520"/>
    </row>
    <row r="36" spans="1:19">
      <c r="A36" s="521">
        <v>20</v>
      </c>
      <c r="B36" s="519">
        <v>0.1</v>
      </c>
      <c r="C36" s="518">
        <v>0.11</v>
      </c>
      <c r="D36" s="518">
        <v>0.11</v>
      </c>
      <c r="E36" s="517"/>
      <c r="F36" s="517"/>
      <c r="G36" s="517"/>
      <c r="H36" s="517"/>
      <c r="I36" s="195"/>
      <c r="J36" s="520"/>
      <c r="K36" s="520"/>
      <c r="L36" s="520"/>
      <c r="M36" s="520"/>
      <c r="N36" s="517"/>
      <c r="O36" s="195">
        <v>5</v>
      </c>
      <c r="P36" s="520"/>
      <c r="Q36" s="532">
        <f>_xlfn.FORECAST.LINEAR(O36,Q38:Q42,O38:O42)</f>
        <v>4.0000000000000029E-2</v>
      </c>
      <c r="R36" s="532">
        <f>_xlfn.FORECAST.LINEAR(O36,R38:R42,O38:O42)</f>
        <v>-3.9999999999999987E-2</v>
      </c>
      <c r="S36" s="520"/>
    </row>
    <row r="37" spans="1:19">
      <c r="A37" s="521">
        <v>25</v>
      </c>
      <c r="B37" s="518">
        <v>0.09</v>
      </c>
      <c r="C37" s="518">
        <v>0.06</v>
      </c>
      <c r="D37" s="518">
        <v>0.06</v>
      </c>
      <c r="E37" s="517"/>
      <c r="F37" s="517"/>
      <c r="G37" s="517"/>
      <c r="H37" s="517"/>
      <c r="I37" s="195"/>
      <c r="J37" s="520"/>
      <c r="K37" s="520"/>
      <c r="L37" s="520"/>
      <c r="M37" s="520"/>
      <c r="N37" s="517"/>
      <c r="O37" s="195">
        <v>8</v>
      </c>
      <c r="P37" s="529"/>
      <c r="Q37" s="532">
        <f>_xlfn.FORECAST.LINEAR(O37,Q38:Q42,O38:O42)</f>
        <v>5.2000000000000025E-2</v>
      </c>
      <c r="R37" s="532">
        <f>_xlfn.FORECAST.LINEAR(O37,R38:R42,O38:O42)</f>
        <v>-1.5999999999999986E-2</v>
      </c>
      <c r="S37" s="520"/>
    </row>
    <row r="38" spans="1:19">
      <c r="A38" s="521">
        <v>30</v>
      </c>
      <c r="B38" s="518">
        <v>0.08</v>
      </c>
      <c r="C38" s="518">
        <v>0.05</v>
      </c>
      <c r="D38" s="518">
        <v>0.05</v>
      </c>
      <c r="E38" s="517"/>
      <c r="F38" s="517"/>
      <c r="G38" s="517"/>
      <c r="H38" s="517"/>
      <c r="I38" s="521">
        <v>40</v>
      </c>
      <c r="J38" s="519">
        <v>0.6</v>
      </c>
      <c r="K38" s="518">
        <v>0.3</v>
      </c>
      <c r="L38" s="518">
        <v>0.5</v>
      </c>
      <c r="M38" s="518">
        <v>2.2999999999999998</v>
      </c>
      <c r="N38" s="517"/>
      <c r="O38" s="521">
        <v>20</v>
      </c>
      <c r="P38" s="519">
        <v>0.25</v>
      </c>
      <c r="Q38" s="518">
        <v>0.1</v>
      </c>
      <c r="R38" s="518">
        <v>0.1</v>
      </c>
      <c r="S38" s="518">
        <v>0.4</v>
      </c>
    </row>
    <row r="39" spans="1:19">
      <c r="A39" s="521">
        <v>35</v>
      </c>
      <c r="B39" s="518">
        <v>7.0000000000000007E-2</v>
      </c>
      <c r="C39" s="518">
        <v>7.0000000000000007E-2</v>
      </c>
      <c r="D39" s="518">
        <v>7.0000000000000007E-2</v>
      </c>
      <c r="E39" s="517"/>
      <c r="F39" s="517"/>
      <c r="G39" s="517"/>
      <c r="H39" s="517"/>
      <c r="I39" s="521">
        <v>50</v>
      </c>
      <c r="J39" s="519">
        <v>0.1</v>
      </c>
      <c r="K39" s="518">
        <v>0.3</v>
      </c>
      <c r="L39" s="518">
        <v>0.6</v>
      </c>
      <c r="M39" s="518">
        <v>2.2999999999999998</v>
      </c>
      <c r="N39" s="517"/>
      <c r="O39" s="521">
        <v>25</v>
      </c>
      <c r="P39" s="519">
        <v>0.23</v>
      </c>
      <c r="Q39" s="518">
        <v>0.1</v>
      </c>
      <c r="R39" s="518">
        <v>0.1</v>
      </c>
      <c r="S39" s="518">
        <v>0.4</v>
      </c>
    </row>
    <row r="40" spans="1:19">
      <c r="A40" s="521">
        <v>45</v>
      </c>
      <c r="B40" s="518">
        <v>0.05</v>
      </c>
      <c r="C40" s="518">
        <v>0.21</v>
      </c>
      <c r="D40" s="518">
        <v>0.21</v>
      </c>
      <c r="E40" s="517"/>
      <c r="F40" s="517"/>
      <c r="G40" s="517"/>
      <c r="H40" s="517"/>
      <c r="I40" s="521">
        <v>60</v>
      </c>
      <c r="J40" s="519">
        <v>-0.4</v>
      </c>
      <c r="K40" s="518">
        <v>0.4</v>
      </c>
      <c r="L40" s="518">
        <v>0.7</v>
      </c>
      <c r="M40" s="518">
        <v>2.2999999999999998</v>
      </c>
      <c r="N40" s="517"/>
      <c r="O40" s="521">
        <v>30</v>
      </c>
      <c r="P40" s="519">
        <v>0.2</v>
      </c>
      <c r="Q40" s="518">
        <v>0.1</v>
      </c>
      <c r="R40" s="518">
        <v>0.1</v>
      </c>
      <c r="S40" s="518">
        <v>0.4</v>
      </c>
    </row>
    <row r="41" spans="1:19">
      <c r="A41" s="521">
        <v>50</v>
      </c>
      <c r="B41" s="518">
        <v>0.03</v>
      </c>
      <c r="C41" s="518">
        <v>0.32</v>
      </c>
      <c r="D41" s="518">
        <v>0.32</v>
      </c>
      <c r="E41" s="517"/>
      <c r="F41" s="517"/>
      <c r="G41" s="517"/>
      <c r="H41" s="517"/>
      <c r="I41" s="521">
        <v>70</v>
      </c>
      <c r="J41" s="519">
        <v>-0.9</v>
      </c>
      <c r="K41" s="518">
        <v>0.7</v>
      </c>
      <c r="L41" s="518">
        <v>0.9</v>
      </c>
      <c r="M41" s="518">
        <v>2.2999999999999998</v>
      </c>
      <c r="N41" s="517"/>
      <c r="O41" s="521">
        <v>35</v>
      </c>
      <c r="P41" s="519">
        <v>0.38</v>
      </c>
      <c r="Q41" s="518">
        <v>0.3</v>
      </c>
      <c r="R41" s="518">
        <v>0.3</v>
      </c>
      <c r="S41" s="518">
        <v>0.5</v>
      </c>
    </row>
    <row r="42" spans="1:19">
      <c r="A42" s="195" t="s">
        <v>208</v>
      </c>
      <c r="B42" s="520">
        <v>7.0000000000000007E-2</v>
      </c>
      <c r="C42" s="518">
        <v>0.08</v>
      </c>
      <c r="D42" s="518">
        <v>0.08</v>
      </c>
      <c r="E42" s="517"/>
      <c r="F42" s="517"/>
      <c r="G42" s="517"/>
      <c r="H42" s="517"/>
      <c r="I42" s="521">
        <v>80</v>
      </c>
      <c r="J42" s="519">
        <v>0</v>
      </c>
      <c r="K42" s="520">
        <f>FORECAST(I42,K40:K41,I40:I41)</f>
        <v>1</v>
      </c>
      <c r="L42" s="520">
        <f>FORECAST(I42,L40:L41,I40:I41)</f>
        <v>1.1000000000000001</v>
      </c>
      <c r="M42" s="518">
        <v>0</v>
      </c>
      <c r="N42" s="517"/>
      <c r="O42" s="521">
        <v>40</v>
      </c>
      <c r="P42" s="519">
        <v>0.25</v>
      </c>
      <c r="Q42" s="518">
        <v>0.1</v>
      </c>
      <c r="R42" s="518">
        <v>0.2</v>
      </c>
      <c r="S42" s="518">
        <v>0.4</v>
      </c>
    </row>
    <row r="43" spans="1:19">
      <c r="A43" s="517"/>
      <c r="B43" s="517"/>
      <c r="C43" s="517"/>
      <c r="D43" s="517"/>
      <c r="E43" s="517"/>
      <c r="F43" s="517"/>
      <c r="G43" s="517"/>
      <c r="H43" s="517"/>
      <c r="I43" s="517"/>
      <c r="J43" s="517"/>
      <c r="K43" s="517"/>
      <c r="L43" s="517"/>
      <c r="M43" s="517"/>
      <c r="N43" s="517"/>
      <c r="O43" s="517"/>
      <c r="P43" s="517"/>
      <c r="Q43" s="517"/>
      <c r="R43" s="517"/>
      <c r="S43" s="517"/>
    </row>
    <row r="44" spans="1:19">
      <c r="A44" s="517"/>
      <c r="B44" s="517"/>
      <c r="C44" s="517"/>
      <c r="D44" s="517"/>
      <c r="E44" s="517"/>
      <c r="F44" s="835" t="s">
        <v>375</v>
      </c>
      <c r="G44" s="835"/>
      <c r="H44" s="835"/>
      <c r="I44" s="517"/>
      <c r="J44" s="835" t="s">
        <v>376</v>
      </c>
      <c r="K44" s="835"/>
      <c r="L44" s="835"/>
      <c r="M44" s="517"/>
      <c r="N44" s="517"/>
      <c r="O44" s="835" t="s">
        <v>7</v>
      </c>
      <c r="P44" s="835"/>
      <c r="Q44" s="835"/>
      <c r="R44" s="517"/>
      <c r="S44" s="517"/>
    </row>
    <row r="45" spans="1:19">
      <c r="A45" s="517"/>
      <c r="B45" s="517"/>
      <c r="C45" s="517"/>
      <c r="D45" s="517"/>
      <c r="E45" s="517"/>
      <c r="F45" s="530" t="s">
        <v>38</v>
      </c>
      <c r="G45" s="530" t="s">
        <v>206</v>
      </c>
      <c r="H45" s="530" t="s">
        <v>207</v>
      </c>
      <c r="I45" s="517"/>
      <c r="J45" s="530" t="s">
        <v>38</v>
      </c>
      <c r="K45" s="530" t="s">
        <v>206</v>
      </c>
      <c r="L45" s="530" t="s">
        <v>207</v>
      </c>
      <c r="M45" s="517"/>
      <c r="N45" s="517"/>
      <c r="O45" s="530" t="s">
        <v>38</v>
      </c>
      <c r="P45" s="530" t="s">
        <v>206</v>
      </c>
      <c r="Q45" s="530" t="s">
        <v>207</v>
      </c>
      <c r="R45" s="517"/>
      <c r="S45" s="517"/>
    </row>
    <row r="46" spans="1:19">
      <c r="A46" s="517"/>
      <c r="B46" s="517"/>
      <c r="C46" s="517"/>
      <c r="D46" s="517"/>
      <c r="E46" s="517"/>
      <c r="F46" s="531">
        <f>A87</f>
        <v>43.41</v>
      </c>
      <c r="G46" s="532">
        <f>_xlfn.FORECAST.LINEAR(F46,K38:K42,I38:I42)</f>
        <v>0.24138000000000004</v>
      </c>
      <c r="H46" s="532">
        <f ca="1">(FORECAST(F46,OFFSET(L38:L42,MATCH(F46,I38:I42,1)-1,0,2),OFFSET(I38:I42,MATCH(F46,I38:I42,1)-1,0,2)))</f>
        <v>0.53410000000000002</v>
      </c>
      <c r="I46" s="517"/>
      <c r="J46" s="531">
        <f>A93</f>
        <v>43.513333333333343</v>
      </c>
      <c r="K46" s="532">
        <f>_xlfn.FORECAST.LINEAR(J46,K38:K42,I38:I42)</f>
        <v>0.24324000000000034</v>
      </c>
      <c r="L46" s="532">
        <f ca="1">(FORECAST(J46,OFFSET(L34:L42,MATCH(J46,I34:I42,1)-1,0,2),OFFSET(I34:I42,MATCH(J46,I34:I42,1)-1,0,2)))</f>
        <v>0.53513333333333346</v>
      </c>
      <c r="M46" s="517"/>
      <c r="N46" s="517"/>
      <c r="O46" s="531">
        <f>A81</f>
        <v>1.9000000000000001</v>
      </c>
      <c r="P46" s="532">
        <f>_xlfn.FORECAST.LINEAR(O46,Q35:Q42,O35:O42)</f>
        <v>2.7600000000000003E-2</v>
      </c>
      <c r="Q46" s="532">
        <f>_xlfn.FORECAST.LINEAR(O46,R35:R42,O35:O42)</f>
        <v>-6.4799999999999996E-2</v>
      </c>
      <c r="R46" s="517"/>
      <c r="S46" s="517"/>
    </row>
    <row r="47" spans="1:19">
      <c r="A47" s="517"/>
      <c r="B47" s="517"/>
      <c r="C47" s="517"/>
      <c r="D47" s="517"/>
      <c r="E47" s="517"/>
      <c r="F47" s="531">
        <f>A88</f>
        <v>52.714999999999996</v>
      </c>
      <c r="G47" s="532">
        <f ca="1">(FORECAST(F47,OFFSET(K38:K42,MATCH(F47,I38:I42,1)-1,0,2),OFFSET(I38:I42,MATCH(F47,I38:I42,1)-1,0,2)))</f>
        <v>0.32714999999999994</v>
      </c>
      <c r="H47" s="532">
        <f ca="1">(FORECAST(F47,OFFSET(L38:L42,MATCH(F47,I38:I42,1)-1,0,2),OFFSET(I38:I42,MATCH(F47,I38:I42,1)-1,0,2)))</f>
        <v>0.62714999999999987</v>
      </c>
      <c r="I47" s="517"/>
      <c r="J47" s="531">
        <f t="shared" ref="J47:J49" si="0">A94</f>
        <v>52.590000000000011</v>
      </c>
      <c r="K47" s="532">
        <f ca="1">(FORECAST(J47,OFFSET(K38:K42,MATCH(J47,I38:I42,1)-1,0,2),OFFSET(I38:I42,MATCH(J47,I38:I42,1)-1,0,2)))</f>
        <v>0.32590000000000008</v>
      </c>
      <c r="L47" s="532">
        <f ca="1">(FORECAST(J47,OFFSET(L38:L42,MATCH(J47,I38:I42,1)-1,0,2),OFFSET(I38:I42,MATCH(J47,I38:I42,1)-1,0,2)))</f>
        <v>0.62590000000000001</v>
      </c>
      <c r="M47" s="517"/>
      <c r="N47" s="517"/>
      <c r="O47" s="531">
        <f>A82</f>
        <v>5</v>
      </c>
      <c r="P47" s="532">
        <f>_xlfn.FORECAST.LINEAR(O47,Q35:Q42,O35:O42)</f>
        <v>0.04</v>
      </c>
      <c r="Q47" s="532">
        <f>_xlfn.FORECAST.LINEAR(O47,R35:R42,O35:O42)</f>
        <v>-0.04</v>
      </c>
      <c r="R47" s="517"/>
      <c r="S47" s="517"/>
    </row>
    <row r="48" spans="1:19">
      <c r="A48" s="517"/>
      <c r="B48" s="517"/>
      <c r="C48" s="517"/>
      <c r="D48" s="517"/>
      <c r="E48" s="517"/>
      <c r="F48" s="531">
        <f>A89</f>
        <v>61.748333333333335</v>
      </c>
      <c r="G48" s="532">
        <f ca="1">(FORECAST(F48,OFFSET(K38:K42,MATCH(F48,I38:I42,1)-1,0,2),OFFSET(I38:I42,MATCH(F48,I38:I42,1)-1,0,2)))</f>
        <v>0.45245000000000002</v>
      </c>
      <c r="H48" s="532">
        <f ca="1">(FORECAST(F48,OFFSET(L38:L42,MATCH(F48,I38:I42,1)-1,0,2),OFFSET(I38:I42,MATCH(F48,I38:I42,1)-1,0,2)))</f>
        <v>0.73496666666666677</v>
      </c>
      <c r="I48" s="517"/>
      <c r="J48" s="531">
        <f t="shared" si="0"/>
        <v>61.379999999999995</v>
      </c>
      <c r="K48" s="532">
        <f ca="1">(FORECAST(J48,OFFSET(K38:K42,MATCH(J48,I38:I42,1)-1,0,2),OFFSET(I38:I42,MATCH(J48,I38:I42,1)-1,0,2)))</f>
        <v>0.44139999999999979</v>
      </c>
      <c r="L48" s="532">
        <f ca="1">(FORECAST(J48,OFFSET(L38:L42,MATCH(J48,I38:I42,1)-1,0,2),OFFSET(I38:I42,MATCH(J48,I38:I42,1)-1,0,2)))</f>
        <v>0.72760000000000002</v>
      </c>
      <c r="M48" s="517"/>
      <c r="N48" s="517"/>
      <c r="O48" s="531">
        <f>A83</f>
        <v>8</v>
      </c>
      <c r="P48" s="532">
        <f>_xlfn.FORECAST.LINEAR(O48,Q35:Q42,O35:O42)</f>
        <v>5.1999999999999998E-2</v>
      </c>
      <c r="Q48" s="532">
        <f>_xlfn.FORECAST.LINEAR(O48,R35:R42,O35:O42)</f>
        <v>-1.6E-2</v>
      </c>
      <c r="R48" s="517"/>
      <c r="S48" s="517"/>
    </row>
    <row r="49" spans="1:19">
      <c r="A49" s="517"/>
      <c r="B49" s="517"/>
      <c r="C49" s="517"/>
      <c r="D49" s="517"/>
      <c r="E49" s="517"/>
      <c r="F49" s="531">
        <f>A90</f>
        <v>71.083333333333329</v>
      </c>
      <c r="G49" s="532">
        <f ca="1">(FORECAST(F49,OFFSET(K38:K42,MATCH(F49,I38:I42,1)-1,0,2),OFFSET(I38:I42,MATCH(F49,I38:I42,1)-1,0,2)))</f>
        <v>0.73249999999999993</v>
      </c>
      <c r="H49" s="532">
        <f ca="1">(FORECAST(F49,OFFSET(L38:L42,MATCH(F49,I38:I42,1)-1,0,2),OFFSET(I38:I42,MATCH(F49,I38:I42,1)-1,0,2)))</f>
        <v>0.92166666666666663</v>
      </c>
      <c r="I49" s="517"/>
      <c r="J49" s="531">
        <f t="shared" si="0"/>
        <v>71.558333333333337</v>
      </c>
      <c r="K49" s="532">
        <f ca="1">(FORECAST(J49,OFFSET(K38:K42,MATCH(J49,I38:I42,1)-1,0,2),OFFSET(I38:I42,MATCH(J49,I38:I42,1)-1,0,2)))</f>
        <v>0.74675000000000002</v>
      </c>
      <c r="L49" s="532">
        <f ca="1">(FORECAST(J49,OFFSET(L38:L42,MATCH(J49,I38:I42,1)-1,0,2),OFFSET(I38:I42,MATCH(J49,I38:I42,1)-1,0,2)))</f>
        <v>0.93116666666666692</v>
      </c>
      <c r="M49" s="517"/>
      <c r="N49" s="517"/>
      <c r="O49" s="531">
        <f>A84</f>
        <v>25</v>
      </c>
      <c r="P49" s="532">
        <f>_xlfn.FORECAST.LINEAR(O49,Q38:Q42,O38:O42)</f>
        <v>0.12000000000000001</v>
      </c>
      <c r="Q49" s="532">
        <f>_xlfn.FORECAST.LINEAR(P49,R38:R42,O38:O42)</f>
        <v>-7.9039999999999985E-2</v>
      </c>
      <c r="R49" s="517"/>
      <c r="S49" s="517"/>
    </row>
    <row r="50" spans="1:19" ht="79.2">
      <c r="A50" s="161" t="s">
        <v>204</v>
      </c>
      <c r="B50" s="524" t="s">
        <v>55</v>
      </c>
      <c r="C50" s="524" t="str">
        <f>C33</f>
        <v>Thermohygrometer Reference,Merek : Fluke, Model : 1620A, SN : C12703 (C13548)</v>
      </c>
      <c r="D50" s="524" t="str">
        <f>D33</f>
        <v>Thermohygrometer Reference,Merek : Fluke, Model : 1620A, SN : C12703 (C13549)</v>
      </c>
      <c r="E50" s="517"/>
      <c r="F50" s="517"/>
      <c r="G50" s="517"/>
      <c r="H50" s="517" t="s">
        <v>414</v>
      </c>
      <c r="I50" s="517"/>
      <c r="J50" s="517"/>
      <c r="K50" s="517"/>
      <c r="L50" s="517"/>
      <c r="M50" s="517"/>
      <c r="N50" s="517"/>
      <c r="O50" s="517"/>
      <c r="P50" s="517"/>
      <c r="Q50" s="517"/>
      <c r="R50" s="517"/>
      <c r="S50" s="517"/>
    </row>
    <row r="51" spans="1:19">
      <c r="A51" s="195">
        <v>15</v>
      </c>
      <c r="B51" s="523">
        <v>1.0000000000000001E-5</v>
      </c>
      <c r="C51" s="518">
        <v>-0.41</v>
      </c>
      <c r="D51" s="518">
        <v>-0.41</v>
      </c>
      <c r="E51" s="517"/>
      <c r="F51" s="517"/>
      <c r="G51" s="517"/>
      <c r="H51" s="517" t="s">
        <v>415</v>
      </c>
      <c r="I51" s="517"/>
      <c r="J51" s="517"/>
      <c r="K51" s="517"/>
      <c r="L51" s="517"/>
      <c r="M51" s="517"/>
      <c r="N51" s="517"/>
      <c r="O51" s="517"/>
      <c r="P51" s="517"/>
      <c r="Q51" s="517"/>
      <c r="R51" s="517"/>
      <c r="S51" s="517"/>
    </row>
    <row r="52" spans="1:19">
      <c r="A52" s="521">
        <v>20</v>
      </c>
      <c r="B52" s="518">
        <v>-2.16</v>
      </c>
      <c r="C52" s="518">
        <v>-0.61</v>
      </c>
      <c r="D52" s="518">
        <v>-0.61</v>
      </c>
      <c r="E52" s="517"/>
      <c r="F52" s="517"/>
      <c r="G52" s="517"/>
      <c r="H52" s="517"/>
      <c r="I52" s="517"/>
      <c r="J52" s="517"/>
      <c r="K52" s="517"/>
      <c r="L52" s="517"/>
      <c r="M52" s="517"/>
      <c r="N52" s="517"/>
      <c r="O52" s="517"/>
      <c r="P52" s="517"/>
      <c r="Q52" s="517"/>
      <c r="R52" s="517"/>
      <c r="S52" s="517"/>
    </row>
    <row r="53" spans="1:19">
      <c r="A53" s="521">
        <v>30</v>
      </c>
      <c r="B53" s="518">
        <v>-1.74</v>
      </c>
      <c r="C53" s="518">
        <v>-0.83</v>
      </c>
      <c r="D53" s="518">
        <v>-0.83</v>
      </c>
      <c r="E53" s="517"/>
      <c r="F53" s="517"/>
      <c r="G53" s="517"/>
      <c r="H53" s="517"/>
      <c r="I53" s="517"/>
      <c r="J53" s="517"/>
      <c r="K53" s="517"/>
      <c r="L53" s="517"/>
      <c r="M53" s="517"/>
      <c r="N53" s="517"/>
      <c r="O53" s="517"/>
      <c r="P53" s="517"/>
      <c r="Q53" s="517"/>
      <c r="R53" s="517"/>
      <c r="S53" s="517"/>
    </row>
    <row r="54" spans="1:19">
      <c r="A54" s="521">
        <v>40</v>
      </c>
      <c r="B54" s="518">
        <v>-1.27</v>
      </c>
      <c r="C54" s="518">
        <v>-0.89</v>
      </c>
      <c r="D54" s="518">
        <v>-0.89</v>
      </c>
      <c r="E54" s="517"/>
      <c r="F54" s="517"/>
      <c r="G54" s="517"/>
      <c r="H54" s="517"/>
      <c r="I54" s="517"/>
      <c r="J54" s="517"/>
      <c r="K54" s="517"/>
      <c r="L54" s="517"/>
      <c r="M54" s="517"/>
      <c r="N54" s="517"/>
      <c r="O54" s="517"/>
      <c r="P54" s="517"/>
      <c r="Q54" s="517"/>
      <c r="R54" s="517"/>
      <c r="S54" s="517"/>
    </row>
    <row r="55" spans="1:19">
      <c r="A55" s="521">
        <v>50</v>
      </c>
      <c r="B55" s="518">
        <v>-0.86</v>
      </c>
      <c r="C55" s="518">
        <v>-0.77</v>
      </c>
      <c r="D55" s="518">
        <v>-0.77</v>
      </c>
      <c r="E55" s="517"/>
      <c r="F55" s="517"/>
      <c r="G55" s="517"/>
      <c r="H55" s="517"/>
      <c r="I55" s="517"/>
      <c r="J55" s="517"/>
      <c r="K55" s="517"/>
      <c r="L55" s="517"/>
      <c r="M55" s="517"/>
      <c r="N55" s="517"/>
      <c r="O55" s="517"/>
      <c r="P55" s="517"/>
      <c r="Q55" s="517"/>
      <c r="R55" s="517"/>
      <c r="S55" s="517"/>
    </row>
    <row r="56" spans="1:19">
      <c r="A56" s="521">
        <v>60</v>
      </c>
      <c r="B56" s="518">
        <v>-0.52</v>
      </c>
      <c r="C56" s="518">
        <v>-0.48</v>
      </c>
      <c r="D56" s="518">
        <v>-0.48</v>
      </c>
      <c r="E56" s="517"/>
      <c r="F56" s="517"/>
      <c r="G56" s="517"/>
      <c r="H56" s="517"/>
      <c r="I56" s="517"/>
      <c r="J56" s="517"/>
      <c r="K56" s="517"/>
      <c r="L56" s="517"/>
      <c r="M56" s="517"/>
      <c r="N56" s="517"/>
      <c r="O56" s="517"/>
      <c r="P56" s="517"/>
      <c r="Q56" s="517"/>
      <c r="R56" s="517"/>
      <c r="S56" s="517"/>
    </row>
    <row r="57" spans="1:19">
      <c r="A57" s="521">
        <v>70</v>
      </c>
      <c r="B57" s="518">
        <v>-0.24</v>
      </c>
      <c r="C57" s="518">
        <v>-0.02</v>
      </c>
      <c r="D57" s="518">
        <v>-0.02</v>
      </c>
      <c r="E57" s="517"/>
      <c r="F57" s="517"/>
      <c r="G57" s="517"/>
      <c r="H57" s="517"/>
      <c r="I57" s="517"/>
      <c r="J57" s="517"/>
      <c r="K57" s="517"/>
      <c r="L57" s="517"/>
      <c r="M57" s="517"/>
      <c r="N57" s="517"/>
      <c r="O57" s="517"/>
      <c r="P57" s="517"/>
      <c r="Q57" s="517"/>
      <c r="R57" s="517"/>
      <c r="S57" s="517"/>
    </row>
    <row r="58" spans="1:19">
      <c r="A58" s="521">
        <v>80</v>
      </c>
      <c r="B58" s="518">
        <v>-0.02</v>
      </c>
      <c r="C58" s="518">
        <v>0.62</v>
      </c>
      <c r="D58" s="518">
        <v>0.62</v>
      </c>
      <c r="E58" s="517"/>
      <c r="F58" s="517"/>
      <c r="G58" s="517"/>
      <c r="H58" s="517"/>
      <c r="I58" s="517"/>
      <c r="J58" s="517"/>
      <c r="K58" s="517"/>
      <c r="L58" s="517"/>
      <c r="M58" s="517"/>
      <c r="N58" s="517"/>
      <c r="O58" s="517"/>
      <c r="P58" s="517"/>
      <c r="Q58" s="517"/>
      <c r="R58" s="517"/>
      <c r="S58" s="517"/>
    </row>
    <row r="59" spans="1:19">
      <c r="A59" s="521">
        <v>90</v>
      </c>
      <c r="B59" s="518">
        <v>0.14000000000000001</v>
      </c>
      <c r="C59" s="518">
        <v>1.61</v>
      </c>
      <c r="D59" s="518">
        <v>1.61</v>
      </c>
      <c r="E59" s="517"/>
      <c r="F59" s="517"/>
      <c r="G59" s="517"/>
      <c r="H59" s="517"/>
      <c r="I59" s="517"/>
      <c r="J59" s="517"/>
      <c r="K59" s="517"/>
      <c r="L59" s="517"/>
      <c r="M59" s="517"/>
      <c r="N59" s="517"/>
      <c r="O59" s="517"/>
      <c r="P59" s="517"/>
      <c r="Q59" s="517"/>
      <c r="R59" s="517"/>
      <c r="S59" s="517"/>
    </row>
    <row r="60" spans="1:19">
      <c r="A60" s="521">
        <v>95</v>
      </c>
      <c r="B60" s="518">
        <v>0.19</v>
      </c>
      <c r="C60" s="518">
        <v>1.0000000000000001E-5</v>
      </c>
      <c r="D60" s="518">
        <v>1.0000000000000001E-5</v>
      </c>
      <c r="E60" s="517"/>
      <c r="F60" s="517"/>
      <c r="G60" s="517"/>
      <c r="H60" s="517"/>
      <c r="I60" s="517"/>
      <c r="J60" s="517"/>
      <c r="K60" s="517"/>
      <c r="L60" s="517"/>
      <c r="M60" s="517"/>
      <c r="N60" s="517"/>
      <c r="O60" s="517"/>
      <c r="P60" s="517"/>
      <c r="Q60" s="517"/>
      <c r="R60" s="517"/>
      <c r="S60" s="517"/>
    </row>
    <row r="61" spans="1:19">
      <c r="A61" s="195" t="s">
        <v>208</v>
      </c>
      <c r="B61" s="518">
        <v>0.95</v>
      </c>
      <c r="C61" s="518">
        <v>1.6</v>
      </c>
      <c r="D61" s="518">
        <v>1.6</v>
      </c>
      <c r="E61" s="517"/>
      <c r="F61" s="517"/>
      <c r="G61" s="517"/>
      <c r="H61" s="517"/>
      <c r="I61" s="517"/>
      <c r="J61" s="517"/>
      <c r="K61" s="517"/>
      <c r="L61" s="517"/>
      <c r="M61" s="517"/>
      <c r="N61" s="517"/>
      <c r="O61" s="517"/>
      <c r="P61" s="517"/>
      <c r="Q61" s="517"/>
      <c r="R61" s="517"/>
      <c r="S61" s="517"/>
    </row>
    <row r="62" spans="1:19">
      <c r="A62" s="517"/>
      <c r="B62" s="517"/>
      <c r="C62" s="517"/>
      <c r="D62" s="517"/>
      <c r="E62" s="517"/>
      <c r="F62" s="517"/>
      <c r="G62" s="517"/>
      <c r="H62" s="517"/>
      <c r="I62" s="517"/>
      <c r="J62" s="517"/>
      <c r="K62" s="517"/>
      <c r="L62" s="517"/>
      <c r="M62" s="517"/>
      <c r="N62" s="517"/>
      <c r="O62" s="517"/>
      <c r="P62" s="517"/>
      <c r="Q62" s="517"/>
      <c r="R62" s="517"/>
      <c r="S62" s="517"/>
    </row>
    <row r="63" spans="1:19">
      <c r="A63" s="517"/>
      <c r="B63" s="517"/>
      <c r="C63" s="517"/>
      <c r="D63" s="517"/>
      <c r="E63" s="517"/>
      <c r="F63" s="517"/>
      <c r="G63" s="517"/>
      <c r="H63" s="517"/>
      <c r="I63" s="517"/>
      <c r="J63" s="517"/>
      <c r="K63" s="517"/>
      <c r="L63" s="517"/>
      <c r="M63" s="517"/>
      <c r="N63" s="517"/>
      <c r="O63" s="517"/>
      <c r="P63" s="517"/>
      <c r="Q63" s="517"/>
      <c r="R63" s="517"/>
      <c r="S63" s="517"/>
    </row>
    <row r="64" spans="1:19">
      <c r="A64" s="517"/>
      <c r="B64" s="517"/>
      <c r="C64" s="517"/>
      <c r="D64" s="517"/>
      <c r="E64" s="517"/>
      <c r="F64" s="517"/>
      <c r="G64" s="517"/>
      <c r="H64" s="517"/>
      <c r="I64" s="517"/>
      <c r="J64" s="517"/>
      <c r="K64" s="517"/>
      <c r="L64" s="517"/>
      <c r="M64" s="517"/>
      <c r="N64" s="517"/>
      <c r="O64" s="517"/>
      <c r="P64" s="517"/>
      <c r="Q64" s="517"/>
      <c r="R64" s="517"/>
      <c r="S64" s="517"/>
    </row>
    <row r="65" spans="1:19">
      <c r="A65" s="829" t="s">
        <v>127</v>
      </c>
      <c r="B65" s="829"/>
      <c r="C65" s="517"/>
      <c r="D65" s="830" t="s">
        <v>209</v>
      </c>
      <c r="E65" s="830"/>
      <c r="F65" s="517"/>
      <c r="G65" s="517"/>
      <c r="H65" s="517"/>
      <c r="I65" s="517"/>
      <c r="J65" s="517"/>
      <c r="K65" s="517"/>
      <c r="L65" s="517"/>
      <c r="M65" s="517"/>
      <c r="N65" s="517"/>
      <c r="O65" s="517"/>
      <c r="P65" s="517"/>
      <c r="Q65" s="517"/>
      <c r="R65" s="517"/>
      <c r="S65" s="517"/>
    </row>
    <row r="66" spans="1:19" ht="79.2">
      <c r="A66" s="522" t="str">
        <f>ID!B97</f>
        <v>Thermohygrometer Reference, Merek : Rotronic, Model : HC2A - SH Hygro Clip 2, SN : 72064154</v>
      </c>
      <c r="B66" s="525" t="str">
        <f>A33</f>
        <v>Suhu</v>
      </c>
      <c r="C66" s="517"/>
      <c r="D66" s="526" t="str">
        <f>A66</f>
        <v>Thermohygrometer Reference, Merek : Rotronic, Model : HC2A - SH Hygro Clip 2, SN : 72064154</v>
      </c>
      <c r="E66" s="525" t="str">
        <f>A50</f>
        <v>Kelembaban</v>
      </c>
    </row>
    <row r="67" spans="1:19">
      <c r="A67" s="521">
        <f t="shared" ref="A67:A75" si="1">A34</f>
        <v>10</v>
      </c>
      <c r="B67" s="519">
        <f>HLOOKUP($A$66,$A$33:$D$42,2)</f>
        <v>0.12</v>
      </c>
      <c r="C67" s="517"/>
      <c r="D67" s="521">
        <f>A51</f>
        <v>15</v>
      </c>
      <c r="E67" s="519">
        <f>HLOOKUP($D$66,$A$50:$D$61,2)</f>
        <v>1.0000000000000001E-5</v>
      </c>
      <c r="H67" s="348"/>
    </row>
    <row r="68" spans="1:19">
      <c r="A68" s="521">
        <f t="shared" si="1"/>
        <v>15</v>
      </c>
      <c r="B68" s="519">
        <f>HLOOKUP($A$66,$A$33:$D$42,3)</f>
        <v>0.11</v>
      </c>
      <c r="C68" s="517"/>
      <c r="D68" s="521">
        <f t="shared" ref="D68:D77" si="2">A52</f>
        <v>20</v>
      </c>
      <c r="E68" s="519">
        <f>HLOOKUP($D$66,$A$50:$D$61,3)</f>
        <v>-2.16</v>
      </c>
      <c r="H68" s="348"/>
    </row>
    <row r="69" spans="1:19">
      <c r="A69" s="521">
        <f t="shared" si="1"/>
        <v>20</v>
      </c>
      <c r="B69" s="519">
        <f>HLOOKUP($A$66,$A$33:$D$42,4)</f>
        <v>0.1</v>
      </c>
      <c r="C69" s="517"/>
      <c r="D69" s="521">
        <f t="shared" si="2"/>
        <v>30</v>
      </c>
      <c r="E69" s="519">
        <f>HLOOKUP($D$66,$A$50:$D$61,4)</f>
        <v>-1.74</v>
      </c>
      <c r="H69" s="348"/>
    </row>
    <row r="70" spans="1:19">
      <c r="A70" s="521">
        <f t="shared" si="1"/>
        <v>25</v>
      </c>
      <c r="B70" s="519">
        <f>HLOOKUP($A$66,$A$33:$D$42,5)</f>
        <v>0.09</v>
      </c>
      <c r="C70" s="517"/>
      <c r="D70" s="521">
        <f t="shared" si="2"/>
        <v>40</v>
      </c>
      <c r="E70" s="519">
        <f>HLOOKUP($D$66,$A$50:$D$61,5)</f>
        <v>-1.27</v>
      </c>
      <c r="H70" s="348"/>
    </row>
    <row r="71" spans="1:19">
      <c r="A71" s="521">
        <f t="shared" si="1"/>
        <v>30</v>
      </c>
      <c r="B71" s="519">
        <f>HLOOKUP($A$66,$A$33:$D$42,6)</f>
        <v>0.08</v>
      </c>
      <c r="C71" s="517"/>
      <c r="D71" s="521">
        <f t="shared" si="2"/>
        <v>50</v>
      </c>
      <c r="E71" s="519">
        <f>HLOOKUP($D$66,$A$50:$D$61,6)</f>
        <v>-0.86</v>
      </c>
      <c r="H71" s="348"/>
    </row>
    <row r="72" spans="1:19">
      <c r="A72" s="521">
        <f t="shared" si="1"/>
        <v>35</v>
      </c>
      <c r="B72" s="519">
        <f>HLOOKUP($A$66,$A$33:$D$42,7)</f>
        <v>7.0000000000000007E-2</v>
      </c>
      <c r="C72" s="517"/>
      <c r="D72" s="521">
        <f t="shared" si="2"/>
        <v>60</v>
      </c>
      <c r="E72" s="519">
        <f>HLOOKUP($D$66,$A$50:$D$61,7)</f>
        <v>-0.52</v>
      </c>
      <c r="H72" s="348"/>
    </row>
    <row r="73" spans="1:19">
      <c r="A73" s="521">
        <f t="shared" si="1"/>
        <v>45</v>
      </c>
      <c r="B73" s="519">
        <f>HLOOKUP($A$66,$A$33:$D$42,8)</f>
        <v>0.05</v>
      </c>
      <c r="C73" s="517"/>
      <c r="D73" s="521">
        <f t="shared" si="2"/>
        <v>70</v>
      </c>
      <c r="E73" s="519">
        <f>HLOOKUP($D$66,$A$50:$D$61,8)</f>
        <v>-0.24</v>
      </c>
      <c r="H73" s="348"/>
    </row>
    <row r="74" spans="1:19">
      <c r="A74" s="521">
        <f t="shared" si="1"/>
        <v>50</v>
      </c>
      <c r="B74" s="519">
        <f>HLOOKUP($A$66,$A$33:$D$42,9)</f>
        <v>0.03</v>
      </c>
      <c r="C74" s="517"/>
      <c r="D74" s="521">
        <f t="shared" si="2"/>
        <v>80</v>
      </c>
      <c r="E74" s="519">
        <f>HLOOKUP($D$66,$A$50:$D$61,9)</f>
        <v>-0.02</v>
      </c>
      <c r="H74" s="348"/>
    </row>
    <row r="75" spans="1:19">
      <c r="A75" s="521" t="str">
        <f t="shared" si="1"/>
        <v>U95</v>
      </c>
      <c r="B75" s="519">
        <f>HLOOKUP($A$66,$A$33:$D$42,10)</f>
        <v>7.0000000000000007E-2</v>
      </c>
      <c r="C75" s="517"/>
      <c r="D75" s="521">
        <f t="shared" si="2"/>
        <v>90</v>
      </c>
      <c r="E75" s="519">
        <f>HLOOKUP($D$66,$A$50:$D$61,10)</f>
        <v>0.14000000000000001</v>
      </c>
      <c r="H75" s="348"/>
    </row>
    <row r="76" spans="1:19">
      <c r="A76" s="517"/>
      <c r="B76" s="517"/>
      <c r="C76" s="517"/>
      <c r="D76" s="521">
        <f>A60</f>
        <v>95</v>
      </c>
      <c r="E76" s="519">
        <f>HLOOKUP($D$66,$A$50:$D$61,11)</f>
        <v>0.19</v>
      </c>
    </row>
    <row r="77" spans="1:19">
      <c r="A77" s="517"/>
      <c r="B77" s="517"/>
      <c r="C77" s="517"/>
      <c r="D77" s="521" t="str">
        <f t="shared" si="2"/>
        <v>U95</v>
      </c>
      <c r="E77" s="519">
        <f>HLOOKUP($D$66,$A$50:$D$61,12)</f>
        <v>0.95</v>
      </c>
    </row>
    <row r="78" spans="1:19">
      <c r="A78" s="517"/>
      <c r="B78" s="517"/>
      <c r="C78" s="517"/>
      <c r="D78" s="517"/>
      <c r="E78" s="517"/>
    </row>
    <row r="79" spans="1:19">
      <c r="A79" s="517"/>
      <c r="B79" s="517"/>
      <c r="C79" s="517"/>
      <c r="D79" s="517"/>
      <c r="E79" s="517"/>
      <c r="H79" s="349"/>
      <c r="I79" s="349"/>
      <c r="J79" s="349"/>
      <c r="K79" s="349"/>
    </row>
    <row r="80" spans="1:19" ht="24.6" customHeight="1">
      <c r="A80" s="533" t="s">
        <v>210</v>
      </c>
      <c r="B80" s="533" t="s">
        <v>211</v>
      </c>
      <c r="C80" s="533" t="s">
        <v>212</v>
      </c>
      <c r="D80" s="517"/>
      <c r="E80" s="517"/>
      <c r="H80" s="349"/>
      <c r="I80" s="349"/>
      <c r="J80" s="349"/>
      <c r="K80" s="349"/>
    </row>
    <row r="81" spans="1:11">
      <c r="A81" s="527">
        <f>ID!J28</f>
        <v>1.9000000000000001</v>
      </c>
      <c r="B81" s="527">
        <f>_xlfn.FORECAST.LINEAR(A81,$B$67:$B$75,$A$67:$A$75)+A81</f>
        <v>2.0390621621621623</v>
      </c>
      <c r="C81" s="527">
        <f>(B81-A81)</f>
        <v>0.13906216216216216</v>
      </c>
      <c r="D81" s="517"/>
      <c r="E81" s="517"/>
      <c r="H81" s="349"/>
      <c r="I81" s="350"/>
      <c r="J81" s="349"/>
      <c r="K81" s="349"/>
    </row>
    <row r="82" spans="1:11">
      <c r="A82" s="527">
        <f>ID!J34</f>
        <v>5</v>
      </c>
      <c r="B82" s="527">
        <f>_xlfn.FORECAST.LINEAR(A82,$B$67:$B$75,$A$67:$A$75)+A82</f>
        <v>5.1323873873873875</v>
      </c>
      <c r="C82" s="527">
        <f t="shared" ref="C82:C83" si="3">B82-A82</f>
        <v>0.13238738738738753</v>
      </c>
      <c r="D82" s="517"/>
      <c r="E82" s="517"/>
      <c r="H82" s="349"/>
      <c r="I82" s="349"/>
      <c r="J82" s="349"/>
      <c r="K82" s="349"/>
    </row>
    <row r="83" spans="1:11">
      <c r="A83" s="527">
        <f>ID!J39</f>
        <v>8</v>
      </c>
      <c r="B83" s="527">
        <f>_xlfn.FORECAST.LINEAR(A83,$B$67:$B$75,$A$67:$A$75)+A83</f>
        <v>8.1259279279279273</v>
      </c>
      <c r="C83" s="527">
        <f t="shared" si="3"/>
        <v>0.12592792792792729</v>
      </c>
      <c r="D83" s="517"/>
      <c r="E83" s="517"/>
      <c r="H83" s="349"/>
      <c r="I83" s="349"/>
      <c r="J83" s="349"/>
      <c r="K83" s="349"/>
    </row>
    <row r="84" spans="1:11">
      <c r="A84" s="527">
        <f>ID!J44</f>
        <v>25</v>
      </c>
      <c r="B84" s="527">
        <f ca="1">(FORECAST(A84,OFFSET($B$67:$B$75,MATCH(A84,$A$67:$A$75,1)-1,0,2),OFFSET($A$67:$A$75,MATCH(A84,$A$67:$A$75,1)-1,0,2)))+A84</f>
        <v>25.09</v>
      </c>
      <c r="C84" s="527">
        <f ca="1">B84-A84</f>
        <v>8.9999999999999858E-2</v>
      </c>
      <c r="D84" s="517"/>
      <c r="E84" s="517"/>
      <c r="H84" s="349"/>
      <c r="I84" s="349"/>
      <c r="J84" s="349"/>
      <c r="K84" s="349"/>
    </row>
    <row r="85" spans="1:11">
      <c r="A85" s="517"/>
      <c r="B85" s="517"/>
      <c r="C85" s="517"/>
      <c r="D85" s="517"/>
      <c r="E85" s="517"/>
    </row>
    <row r="86" spans="1:11" ht="25.35" customHeight="1">
      <c r="A86" s="534" t="s">
        <v>213</v>
      </c>
      <c r="B86" s="535" t="s">
        <v>211</v>
      </c>
      <c r="C86" s="535" t="s">
        <v>212</v>
      </c>
      <c r="D86" s="517"/>
      <c r="E86" s="517"/>
    </row>
    <row r="87" spans="1:11">
      <c r="A87" s="528">
        <f>ID!J58</f>
        <v>43.41</v>
      </c>
      <c r="B87" s="528">
        <f ca="1">(FORECAST(A87,OFFSET(E67:E77,MATCH(A87,D67:D77,1)-1,0,2),OFFSET(D67:D77,MATCH(A87,D67:D77,1)-1,0,2)))+A87</f>
        <v>42.279809999999998</v>
      </c>
      <c r="C87" s="528">
        <f ca="1">B87-A87</f>
        <v>-1.1301899999999989</v>
      </c>
      <c r="D87" s="517"/>
      <c r="E87" s="517"/>
    </row>
    <row r="88" spans="1:11">
      <c r="A88" s="528">
        <f>ID!J65</f>
        <v>52.714999999999996</v>
      </c>
      <c r="B88" s="528">
        <f ca="1">(FORECAST(A88,OFFSET(E67:E77,MATCH(A88,D67:D77,1)-1,0,2),OFFSET(D67:D77,MATCH(A88,D67:D77,1)-1,0,2)))+A88</f>
        <v>51.947309999999995</v>
      </c>
      <c r="C88" s="528">
        <f t="shared" ref="C88:C89" ca="1" si="4">B88-A88</f>
        <v>-0.76769000000000176</v>
      </c>
      <c r="D88" s="517"/>
      <c r="E88" s="517"/>
    </row>
    <row r="89" spans="1:11">
      <c r="A89" s="528">
        <f>ID!J72</f>
        <v>61.748333333333335</v>
      </c>
      <c r="B89" s="528">
        <f ca="1">(FORECAST(A89,OFFSET(E67:E77,MATCH(A89,D67:D77,1)-1,0,2),OFFSET(D67:D77,MATCH(A89,D67:D77,1)-1,0,2)))+A89</f>
        <v>61.277286666666669</v>
      </c>
      <c r="C89" s="528">
        <f t="shared" ca="1" si="4"/>
        <v>-0.47104666666666617</v>
      </c>
      <c r="D89" s="517"/>
      <c r="E89" s="517"/>
    </row>
    <row r="90" spans="1:11">
      <c r="A90" s="528">
        <f>ID!J79</f>
        <v>71.083333333333329</v>
      </c>
      <c r="B90" s="528">
        <f ca="1">(FORECAST(A90,OFFSET(E67:E77,MATCH(A90,D67:D77,1)-1,0,2),OFFSET(D67:D77,MATCH(A90,D67:D77,1)-1,0,2)))+A90</f>
        <v>70.867166666666662</v>
      </c>
      <c r="C90" s="528">
        <f ca="1">B90-A90</f>
        <v>-0.21616666666666617</v>
      </c>
      <c r="D90" s="517"/>
      <c r="E90" s="517"/>
    </row>
    <row r="91" spans="1:11">
      <c r="A91" s="517"/>
      <c r="B91" s="517"/>
      <c r="C91" s="517"/>
      <c r="D91" s="517"/>
      <c r="E91" s="517"/>
    </row>
    <row r="92" spans="1:11" ht="25.35" customHeight="1">
      <c r="A92" s="534" t="s">
        <v>214</v>
      </c>
      <c r="B92" s="535" t="s">
        <v>211</v>
      </c>
      <c r="C92" s="535" t="s">
        <v>212</v>
      </c>
      <c r="D92" s="517"/>
      <c r="E92" s="517"/>
    </row>
    <row r="93" spans="1:11">
      <c r="A93" s="528">
        <f>ID!J60</f>
        <v>43.513333333333343</v>
      </c>
      <c r="B93" s="528">
        <f ca="1">(FORECAST(A93,OFFSET($E$67:$E$77,MATCH(A93,$D$67:$D$77,1)-1,0,2),OFFSET($D$67:$D$77,MATCH(A93,$D$67:$D$77,1)-1,0,2)))+A93</f>
        <v>42.387380000000007</v>
      </c>
      <c r="C93" s="528">
        <f ca="1">B93-A93</f>
        <v>-1.1259533333333351</v>
      </c>
      <c r="D93" s="517"/>
      <c r="E93" s="517"/>
    </row>
    <row r="94" spans="1:11">
      <c r="A94" s="528">
        <f>ID!J67</f>
        <v>52.590000000000011</v>
      </c>
      <c r="B94" s="528">
        <f ca="1">(FORECAST(A94,OFFSET($E$67:$E$77,MATCH(A94,$D$67:$D$77,1)-1,0,2),OFFSET($D$67:$D$77,MATCH(A94,$D$67:$D$77,1)-1,0,2)))+A94</f>
        <v>51.81806000000001</v>
      </c>
      <c r="C94" s="528">
        <f t="shared" ref="C94:C96" ca="1" si="5">B94-A94</f>
        <v>-0.77194000000000074</v>
      </c>
      <c r="D94" s="517"/>
      <c r="E94" s="517"/>
    </row>
    <row r="95" spans="1:11">
      <c r="A95" s="528">
        <f>ID!J74</f>
        <v>61.379999999999995</v>
      </c>
      <c r="B95" s="528">
        <f ca="1">(FORECAST(A95,OFFSET($E$67:$E$77,MATCH(A95,$D$67:$D$77,1)-1,0,2),OFFSET($D$67:$D$77,MATCH(A95,$D$67:$D$77,1)-1,0,2)))+A95</f>
        <v>60.898639999999993</v>
      </c>
      <c r="C95" s="528">
        <f t="shared" ca="1" si="5"/>
        <v>-0.48136000000000223</v>
      </c>
      <c r="D95" s="517"/>
      <c r="E95" s="517"/>
    </row>
    <row r="96" spans="1:11">
      <c r="A96" s="528">
        <f>ID!J81</f>
        <v>71.558333333333337</v>
      </c>
      <c r="B96" s="528">
        <f ca="1">(FORECAST(A96,OFFSET($E$67:$E$77,MATCH(A96,$D$67:$D$77,1)-1,0,2),OFFSET($D$67:$D$77,MATCH(A96,$D$67:$D$77,1)-1,0,2)))+A96</f>
        <v>71.352616666666677</v>
      </c>
      <c r="C96" s="528">
        <f t="shared" ca="1" si="5"/>
        <v>-0.20571666666666033</v>
      </c>
      <c r="D96" s="517"/>
      <c r="E96" s="517"/>
    </row>
    <row r="97" spans="1:5">
      <c r="A97" s="517"/>
      <c r="B97" s="517"/>
      <c r="C97" s="517"/>
      <c r="D97" s="517"/>
      <c r="E97" s="517"/>
    </row>
    <row r="98" spans="1:5">
      <c r="A98" s="517"/>
      <c r="B98" s="517"/>
      <c r="C98" s="517"/>
      <c r="D98" s="517"/>
      <c r="E98" s="517"/>
    </row>
    <row r="99" spans="1:5">
      <c r="A99" s="517"/>
      <c r="B99" s="517"/>
      <c r="C99" s="517"/>
      <c r="D99" s="517"/>
      <c r="E99" s="517"/>
    </row>
  </sheetData>
  <mergeCells count="9">
    <mergeCell ref="A65:B65"/>
    <mergeCell ref="D65:E65"/>
    <mergeCell ref="I33:M33"/>
    <mergeCell ref="O33:S33"/>
    <mergeCell ref="A23:E30"/>
    <mergeCell ref="I23:S32"/>
    <mergeCell ref="F44:H44"/>
    <mergeCell ref="O44:Q44"/>
    <mergeCell ref="J44:L4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0.59999389629810485"/>
  </sheetPr>
  <dimension ref="B7:N57"/>
  <sheetViews>
    <sheetView workbookViewId="0">
      <selection activeCell="B59" sqref="B58:B59"/>
    </sheetView>
  </sheetViews>
  <sheetFormatPr defaultRowHeight="13.2"/>
  <cols>
    <col min="2" max="2" width="100.5546875" customWidth="1"/>
  </cols>
  <sheetData>
    <row r="7" spans="2:3" ht="15">
      <c r="B7" s="3" t="s">
        <v>54</v>
      </c>
    </row>
    <row r="8" spans="2:3" ht="15">
      <c r="B8" s="3" t="s">
        <v>121</v>
      </c>
    </row>
    <row r="9" spans="2:3" ht="15">
      <c r="B9" s="3" t="s">
        <v>202</v>
      </c>
    </row>
    <row r="10" spans="2:3" ht="15">
      <c r="B10" s="3" t="s">
        <v>203</v>
      </c>
    </row>
    <row r="11" spans="2:3" ht="15">
      <c r="B11" s="4"/>
    </row>
    <row r="15" spans="2:3">
      <c r="B15" t="str">
        <f>ID!B97</f>
        <v>Thermohygrometer Reference, Merek : Rotronic, Model : HC2A - SH Hygro Clip 2, SN : 72064154</v>
      </c>
    </row>
    <row r="16" spans="2:3" ht="15">
      <c r="B16" s="3" t="s">
        <v>121</v>
      </c>
      <c r="C16" s="159" t="s">
        <v>73</v>
      </c>
    </row>
    <row r="17" spans="2:14" ht="15">
      <c r="B17" s="3" t="s">
        <v>202</v>
      </c>
      <c r="C17" s="159" t="s">
        <v>73</v>
      </c>
    </row>
    <row r="18" spans="2:14" ht="15">
      <c r="B18" s="3" t="s">
        <v>203</v>
      </c>
      <c r="C18" s="159" t="s">
        <v>73</v>
      </c>
    </row>
    <row r="19" spans="2:14">
      <c r="B19" s="160" t="str">
        <f>VLOOKUP(B15,B16:C18,2)</f>
        <v>Hasil pengujian kinerja suhu tertelusur ke Satuan SI melalui Laboratorium SNSU-BSN</v>
      </c>
      <c r="C19" s="160"/>
      <c r="D19" s="160"/>
      <c r="E19" s="160"/>
      <c r="F19" s="160"/>
      <c r="G19" s="160"/>
      <c r="H19" s="160"/>
      <c r="I19" s="160"/>
      <c r="J19" s="160"/>
      <c r="K19" s="160"/>
      <c r="L19" s="160"/>
      <c r="M19" s="160"/>
      <c r="N19" s="160"/>
    </row>
    <row r="22" spans="2:14">
      <c r="B22" t="str">
        <f>B15</f>
        <v>Thermohygrometer Reference, Merek : Rotronic, Model : HC2A - SH Hygro Clip 2, SN : 72064154</v>
      </c>
    </row>
    <row r="23" spans="2:14" ht="15">
      <c r="B23" s="3" t="s">
        <v>121</v>
      </c>
      <c r="C23" s="159" t="s">
        <v>75</v>
      </c>
    </row>
    <row r="24" spans="2:14" ht="15">
      <c r="B24" s="3" t="s">
        <v>202</v>
      </c>
      <c r="C24" s="159" t="s">
        <v>75</v>
      </c>
    </row>
    <row r="25" spans="2:14" ht="15">
      <c r="B25" s="3" t="s">
        <v>203</v>
      </c>
      <c r="C25" s="159" t="s">
        <v>75</v>
      </c>
    </row>
    <row r="26" spans="2:14">
      <c r="B26" s="160" t="str">
        <f>VLOOKUP(B22,B23:C25,2)</f>
        <v>Hasil pengujian kinerja kelembaban relatif tertelusur ke Satuan SI melalui Laboratorium SNSU-BSN</v>
      </c>
      <c r="C26" s="160"/>
      <c r="D26" s="160"/>
      <c r="E26" s="160"/>
      <c r="F26" s="160"/>
      <c r="G26" s="160"/>
      <c r="H26" s="160"/>
      <c r="I26" s="160"/>
      <c r="J26" s="160"/>
      <c r="K26" s="160"/>
      <c r="L26" s="160"/>
      <c r="M26" s="160"/>
      <c r="N26" s="160"/>
    </row>
    <row r="33" spans="2:2">
      <c r="B33" s="357" t="s">
        <v>215</v>
      </c>
    </row>
    <row r="34" spans="2:2">
      <c r="B34" s="357" t="s">
        <v>216</v>
      </c>
    </row>
    <row r="35" spans="2:2">
      <c r="B35" s="357" t="s">
        <v>217</v>
      </c>
    </row>
    <row r="36" spans="2:2">
      <c r="B36" s="357" t="s">
        <v>218</v>
      </c>
    </row>
    <row r="37" spans="2:2">
      <c r="B37" s="357" t="s">
        <v>219</v>
      </c>
    </row>
    <row r="38" spans="2:2">
      <c r="B38" s="357" t="s">
        <v>220</v>
      </c>
    </row>
    <row r="39" spans="2:2">
      <c r="B39" s="357" t="s">
        <v>221</v>
      </c>
    </row>
    <row r="40" spans="2:2">
      <c r="B40" s="357" t="s">
        <v>222</v>
      </c>
    </row>
    <row r="41" spans="2:2">
      <c r="B41" s="357" t="s">
        <v>223</v>
      </c>
    </row>
    <row r="42" spans="2:2">
      <c r="B42" s="357" t="s">
        <v>224</v>
      </c>
    </row>
    <row r="43" spans="2:2">
      <c r="B43" s="357" t="s">
        <v>225</v>
      </c>
    </row>
    <row r="44" spans="2:2">
      <c r="B44" s="357" t="s">
        <v>226</v>
      </c>
    </row>
    <row r="45" spans="2:2">
      <c r="B45" s="357" t="s">
        <v>227</v>
      </c>
    </row>
    <row r="46" spans="2:2">
      <c r="B46" s="357" t="s">
        <v>228</v>
      </c>
    </row>
    <row r="47" spans="2:2">
      <c r="B47" s="357" t="s">
        <v>229</v>
      </c>
    </row>
    <row r="48" spans="2:2">
      <c r="B48" s="357" t="s">
        <v>230</v>
      </c>
    </row>
    <row r="49" spans="2:2">
      <c r="B49" s="357" t="s">
        <v>231</v>
      </c>
    </row>
    <row r="50" spans="2:2">
      <c r="B50" s="357" t="s">
        <v>232</v>
      </c>
    </row>
    <row r="51" spans="2:2">
      <c r="B51" s="357" t="s">
        <v>233</v>
      </c>
    </row>
    <row r="52" spans="2:2">
      <c r="B52" s="357" t="s">
        <v>234</v>
      </c>
    </row>
    <row r="53" spans="2:2">
      <c r="B53" s="357" t="s">
        <v>235</v>
      </c>
    </row>
    <row r="54" spans="2:2">
      <c r="B54" s="357" t="s">
        <v>236</v>
      </c>
    </row>
    <row r="55" spans="2:2">
      <c r="B55" s="357" t="s">
        <v>123</v>
      </c>
    </row>
    <row r="56" spans="2:2">
      <c r="B56" s="357" t="s">
        <v>237</v>
      </c>
    </row>
    <row r="57" spans="2:2">
      <c r="B57" s="357" t="s">
        <v>238</v>
      </c>
    </row>
  </sheetData>
  <sheetProtection algorithmName="SHA-512" hashValue="mlraEqPXBFpg9oGSdHkL6XAVeYVGW97DxNEQSTeGGxOmNXgFYx+z4YTJ+ChROUaiC7LUPVoC+gBCM61zCOwqQw==" saltValue="pS4H2STS/hh/xL/AF0Mgzw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B0122-89F0-4878-AE53-32173424355D}">
  <sheetPr>
    <tabColor theme="7" tint="0.39997558519241921"/>
  </sheetPr>
  <dimension ref="A1:AL410"/>
  <sheetViews>
    <sheetView topLeftCell="D216" workbookViewId="0">
      <selection activeCell="N385" sqref="N385"/>
    </sheetView>
  </sheetViews>
  <sheetFormatPr defaultColWidth="8.77734375" defaultRowHeight="13.2"/>
  <cols>
    <col min="1" max="1" width="9.44140625" style="214" bestFit="1" customWidth="1"/>
    <col min="2" max="2" width="8.77734375" style="214"/>
    <col min="3" max="3" width="9.21875" style="214" bestFit="1" customWidth="1"/>
    <col min="4" max="4" width="8.77734375" style="214"/>
    <col min="5" max="5" width="9.44140625" style="214" bestFit="1" customWidth="1"/>
    <col min="6" max="7" width="8.77734375" style="214"/>
    <col min="8" max="8" width="9.44140625" style="214" bestFit="1" customWidth="1"/>
    <col min="9" max="17" width="8.77734375" style="214"/>
    <col min="18" max="18" width="10" style="214" bestFit="1" customWidth="1"/>
    <col min="19" max="19" width="8.77734375" style="214"/>
    <col min="20" max="20" width="10" style="214" bestFit="1" customWidth="1"/>
    <col min="21" max="21" width="8.77734375" style="214" customWidth="1"/>
    <col min="22" max="16384" width="8.77734375" style="214"/>
  </cols>
  <sheetData>
    <row r="1" spans="1:24" ht="18" thickBot="1">
      <c r="A1" s="843" t="s">
        <v>239</v>
      </c>
      <c r="B1" s="844"/>
      <c r="C1" s="844"/>
      <c r="D1" s="844"/>
      <c r="E1" s="844"/>
      <c r="F1" s="844"/>
      <c r="G1" s="844"/>
      <c r="H1" s="844"/>
      <c r="I1" s="844"/>
      <c r="J1" s="844"/>
      <c r="K1" s="844"/>
      <c r="L1" s="844"/>
      <c r="M1" s="844"/>
      <c r="N1" s="844"/>
      <c r="O1" s="844"/>
      <c r="P1" s="844"/>
      <c r="Q1" s="844"/>
      <c r="R1" s="844"/>
      <c r="S1" s="844"/>
      <c r="T1" s="844"/>
      <c r="U1" s="844"/>
    </row>
    <row r="2" spans="1:24">
      <c r="A2" s="841">
        <v>1</v>
      </c>
      <c r="B2" s="842" t="s">
        <v>240</v>
      </c>
      <c r="C2" s="842"/>
      <c r="D2" s="842"/>
      <c r="E2" s="842"/>
      <c r="F2" s="842"/>
      <c r="G2" s="842"/>
      <c r="I2" s="842" t="str">
        <f>B2</f>
        <v>KOREKSI KIMO THERMOHYGROMETER 15062873</v>
      </c>
      <c r="J2" s="842"/>
      <c r="K2" s="842"/>
      <c r="L2" s="842"/>
      <c r="M2" s="842"/>
      <c r="N2" s="842"/>
      <c r="P2" s="842" t="str">
        <f>I2</f>
        <v>KOREKSI KIMO THERMOHYGROMETER 15062873</v>
      </c>
      <c r="Q2" s="842"/>
      <c r="R2" s="842"/>
      <c r="S2" s="842"/>
      <c r="T2" s="842"/>
      <c r="U2" s="842"/>
      <c r="W2" s="836" t="s">
        <v>208</v>
      </c>
      <c r="X2" s="837"/>
    </row>
    <row r="3" spans="1:24">
      <c r="A3" s="841"/>
      <c r="B3" s="838" t="s">
        <v>7</v>
      </c>
      <c r="C3" s="838"/>
      <c r="D3" s="838" t="s">
        <v>241</v>
      </c>
      <c r="E3" s="838"/>
      <c r="F3" s="838"/>
      <c r="G3" s="838" t="s">
        <v>242</v>
      </c>
      <c r="I3" s="838" t="s">
        <v>204</v>
      </c>
      <c r="J3" s="838"/>
      <c r="K3" s="838" t="s">
        <v>241</v>
      </c>
      <c r="L3" s="838"/>
      <c r="M3" s="838"/>
      <c r="N3" s="838" t="s">
        <v>242</v>
      </c>
      <c r="P3" s="838" t="s">
        <v>243</v>
      </c>
      <c r="Q3" s="838"/>
      <c r="R3" s="838" t="s">
        <v>241</v>
      </c>
      <c r="S3" s="838"/>
      <c r="T3" s="838"/>
      <c r="U3" s="838" t="s">
        <v>242</v>
      </c>
      <c r="W3" s="215" t="s">
        <v>7</v>
      </c>
      <c r="X3" s="216">
        <v>0.5</v>
      </c>
    </row>
    <row r="4" spans="1:24" ht="14.4">
      <c r="A4" s="841"/>
      <c r="B4" s="839" t="s">
        <v>244</v>
      </c>
      <c r="C4" s="839"/>
      <c r="D4" s="217">
        <v>2023</v>
      </c>
      <c r="E4" s="217">
        <v>2021</v>
      </c>
      <c r="F4" s="217">
        <v>2020</v>
      </c>
      <c r="G4" s="838"/>
      <c r="I4" s="840" t="s">
        <v>24</v>
      </c>
      <c r="J4" s="839"/>
      <c r="K4" s="217">
        <f>D4</f>
        <v>2023</v>
      </c>
      <c r="L4" s="217">
        <f>E4</f>
        <v>2021</v>
      </c>
      <c r="M4" s="217">
        <f>F4</f>
        <v>2020</v>
      </c>
      <c r="N4" s="838"/>
      <c r="P4" s="840" t="s">
        <v>245</v>
      </c>
      <c r="Q4" s="839"/>
      <c r="R4" s="217">
        <f>K4</f>
        <v>2023</v>
      </c>
      <c r="S4" s="217">
        <f>L4</f>
        <v>2021</v>
      </c>
      <c r="T4" s="217">
        <v>2016</v>
      </c>
      <c r="U4" s="838"/>
      <c r="W4" s="215" t="s">
        <v>24</v>
      </c>
      <c r="X4" s="216">
        <v>2.6</v>
      </c>
    </row>
    <row r="5" spans="1:24" ht="13.8" thickBot="1">
      <c r="A5" s="841"/>
      <c r="B5" s="218">
        <v>1</v>
      </c>
      <c r="C5" s="219">
        <v>15</v>
      </c>
      <c r="D5" s="220">
        <v>0.3</v>
      </c>
      <c r="E5" s="220">
        <v>0.1</v>
      </c>
      <c r="F5" s="220">
        <v>-0.5</v>
      </c>
      <c r="G5" s="221">
        <f>0.5*(MAX(D5:F5)-MIN(D5:F5))</f>
        <v>0.4</v>
      </c>
      <c r="I5" s="218">
        <v>1</v>
      </c>
      <c r="J5" s="219">
        <v>30</v>
      </c>
      <c r="K5" s="220"/>
      <c r="L5" s="220">
        <v>-14.4</v>
      </c>
      <c r="M5" s="220">
        <v>-6</v>
      </c>
      <c r="N5" s="221">
        <f>0.5*(MAX(K5:M5)-MIN(K5:M5))</f>
        <v>4.2</v>
      </c>
      <c r="P5" s="218">
        <v>1</v>
      </c>
      <c r="Q5" s="219">
        <v>750</v>
      </c>
      <c r="R5" s="222" t="s">
        <v>93</v>
      </c>
      <c r="S5" s="222" t="s">
        <v>93</v>
      </c>
      <c r="T5" s="219">
        <v>9.9999999999999995E-7</v>
      </c>
      <c r="U5" s="221">
        <f>0.5*(MAX(R5:T5)-MIN(R5:T5))</f>
        <v>0</v>
      </c>
      <c r="W5" s="223" t="s">
        <v>245</v>
      </c>
      <c r="X5" s="224">
        <v>0</v>
      </c>
    </row>
    <row r="6" spans="1:24">
      <c r="A6" s="841"/>
      <c r="B6" s="218">
        <v>2</v>
      </c>
      <c r="C6" s="219">
        <v>20</v>
      </c>
      <c r="D6" s="220">
        <v>0</v>
      </c>
      <c r="E6" s="220">
        <v>0.1</v>
      </c>
      <c r="F6" s="220">
        <v>-0.2</v>
      </c>
      <c r="G6" s="221">
        <f t="shared" ref="G6:G11" si="0">0.5*(MAX(D6:F6)-MIN(D6:F6))</f>
        <v>0.15000000000000002</v>
      </c>
      <c r="I6" s="218">
        <v>2</v>
      </c>
      <c r="J6" s="219">
        <v>40</v>
      </c>
      <c r="K6" s="220">
        <v>-5.9</v>
      </c>
      <c r="L6" s="220">
        <v>-11.5</v>
      </c>
      <c r="M6" s="220">
        <v>-5.8</v>
      </c>
      <c r="N6" s="221">
        <f t="shared" ref="N6:N11" si="1">0.5*(MAX(K6:M6)-MIN(K6:M6))</f>
        <v>2.85</v>
      </c>
      <c r="P6" s="218">
        <v>2</v>
      </c>
      <c r="Q6" s="219">
        <v>800</v>
      </c>
      <c r="R6" s="222" t="s">
        <v>93</v>
      </c>
      <c r="S6" s="222" t="s">
        <v>93</v>
      </c>
      <c r="T6" s="219">
        <v>9.9999999999999995E-7</v>
      </c>
      <c r="U6" s="221">
        <f t="shared" ref="U6:U11" si="2">0.5*(MAX(R6:T6)-MIN(R6:T6))</f>
        <v>0</v>
      </c>
    </row>
    <row r="7" spans="1:24">
      <c r="A7" s="841"/>
      <c r="B7" s="218">
        <v>3</v>
      </c>
      <c r="C7" s="219">
        <v>25</v>
      </c>
      <c r="D7" s="220">
        <v>-0.1</v>
      </c>
      <c r="E7" s="220">
        <v>0.1</v>
      </c>
      <c r="F7" s="220">
        <v>9.9999999999999995E-7</v>
      </c>
      <c r="G7" s="221">
        <f t="shared" si="0"/>
        <v>0.1</v>
      </c>
      <c r="I7" s="218">
        <v>3</v>
      </c>
      <c r="J7" s="219">
        <v>50</v>
      </c>
      <c r="K7" s="220">
        <v>-6.6</v>
      </c>
      <c r="L7" s="220">
        <v>-9.1</v>
      </c>
      <c r="M7" s="220">
        <v>-5.3</v>
      </c>
      <c r="N7" s="221">
        <f t="shared" si="1"/>
        <v>1.9</v>
      </c>
      <c r="P7" s="218">
        <v>3</v>
      </c>
      <c r="Q7" s="219">
        <v>850</v>
      </c>
      <c r="R7" s="222" t="s">
        <v>93</v>
      </c>
      <c r="S7" s="222" t="s">
        <v>93</v>
      </c>
      <c r="T7" s="219">
        <v>9.9999999999999995E-7</v>
      </c>
      <c r="U7" s="221">
        <f t="shared" si="2"/>
        <v>0</v>
      </c>
    </row>
    <row r="8" spans="1:24">
      <c r="A8" s="841"/>
      <c r="B8" s="218">
        <v>4</v>
      </c>
      <c r="C8" s="225">
        <v>30</v>
      </c>
      <c r="D8" s="226">
        <v>-0.1</v>
      </c>
      <c r="E8" s="226">
        <v>0</v>
      </c>
      <c r="F8" s="226">
        <v>9.9999999999999995E-7</v>
      </c>
      <c r="G8" s="221">
        <f t="shared" si="0"/>
        <v>5.0000500000000003E-2</v>
      </c>
      <c r="I8" s="218">
        <v>4</v>
      </c>
      <c r="J8" s="225">
        <v>60</v>
      </c>
      <c r="K8" s="226">
        <v>-6</v>
      </c>
      <c r="L8" s="226">
        <v>-6.9</v>
      </c>
      <c r="M8" s="226">
        <v>-4.4000000000000004</v>
      </c>
      <c r="N8" s="221">
        <f t="shared" si="1"/>
        <v>1.25</v>
      </c>
      <c r="P8" s="218">
        <v>4</v>
      </c>
      <c r="Q8" s="225">
        <v>900</v>
      </c>
      <c r="R8" s="226" t="s">
        <v>93</v>
      </c>
      <c r="S8" s="222" t="s">
        <v>93</v>
      </c>
      <c r="T8" s="219">
        <v>9.9999999999999995E-7</v>
      </c>
      <c r="U8" s="221">
        <f t="shared" si="2"/>
        <v>0</v>
      </c>
    </row>
    <row r="9" spans="1:24">
      <c r="A9" s="841"/>
      <c r="B9" s="218">
        <v>5</v>
      </c>
      <c r="C9" s="225">
        <v>35</v>
      </c>
      <c r="D9" s="226">
        <v>0</v>
      </c>
      <c r="E9" s="226">
        <v>-0.2</v>
      </c>
      <c r="F9" s="226">
        <v>-0.1</v>
      </c>
      <c r="G9" s="221">
        <f t="shared" si="0"/>
        <v>0.1</v>
      </c>
      <c r="I9" s="218">
        <v>5</v>
      </c>
      <c r="J9" s="225">
        <v>70</v>
      </c>
      <c r="K9" s="226">
        <v>-4</v>
      </c>
      <c r="L9" s="226">
        <v>-5.0999999999999996</v>
      </c>
      <c r="M9" s="226">
        <v>-3.2</v>
      </c>
      <c r="N9" s="221">
        <f t="shared" si="1"/>
        <v>0.94999999999999973</v>
      </c>
      <c r="P9" s="218">
        <v>5</v>
      </c>
      <c r="Q9" s="225">
        <v>1000</v>
      </c>
      <c r="R9" s="226" t="s">
        <v>93</v>
      </c>
      <c r="S9" s="222" t="s">
        <v>93</v>
      </c>
      <c r="T9" s="219">
        <v>9.9999999999999995E-7</v>
      </c>
      <c r="U9" s="221">
        <f t="shared" si="2"/>
        <v>0</v>
      </c>
    </row>
    <row r="10" spans="1:24">
      <c r="A10" s="841"/>
      <c r="B10" s="218">
        <v>6</v>
      </c>
      <c r="C10" s="225">
        <v>37</v>
      </c>
      <c r="D10" s="226">
        <v>0.1</v>
      </c>
      <c r="E10" s="226">
        <v>-0.3</v>
      </c>
      <c r="F10" s="226">
        <v>-0.2</v>
      </c>
      <c r="G10" s="221">
        <f t="shared" si="0"/>
        <v>0.2</v>
      </c>
      <c r="I10" s="218">
        <v>6</v>
      </c>
      <c r="J10" s="225">
        <v>80</v>
      </c>
      <c r="K10" s="226">
        <v>-0.7</v>
      </c>
      <c r="L10" s="226">
        <v>-3.7</v>
      </c>
      <c r="M10" s="226">
        <v>-1.6</v>
      </c>
      <c r="N10" s="221">
        <f t="shared" si="1"/>
        <v>1.5</v>
      </c>
      <c r="P10" s="218">
        <v>6</v>
      </c>
      <c r="Q10" s="225">
        <v>1005</v>
      </c>
      <c r="R10" s="226" t="s">
        <v>93</v>
      </c>
      <c r="S10" s="222" t="s">
        <v>93</v>
      </c>
      <c r="T10" s="219">
        <v>9.9999999999999995E-7</v>
      </c>
      <c r="U10" s="221">
        <f t="shared" si="2"/>
        <v>0</v>
      </c>
    </row>
    <row r="11" spans="1:24" ht="13.8" thickBot="1">
      <c r="A11" s="841"/>
      <c r="B11" s="218">
        <v>7</v>
      </c>
      <c r="C11" s="225">
        <v>40</v>
      </c>
      <c r="D11" s="226">
        <v>0.3</v>
      </c>
      <c r="E11" s="226">
        <v>-0.4</v>
      </c>
      <c r="F11" s="226">
        <v>-0.3</v>
      </c>
      <c r="G11" s="221">
        <f t="shared" si="0"/>
        <v>0.35</v>
      </c>
      <c r="I11" s="218">
        <v>7</v>
      </c>
      <c r="J11" s="225">
        <v>90</v>
      </c>
      <c r="K11" s="226">
        <v>4</v>
      </c>
      <c r="L11" s="226">
        <v>-2.7</v>
      </c>
      <c r="M11" s="226">
        <v>0.3</v>
      </c>
      <c r="N11" s="221">
        <f t="shared" si="1"/>
        <v>3.35</v>
      </c>
      <c r="P11" s="218">
        <v>7</v>
      </c>
      <c r="Q11" s="225">
        <v>1020</v>
      </c>
      <c r="R11" s="226" t="s">
        <v>93</v>
      </c>
      <c r="S11" s="222" t="s">
        <v>93</v>
      </c>
      <c r="T11" s="219">
        <v>9.9999999999999995E-7</v>
      </c>
      <c r="U11" s="221">
        <f t="shared" si="2"/>
        <v>0</v>
      </c>
    </row>
    <row r="12" spans="1:24" ht="13.8" thickBot="1">
      <c r="A12" s="227"/>
      <c r="B12" s="228"/>
      <c r="O12" s="229"/>
      <c r="P12" s="230"/>
    </row>
    <row r="13" spans="1:24">
      <c r="A13" s="841">
        <v>2</v>
      </c>
      <c r="B13" s="842" t="s">
        <v>246</v>
      </c>
      <c r="C13" s="842"/>
      <c r="D13" s="842"/>
      <c r="E13" s="842"/>
      <c r="F13" s="842"/>
      <c r="G13" s="842"/>
      <c r="I13" s="842" t="str">
        <f>B13</f>
        <v>KOREKSI KIMO THERMOHYGROMETER 15062874</v>
      </c>
      <c r="J13" s="842"/>
      <c r="K13" s="842"/>
      <c r="L13" s="842"/>
      <c r="M13" s="842"/>
      <c r="N13" s="842"/>
      <c r="P13" s="842" t="str">
        <f>I13</f>
        <v>KOREKSI KIMO THERMOHYGROMETER 15062874</v>
      </c>
      <c r="Q13" s="842"/>
      <c r="R13" s="842"/>
      <c r="S13" s="842"/>
      <c r="T13" s="842"/>
      <c r="U13" s="842"/>
      <c r="W13" s="836" t="s">
        <v>208</v>
      </c>
      <c r="X13" s="837"/>
    </row>
    <row r="14" spans="1:24">
      <c r="A14" s="841"/>
      <c r="B14" s="838" t="s">
        <v>7</v>
      </c>
      <c r="C14" s="838"/>
      <c r="D14" s="838" t="s">
        <v>241</v>
      </c>
      <c r="E14" s="838"/>
      <c r="F14" s="838"/>
      <c r="G14" s="838" t="s">
        <v>242</v>
      </c>
      <c r="I14" s="838" t="s">
        <v>204</v>
      </c>
      <c r="J14" s="838"/>
      <c r="K14" s="838" t="s">
        <v>241</v>
      </c>
      <c r="L14" s="838"/>
      <c r="M14" s="838"/>
      <c r="N14" s="838" t="s">
        <v>242</v>
      </c>
      <c r="P14" s="838" t="s">
        <v>243</v>
      </c>
      <c r="Q14" s="838"/>
      <c r="R14" s="838" t="s">
        <v>241</v>
      </c>
      <c r="S14" s="838"/>
      <c r="T14" s="838"/>
      <c r="U14" s="838" t="s">
        <v>242</v>
      </c>
      <c r="W14" s="215" t="s">
        <v>7</v>
      </c>
      <c r="X14" s="216">
        <v>0.5</v>
      </c>
    </row>
    <row r="15" spans="1:24" ht="14.4">
      <c r="A15" s="841"/>
      <c r="B15" s="839" t="s">
        <v>244</v>
      </c>
      <c r="C15" s="839"/>
      <c r="D15" s="217">
        <v>2023</v>
      </c>
      <c r="E15" s="217">
        <v>2021</v>
      </c>
      <c r="F15" s="217">
        <v>2018</v>
      </c>
      <c r="G15" s="838"/>
      <c r="I15" s="840" t="s">
        <v>24</v>
      </c>
      <c r="J15" s="839"/>
      <c r="K15" s="217">
        <f>D15</f>
        <v>2023</v>
      </c>
      <c r="L15" s="217">
        <f>E15</f>
        <v>2021</v>
      </c>
      <c r="M15" s="217">
        <f>F15</f>
        <v>2018</v>
      </c>
      <c r="N15" s="838"/>
      <c r="P15" s="840" t="s">
        <v>245</v>
      </c>
      <c r="Q15" s="839"/>
      <c r="R15" s="217">
        <f>K15</f>
        <v>2023</v>
      </c>
      <c r="S15" s="217">
        <f>L15</f>
        <v>2021</v>
      </c>
      <c r="T15" s="217">
        <f>M15</f>
        <v>2018</v>
      </c>
      <c r="U15" s="838"/>
      <c r="W15" s="215" t="s">
        <v>24</v>
      </c>
      <c r="X15" s="216">
        <v>3.3</v>
      </c>
    </row>
    <row r="16" spans="1:24" ht="13.8" thickBot="1">
      <c r="A16" s="841"/>
      <c r="B16" s="218">
        <v>1</v>
      </c>
      <c r="C16" s="219">
        <v>15</v>
      </c>
      <c r="D16" s="220">
        <v>0.2</v>
      </c>
      <c r="E16" s="220">
        <v>0.4</v>
      </c>
      <c r="F16" s="220">
        <v>9.9999999999999995E-7</v>
      </c>
      <c r="G16" s="221">
        <f>0.5*(MAX(D16:F16)-MIN(D16:F16))</f>
        <v>0.19999950000000002</v>
      </c>
      <c r="I16" s="218">
        <v>1</v>
      </c>
      <c r="J16" s="219">
        <v>35</v>
      </c>
      <c r="K16" s="220">
        <v>-12.6</v>
      </c>
      <c r="L16" s="220">
        <v>-6.9</v>
      </c>
      <c r="M16" s="220">
        <v>-1.6</v>
      </c>
      <c r="N16" s="221">
        <f>0.5*(MAX(K16:M16)-MIN(K16:M16))</f>
        <v>5.5</v>
      </c>
      <c r="P16" s="218">
        <v>1</v>
      </c>
      <c r="Q16" s="219">
        <v>750</v>
      </c>
      <c r="R16" s="222" t="s">
        <v>93</v>
      </c>
      <c r="S16" s="222" t="s">
        <v>93</v>
      </c>
      <c r="T16" s="219" t="s">
        <v>93</v>
      </c>
      <c r="U16" s="221">
        <f>0.5*(MAX(R16:T16)-MIN(R16:T16))</f>
        <v>0</v>
      </c>
      <c r="W16" s="223" t="s">
        <v>245</v>
      </c>
      <c r="X16" s="224">
        <v>0</v>
      </c>
    </row>
    <row r="17" spans="1:24">
      <c r="A17" s="841"/>
      <c r="B17" s="218">
        <v>2</v>
      </c>
      <c r="C17" s="219">
        <v>20</v>
      </c>
      <c r="D17" s="220">
        <v>0.2</v>
      </c>
      <c r="E17" s="220">
        <v>0.7</v>
      </c>
      <c r="F17" s="220">
        <v>-0.1</v>
      </c>
      <c r="G17" s="221">
        <f t="shared" ref="G17:G22" si="3">0.5*(MAX(D17:F17)-MIN(D17:F17))</f>
        <v>0.39999999999999997</v>
      </c>
      <c r="I17" s="218">
        <v>2</v>
      </c>
      <c r="J17" s="219">
        <v>40</v>
      </c>
      <c r="K17" s="220">
        <v>-10.3</v>
      </c>
      <c r="L17" s="220">
        <v>-6.2</v>
      </c>
      <c r="M17" s="220">
        <v>-1.6</v>
      </c>
      <c r="N17" s="221">
        <f t="shared" ref="N17:N22" si="4">0.5*(MAX(K17:M17)-MIN(K17:M17))</f>
        <v>4.3500000000000005</v>
      </c>
      <c r="P17" s="218">
        <v>2</v>
      </c>
      <c r="Q17" s="219">
        <v>800</v>
      </c>
      <c r="R17" s="222" t="s">
        <v>93</v>
      </c>
      <c r="S17" s="222" t="s">
        <v>93</v>
      </c>
      <c r="T17" s="219" t="s">
        <v>93</v>
      </c>
      <c r="U17" s="221">
        <f t="shared" ref="U17:U22" si="5">0.5*(MAX(R17:T17)-MIN(R17:T17))</f>
        <v>0</v>
      </c>
    </row>
    <row r="18" spans="1:24">
      <c r="A18" s="841"/>
      <c r="B18" s="218">
        <v>3</v>
      </c>
      <c r="C18" s="219">
        <v>25</v>
      </c>
      <c r="D18" s="220">
        <v>0.3</v>
      </c>
      <c r="E18" s="220">
        <v>0.5</v>
      </c>
      <c r="F18" s="220">
        <v>-0.2</v>
      </c>
      <c r="G18" s="221">
        <f t="shared" si="3"/>
        <v>0.35</v>
      </c>
      <c r="I18" s="218">
        <v>3</v>
      </c>
      <c r="J18" s="219">
        <v>50</v>
      </c>
      <c r="K18" s="220">
        <v>-8</v>
      </c>
      <c r="L18" s="220">
        <v>-5.3</v>
      </c>
      <c r="M18" s="220">
        <v>-1.5</v>
      </c>
      <c r="N18" s="221">
        <f t="shared" si="4"/>
        <v>3.25</v>
      </c>
      <c r="P18" s="218">
        <v>3</v>
      </c>
      <c r="Q18" s="219">
        <v>850</v>
      </c>
      <c r="R18" s="222" t="s">
        <v>93</v>
      </c>
      <c r="S18" s="222" t="s">
        <v>93</v>
      </c>
      <c r="T18" s="219" t="s">
        <v>93</v>
      </c>
      <c r="U18" s="221">
        <f t="shared" si="5"/>
        <v>0</v>
      </c>
    </row>
    <row r="19" spans="1:24">
      <c r="A19" s="841"/>
      <c r="B19" s="218">
        <v>4</v>
      </c>
      <c r="C19" s="225">
        <v>30</v>
      </c>
      <c r="D19" s="226">
        <v>0.4</v>
      </c>
      <c r="E19" s="226">
        <v>0.2</v>
      </c>
      <c r="F19" s="226">
        <v>-0.3</v>
      </c>
      <c r="G19" s="221">
        <f t="shared" si="3"/>
        <v>0.35</v>
      </c>
      <c r="I19" s="218">
        <v>4</v>
      </c>
      <c r="J19" s="225">
        <v>60</v>
      </c>
      <c r="K19" s="226">
        <v>-5.7</v>
      </c>
      <c r="L19" s="226">
        <v>-4</v>
      </c>
      <c r="M19" s="226">
        <v>-1.3</v>
      </c>
      <c r="N19" s="221">
        <f t="shared" si="4"/>
        <v>2.2000000000000002</v>
      </c>
      <c r="P19" s="218">
        <v>4</v>
      </c>
      <c r="Q19" s="225">
        <v>900</v>
      </c>
      <c r="R19" s="226" t="s">
        <v>93</v>
      </c>
      <c r="S19" s="226" t="s">
        <v>93</v>
      </c>
      <c r="T19" s="219" t="s">
        <v>93</v>
      </c>
      <c r="U19" s="221">
        <f t="shared" si="5"/>
        <v>0</v>
      </c>
    </row>
    <row r="20" spans="1:24">
      <c r="A20" s="841"/>
      <c r="B20" s="218">
        <v>5</v>
      </c>
      <c r="C20" s="225">
        <v>35</v>
      </c>
      <c r="D20" s="226">
        <v>0.5</v>
      </c>
      <c r="E20" s="226">
        <v>-0.1</v>
      </c>
      <c r="F20" s="226">
        <v>-0.3</v>
      </c>
      <c r="G20" s="221">
        <f t="shared" si="3"/>
        <v>0.4</v>
      </c>
      <c r="I20" s="218">
        <v>5</v>
      </c>
      <c r="J20" s="225">
        <v>70</v>
      </c>
      <c r="K20" s="226">
        <v>-3.4</v>
      </c>
      <c r="L20" s="226">
        <v>-2.4</v>
      </c>
      <c r="M20" s="226">
        <v>-1.1000000000000001</v>
      </c>
      <c r="N20" s="221">
        <f t="shared" si="4"/>
        <v>1.1499999999999999</v>
      </c>
      <c r="P20" s="218">
        <v>5</v>
      </c>
      <c r="Q20" s="225">
        <v>1000</v>
      </c>
      <c r="R20" s="226" t="s">
        <v>93</v>
      </c>
      <c r="S20" s="226" t="s">
        <v>93</v>
      </c>
      <c r="T20" s="219" t="s">
        <v>93</v>
      </c>
      <c r="U20" s="221">
        <f t="shared" si="5"/>
        <v>0</v>
      </c>
    </row>
    <row r="21" spans="1:24">
      <c r="A21" s="841"/>
      <c r="B21" s="218">
        <v>6</v>
      </c>
      <c r="C21" s="225">
        <v>37</v>
      </c>
      <c r="D21" s="226">
        <v>0.6</v>
      </c>
      <c r="E21" s="226">
        <v>-0.2</v>
      </c>
      <c r="F21" s="226">
        <v>-0.3</v>
      </c>
      <c r="G21" s="221">
        <f t="shared" si="3"/>
        <v>0.44999999999999996</v>
      </c>
      <c r="I21" s="218">
        <v>6</v>
      </c>
      <c r="J21" s="225">
        <v>80</v>
      </c>
      <c r="K21" s="226">
        <v>-1.1000000000000001</v>
      </c>
      <c r="L21" s="226">
        <v>-0.5</v>
      </c>
      <c r="M21" s="226">
        <v>-0.7</v>
      </c>
      <c r="N21" s="221">
        <f t="shared" si="4"/>
        <v>0.30000000000000004</v>
      </c>
      <c r="P21" s="218">
        <v>6</v>
      </c>
      <c r="Q21" s="225">
        <v>1005</v>
      </c>
      <c r="R21" s="226" t="s">
        <v>93</v>
      </c>
      <c r="S21" s="226" t="s">
        <v>93</v>
      </c>
      <c r="T21" s="219" t="s">
        <v>93</v>
      </c>
      <c r="U21" s="221">
        <f t="shared" si="5"/>
        <v>0</v>
      </c>
    </row>
    <row r="22" spans="1:24" ht="13.8" thickBot="1">
      <c r="A22" s="841"/>
      <c r="B22" s="218">
        <v>7</v>
      </c>
      <c r="C22" s="225">
        <v>40</v>
      </c>
      <c r="D22" s="226">
        <v>0.6</v>
      </c>
      <c r="E22" s="226">
        <v>-0.1</v>
      </c>
      <c r="F22" s="226">
        <v>-0.3</v>
      </c>
      <c r="G22" s="221">
        <f t="shared" si="3"/>
        <v>0.44999999999999996</v>
      </c>
      <c r="I22" s="218">
        <v>7</v>
      </c>
      <c r="J22" s="225">
        <v>90</v>
      </c>
      <c r="K22" s="226">
        <v>1.2</v>
      </c>
      <c r="L22" s="226">
        <v>1.7</v>
      </c>
      <c r="M22" s="226">
        <v>-0.3</v>
      </c>
      <c r="N22" s="221">
        <f t="shared" si="4"/>
        <v>1</v>
      </c>
      <c r="P22" s="218">
        <v>7</v>
      </c>
      <c r="Q22" s="225">
        <v>1020</v>
      </c>
      <c r="R22" s="226" t="s">
        <v>93</v>
      </c>
      <c r="S22" s="226" t="s">
        <v>93</v>
      </c>
      <c r="T22" s="219" t="s">
        <v>93</v>
      </c>
      <c r="U22" s="221">
        <f t="shared" si="5"/>
        <v>0</v>
      </c>
    </row>
    <row r="23" spans="1:24" ht="13.8" thickBot="1">
      <c r="A23" s="227"/>
      <c r="B23" s="228"/>
      <c r="O23" s="229"/>
      <c r="P23" s="230"/>
    </row>
    <row r="24" spans="1:24">
      <c r="A24" s="848">
        <v>3</v>
      </c>
      <c r="B24" s="842" t="s">
        <v>247</v>
      </c>
      <c r="C24" s="842"/>
      <c r="D24" s="842"/>
      <c r="E24" s="842"/>
      <c r="F24" s="842"/>
      <c r="G24" s="842"/>
      <c r="I24" s="842" t="str">
        <f>B24</f>
        <v>KOREKSI KIMO THERMOHYGROMETER 14082463</v>
      </c>
      <c r="J24" s="842"/>
      <c r="K24" s="842"/>
      <c r="L24" s="842"/>
      <c r="M24" s="842"/>
      <c r="N24" s="842"/>
      <c r="P24" s="842" t="str">
        <f>I24</f>
        <v>KOREKSI KIMO THERMOHYGROMETER 14082463</v>
      </c>
      <c r="Q24" s="842"/>
      <c r="R24" s="842"/>
      <c r="S24" s="842"/>
      <c r="T24" s="842"/>
      <c r="U24" s="842"/>
      <c r="W24" s="836" t="s">
        <v>208</v>
      </c>
      <c r="X24" s="837"/>
    </row>
    <row r="25" spans="1:24">
      <c r="A25" s="849"/>
      <c r="B25" s="838" t="s">
        <v>7</v>
      </c>
      <c r="C25" s="838"/>
      <c r="D25" s="838" t="s">
        <v>241</v>
      </c>
      <c r="E25" s="838"/>
      <c r="F25" s="838"/>
      <c r="G25" s="838" t="s">
        <v>242</v>
      </c>
      <c r="I25" s="838" t="s">
        <v>204</v>
      </c>
      <c r="J25" s="838"/>
      <c r="K25" s="838" t="s">
        <v>241</v>
      </c>
      <c r="L25" s="838"/>
      <c r="M25" s="838"/>
      <c r="N25" s="838" t="s">
        <v>242</v>
      </c>
      <c r="P25" s="838" t="s">
        <v>243</v>
      </c>
      <c r="Q25" s="838"/>
      <c r="R25" s="838" t="s">
        <v>241</v>
      </c>
      <c r="S25" s="838"/>
      <c r="T25" s="838"/>
      <c r="U25" s="838" t="s">
        <v>242</v>
      </c>
      <c r="W25" s="215" t="s">
        <v>7</v>
      </c>
      <c r="X25" s="216">
        <v>0.5</v>
      </c>
    </row>
    <row r="26" spans="1:24" ht="14.4">
      <c r="A26" s="849"/>
      <c r="B26" s="839" t="s">
        <v>244</v>
      </c>
      <c r="C26" s="839"/>
      <c r="D26" s="217">
        <v>2023</v>
      </c>
      <c r="E26" s="217">
        <v>2021</v>
      </c>
      <c r="F26" s="217">
        <v>2018</v>
      </c>
      <c r="G26" s="838"/>
      <c r="I26" s="840" t="s">
        <v>24</v>
      </c>
      <c r="J26" s="839"/>
      <c r="K26" s="217">
        <f>D26</f>
        <v>2023</v>
      </c>
      <c r="L26" s="217">
        <f>E26</f>
        <v>2021</v>
      </c>
      <c r="M26" s="217">
        <f>F26</f>
        <v>2018</v>
      </c>
      <c r="N26" s="838"/>
      <c r="P26" s="840" t="s">
        <v>245</v>
      </c>
      <c r="Q26" s="839"/>
      <c r="R26" s="217">
        <f>K26</f>
        <v>2023</v>
      </c>
      <c r="S26" s="217">
        <f>L26</f>
        <v>2021</v>
      </c>
      <c r="T26" s="217">
        <f>M26</f>
        <v>2018</v>
      </c>
      <c r="U26" s="838"/>
      <c r="W26" s="215" t="s">
        <v>24</v>
      </c>
      <c r="X26" s="216">
        <v>2.4</v>
      </c>
    </row>
    <row r="27" spans="1:24" ht="13.8" thickBot="1">
      <c r="A27" s="849"/>
      <c r="B27" s="218">
        <v>1</v>
      </c>
      <c r="C27" s="219">
        <v>15</v>
      </c>
      <c r="D27" s="220">
        <v>0.2</v>
      </c>
      <c r="E27" s="220">
        <v>0.4</v>
      </c>
      <c r="F27" s="220">
        <v>9.9999999999999995E-7</v>
      </c>
      <c r="G27" s="221">
        <f>0.5*(MAX(D27:F27)-MIN(D27:F27))</f>
        <v>0.19999950000000002</v>
      </c>
      <c r="I27" s="218">
        <v>1</v>
      </c>
      <c r="J27" s="219">
        <v>35</v>
      </c>
      <c r="K27" s="220">
        <v>-11.5</v>
      </c>
      <c r="L27" s="220">
        <v>-7.3</v>
      </c>
      <c r="M27" s="220">
        <v>-5.7</v>
      </c>
      <c r="N27" s="221">
        <f>0.5*(MAX(K27:M27)-MIN(K27:M27))</f>
        <v>2.9</v>
      </c>
      <c r="P27" s="218">
        <v>1</v>
      </c>
      <c r="Q27" s="219">
        <v>750</v>
      </c>
      <c r="R27" s="222" t="s">
        <v>93</v>
      </c>
      <c r="S27" s="222" t="s">
        <v>93</v>
      </c>
      <c r="T27" s="219" t="s">
        <v>93</v>
      </c>
      <c r="U27" s="221">
        <f>0.5*(MAX(R27:T27)-MIN(R27:S27))</f>
        <v>0</v>
      </c>
      <c r="W27" s="223" t="s">
        <v>245</v>
      </c>
      <c r="X27" s="224">
        <v>0</v>
      </c>
    </row>
    <row r="28" spans="1:24">
      <c r="A28" s="849"/>
      <c r="B28" s="218">
        <v>2</v>
      </c>
      <c r="C28" s="219">
        <v>20</v>
      </c>
      <c r="D28" s="220">
        <v>0.2</v>
      </c>
      <c r="E28" s="220">
        <v>1</v>
      </c>
      <c r="F28" s="220">
        <v>9.9999999999999995E-7</v>
      </c>
      <c r="G28" s="221">
        <f t="shared" ref="G28:G33" si="6">0.5*(MAX(D28:F28)-MIN(D28:F28))</f>
        <v>0.49999949999999999</v>
      </c>
      <c r="I28" s="218">
        <v>2</v>
      </c>
      <c r="J28" s="219">
        <v>40</v>
      </c>
      <c r="K28" s="220">
        <v>-9.6999999999999993</v>
      </c>
      <c r="L28" s="220">
        <v>-5.9</v>
      </c>
      <c r="M28" s="220">
        <v>-5.3</v>
      </c>
      <c r="N28" s="221">
        <f t="shared" ref="N28:N33" si="7">0.5*(MAX(K28:M28)-MIN(K28:M28))</f>
        <v>2.1999999999999997</v>
      </c>
      <c r="P28" s="218">
        <v>2</v>
      </c>
      <c r="Q28" s="219">
        <v>800</v>
      </c>
      <c r="R28" s="222" t="s">
        <v>93</v>
      </c>
      <c r="S28" s="222" t="s">
        <v>93</v>
      </c>
      <c r="T28" s="219" t="s">
        <v>93</v>
      </c>
      <c r="U28" s="221">
        <f t="shared" ref="U28:U33" si="8">0.5*(MAX(R28:T28)-MIN(R28:S28))</f>
        <v>0</v>
      </c>
    </row>
    <row r="29" spans="1:24">
      <c r="A29" s="849"/>
      <c r="B29" s="218">
        <v>3</v>
      </c>
      <c r="C29" s="219">
        <v>25</v>
      </c>
      <c r="D29" s="220">
        <v>0.3</v>
      </c>
      <c r="E29" s="220">
        <v>0.7</v>
      </c>
      <c r="F29" s="220">
        <v>-0.1</v>
      </c>
      <c r="G29" s="221">
        <f t="shared" si="6"/>
        <v>0.39999999999999997</v>
      </c>
      <c r="I29" s="218">
        <v>3</v>
      </c>
      <c r="J29" s="219">
        <v>50</v>
      </c>
      <c r="K29" s="220">
        <v>-7.9</v>
      </c>
      <c r="L29" s="220">
        <v>-4.5</v>
      </c>
      <c r="M29" s="220">
        <v>-4.9000000000000004</v>
      </c>
      <c r="N29" s="221">
        <f t="shared" si="7"/>
        <v>1.7000000000000002</v>
      </c>
      <c r="P29" s="218">
        <v>3</v>
      </c>
      <c r="Q29" s="219">
        <v>850</v>
      </c>
      <c r="R29" s="222" t="s">
        <v>93</v>
      </c>
      <c r="S29" s="222" t="s">
        <v>93</v>
      </c>
      <c r="T29" s="219" t="s">
        <v>93</v>
      </c>
      <c r="U29" s="221">
        <f t="shared" si="8"/>
        <v>0</v>
      </c>
    </row>
    <row r="30" spans="1:24">
      <c r="A30" s="849"/>
      <c r="B30" s="218">
        <v>4</v>
      </c>
      <c r="C30" s="225">
        <v>30</v>
      </c>
      <c r="D30" s="226">
        <v>0.3</v>
      </c>
      <c r="E30" s="226">
        <v>9.9999999999999995E-7</v>
      </c>
      <c r="F30" s="226">
        <v>-0.3</v>
      </c>
      <c r="G30" s="221">
        <f t="shared" si="6"/>
        <v>0.3</v>
      </c>
      <c r="I30" s="218">
        <v>4</v>
      </c>
      <c r="J30" s="225">
        <v>60</v>
      </c>
      <c r="K30" s="226">
        <v>-6.2</v>
      </c>
      <c r="L30" s="226">
        <v>-3.2</v>
      </c>
      <c r="M30" s="226">
        <v>-4.3</v>
      </c>
      <c r="N30" s="221">
        <f t="shared" si="7"/>
        <v>1.5</v>
      </c>
      <c r="P30" s="218">
        <v>4</v>
      </c>
      <c r="Q30" s="225">
        <v>900</v>
      </c>
      <c r="R30" s="226" t="s">
        <v>93</v>
      </c>
      <c r="S30" s="226" t="s">
        <v>93</v>
      </c>
      <c r="T30" s="219" t="s">
        <v>93</v>
      </c>
      <c r="U30" s="221">
        <f t="shared" si="8"/>
        <v>0</v>
      </c>
    </row>
    <row r="31" spans="1:24">
      <c r="A31" s="849"/>
      <c r="B31" s="218">
        <v>5</v>
      </c>
      <c r="C31" s="225">
        <v>35</v>
      </c>
      <c r="D31" s="226">
        <v>0.3</v>
      </c>
      <c r="E31" s="226">
        <v>-0.3</v>
      </c>
      <c r="F31" s="226">
        <v>-0.5</v>
      </c>
      <c r="G31" s="221">
        <f t="shared" si="6"/>
        <v>0.4</v>
      </c>
      <c r="I31" s="218">
        <v>5</v>
      </c>
      <c r="J31" s="225">
        <v>70</v>
      </c>
      <c r="K31" s="226">
        <v>-4.4000000000000004</v>
      </c>
      <c r="L31" s="226">
        <v>-2</v>
      </c>
      <c r="M31" s="226">
        <v>-3.6</v>
      </c>
      <c r="N31" s="221">
        <f t="shared" si="7"/>
        <v>1.2000000000000002</v>
      </c>
      <c r="P31" s="218">
        <v>5</v>
      </c>
      <c r="Q31" s="225">
        <v>1000</v>
      </c>
      <c r="R31" s="226" t="s">
        <v>93</v>
      </c>
      <c r="S31" s="226" t="s">
        <v>93</v>
      </c>
      <c r="T31" s="219" t="s">
        <v>93</v>
      </c>
      <c r="U31" s="221">
        <f t="shared" si="8"/>
        <v>0</v>
      </c>
    </row>
    <row r="32" spans="1:24">
      <c r="A32" s="849"/>
      <c r="B32" s="218">
        <v>6</v>
      </c>
      <c r="C32" s="225">
        <v>37</v>
      </c>
      <c r="D32" s="226">
        <v>0.3</v>
      </c>
      <c r="E32" s="226">
        <v>-0.2</v>
      </c>
      <c r="F32" s="226">
        <v>-0.6</v>
      </c>
      <c r="G32" s="221">
        <f t="shared" si="6"/>
        <v>0.44999999999999996</v>
      </c>
      <c r="I32" s="218">
        <v>6</v>
      </c>
      <c r="J32" s="225">
        <v>80</v>
      </c>
      <c r="K32" s="226">
        <v>-2.7</v>
      </c>
      <c r="L32" s="226">
        <v>-0.8</v>
      </c>
      <c r="M32" s="226">
        <v>-2.9</v>
      </c>
      <c r="N32" s="221">
        <f t="shared" si="7"/>
        <v>1.0499999999999998</v>
      </c>
      <c r="P32" s="218">
        <v>6</v>
      </c>
      <c r="Q32" s="225">
        <v>1005</v>
      </c>
      <c r="R32" s="226" t="s">
        <v>93</v>
      </c>
      <c r="S32" s="226" t="s">
        <v>93</v>
      </c>
      <c r="T32" s="219" t="s">
        <v>93</v>
      </c>
      <c r="U32" s="221">
        <f t="shared" si="8"/>
        <v>0</v>
      </c>
    </row>
    <row r="33" spans="1:24" ht="13.8" thickBot="1">
      <c r="A33" s="850"/>
      <c r="B33" s="218">
        <v>7</v>
      </c>
      <c r="C33" s="225">
        <v>40</v>
      </c>
      <c r="D33" s="226">
        <v>0.3</v>
      </c>
      <c r="E33" s="226">
        <v>0.2</v>
      </c>
      <c r="F33" s="226">
        <v>-0.7</v>
      </c>
      <c r="G33" s="221">
        <f t="shared" si="6"/>
        <v>0.5</v>
      </c>
      <c r="I33" s="218">
        <v>7</v>
      </c>
      <c r="J33" s="225">
        <v>90</v>
      </c>
      <c r="K33" s="226">
        <v>-0.9</v>
      </c>
      <c r="L33" s="226">
        <v>0.3</v>
      </c>
      <c r="M33" s="226">
        <v>-2</v>
      </c>
      <c r="N33" s="221">
        <f t="shared" si="7"/>
        <v>1.1499999999999999</v>
      </c>
      <c r="P33" s="218">
        <v>7</v>
      </c>
      <c r="Q33" s="225">
        <v>1020</v>
      </c>
      <c r="R33" s="226" t="s">
        <v>93</v>
      </c>
      <c r="S33" s="226" t="s">
        <v>93</v>
      </c>
      <c r="T33" s="219" t="s">
        <v>93</v>
      </c>
      <c r="U33" s="221">
        <f t="shared" si="8"/>
        <v>0</v>
      </c>
    </row>
    <row r="34" spans="1:24" ht="13.8" thickBot="1">
      <c r="A34" s="227"/>
      <c r="B34" s="228"/>
      <c r="H34" s="232"/>
      <c r="O34" s="229"/>
      <c r="P34" s="230"/>
    </row>
    <row r="35" spans="1:24">
      <c r="A35" s="845">
        <v>4</v>
      </c>
      <c r="B35" s="842" t="s">
        <v>248</v>
      </c>
      <c r="C35" s="842"/>
      <c r="D35" s="842"/>
      <c r="E35" s="842"/>
      <c r="F35" s="842"/>
      <c r="G35" s="842"/>
      <c r="I35" s="842" t="str">
        <f>B35</f>
        <v>KOREKSI KIMO THERMOHYGROMETER 15062872</v>
      </c>
      <c r="J35" s="842"/>
      <c r="K35" s="842"/>
      <c r="L35" s="842"/>
      <c r="M35" s="842"/>
      <c r="N35" s="842"/>
      <c r="P35" s="842" t="str">
        <f>I35</f>
        <v>KOREKSI KIMO THERMOHYGROMETER 15062872</v>
      </c>
      <c r="Q35" s="842"/>
      <c r="R35" s="842"/>
      <c r="S35" s="842"/>
      <c r="T35" s="842"/>
      <c r="U35" s="842"/>
      <c r="W35" s="836" t="s">
        <v>208</v>
      </c>
      <c r="X35" s="837"/>
    </row>
    <row r="36" spans="1:24">
      <c r="A36" s="846"/>
      <c r="B36" s="838" t="s">
        <v>7</v>
      </c>
      <c r="C36" s="838"/>
      <c r="D36" s="838" t="s">
        <v>241</v>
      </c>
      <c r="E36" s="838"/>
      <c r="F36" s="838"/>
      <c r="G36" s="838" t="s">
        <v>242</v>
      </c>
      <c r="I36" s="838" t="s">
        <v>204</v>
      </c>
      <c r="J36" s="838"/>
      <c r="K36" s="838" t="s">
        <v>241</v>
      </c>
      <c r="L36" s="838"/>
      <c r="M36" s="838"/>
      <c r="N36" s="838" t="s">
        <v>242</v>
      </c>
      <c r="P36" s="838" t="s">
        <v>243</v>
      </c>
      <c r="Q36" s="838"/>
      <c r="R36" s="838" t="s">
        <v>241</v>
      </c>
      <c r="S36" s="838"/>
      <c r="T36" s="838"/>
      <c r="U36" s="838" t="s">
        <v>242</v>
      </c>
      <c r="W36" s="215" t="s">
        <v>7</v>
      </c>
      <c r="X36" s="216">
        <v>0.3</v>
      </c>
    </row>
    <row r="37" spans="1:24" ht="14.4">
      <c r="A37" s="846"/>
      <c r="B37" s="839" t="s">
        <v>244</v>
      </c>
      <c r="C37" s="839"/>
      <c r="D37" s="217">
        <v>2019</v>
      </c>
      <c r="E37" s="217">
        <v>2017</v>
      </c>
      <c r="F37" s="217">
        <v>2016</v>
      </c>
      <c r="G37" s="838"/>
      <c r="I37" s="840" t="s">
        <v>24</v>
      </c>
      <c r="J37" s="839"/>
      <c r="K37" s="217">
        <f>D37</f>
        <v>2019</v>
      </c>
      <c r="L37" s="217">
        <f>E37</f>
        <v>2017</v>
      </c>
      <c r="M37" s="217">
        <v>2016</v>
      </c>
      <c r="N37" s="838"/>
      <c r="P37" s="840" t="s">
        <v>245</v>
      </c>
      <c r="Q37" s="839"/>
      <c r="R37" s="217">
        <f>K37</f>
        <v>2019</v>
      </c>
      <c r="S37" s="217">
        <f>L37</f>
        <v>2017</v>
      </c>
      <c r="T37" s="217">
        <v>2016</v>
      </c>
      <c r="U37" s="838"/>
      <c r="W37" s="215" t="s">
        <v>24</v>
      </c>
      <c r="X37" s="216">
        <v>1.3</v>
      </c>
    </row>
    <row r="38" spans="1:24" ht="13.8" thickBot="1">
      <c r="A38" s="846"/>
      <c r="B38" s="218">
        <v>1</v>
      </c>
      <c r="C38" s="219">
        <v>15</v>
      </c>
      <c r="D38" s="220">
        <v>-0.2</v>
      </c>
      <c r="E38" s="220">
        <v>-0.1</v>
      </c>
      <c r="F38" s="231"/>
      <c r="G38" s="221">
        <f>0.5*(MAX(D38:F38)-MIN(D38:F38))</f>
        <v>0.05</v>
      </c>
      <c r="I38" s="218">
        <v>1</v>
      </c>
      <c r="J38" s="219">
        <v>35</v>
      </c>
      <c r="K38" s="220">
        <v>-4.5</v>
      </c>
      <c r="L38" s="220">
        <v>-1.7</v>
      </c>
      <c r="M38" s="231"/>
      <c r="N38" s="221">
        <f>0.5*(MAX(K38:M38)-MIN(K38:M38))</f>
        <v>1.4</v>
      </c>
      <c r="P38" s="218">
        <v>1</v>
      </c>
      <c r="Q38" s="219">
        <v>750</v>
      </c>
      <c r="R38" s="222" t="s">
        <v>93</v>
      </c>
      <c r="S38" s="222" t="s">
        <v>93</v>
      </c>
      <c r="T38" s="219">
        <v>9.9999999999999995E-7</v>
      </c>
      <c r="U38" s="221">
        <f>0.5*(MAX(R38:T38)-MIN(R38:T38))</f>
        <v>0</v>
      </c>
      <c r="W38" s="223" t="s">
        <v>245</v>
      </c>
      <c r="X38" s="224">
        <v>0</v>
      </c>
    </row>
    <row r="39" spans="1:24">
      <c r="A39" s="846"/>
      <c r="B39" s="218">
        <v>2</v>
      </c>
      <c r="C39" s="219">
        <v>20</v>
      </c>
      <c r="D39" s="220">
        <v>-0.1</v>
      </c>
      <c r="E39" s="220">
        <v>-0.3</v>
      </c>
      <c r="F39" s="231"/>
      <c r="G39" s="221">
        <f t="shared" ref="G39:G44" si="9">0.5*(MAX(D39:F39)-MIN(D39:F39))</f>
        <v>9.9999999999999992E-2</v>
      </c>
      <c r="I39" s="218">
        <v>2</v>
      </c>
      <c r="J39" s="219">
        <v>40</v>
      </c>
      <c r="K39" s="220">
        <v>-4.4000000000000004</v>
      </c>
      <c r="L39" s="220">
        <v>-1.5</v>
      </c>
      <c r="M39" s="231"/>
      <c r="N39" s="221">
        <f t="shared" ref="N39:N44" si="10">0.5*(MAX(K39:L39)-MIN(K39:L39))</f>
        <v>1.4500000000000002</v>
      </c>
      <c r="P39" s="218">
        <v>2</v>
      </c>
      <c r="Q39" s="219">
        <v>800</v>
      </c>
      <c r="R39" s="222" t="s">
        <v>93</v>
      </c>
      <c r="S39" s="222" t="s">
        <v>93</v>
      </c>
      <c r="T39" s="219">
        <v>9.9999999999999995E-7</v>
      </c>
      <c r="U39" s="221">
        <f t="shared" ref="U39:U44" si="11">0.5*(MAX(R39:T39)-MIN(R39:T39))</f>
        <v>0</v>
      </c>
    </row>
    <row r="40" spans="1:24">
      <c r="A40" s="846"/>
      <c r="B40" s="218">
        <v>3</v>
      </c>
      <c r="C40" s="219">
        <v>25</v>
      </c>
      <c r="D40" s="220">
        <v>-0.1</v>
      </c>
      <c r="E40" s="220">
        <v>-0.5</v>
      </c>
      <c r="F40" s="231"/>
      <c r="G40" s="221">
        <f t="shared" si="9"/>
        <v>0.2</v>
      </c>
      <c r="I40" s="218">
        <v>3</v>
      </c>
      <c r="J40" s="219">
        <v>50</v>
      </c>
      <c r="K40" s="220">
        <v>-4.3</v>
      </c>
      <c r="L40" s="220">
        <v>-1</v>
      </c>
      <c r="M40" s="231"/>
      <c r="N40" s="221">
        <f t="shared" si="10"/>
        <v>1.65</v>
      </c>
      <c r="P40" s="218">
        <v>3</v>
      </c>
      <c r="Q40" s="219">
        <v>850</v>
      </c>
      <c r="R40" s="222" t="s">
        <v>93</v>
      </c>
      <c r="S40" s="222" t="s">
        <v>93</v>
      </c>
      <c r="T40" s="219">
        <v>9.9999999999999995E-7</v>
      </c>
      <c r="U40" s="221">
        <f t="shared" si="11"/>
        <v>0</v>
      </c>
    </row>
    <row r="41" spans="1:24">
      <c r="A41" s="846"/>
      <c r="B41" s="218">
        <v>4</v>
      </c>
      <c r="C41" s="225">
        <v>30</v>
      </c>
      <c r="D41" s="226">
        <v>-0.1</v>
      </c>
      <c r="E41" s="226">
        <v>-0.6</v>
      </c>
      <c r="F41" s="231"/>
      <c r="G41" s="221">
        <f t="shared" si="9"/>
        <v>0.25</v>
      </c>
      <c r="I41" s="218">
        <v>4</v>
      </c>
      <c r="J41" s="225">
        <v>60</v>
      </c>
      <c r="K41" s="226">
        <v>-4.2</v>
      </c>
      <c r="L41" s="226">
        <v>-0.3</v>
      </c>
      <c r="M41" s="231"/>
      <c r="N41" s="221">
        <f t="shared" si="10"/>
        <v>1.9500000000000002</v>
      </c>
      <c r="P41" s="218">
        <v>4</v>
      </c>
      <c r="Q41" s="225">
        <v>900</v>
      </c>
      <c r="R41" s="226" t="s">
        <v>93</v>
      </c>
      <c r="S41" s="226" t="s">
        <v>93</v>
      </c>
      <c r="T41" s="219">
        <v>9.9999999999999995E-7</v>
      </c>
      <c r="U41" s="221">
        <f t="shared" si="11"/>
        <v>0</v>
      </c>
    </row>
    <row r="42" spans="1:24">
      <c r="A42" s="846"/>
      <c r="B42" s="218">
        <v>5</v>
      </c>
      <c r="C42" s="225">
        <v>35</v>
      </c>
      <c r="D42" s="226">
        <v>-0.3</v>
      </c>
      <c r="E42" s="226">
        <v>-0.6</v>
      </c>
      <c r="F42" s="231"/>
      <c r="G42" s="221">
        <f t="shared" si="9"/>
        <v>0.15</v>
      </c>
      <c r="I42" s="218">
        <v>5</v>
      </c>
      <c r="J42" s="225">
        <v>70</v>
      </c>
      <c r="K42" s="226">
        <v>-4</v>
      </c>
      <c r="L42" s="226">
        <v>0.7</v>
      </c>
      <c r="M42" s="231"/>
      <c r="N42" s="221">
        <f t="shared" si="10"/>
        <v>2.35</v>
      </c>
      <c r="P42" s="218">
        <v>5</v>
      </c>
      <c r="Q42" s="225">
        <v>1000</v>
      </c>
      <c r="R42" s="226" t="s">
        <v>93</v>
      </c>
      <c r="S42" s="226" t="s">
        <v>93</v>
      </c>
      <c r="T42" s="219">
        <v>9.9999999999999995E-7</v>
      </c>
      <c r="U42" s="221">
        <f t="shared" si="11"/>
        <v>0</v>
      </c>
    </row>
    <row r="43" spans="1:24">
      <c r="A43" s="846"/>
      <c r="B43" s="218">
        <v>6</v>
      </c>
      <c r="C43" s="225">
        <v>37</v>
      </c>
      <c r="D43" s="226">
        <v>-0.4</v>
      </c>
      <c r="E43" s="226">
        <v>-0.6</v>
      </c>
      <c r="F43" s="231"/>
      <c r="G43" s="221">
        <f t="shared" si="9"/>
        <v>9.9999999999999978E-2</v>
      </c>
      <c r="I43" s="218">
        <v>6</v>
      </c>
      <c r="J43" s="225">
        <v>80</v>
      </c>
      <c r="K43" s="226">
        <v>-3.8</v>
      </c>
      <c r="L43" s="226">
        <v>1.9</v>
      </c>
      <c r="M43" s="231"/>
      <c r="N43" s="221">
        <f t="shared" si="10"/>
        <v>2.8499999999999996</v>
      </c>
      <c r="P43" s="218">
        <v>6</v>
      </c>
      <c r="Q43" s="225">
        <v>1005</v>
      </c>
      <c r="R43" s="226" t="s">
        <v>93</v>
      </c>
      <c r="S43" s="226" t="s">
        <v>93</v>
      </c>
      <c r="T43" s="219">
        <v>9.9999999999999995E-7</v>
      </c>
      <c r="U43" s="221">
        <f t="shared" si="11"/>
        <v>0</v>
      </c>
    </row>
    <row r="44" spans="1:24" ht="13.8" thickBot="1">
      <c r="A44" s="847"/>
      <c r="B44" s="218">
        <v>7</v>
      </c>
      <c r="C44" s="225">
        <v>40</v>
      </c>
      <c r="D44" s="226">
        <v>-0.5</v>
      </c>
      <c r="E44" s="226">
        <v>-0.6</v>
      </c>
      <c r="F44" s="231"/>
      <c r="G44" s="221">
        <f t="shared" si="9"/>
        <v>4.9999999999999989E-2</v>
      </c>
      <c r="I44" s="218">
        <v>7</v>
      </c>
      <c r="J44" s="225">
        <v>90</v>
      </c>
      <c r="K44" s="226">
        <v>-3.5</v>
      </c>
      <c r="L44" s="226">
        <v>3.3</v>
      </c>
      <c r="M44" s="231"/>
      <c r="N44" s="221">
        <f t="shared" si="10"/>
        <v>3.4</v>
      </c>
      <c r="P44" s="218">
        <v>7</v>
      </c>
      <c r="Q44" s="225">
        <v>1020</v>
      </c>
      <c r="R44" s="226" t="s">
        <v>93</v>
      </c>
      <c r="S44" s="226" t="s">
        <v>93</v>
      </c>
      <c r="T44" s="219">
        <v>9.9999999999999995E-7</v>
      </c>
      <c r="U44" s="221">
        <f t="shared" si="11"/>
        <v>0</v>
      </c>
    </row>
    <row r="45" spans="1:24" ht="13.8" thickBot="1">
      <c r="A45" s="227"/>
      <c r="B45" s="228"/>
      <c r="O45" s="229"/>
      <c r="P45" s="230"/>
    </row>
    <row r="46" spans="1:24">
      <c r="A46" s="848">
        <v>5</v>
      </c>
      <c r="B46" s="842" t="s">
        <v>249</v>
      </c>
      <c r="C46" s="842"/>
      <c r="D46" s="842"/>
      <c r="E46" s="842"/>
      <c r="F46" s="842"/>
      <c r="G46" s="842"/>
      <c r="I46" s="842" t="str">
        <f>B46</f>
        <v>KOREKSI KIMO THERMOHYGROMETER 15062875</v>
      </c>
      <c r="J46" s="842"/>
      <c r="K46" s="842"/>
      <c r="L46" s="842"/>
      <c r="M46" s="842"/>
      <c r="N46" s="842"/>
      <c r="P46" s="842" t="str">
        <f>I46</f>
        <v>KOREKSI KIMO THERMOHYGROMETER 15062875</v>
      </c>
      <c r="Q46" s="842"/>
      <c r="R46" s="842"/>
      <c r="S46" s="842"/>
      <c r="T46" s="842"/>
      <c r="U46" s="842"/>
      <c r="W46" s="836" t="s">
        <v>208</v>
      </c>
      <c r="X46" s="837"/>
    </row>
    <row r="47" spans="1:24">
      <c r="A47" s="849"/>
      <c r="B47" s="838" t="s">
        <v>7</v>
      </c>
      <c r="C47" s="838"/>
      <c r="D47" s="838" t="s">
        <v>241</v>
      </c>
      <c r="E47" s="838"/>
      <c r="F47" s="838"/>
      <c r="G47" s="838" t="s">
        <v>242</v>
      </c>
      <c r="I47" s="838" t="s">
        <v>204</v>
      </c>
      <c r="J47" s="838"/>
      <c r="K47" s="838" t="s">
        <v>241</v>
      </c>
      <c r="L47" s="838"/>
      <c r="M47" s="838"/>
      <c r="N47" s="838" t="s">
        <v>242</v>
      </c>
      <c r="P47" s="838" t="s">
        <v>243</v>
      </c>
      <c r="Q47" s="838"/>
      <c r="R47" s="838" t="s">
        <v>241</v>
      </c>
      <c r="S47" s="838"/>
      <c r="T47" s="838"/>
      <c r="U47" s="838" t="s">
        <v>242</v>
      </c>
      <c r="W47" s="215" t="s">
        <v>7</v>
      </c>
      <c r="X47" s="216">
        <v>0.3</v>
      </c>
    </row>
    <row r="48" spans="1:24" ht="14.4">
      <c r="A48" s="849"/>
      <c r="B48" s="839" t="s">
        <v>244</v>
      </c>
      <c r="C48" s="839"/>
      <c r="D48" s="217">
        <v>2023</v>
      </c>
      <c r="E48" s="217">
        <v>2021</v>
      </c>
      <c r="F48" s="217">
        <v>2020</v>
      </c>
      <c r="G48" s="838"/>
      <c r="I48" s="840" t="s">
        <v>24</v>
      </c>
      <c r="J48" s="839"/>
      <c r="K48" s="217">
        <f>D48</f>
        <v>2023</v>
      </c>
      <c r="L48" s="217">
        <f>E48</f>
        <v>2021</v>
      </c>
      <c r="M48" s="217">
        <f>F48</f>
        <v>2020</v>
      </c>
      <c r="N48" s="838"/>
      <c r="P48" s="840" t="s">
        <v>245</v>
      </c>
      <c r="Q48" s="839"/>
      <c r="R48" s="217">
        <f>K48</f>
        <v>2023</v>
      </c>
      <c r="S48" s="217">
        <f>L48</f>
        <v>2021</v>
      </c>
      <c r="T48" s="217">
        <f>M48</f>
        <v>2020</v>
      </c>
      <c r="U48" s="838"/>
      <c r="W48" s="215" t="s">
        <v>24</v>
      </c>
      <c r="X48" s="216">
        <v>2.2999999999999998</v>
      </c>
    </row>
    <row r="49" spans="1:24" ht="13.8" thickBot="1">
      <c r="A49" s="849"/>
      <c r="B49" s="218">
        <v>1</v>
      </c>
      <c r="C49" s="219">
        <v>15</v>
      </c>
      <c r="D49" s="220">
        <v>0.3</v>
      </c>
      <c r="E49" s="220">
        <v>-0.1</v>
      </c>
      <c r="F49" s="220">
        <v>-0.3</v>
      </c>
      <c r="G49" s="221">
        <f>0.5*(MAX(D49:F49)-MIN(D49:F49))</f>
        <v>0.3</v>
      </c>
      <c r="I49" s="218">
        <v>1</v>
      </c>
      <c r="J49" s="219">
        <v>35</v>
      </c>
      <c r="K49" s="220">
        <v>-10.5</v>
      </c>
      <c r="L49" s="220">
        <v>-9.6999999999999993</v>
      </c>
      <c r="M49" s="220">
        <v>-7.7</v>
      </c>
      <c r="N49" s="221">
        <f>0.5*(MAX(K49:M49)-MIN(K49:M49))</f>
        <v>1.4</v>
      </c>
      <c r="P49" s="218">
        <v>1</v>
      </c>
      <c r="Q49" s="219">
        <v>750</v>
      </c>
      <c r="R49" s="222" t="s">
        <v>93</v>
      </c>
      <c r="S49" s="222" t="s">
        <v>93</v>
      </c>
      <c r="T49" s="219" t="s">
        <v>93</v>
      </c>
      <c r="U49" s="221">
        <f>0.5*(MAX(R49:T49)-MIN(R49:T49))</f>
        <v>0</v>
      </c>
      <c r="W49" s="223" t="s">
        <v>245</v>
      </c>
      <c r="X49" s="224">
        <v>0</v>
      </c>
    </row>
    <row r="50" spans="1:24">
      <c r="A50" s="849"/>
      <c r="B50" s="218">
        <v>2</v>
      </c>
      <c r="C50" s="219">
        <v>20</v>
      </c>
      <c r="D50" s="220">
        <v>0.4</v>
      </c>
      <c r="E50" s="220">
        <v>0.1</v>
      </c>
      <c r="F50" s="220">
        <v>0.1</v>
      </c>
      <c r="G50" s="221">
        <f t="shared" ref="G50:G55" si="12">0.5*(MAX(D50:F50)-MIN(D50:F50))</f>
        <v>0.15000000000000002</v>
      </c>
      <c r="I50" s="218">
        <v>2</v>
      </c>
      <c r="J50" s="219">
        <v>40</v>
      </c>
      <c r="K50" s="220">
        <v>-9.6</v>
      </c>
      <c r="L50" s="220">
        <v>-9.6999999999999993</v>
      </c>
      <c r="M50" s="220">
        <v>-7.2</v>
      </c>
      <c r="N50" s="221">
        <f t="shared" ref="N50:N55" si="13">0.5*(MAX(K50:M50)-MIN(K50:M50))</f>
        <v>1.2499999999999996</v>
      </c>
      <c r="P50" s="218">
        <v>2</v>
      </c>
      <c r="Q50" s="219">
        <v>800</v>
      </c>
      <c r="R50" s="222" t="s">
        <v>93</v>
      </c>
      <c r="S50" s="222" t="s">
        <v>93</v>
      </c>
      <c r="T50" s="219" t="s">
        <v>93</v>
      </c>
      <c r="U50" s="221">
        <f t="shared" ref="U50:U55" si="14">0.5*(MAX(R50:T50)-MIN(R50:T50))</f>
        <v>0</v>
      </c>
    </row>
    <row r="51" spans="1:24">
      <c r="A51" s="849"/>
      <c r="B51" s="218">
        <v>3</v>
      </c>
      <c r="C51" s="219">
        <v>25</v>
      </c>
      <c r="D51" s="220">
        <v>0.4</v>
      </c>
      <c r="E51" s="220">
        <v>0.2</v>
      </c>
      <c r="F51" s="220">
        <v>0.4</v>
      </c>
      <c r="G51" s="221">
        <f t="shared" si="12"/>
        <v>0.1</v>
      </c>
      <c r="I51" s="218">
        <v>3</v>
      </c>
      <c r="J51" s="219">
        <v>50</v>
      </c>
      <c r="K51" s="220">
        <v>-8.8000000000000007</v>
      </c>
      <c r="L51" s="220">
        <v>-9.1</v>
      </c>
      <c r="M51" s="220">
        <v>-6.2</v>
      </c>
      <c r="N51" s="221">
        <f t="shared" si="13"/>
        <v>1.4499999999999997</v>
      </c>
      <c r="P51" s="218">
        <v>3</v>
      </c>
      <c r="Q51" s="219">
        <v>850</v>
      </c>
      <c r="R51" s="222" t="s">
        <v>93</v>
      </c>
      <c r="S51" s="222" t="s">
        <v>93</v>
      </c>
      <c r="T51" s="219" t="s">
        <v>93</v>
      </c>
      <c r="U51" s="221">
        <f t="shared" si="14"/>
        <v>0</v>
      </c>
    </row>
    <row r="52" spans="1:24">
      <c r="A52" s="849"/>
      <c r="B52" s="218">
        <v>4</v>
      </c>
      <c r="C52" s="225">
        <v>30</v>
      </c>
      <c r="D52" s="226">
        <v>0.4</v>
      </c>
      <c r="E52" s="226">
        <v>0.1</v>
      </c>
      <c r="F52" s="226">
        <v>0.6</v>
      </c>
      <c r="G52" s="221">
        <f t="shared" si="12"/>
        <v>0.25</v>
      </c>
      <c r="I52" s="218">
        <v>4</v>
      </c>
      <c r="J52" s="225">
        <v>60</v>
      </c>
      <c r="K52" s="226">
        <v>-8</v>
      </c>
      <c r="L52" s="226">
        <v>-7.9</v>
      </c>
      <c r="M52" s="226">
        <v>-5.2</v>
      </c>
      <c r="N52" s="221">
        <f t="shared" si="13"/>
        <v>1.4</v>
      </c>
      <c r="P52" s="218">
        <v>4</v>
      </c>
      <c r="Q52" s="225">
        <v>900</v>
      </c>
      <c r="R52" s="226" t="s">
        <v>93</v>
      </c>
      <c r="S52" s="226" t="s">
        <v>93</v>
      </c>
      <c r="T52" s="219" t="s">
        <v>93</v>
      </c>
      <c r="U52" s="221">
        <f t="shared" si="14"/>
        <v>0</v>
      </c>
    </row>
    <row r="53" spans="1:24">
      <c r="A53" s="849"/>
      <c r="B53" s="218">
        <v>5</v>
      </c>
      <c r="C53" s="225">
        <v>35</v>
      </c>
      <c r="D53" s="226">
        <v>0.4</v>
      </c>
      <c r="E53" s="226">
        <v>0.1</v>
      </c>
      <c r="F53" s="226">
        <v>0.7</v>
      </c>
      <c r="G53" s="221">
        <f t="shared" si="12"/>
        <v>0.3</v>
      </c>
      <c r="I53" s="218">
        <v>5</v>
      </c>
      <c r="J53" s="225">
        <v>70</v>
      </c>
      <c r="K53" s="226">
        <v>-7.1</v>
      </c>
      <c r="L53" s="226">
        <v>-6.1</v>
      </c>
      <c r="M53" s="226">
        <v>-4.0999999999999996</v>
      </c>
      <c r="N53" s="221">
        <f t="shared" si="13"/>
        <v>1.5</v>
      </c>
      <c r="P53" s="218">
        <v>5</v>
      </c>
      <c r="Q53" s="225">
        <v>1000</v>
      </c>
      <c r="R53" s="226" t="s">
        <v>93</v>
      </c>
      <c r="S53" s="226" t="s">
        <v>93</v>
      </c>
      <c r="T53" s="219" t="s">
        <v>93</v>
      </c>
      <c r="U53" s="221">
        <f t="shared" si="14"/>
        <v>0</v>
      </c>
    </row>
    <row r="54" spans="1:24">
      <c r="A54" s="849"/>
      <c r="B54" s="218">
        <v>6</v>
      </c>
      <c r="C54" s="225">
        <v>37</v>
      </c>
      <c r="D54" s="226">
        <v>0.3</v>
      </c>
      <c r="E54" s="226">
        <v>0.1</v>
      </c>
      <c r="F54" s="226">
        <v>0.7</v>
      </c>
      <c r="G54" s="221">
        <f t="shared" si="12"/>
        <v>0.3</v>
      </c>
      <c r="I54" s="218">
        <v>6</v>
      </c>
      <c r="J54" s="225">
        <v>80</v>
      </c>
      <c r="K54" s="226">
        <v>-6.3</v>
      </c>
      <c r="L54" s="226">
        <v>-3.8</v>
      </c>
      <c r="M54" s="226">
        <v>-3</v>
      </c>
      <c r="N54" s="221">
        <f t="shared" si="13"/>
        <v>1.65</v>
      </c>
      <c r="P54" s="218">
        <v>6</v>
      </c>
      <c r="Q54" s="225">
        <v>1005</v>
      </c>
      <c r="R54" s="226" t="s">
        <v>93</v>
      </c>
      <c r="S54" s="226" t="s">
        <v>93</v>
      </c>
      <c r="T54" s="219" t="s">
        <v>93</v>
      </c>
      <c r="U54" s="221">
        <f t="shared" si="14"/>
        <v>0</v>
      </c>
    </row>
    <row r="55" spans="1:24" ht="13.8" thickBot="1">
      <c r="A55" s="850"/>
      <c r="B55" s="218">
        <v>7</v>
      </c>
      <c r="C55" s="225">
        <v>40</v>
      </c>
      <c r="D55" s="226">
        <v>0.3</v>
      </c>
      <c r="E55" s="226">
        <v>0.2</v>
      </c>
      <c r="F55" s="226">
        <v>0.7</v>
      </c>
      <c r="G55" s="221">
        <f t="shared" si="12"/>
        <v>0.24999999999999997</v>
      </c>
      <c r="I55" s="218">
        <v>7</v>
      </c>
      <c r="J55" s="225">
        <v>90</v>
      </c>
      <c r="K55" s="226">
        <v>-5.4</v>
      </c>
      <c r="L55" s="226">
        <v>-0.8</v>
      </c>
      <c r="M55" s="226">
        <v>-1.8</v>
      </c>
      <c r="N55" s="221">
        <f t="shared" si="13"/>
        <v>2.3000000000000003</v>
      </c>
      <c r="P55" s="218">
        <v>7</v>
      </c>
      <c r="Q55" s="225">
        <v>1020</v>
      </c>
      <c r="R55" s="226" t="s">
        <v>93</v>
      </c>
      <c r="S55" s="226" t="s">
        <v>93</v>
      </c>
      <c r="T55" s="219" t="s">
        <v>93</v>
      </c>
      <c r="U55" s="221">
        <f t="shared" si="14"/>
        <v>0</v>
      </c>
    </row>
    <row r="56" spans="1:24" ht="13.8" thickBot="1">
      <c r="A56" s="233"/>
      <c r="B56" s="123"/>
      <c r="C56" s="123"/>
      <c r="D56" s="123"/>
      <c r="E56" s="234"/>
      <c r="F56" s="235"/>
      <c r="G56" s="236"/>
      <c r="H56" s="123"/>
      <c r="I56" s="123"/>
      <c r="J56" s="123"/>
      <c r="K56" s="234"/>
      <c r="L56" s="235"/>
      <c r="O56" s="229"/>
      <c r="P56" s="230"/>
    </row>
    <row r="57" spans="1:24">
      <c r="A57" s="851">
        <v>6</v>
      </c>
      <c r="B57" s="842" t="s">
        <v>250</v>
      </c>
      <c r="C57" s="842"/>
      <c r="D57" s="842"/>
      <c r="E57" s="842"/>
      <c r="F57" s="842"/>
      <c r="G57" s="842"/>
      <c r="I57" s="842" t="str">
        <f>B57</f>
        <v>KOREKSI GREISINGER 34903046</v>
      </c>
      <c r="J57" s="842"/>
      <c r="K57" s="842"/>
      <c r="L57" s="842"/>
      <c r="M57" s="842"/>
      <c r="N57" s="842"/>
      <c r="P57" s="842" t="str">
        <f>I57</f>
        <v>KOREKSI GREISINGER 34903046</v>
      </c>
      <c r="Q57" s="842"/>
      <c r="R57" s="842"/>
      <c r="S57" s="842"/>
      <c r="T57" s="842"/>
      <c r="U57" s="842"/>
      <c r="W57" s="836" t="s">
        <v>208</v>
      </c>
      <c r="X57" s="837"/>
    </row>
    <row r="58" spans="1:24">
      <c r="A58" s="851"/>
      <c r="B58" s="838" t="s">
        <v>7</v>
      </c>
      <c r="C58" s="838"/>
      <c r="D58" s="838" t="s">
        <v>241</v>
      </c>
      <c r="E58" s="838"/>
      <c r="F58" s="838"/>
      <c r="G58" s="838" t="s">
        <v>242</v>
      </c>
      <c r="I58" s="838" t="s">
        <v>204</v>
      </c>
      <c r="J58" s="838"/>
      <c r="K58" s="838" t="s">
        <v>241</v>
      </c>
      <c r="L58" s="838"/>
      <c r="M58" s="838"/>
      <c r="N58" s="838" t="s">
        <v>242</v>
      </c>
      <c r="P58" s="838" t="s">
        <v>243</v>
      </c>
      <c r="Q58" s="838"/>
      <c r="R58" s="852" t="s">
        <v>241</v>
      </c>
      <c r="S58" s="853"/>
      <c r="T58" s="854"/>
      <c r="U58" s="838" t="s">
        <v>242</v>
      </c>
      <c r="W58" s="215" t="s">
        <v>7</v>
      </c>
      <c r="X58" s="216">
        <v>0.8</v>
      </c>
    </row>
    <row r="59" spans="1:24" ht="14.4">
      <c r="A59" s="851"/>
      <c r="B59" s="839" t="s">
        <v>244</v>
      </c>
      <c r="C59" s="839"/>
      <c r="D59" s="217">
        <v>2019</v>
      </c>
      <c r="E59" s="217">
        <v>2018</v>
      </c>
      <c r="F59" s="217">
        <v>2016</v>
      </c>
      <c r="G59" s="838"/>
      <c r="I59" s="840" t="s">
        <v>24</v>
      </c>
      <c r="J59" s="839"/>
      <c r="K59" s="217">
        <f>D59</f>
        <v>2019</v>
      </c>
      <c r="L59" s="217">
        <f>E59</f>
        <v>2018</v>
      </c>
      <c r="M59" s="217">
        <v>2016</v>
      </c>
      <c r="N59" s="838"/>
      <c r="P59" s="840" t="s">
        <v>245</v>
      </c>
      <c r="Q59" s="839"/>
      <c r="R59" s="217">
        <f>K59</f>
        <v>2019</v>
      </c>
      <c r="S59" s="217">
        <f>L59</f>
        <v>2018</v>
      </c>
      <c r="T59" s="217">
        <v>2016</v>
      </c>
      <c r="U59" s="838"/>
      <c r="W59" s="215" t="s">
        <v>24</v>
      </c>
      <c r="X59" s="216">
        <v>2.6</v>
      </c>
    </row>
    <row r="60" spans="1:24" ht="13.8" thickBot="1">
      <c r="A60" s="851"/>
      <c r="B60" s="218">
        <v>1</v>
      </c>
      <c r="C60" s="219">
        <v>15</v>
      </c>
      <c r="D60" s="219">
        <v>0.4</v>
      </c>
      <c r="E60" s="219">
        <v>0.4</v>
      </c>
      <c r="F60" s="231"/>
      <c r="G60" s="221">
        <f>0.5*(MAX(D60:F60)-MIN(D60:F60))</f>
        <v>0</v>
      </c>
      <c r="I60" s="218">
        <v>1</v>
      </c>
      <c r="J60" s="219">
        <v>30</v>
      </c>
      <c r="K60" s="219">
        <v>-1.5</v>
      </c>
      <c r="L60" s="219">
        <v>1.7</v>
      </c>
      <c r="M60" s="231"/>
      <c r="N60" s="221">
        <f>0.5*(MAX(K60:M60)-MIN(K60:M60))</f>
        <v>1.6</v>
      </c>
      <c r="P60" s="218">
        <v>1</v>
      </c>
      <c r="Q60" s="219">
        <v>750</v>
      </c>
      <c r="R60" s="219">
        <v>0.9</v>
      </c>
      <c r="S60" s="219">
        <v>2.1</v>
      </c>
      <c r="T60" s="219">
        <v>9.9999999999999995E-7</v>
      </c>
      <c r="U60" s="221">
        <f>0.5*(MAX(R60:T60)-MIN(R60:T60))</f>
        <v>1.0499995</v>
      </c>
      <c r="W60" s="223" t="s">
        <v>245</v>
      </c>
      <c r="X60" s="224">
        <v>1.6</v>
      </c>
    </row>
    <row r="61" spans="1:24">
      <c r="A61" s="851"/>
      <c r="B61" s="218">
        <v>2</v>
      </c>
      <c r="C61" s="219">
        <v>20</v>
      </c>
      <c r="D61" s="219">
        <v>0.3</v>
      </c>
      <c r="E61" s="219">
        <v>0.2</v>
      </c>
      <c r="F61" s="231"/>
      <c r="G61" s="221">
        <f t="shared" ref="G61:G66" si="15">0.5*(MAX(D61:F61)-MIN(D61:F61))</f>
        <v>4.9999999999999989E-2</v>
      </c>
      <c r="I61" s="218">
        <v>2</v>
      </c>
      <c r="J61" s="219">
        <v>40</v>
      </c>
      <c r="K61" s="219">
        <v>-3.8</v>
      </c>
      <c r="L61" s="219">
        <v>1.5</v>
      </c>
      <c r="M61" s="231"/>
      <c r="N61" s="221">
        <f t="shared" ref="N61:N66" si="16">0.5*(MAX(K61:M61)-MIN(K61:M61))</f>
        <v>2.65</v>
      </c>
      <c r="P61" s="218">
        <v>2</v>
      </c>
      <c r="Q61" s="219">
        <v>800</v>
      </c>
      <c r="R61" s="219">
        <v>0.9</v>
      </c>
      <c r="S61" s="219">
        <v>1.6</v>
      </c>
      <c r="T61" s="219">
        <v>9.9999999999999995E-7</v>
      </c>
      <c r="U61" s="221">
        <f t="shared" ref="U61:U66" si="17">0.5*(MAX(R61:T61)-MIN(R61:T61))</f>
        <v>0.79999950000000009</v>
      </c>
    </row>
    <row r="62" spans="1:24">
      <c r="A62" s="851"/>
      <c r="B62" s="218">
        <v>3</v>
      </c>
      <c r="C62" s="219">
        <v>25</v>
      </c>
      <c r="D62" s="219">
        <v>0.2</v>
      </c>
      <c r="E62" s="219">
        <v>-0.1</v>
      </c>
      <c r="F62" s="231"/>
      <c r="G62" s="221">
        <f t="shared" si="15"/>
        <v>0.15000000000000002</v>
      </c>
      <c r="I62" s="218">
        <v>3</v>
      </c>
      <c r="J62" s="219">
        <v>50</v>
      </c>
      <c r="K62" s="219">
        <v>-5.4</v>
      </c>
      <c r="L62" s="219">
        <v>1.2</v>
      </c>
      <c r="M62" s="231"/>
      <c r="N62" s="221">
        <f t="shared" si="16"/>
        <v>3.3000000000000003</v>
      </c>
      <c r="P62" s="218">
        <v>3</v>
      </c>
      <c r="Q62" s="219">
        <v>850</v>
      </c>
      <c r="R62" s="219">
        <v>0.9</v>
      </c>
      <c r="S62" s="219">
        <v>1.1000000000000001</v>
      </c>
      <c r="T62" s="219">
        <v>9.9999999999999995E-7</v>
      </c>
      <c r="U62" s="221">
        <f t="shared" si="17"/>
        <v>0.54999950000000009</v>
      </c>
    </row>
    <row r="63" spans="1:24">
      <c r="A63" s="851"/>
      <c r="B63" s="218">
        <v>4</v>
      </c>
      <c r="C63" s="225">
        <v>30</v>
      </c>
      <c r="D63" s="225">
        <v>0.1</v>
      </c>
      <c r="E63" s="225">
        <v>-0.5</v>
      </c>
      <c r="F63" s="231"/>
      <c r="G63" s="221">
        <f t="shared" si="15"/>
        <v>0.3</v>
      </c>
      <c r="I63" s="218">
        <v>4</v>
      </c>
      <c r="J63" s="225">
        <v>60</v>
      </c>
      <c r="K63" s="225">
        <v>-6.4</v>
      </c>
      <c r="L63" s="225">
        <v>1.1000000000000001</v>
      </c>
      <c r="M63" s="231"/>
      <c r="N63" s="221">
        <f t="shared" si="16"/>
        <v>3.75</v>
      </c>
      <c r="P63" s="218">
        <v>4</v>
      </c>
      <c r="Q63" s="225">
        <v>900</v>
      </c>
      <c r="R63" s="225">
        <v>0.9</v>
      </c>
      <c r="S63" s="225">
        <v>0.7</v>
      </c>
      <c r="T63" s="219">
        <v>9.9999999999999995E-7</v>
      </c>
      <c r="U63" s="221">
        <f t="shared" si="17"/>
        <v>0.4499995</v>
      </c>
    </row>
    <row r="64" spans="1:24">
      <c r="A64" s="851"/>
      <c r="B64" s="218">
        <v>5</v>
      </c>
      <c r="C64" s="225">
        <v>35</v>
      </c>
      <c r="D64" s="225">
        <v>0.1</v>
      </c>
      <c r="E64" s="225">
        <v>-0.9</v>
      </c>
      <c r="F64" s="231"/>
      <c r="G64" s="221">
        <f t="shared" si="15"/>
        <v>0.5</v>
      </c>
      <c r="I64" s="218">
        <v>5</v>
      </c>
      <c r="J64" s="225">
        <v>70</v>
      </c>
      <c r="K64" s="225">
        <v>-6.7</v>
      </c>
      <c r="L64" s="225">
        <v>0.9</v>
      </c>
      <c r="M64" s="231"/>
      <c r="N64" s="221">
        <f t="shared" si="16"/>
        <v>3.8000000000000003</v>
      </c>
      <c r="P64" s="218">
        <v>5</v>
      </c>
      <c r="Q64" s="225">
        <v>1000</v>
      </c>
      <c r="R64" s="225">
        <v>0.9</v>
      </c>
      <c r="S64" s="225">
        <v>-0.3</v>
      </c>
      <c r="T64" s="219">
        <v>9.9999999999999995E-7</v>
      </c>
      <c r="U64" s="221">
        <f t="shared" si="17"/>
        <v>0.6</v>
      </c>
    </row>
    <row r="65" spans="1:24">
      <c r="A65" s="851"/>
      <c r="B65" s="218">
        <v>6</v>
      </c>
      <c r="C65" s="225">
        <v>37</v>
      </c>
      <c r="D65" s="225">
        <v>0.1</v>
      </c>
      <c r="E65" s="225">
        <v>-1.1000000000000001</v>
      </c>
      <c r="F65" s="231"/>
      <c r="G65" s="221">
        <f t="shared" si="15"/>
        <v>0.60000000000000009</v>
      </c>
      <c r="I65" s="218">
        <v>6</v>
      </c>
      <c r="J65" s="225">
        <v>80</v>
      </c>
      <c r="K65" s="225">
        <v>-6.3</v>
      </c>
      <c r="L65" s="225">
        <v>0.8</v>
      </c>
      <c r="M65" s="231"/>
      <c r="N65" s="221">
        <f t="shared" si="16"/>
        <v>3.55</v>
      </c>
      <c r="P65" s="218">
        <v>6</v>
      </c>
      <c r="Q65" s="225">
        <v>1005</v>
      </c>
      <c r="R65" s="225">
        <v>0.9</v>
      </c>
      <c r="S65" s="225">
        <v>-0.3</v>
      </c>
      <c r="T65" s="219">
        <v>9.9999999999999995E-7</v>
      </c>
      <c r="U65" s="221">
        <f t="shared" si="17"/>
        <v>0.6</v>
      </c>
    </row>
    <row r="66" spans="1:24">
      <c r="A66" s="851"/>
      <c r="B66" s="218">
        <v>7</v>
      </c>
      <c r="C66" s="225">
        <v>40</v>
      </c>
      <c r="D66" s="225">
        <v>0.1</v>
      </c>
      <c r="E66" s="225">
        <v>-1.4</v>
      </c>
      <c r="F66" s="231"/>
      <c r="G66" s="221">
        <f t="shared" si="15"/>
        <v>0.75</v>
      </c>
      <c r="I66" s="218">
        <v>7</v>
      </c>
      <c r="J66" s="225">
        <v>90</v>
      </c>
      <c r="K66" s="225">
        <v>-5.2</v>
      </c>
      <c r="L66" s="225">
        <v>0.7</v>
      </c>
      <c r="M66" s="231"/>
      <c r="N66" s="221">
        <f t="shared" si="16"/>
        <v>2.95</v>
      </c>
      <c r="P66" s="218">
        <v>7</v>
      </c>
      <c r="Q66" s="225">
        <v>1020</v>
      </c>
      <c r="R66" s="225">
        <v>0.9</v>
      </c>
      <c r="S66" s="225">
        <v>9.9999999999999995E-7</v>
      </c>
      <c r="T66" s="219">
        <v>9.9999999999999995E-7</v>
      </c>
      <c r="U66" s="221">
        <f t="shared" si="17"/>
        <v>0.4499995</v>
      </c>
    </row>
    <row r="67" spans="1:24" ht="13.8" thickBot="1">
      <c r="A67" s="233"/>
      <c r="B67" s="123"/>
      <c r="C67" s="123"/>
      <c r="D67" s="123"/>
      <c r="E67" s="234"/>
      <c r="F67" s="235"/>
      <c r="G67" s="236"/>
      <c r="I67" s="123"/>
      <c r="J67" s="123"/>
      <c r="K67" s="123"/>
      <c r="L67" s="234"/>
      <c r="M67" s="235"/>
      <c r="R67" s="230"/>
    </row>
    <row r="68" spans="1:24">
      <c r="A68" s="851">
        <v>7</v>
      </c>
      <c r="B68" s="842" t="s">
        <v>251</v>
      </c>
      <c r="C68" s="842"/>
      <c r="D68" s="842"/>
      <c r="E68" s="842"/>
      <c r="F68" s="842"/>
      <c r="G68" s="842"/>
      <c r="I68" s="842" t="str">
        <f>B68</f>
        <v>KOREKSI GREISINGER 34903053</v>
      </c>
      <c r="J68" s="842"/>
      <c r="K68" s="842"/>
      <c r="L68" s="842"/>
      <c r="M68" s="842"/>
      <c r="N68" s="842"/>
      <c r="P68" s="842" t="str">
        <f>I68</f>
        <v>KOREKSI GREISINGER 34903053</v>
      </c>
      <c r="Q68" s="842"/>
      <c r="R68" s="842"/>
      <c r="S68" s="842"/>
      <c r="T68" s="842"/>
      <c r="U68" s="842"/>
      <c r="W68" s="836" t="s">
        <v>208</v>
      </c>
      <c r="X68" s="837"/>
    </row>
    <row r="69" spans="1:24">
      <c r="A69" s="851"/>
      <c r="B69" s="838" t="s">
        <v>7</v>
      </c>
      <c r="C69" s="838"/>
      <c r="D69" s="838" t="s">
        <v>241</v>
      </c>
      <c r="E69" s="838"/>
      <c r="F69" s="838"/>
      <c r="G69" s="838" t="s">
        <v>242</v>
      </c>
      <c r="I69" s="838" t="s">
        <v>204</v>
      </c>
      <c r="J69" s="838"/>
      <c r="K69" s="838" t="s">
        <v>241</v>
      </c>
      <c r="L69" s="838"/>
      <c r="M69" s="838"/>
      <c r="N69" s="838" t="s">
        <v>242</v>
      </c>
      <c r="P69" s="838" t="s">
        <v>243</v>
      </c>
      <c r="Q69" s="838"/>
      <c r="R69" s="838" t="s">
        <v>241</v>
      </c>
      <c r="S69" s="838"/>
      <c r="T69" s="838"/>
      <c r="U69" s="838" t="s">
        <v>242</v>
      </c>
      <c r="W69" s="215" t="s">
        <v>7</v>
      </c>
      <c r="X69" s="216">
        <v>0.2</v>
      </c>
    </row>
    <row r="70" spans="1:24" ht="14.4">
      <c r="A70" s="851"/>
      <c r="B70" s="839" t="s">
        <v>244</v>
      </c>
      <c r="C70" s="839"/>
      <c r="D70" s="217">
        <v>2021</v>
      </c>
      <c r="E70" s="217">
        <v>2018</v>
      </c>
      <c r="F70" s="217">
        <v>2016</v>
      </c>
      <c r="G70" s="838"/>
      <c r="I70" s="840" t="s">
        <v>24</v>
      </c>
      <c r="J70" s="839"/>
      <c r="K70" s="217">
        <f>D70</f>
        <v>2021</v>
      </c>
      <c r="L70" s="217">
        <f>E70</f>
        <v>2018</v>
      </c>
      <c r="M70" s="217">
        <v>2016</v>
      </c>
      <c r="N70" s="838"/>
      <c r="P70" s="840" t="s">
        <v>245</v>
      </c>
      <c r="Q70" s="839"/>
      <c r="R70" s="217">
        <f>K70</f>
        <v>2021</v>
      </c>
      <c r="S70" s="217">
        <f>L70</f>
        <v>2018</v>
      </c>
      <c r="T70" s="217">
        <v>2016</v>
      </c>
      <c r="U70" s="838"/>
      <c r="W70" s="215" t="s">
        <v>24</v>
      </c>
      <c r="X70" s="216">
        <v>2.4</v>
      </c>
    </row>
    <row r="71" spans="1:24" ht="13.8" thickBot="1">
      <c r="A71" s="851"/>
      <c r="B71" s="218">
        <v>1</v>
      </c>
      <c r="C71" s="219">
        <v>15</v>
      </c>
      <c r="D71" s="219">
        <v>0.1</v>
      </c>
      <c r="E71" s="219">
        <v>0.3</v>
      </c>
      <c r="F71" s="231"/>
      <c r="G71" s="221">
        <f>0.5*(MAX(D71:F71)-MIN(D71:F71))</f>
        <v>9.9999999999999992E-2</v>
      </c>
      <c r="I71" s="218">
        <v>1</v>
      </c>
      <c r="J71" s="219">
        <v>30</v>
      </c>
      <c r="K71" s="219">
        <v>-1.9</v>
      </c>
      <c r="L71" s="219">
        <v>1.8</v>
      </c>
      <c r="M71" s="231"/>
      <c r="N71" s="221">
        <f>0.5*(MAX(K71:M71)-MIN(K71:M71))</f>
        <v>1.85</v>
      </c>
      <c r="P71" s="218">
        <v>1</v>
      </c>
      <c r="Q71" s="219">
        <v>750</v>
      </c>
      <c r="R71" s="219">
        <v>9.9999999999999995E-7</v>
      </c>
      <c r="S71" s="219">
        <v>3.2</v>
      </c>
      <c r="T71" s="219">
        <v>9.9999999999999995E-7</v>
      </c>
      <c r="U71" s="221">
        <f>0.5*(MAX(R71:T71)-MIN(R71:T71))</f>
        <v>1.5999995</v>
      </c>
      <c r="W71" s="223" t="s">
        <v>245</v>
      </c>
      <c r="X71" s="224">
        <v>2.4</v>
      </c>
    </row>
    <row r="72" spans="1:24">
      <c r="A72" s="851"/>
      <c r="B72" s="218">
        <v>2</v>
      </c>
      <c r="C72" s="219">
        <v>20</v>
      </c>
      <c r="D72" s="219">
        <v>9.9999999999999995E-7</v>
      </c>
      <c r="E72" s="219">
        <v>0.1</v>
      </c>
      <c r="F72" s="231"/>
      <c r="G72" s="221">
        <f t="shared" ref="G72:G77" si="18">0.5*(MAX(D72:F72)-MIN(D72:F72))</f>
        <v>4.9999500000000002E-2</v>
      </c>
      <c r="I72" s="218">
        <v>2</v>
      </c>
      <c r="J72" s="219">
        <v>40</v>
      </c>
      <c r="K72" s="219">
        <v>-1.9</v>
      </c>
      <c r="L72" s="219">
        <v>1.2</v>
      </c>
      <c r="M72" s="231"/>
      <c r="N72" s="221">
        <f t="shared" ref="N72:N77" si="19">0.5*(MAX(K72:M72)-MIN(K72:M72))</f>
        <v>1.5499999999999998</v>
      </c>
      <c r="P72" s="218">
        <v>2</v>
      </c>
      <c r="Q72" s="219">
        <v>800</v>
      </c>
      <c r="R72" s="219">
        <v>9.9999999999999995E-7</v>
      </c>
      <c r="S72" s="219">
        <v>2.5</v>
      </c>
      <c r="T72" s="219">
        <v>9.9999999999999995E-7</v>
      </c>
      <c r="U72" s="221">
        <f t="shared" ref="U72:U77" si="20">0.5*(MAX(R72:T72)-MIN(R72:T72))</f>
        <v>1.2499994999999999</v>
      </c>
    </row>
    <row r="73" spans="1:24">
      <c r="A73" s="851"/>
      <c r="B73" s="218">
        <v>3</v>
      </c>
      <c r="C73" s="219">
        <v>25</v>
      </c>
      <c r="D73" s="219">
        <v>9.9999999999999995E-7</v>
      </c>
      <c r="E73" s="219">
        <v>-0.2</v>
      </c>
      <c r="F73" s="231"/>
      <c r="G73" s="221">
        <f t="shared" si="18"/>
        <v>0.10000050000000001</v>
      </c>
      <c r="I73" s="218">
        <v>3</v>
      </c>
      <c r="J73" s="219">
        <v>50</v>
      </c>
      <c r="K73" s="219">
        <v>-1.9</v>
      </c>
      <c r="L73" s="219">
        <v>0.8</v>
      </c>
      <c r="M73" s="231"/>
      <c r="N73" s="221">
        <f t="shared" si="19"/>
        <v>1.35</v>
      </c>
      <c r="P73" s="218">
        <v>3</v>
      </c>
      <c r="Q73" s="219">
        <v>850</v>
      </c>
      <c r="R73" s="219">
        <v>9.9999999999999995E-7</v>
      </c>
      <c r="S73" s="219">
        <v>1.7</v>
      </c>
      <c r="T73" s="219">
        <v>9.9999999999999995E-7</v>
      </c>
      <c r="U73" s="221">
        <f t="shared" si="20"/>
        <v>0.84999950000000002</v>
      </c>
    </row>
    <row r="74" spans="1:24">
      <c r="A74" s="851"/>
      <c r="B74" s="218">
        <v>4</v>
      </c>
      <c r="C74" s="225">
        <v>30</v>
      </c>
      <c r="D74" s="219">
        <v>9.9999999999999995E-7</v>
      </c>
      <c r="E74" s="225">
        <v>-0.6</v>
      </c>
      <c r="F74" s="231"/>
      <c r="G74" s="221">
        <f t="shared" si="18"/>
        <v>0.3000005</v>
      </c>
      <c r="I74" s="218">
        <v>4</v>
      </c>
      <c r="J74" s="225">
        <v>60</v>
      </c>
      <c r="K74" s="225">
        <v>-2.1</v>
      </c>
      <c r="L74" s="225">
        <v>0.7</v>
      </c>
      <c r="M74" s="231"/>
      <c r="N74" s="221">
        <f t="shared" si="19"/>
        <v>1.4</v>
      </c>
      <c r="P74" s="218">
        <v>4</v>
      </c>
      <c r="Q74" s="225">
        <v>900</v>
      </c>
      <c r="R74" s="219">
        <v>9.9999999999999995E-7</v>
      </c>
      <c r="S74" s="225">
        <v>1</v>
      </c>
      <c r="T74" s="219">
        <v>9.9999999999999995E-7</v>
      </c>
      <c r="U74" s="221">
        <f t="shared" si="20"/>
        <v>0.49999949999999999</v>
      </c>
    </row>
    <row r="75" spans="1:24">
      <c r="A75" s="851"/>
      <c r="B75" s="218">
        <v>5</v>
      </c>
      <c r="C75" s="225">
        <v>35</v>
      </c>
      <c r="D75" s="219">
        <v>9.9999999999999995E-7</v>
      </c>
      <c r="E75" s="225">
        <v>-1.1000000000000001</v>
      </c>
      <c r="F75" s="231"/>
      <c r="G75" s="221">
        <f t="shared" si="18"/>
        <v>0.5500005</v>
      </c>
      <c r="I75" s="218">
        <v>5</v>
      </c>
      <c r="J75" s="225">
        <v>70</v>
      </c>
      <c r="K75" s="225">
        <v>-2.2999999999999998</v>
      </c>
      <c r="L75" s="225">
        <v>0.9</v>
      </c>
      <c r="M75" s="231"/>
      <c r="N75" s="221">
        <f t="shared" si="19"/>
        <v>1.5999999999999999</v>
      </c>
      <c r="P75" s="218">
        <v>5</v>
      </c>
      <c r="Q75" s="225">
        <v>1000</v>
      </c>
      <c r="R75" s="225">
        <v>-3.9</v>
      </c>
      <c r="S75" s="225">
        <v>-0.4</v>
      </c>
      <c r="T75" s="219">
        <v>9.9999999999999995E-7</v>
      </c>
      <c r="U75" s="221">
        <f t="shared" si="20"/>
        <v>1.9500005</v>
      </c>
    </row>
    <row r="76" spans="1:24">
      <c r="A76" s="851"/>
      <c r="B76" s="218">
        <v>6</v>
      </c>
      <c r="C76" s="225">
        <v>37</v>
      </c>
      <c r="D76" s="219">
        <v>9.9999999999999995E-7</v>
      </c>
      <c r="E76" s="225">
        <v>-1.4</v>
      </c>
      <c r="F76" s="231"/>
      <c r="G76" s="221">
        <f t="shared" si="18"/>
        <v>0.70000049999999991</v>
      </c>
      <c r="I76" s="218">
        <v>6</v>
      </c>
      <c r="J76" s="225">
        <v>80</v>
      </c>
      <c r="K76" s="225">
        <v>-2.6</v>
      </c>
      <c r="L76" s="225">
        <v>1.2</v>
      </c>
      <c r="M76" s="231"/>
      <c r="N76" s="221">
        <f t="shared" si="19"/>
        <v>1.9</v>
      </c>
      <c r="P76" s="218">
        <v>6</v>
      </c>
      <c r="Q76" s="225">
        <v>1005</v>
      </c>
      <c r="R76" s="225">
        <v>-3.8</v>
      </c>
      <c r="S76" s="225">
        <v>-0.5</v>
      </c>
      <c r="T76" s="219">
        <v>9.9999999999999995E-7</v>
      </c>
      <c r="U76" s="221">
        <f t="shared" si="20"/>
        <v>1.9000005</v>
      </c>
    </row>
    <row r="77" spans="1:24" ht="13.8" thickBot="1">
      <c r="A77" s="851"/>
      <c r="B77" s="218">
        <v>7</v>
      </c>
      <c r="C77" s="225">
        <v>40</v>
      </c>
      <c r="D77" s="225">
        <v>0.1</v>
      </c>
      <c r="E77" s="225">
        <v>-1.7</v>
      </c>
      <c r="F77" s="231"/>
      <c r="G77" s="221">
        <f t="shared" si="18"/>
        <v>0.9</v>
      </c>
      <c r="I77" s="218">
        <v>7</v>
      </c>
      <c r="J77" s="225">
        <v>90</v>
      </c>
      <c r="K77" s="225">
        <v>-3</v>
      </c>
      <c r="L77" s="225">
        <v>1.8</v>
      </c>
      <c r="M77" s="231"/>
      <c r="N77" s="221">
        <f t="shared" si="19"/>
        <v>2.4</v>
      </c>
      <c r="P77" s="218">
        <v>7</v>
      </c>
      <c r="Q77" s="225">
        <v>1020</v>
      </c>
      <c r="R77" s="225">
        <v>-3.8</v>
      </c>
      <c r="S77" s="225">
        <v>9.9999999999999995E-7</v>
      </c>
      <c r="T77" s="219">
        <v>9.9999999999999995E-7</v>
      </c>
      <c r="U77" s="221">
        <f t="shared" si="20"/>
        <v>1.9000005</v>
      </c>
    </row>
    <row r="78" spans="1:24" ht="13.8" thickBot="1">
      <c r="A78" s="233"/>
      <c r="B78" s="123"/>
      <c r="C78" s="123"/>
      <c r="D78" s="123"/>
      <c r="E78" s="234"/>
      <c r="F78" s="235"/>
      <c r="G78" s="236"/>
      <c r="H78" s="123"/>
      <c r="I78" s="123"/>
      <c r="J78" s="123"/>
      <c r="K78" s="234"/>
      <c r="L78" s="235"/>
      <c r="O78" s="229"/>
      <c r="P78" s="230"/>
    </row>
    <row r="79" spans="1:24">
      <c r="A79" s="841">
        <v>8</v>
      </c>
      <c r="B79" s="842" t="s">
        <v>252</v>
      </c>
      <c r="C79" s="842"/>
      <c r="D79" s="842"/>
      <c r="E79" s="842"/>
      <c r="F79" s="842"/>
      <c r="G79" s="842"/>
      <c r="I79" s="842" t="str">
        <f>B79</f>
        <v>KOREKSI GREISINGER 34903051</v>
      </c>
      <c r="J79" s="842"/>
      <c r="K79" s="842"/>
      <c r="L79" s="842"/>
      <c r="M79" s="842"/>
      <c r="N79" s="842"/>
      <c r="P79" s="842" t="str">
        <f>I79</f>
        <v>KOREKSI GREISINGER 34903051</v>
      </c>
      <c r="Q79" s="842"/>
      <c r="R79" s="842"/>
      <c r="S79" s="842"/>
      <c r="T79" s="842"/>
      <c r="U79" s="842"/>
      <c r="W79" s="836" t="s">
        <v>208</v>
      </c>
      <c r="X79" s="837"/>
    </row>
    <row r="80" spans="1:24">
      <c r="A80" s="841"/>
      <c r="B80" s="838" t="s">
        <v>7</v>
      </c>
      <c r="C80" s="838"/>
      <c r="D80" s="838" t="s">
        <v>241</v>
      </c>
      <c r="E80" s="838"/>
      <c r="F80" s="838"/>
      <c r="G80" s="838" t="s">
        <v>242</v>
      </c>
      <c r="I80" s="838" t="s">
        <v>204</v>
      </c>
      <c r="J80" s="838"/>
      <c r="K80" s="838" t="s">
        <v>241</v>
      </c>
      <c r="L80" s="838"/>
      <c r="M80" s="838"/>
      <c r="N80" s="838" t="s">
        <v>242</v>
      </c>
      <c r="P80" s="838" t="s">
        <v>243</v>
      </c>
      <c r="Q80" s="838"/>
      <c r="R80" s="838" t="s">
        <v>241</v>
      </c>
      <c r="S80" s="838"/>
      <c r="T80" s="838"/>
      <c r="U80" s="838" t="s">
        <v>242</v>
      </c>
      <c r="W80" s="215" t="s">
        <v>7</v>
      </c>
      <c r="X80" s="216">
        <v>0.8</v>
      </c>
    </row>
    <row r="81" spans="1:24" ht="14.4">
      <c r="A81" s="841"/>
      <c r="B81" s="839" t="s">
        <v>244</v>
      </c>
      <c r="C81" s="839"/>
      <c r="D81" s="217">
        <v>2023</v>
      </c>
      <c r="E81" s="217">
        <v>2021</v>
      </c>
      <c r="F81" s="217">
        <v>2019</v>
      </c>
      <c r="G81" s="838"/>
      <c r="I81" s="840" t="s">
        <v>24</v>
      </c>
      <c r="J81" s="839"/>
      <c r="K81" s="217">
        <f>D81</f>
        <v>2023</v>
      </c>
      <c r="L81" s="217">
        <f>E81</f>
        <v>2021</v>
      </c>
      <c r="M81" s="217">
        <v>2019</v>
      </c>
      <c r="N81" s="838"/>
      <c r="P81" s="840" t="s">
        <v>245</v>
      </c>
      <c r="Q81" s="839"/>
      <c r="R81" s="217">
        <f>K81</f>
        <v>2023</v>
      </c>
      <c r="S81" s="217">
        <f>L81</f>
        <v>2021</v>
      </c>
      <c r="T81" s="217">
        <v>2019</v>
      </c>
      <c r="U81" s="838"/>
      <c r="W81" s="215" t="s">
        <v>24</v>
      </c>
      <c r="X81" s="216">
        <v>2.2999999999999998</v>
      </c>
    </row>
    <row r="82" spans="1:24" ht="13.8" thickBot="1">
      <c r="A82" s="841"/>
      <c r="B82" s="218">
        <v>1</v>
      </c>
      <c r="C82" s="219">
        <v>15</v>
      </c>
      <c r="D82" s="219">
        <v>0.4</v>
      </c>
      <c r="E82" s="219">
        <v>0.1</v>
      </c>
      <c r="F82" s="219">
        <v>9.9999999999999995E-7</v>
      </c>
      <c r="G82" s="221">
        <f>0.5*(MAX(D82:F82)-MIN(D82:F82))</f>
        <v>0.19999950000000002</v>
      </c>
      <c r="I82" s="218">
        <v>1</v>
      </c>
      <c r="J82" s="219">
        <v>30</v>
      </c>
      <c r="K82" s="219"/>
      <c r="L82" s="219">
        <v>-4</v>
      </c>
      <c r="M82" s="219">
        <v>-1.4</v>
      </c>
      <c r="N82" s="221">
        <f>0.5*(MAX(K82:M82)-MIN(K82:M82))</f>
        <v>1.3</v>
      </c>
      <c r="P82" s="218">
        <v>1</v>
      </c>
      <c r="Q82" s="219">
        <v>960</v>
      </c>
      <c r="R82" s="222">
        <v>-1.5</v>
      </c>
      <c r="S82" s="222">
        <v>-4</v>
      </c>
      <c r="T82" s="222">
        <v>9.9999999999999995E-7</v>
      </c>
      <c r="U82" s="221">
        <f>0.5*(MAX(R82:T82)-MIN(R82:T82))</f>
        <v>2.0000005000000001</v>
      </c>
      <c r="W82" s="223" t="s">
        <v>245</v>
      </c>
      <c r="X82" s="224">
        <v>2.5</v>
      </c>
    </row>
    <row r="83" spans="1:24">
      <c r="A83" s="841"/>
      <c r="B83" s="218">
        <v>2</v>
      </c>
      <c r="C83" s="219">
        <v>20</v>
      </c>
      <c r="D83" s="219">
        <v>0.2</v>
      </c>
      <c r="E83" s="219">
        <v>9.9999999999999995E-7</v>
      </c>
      <c r="F83" s="219">
        <v>-0.2</v>
      </c>
      <c r="G83" s="221">
        <f t="shared" ref="G83:G88" si="21">0.5*(MAX(D83:F83)-MIN(D83:F83))</f>
        <v>0.2</v>
      </c>
      <c r="I83" s="218">
        <v>2</v>
      </c>
      <c r="J83" s="219">
        <v>40</v>
      </c>
      <c r="K83" s="219">
        <v>-4.5999999999999996</v>
      </c>
      <c r="L83" s="219">
        <v>-3.8</v>
      </c>
      <c r="M83" s="219">
        <v>-1.2</v>
      </c>
      <c r="N83" s="221">
        <f t="shared" ref="N83:N88" si="22">0.5*(MAX(K83:M83)-MIN(K83:M83))</f>
        <v>1.6999999999999997</v>
      </c>
      <c r="P83" s="218">
        <v>2</v>
      </c>
      <c r="Q83" s="219">
        <v>970</v>
      </c>
      <c r="R83" s="222">
        <v>-1</v>
      </c>
      <c r="S83" s="222">
        <v>-3.9</v>
      </c>
      <c r="T83" s="222">
        <v>9.9999999999999995E-7</v>
      </c>
      <c r="U83" s="221">
        <f t="shared" ref="U83:U88" si="23">0.5*(MAX(R83:T83)-MIN(R83:T83))</f>
        <v>1.9500005</v>
      </c>
    </row>
    <row r="84" spans="1:24">
      <c r="A84" s="841"/>
      <c r="B84" s="218">
        <v>3</v>
      </c>
      <c r="C84" s="219">
        <v>25</v>
      </c>
      <c r="D84" s="219">
        <v>0</v>
      </c>
      <c r="E84" s="219">
        <v>-0.1</v>
      </c>
      <c r="F84" s="219">
        <v>-0.4</v>
      </c>
      <c r="G84" s="221">
        <f t="shared" si="21"/>
        <v>0.2</v>
      </c>
      <c r="I84" s="218">
        <v>3</v>
      </c>
      <c r="J84" s="219">
        <v>50</v>
      </c>
      <c r="K84" s="219">
        <v>-5</v>
      </c>
      <c r="L84" s="219">
        <v>-3.8</v>
      </c>
      <c r="M84" s="219">
        <v>-1.2</v>
      </c>
      <c r="N84" s="221">
        <f t="shared" si="22"/>
        <v>1.9</v>
      </c>
      <c r="P84" s="218">
        <v>3</v>
      </c>
      <c r="Q84" s="219">
        <v>980</v>
      </c>
      <c r="R84" s="222">
        <v>-0.6</v>
      </c>
      <c r="S84" s="222">
        <v>-3.8</v>
      </c>
      <c r="T84" s="222">
        <v>9.9999999999999995E-7</v>
      </c>
      <c r="U84" s="221">
        <f t="shared" si="23"/>
        <v>1.9000005</v>
      </c>
    </row>
    <row r="85" spans="1:24">
      <c r="A85" s="841"/>
      <c r="B85" s="218">
        <v>4</v>
      </c>
      <c r="C85" s="225">
        <v>30</v>
      </c>
      <c r="D85" s="219">
        <v>-0.1</v>
      </c>
      <c r="E85" s="219">
        <v>-0.2</v>
      </c>
      <c r="F85" s="219">
        <v>-0.4</v>
      </c>
      <c r="G85" s="221">
        <f t="shared" si="21"/>
        <v>0.15000000000000002</v>
      </c>
      <c r="I85" s="218">
        <v>4</v>
      </c>
      <c r="J85" s="225">
        <v>60</v>
      </c>
      <c r="K85" s="225">
        <v>-5.6</v>
      </c>
      <c r="L85" s="225">
        <v>-3.9</v>
      </c>
      <c r="M85" s="225">
        <v>-1.1000000000000001</v>
      </c>
      <c r="N85" s="221">
        <f t="shared" si="22"/>
        <v>2.25</v>
      </c>
      <c r="P85" s="218">
        <v>4</v>
      </c>
      <c r="Q85" s="225">
        <v>990</v>
      </c>
      <c r="R85" s="226">
        <v>-0.2</v>
      </c>
      <c r="S85" s="226">
        <v>-3.6</v>
      </c>
      <c r="T85" s="222">
        <v>9.9999999999999995E-7</v>
      </c>
      <c r="U85" s="221">
        <f t="shared" si="23"/>
        <v>1.8000005000000001</v>
      </c>
    </row>
    <row r="86" spans="1:24">
      <c r="A86" s="841"/>
      <c r="B86" s="218">
        <v>5</v>
      </c>
      <c r="C86" s="225">
        <v>35</v>
      </c>
      <c r="D86" s="225">
        <v>-0.1</v>
      </c>
      <c r="E86" s="225">
        <v>-0.1</v>
      </c>
      <c r="F86" s="225">
        <v>-0.5</v>
      </c>
      <c r="G86" s="221">
        <f t="shared" si="21"/>
        <v>0.2</v>
      </c>
      <c r="I86" s="218">
        <v>5</v>
      </c>
      <c r="J86" s="225">
        <v>70</v>
      </c>
      <c r="K86" s="225">
        <v>-6.5</v>
      </c>
      <c r="L86" s="225">
        <v>-4.0999999999999996</v>
      </c>
      <c r="M86" s="225">
        <v>-1.2</v>
      </c>
      <c r="N86" s="221">
        <f t="shared" si="22"/>
        <v>2.65</v>
      </c>
      <c r="P86" s="218">
        <v>5</v>
      </c>
      <c r="Q86" s="225">
        <v>1000</v>
      </c>
      <c r="R86" s="226">
        <v>0.2</v>
      </c>
      <c r="S86" s="226">
        <v>-3.5</v>
      </c>
      <c r="T86" s="226">
        <v>0.2</v>
      </c>
      <c r="U86" s="221">
        <f t="shared" si="23"/>
        <v>1.85</v>
      </c>
    </row>
    <row r="87" spans="1:24">
      <c r="A87" s="841"/>
      <c r="B87" s="218">
        <v>6</v>
      </c>
      <c r="C87" s="225">
        <v>37</v>
      </c>
      <c r="D87" s="225">
        <v>-0.1</v>
      </c>
      <c r="E87" s="225">
        <v>-0.1</v>
      </c>
      <c r="F87" s="225">
        <v>-0.5</v>
      </c>
      <c r="G87" s="221">
        <f t="shared" si="21"/>
        <v>0.2</v>
      </c>
      <c r="I87" s="218">
        <v>6</v>
      </c>
      <c r="J87" s="225">
        <v>80</v>
      </c>
      <c r="K87" s="225">
        <v>-7.6</v>
      </c>
      <c r="L87" s="225">
        <v>-4.5</v>
      </c>
      <c r="M87" s="225">
        <v>-1.2</v>
      </c>
      <c r="N87" s="221">
        <f t="shared" si="22"/>
        <v>3.1999999999999997</v>
      </c>
      <c r="P87" s="218">
        <v>6</v>
      </c>
      <c r="Q87" s="225">
        <v>1010</v>
      </c>
      <c r="R87" s="226">
        <v>0.6</v>
      </c>
      <c r="S87" s="226">
        <v>-3.4</v>
      </c>
      <c r="T87" s="226">
        <v>0.2</v>
      </c>
      <c r="U87" s="221">
        <f t="shared" si="23"/>
        <v>2</v>
      </c>
    </row>
    <row r="88" spans="1:24">
      <c r="A88" s="841"/>
      <c r="B88" s="218">
        <v>7</v>
      </c>
      <c r="C88" s="225">
        <v>40</v>
      </c>
      <c r="D88" s="225">
        <v>-0.1</v>
      </c>
      <c r="E88" s="225">
        <v>9.9999999999999995E-7</v>
      </c>
      <c r="F88" s="225">
        <v>-0.4</v>
      </c>
      <c r="G88" s="221">
        <f t="shared" si="21"/>
        <v>0.2000005</v>
      </c>
      <c r="I88" s="218">
        <v>7</v>
      </c>
      <c r="J88" s="225">
        <v>90</v>
      </c>
      <c r="K88" s="225">
        <v>-9.1</v>
      </c>
      <c r="L88" s="225">
        <v>-4.9000000000000004</v>
      </c>
      <c r="M88" s="225">
        <v>-1.3</v>
      </c>
      <c r="N88" s="221">
        <f t="shared" si="22"/>
        <v>3.9</v>
      </c>
      <c r="P88" s="218">
        <v>7</v>
      </c>
      <c r="Q88" s="225">
        <v>1020</v>
      </c>
      <c r="R88" s="226"/>
      <c r="S88" s="226">
        <v>0</v>
      </c>
      <c r="T88" s="226">
        <v>9.9999999999999995E-7</v>
      </c>
      <c r="U88" s="221">
        <f t="shared" si="23"/>
        <v>4.9999999999999998E-7</v>
      </c>
    </row>
    <row r="89" spans="1:24" ht="13.8" thickBot="1">
      <c r="A89" s="233"/>
      <c r="B89" s="123"/>
      <c r="C89" s="123"/>
      <c r="D89" s="123"/>
      <c r="E89" s="234"/>
      <c r="G89" s="235"/>
      <c r="I89" s="123"/>
      <c r="J89" s="123"/>
      <c r="K89" s="123"/>
      <c r="L89" s="234"/>
      <c r="N89" s="235"/>
      <c r="R89" s="230"/>
    </row>
    <row r="90" spans="1:24">
      <c r="A90" s="851">
        <v>9</v>
      </c>
      <c r="B90" s="842" t="s">
        <v>253</v>
      </c>
      <c r="C90" s="842"/>
      <c r="D90" s="842"/>
      <c r="E90" s="842"/>
      <c r="F90" s="842"/>
      <c r="G90" s="842"/>
      <c r="I90" s="842" t="str">
        <f>B90</f>
        <v>KOREKSI GREISINGER 34904091</v>
      </c>
      <c r="J90" s="842"/>
      <c r="K90" s="842"/>
      <c r="L90" s="842"/>
      <c r="M90" s="842"/>
      <c r="N90" s="842"/>
      <c r="P90" s="842" t="str">
        <f>I90</f>
        <v>KOREKSI GREISINGER 34904091</v>
      </c>
      <c r="Q90" s="842"/>
      <c r="R90" s="842"/>
      <c r="S90" s="842"/>
      <c r="T90" s="842"/>
      <c r="U90" s="842"/>
      <c r="W90" s="836" t="s">
        <v>208</v>
      </c>
      <c r="X90" s="837"/>
    </row>
    <row r="91" spans="1:24">
      <c r="A91" s="851"/>
      <c r="B91" s="838" t="s">
        <v>7</v>
      </c>
      <c r="C91" s="838"/>
      <c r="D91" s="838" t="s">
        <v>241</v>
      </c>
      <c r="E91" s="838"/>
      <c r="F91" s="838"/>
      <c r="G91" s="838" t="s">
        <v>242</v>
      </c>
      <c r="I91" s="838" t="s">
        <v>204</v>
      </c>
      <c r="J91" s="838"/>
      <c r="K91" s="838" t="s">
        <v>241</v>
      </c>
      <c r="L91" s="838"/>
      <c r="M91" s="838"/>
      <c r="N91" s="838" t="s">
        <v>242</v>
      </c>
      <c r="P91" s="838" t="s">
        <v>243</v>
      </c>
      <c r="Q91" s="838"/>
      <c r="R91" s="838" t="s">
        <v>241</v>
      </c>
      <c r="S91" s="838"/>
      <c r="T91" s="838"/>
      <c r="U91" s="838" t="s">
        <v>242</v>
      </c>
      <c r="W91" s="215" t="s">
        <v>7</v>
      </c>
      <c r="X91" s="216">
        <v>0.3</v>
      </c>
    </row>
    <row r="92" spans="1:24" ht="14.4">
      <c r="A92" s="851"/>
      <c r="B92" s="839" t="s">
        <v>244</v>
      </c>
      <c r="C92" s="839"/>
      <c r="D92" s="217">
        <v>2019</v>
      </c>
      <c r="E92" s="237" t="s">
        <v>93</v>
      </c>
      <c r="F92" s="217">
        <v>2016</v>
      </c>
      <c r="G92" s="838"/>
      <c r="I92" s="840" t="s">
        <v>24</v>
      </c>
      <c r="J92" s="839"/>
      <c r="K92" s="238">
        <f>D92</f>
        <v>2019</v>
      </c>
      <c r="L92" s="238" t="str">
        <f>E92</f>
        <v>-</v>
      </c>
      <c r="M92" s="217">
        <v>2016</v>
      </c>
      <c r="N92" s="838"/>
      <c r="P92" s="840" t="s">
        <v>245</v>
      </c>
      <c r="Q92" s="839"/>
      <c r="R92" s="238">
        <f>K92</f>
        <v>2019</v>
      </c>
      <c r="S92" s="238" t="str">
        <f>L92</f>
        <v>-</v>
      </c>
      <c r="T92" s="217">
        <v>2016</v>
      </c>
      <c r="U92" s="838"/>
      <c r="W92" s="215" t="s">
        <v>24</v>
      </c>
      <c r="X92" s="216">
        <v>2.4</v>
      </c>
    </row>
    <row r="93" spans="1:24" ht="13.8" thickBot="1">
      <c r="A93" s="851"/>
      <c r="B93" s="218">
        <v>1</v>
      </c>
      <c r="C93" s="219">
        <v>15</v>
      </c>
      <c r="D93" s="220">
        <v>9.9999999999999995E-7</v>
      </c>
      <c r="E93" s="220" t="s">
        <v>93</v>
      </c>
      <c r="F93" s="231"/>
      <c r="G93" s="221">
        <f>0.5*(MAX(D93:F93)-MIN(D93:F93))</f>
        <v>0</v>
      </c>
      <c r="I93" s="218">
        <v>1</v>
      </c>
      <c r="J93" s="219">
        <v>30</v>
      </c>
      <c r="K93" s="220">
        <v>-1.2</v>
      </c>
      <c r="L93" s="220" t="s">
        <v>93</v>
      </c>
      <c r="M93" s="231"/>
      <c r="N93" s="221">
        <f>0.5*(MAX(K93:M93)-MIN(K93:M93))</f>
        <v>0</v>
      </c>
      <c r="P93" s="218">
        <v>1</v>
      </c>
      <c r="Q93" s="219">
        <v>750</v>
      </c>
      <c r="R93" s="222">
        <v>9.9999999999999995E-7</v>
      </c>
      <c r="S93" s="222" t="s">
        <v>93</v>
      </c>
      <c r="T93" s="219">
        <v>9.9999999999999995E-7</v>
      </c>
      <c r="U93" s="221">
        <f>0.5*(MAX(R93:T93)-MIN(R93:T93))</f>
        <v>0</v>
      </c>
      <c r="W93" s="223" t="s">
        <v>245</v>
      </c>
      <c r="X93" s="224">
        <v>2.2000000000000002</v>
      </c>
    </row>
    <row r="94" spans="1:24">
      <c r="A94" s="851"/>
      <c r="B94" s="218">
        <v>2</v>
      </c>
      <c r="C94" s="219">
        <v>20</v>
      </c>
      <c r="D94" s="220">
        <v>-0.2</v>
      </c>
      <c r="E94" s="220" t="s">
        <v>93</v>
      </c>
      <c r="F94" s="231"/>
      <c r="G94" s="221">
        <f t="shared" ref="G94:G99" si="24">0.5*(MAX(D94:F94)-MIN(D94:F94))</f>
        <v>0</v>
      </c>
      <c r="I94" s="218">
        <v>2</v>
      </c>
      <c r="J94" s="219">
        <v>40</v>
      </c>
      <c r="K94" s="220">
        <v>-1</v>
      </c>
      <c r="L94" s="220" t="s">
        <v>93</v>
      </c>
      <c r="M94" s="231"/>
      <c r="N94" s="221">
        <f t="shared" ref="N94:N99" si="25">0.5*(MAX(K94:M94)-MIN(K94:M94))</f>
        <v>0</v>
      </c>
      <c r="P94" s="218">
        <v>2</v>
      </c>
      <c r="Q94" s="219">
        <v>800</v>
      </c>
      <c r="R94" s="222">
        <v>9.9999999999999995E-7</v>
      </c>
      <c r="S94" s="222" t="s">
        <v>93</v>
      </c>
      <c r="T94" s="219">
        <v>9.9999999999999995E-7</v>
      </c>
      <c r="U94" s="221">
        <f t="shared" ref="U94:U99" si="26">0.5*(MAX(R94:T94)-MIN(R94:T94))</f>
        <v>0</v>
      </c>
    </row>
    <row r="95" spans="1:24">
      <c r="A95" s="851"/>
      <c r="B95" s="218">
        <v>3</v>
      </c>
      <c r="C95" s="219">
        <v>25</v>
      </c>
      <c r="D95" s="220">
        <v>-0.4</v>
      </c>
      <c r="E95" s="220" t="s">
        <v>93</v>
      </c>
      <c r="F95" s="231"/>
      <c r="G95" s="221">
        <f t="shared" si="24"/>
        <v>0</v>
      </c>
      <c r="I95" s="218">
        <v>3</v>
      </c>
      <c r="J95" s="219">
        <v>50</v>
      </c>
      <c r="K95" s="220">
        <v>-0.9</v>
      </c>
      <c r="L95" s="220" t="s">
        <v>93</v>
      </c>
      <c r="M95" s="231"/>
      <c r="N95" s="221">
        <f t="shared" si="25"/>
        <v>0</v>
      </c>
      <c r="P95" s="218">
        <v>3</v>
      </c>
      <c r="Q95" s="219">
        <v>850</v>
      </c>
      <c r="R95" s="222">
        <v>9.9999999999999995E-7</v>
      </c>
      <c r="S95" s="222" t="s">
        <v>93</v>
      </c>
      <c r="T95" s="219">
        <v>9.9999999999999995E-7</v>
      </c>
      <c r="U95" s="221">
        <f t="shared" si="26"/>
        <v>0</v>
      </c>
    </row>
    <row r="96" spans="1:24">
      <c r="A96" s="851"/>
      <c r="B96" s="218">
        <v>4</v>
      </c>
      <c r="C96" s="225">
        <v>30</v>
      </c>
      <c r="D96" s="220">
        <v>-0.5</v>
      </c>
      <c r="E96" s="226" t="s">
        <v>93</v>
      </c>
      <c r="F96" s="231"/>
      <c r="G96" s="221">
        <f t="shared" si="24"/>
        <v>0</v>
      </c>
      <c r="I96" s="218">
        <v>4</v>
      </c>
      <c r="J96" s="225">
        <v>60</v>
      </c>
      <c r="K96" s="220">
        <v>-0.8</v>
      </c>
      <c r="L96" s="226" t="s">
        <v>93</v>
      </c>
      <c r="M96" s="231"/>
      <c r="N96" s="221">
        <f t="shared" si="25"/>
        <v>0</v>
      </c>
      <c r="P96" s="218">
        <v>4</v>
      </c>
      <c r="Q96" s="225">
        <v>900</v>
      </c>
      <c r="R96" s="222">
        <v>9.9999999999999995E-7</v>
      </c>
      <c r="S96" s="226" t="s">
        <v>93</v>
      </c>
      <c r="T96" s="219">
        <v>9.9999999999999995E-7</v>
      </c>
      <c r="U96" s="221">
        <f t="shared" si="26"/>
        <v>0</v>
      </c>
    </row>
    <row r="97" spans="1:28">
      <c r="A97" s="851"/>
      <c r="B97" s="218">
        <v>5</v>
      </c>
      <c r="C97" s="225">
        <v>35</v>
      </c>
      <c r="D97" s="220">
        <v>-0.5</v>
      </c>
      <c r="E97" s="226" t="s">
        <v>93</v>
      </c>
      <c r="F97" s="231"/>
      <c r="G97" s="221">
        <f t="shared" si="24"/>
        <v>0</v>
      </c>
      <c r="I97" s="218">
        <v>5</v>
      </c>
      <c r="J97" s="225">
        <v>70</v>
      </c>
      <c r="K97" s="220">
        <v>-0.6</v>
      </c>
      <c r="L97" s="226" t="s">
        <v>93</v>
      </c>
      <c r="M97" s="231"/>
      <c r="N97" s="221">
        <f t="shared" si="25"/>
        <v>0</v>
      </c>
      <c r="P97" s="218">
        <v>5</v>
      </c>
      <c r="Q97" s="225">
        <v>1000</v>
      </c>
      <c r="R97" s="226">
        <v>0.2</v>
      </c>
      <c r="S97" s="226" t="s">
        <v>93</v>
      </c>
      <c r="T97" s="219">
        <v>9.9999999999999995E-7</v>
      </c>
      <c r="U97" s="221">
        <f t="shared" si="26"/>
        <v>9.9999500000000005E-2</v>
      </c>
    </row>
    <row r="98" spans="1:28">
      <c r="A98" s="851"/>
      <c r="B98" s="218">
        <v>6</v>
      </c>
      <c r="C98" s="225">
        <v>37</v>
      </c>
      <c r="D98" s="220">
        <v>-0.5</v>
      </c>
      <c r="E98" s="226" t="s">
        <v>93</v>
      </c>
      <c r="F98" s="231"/>
      <c r="G98" s="221">
        <f t="shared" si="24"/>
        <v>0</v>
      </c>
      <c r="I98" s="218">
        <v>6</v>
      </c>
      <c r="J98" s="225">
        <v>80</v>
      </c>
      <c r="K98" s="220">
        <v>-0.5</v>
      </c>
      <c r="L98" s="226" t="s">
        <v>93</v>
      </c>
      <c r="M98" s="231"/>
      <c r="N98" s="221">
        <f t="shared" si="25"/>
        <v>0</v>
      </c>
      <c r="P98" s="218">
        <v>6</v>
      </c>
      <c r="Q98" s="225">
        <v>1005</v>
      </c>
      <c r="R98" s="226">
        <v>0.2</v>
      </c>
      <c r="S98" s="226" t="s">
        <v>93</v>
      </c>
      <c r="T98" s="219">
        <v>9.9999999999999995E-7</v>
      </c>
      <c r="U98" s="221">
        <f t="shared" si="26"/>
        <v>9.9999500000000005E-2</v>
      </c>
    </row>
    <row r="99" spans="1:28">
      <c r="A99" s="851"/>
      <c r="B99" s="218">
        <v>7</v>
      </c>
      <c r="C99" s="225">
        <v>40</v>
      </c>
      <c r="D99" s="220">
        <v>-0.4</v>
      </c>
      <c r="E99" s="226" t="s">
        <v>93</v>
      </c>
      <c r="F99" s="231"/>
      <c r="G99" s="221">
        <f t="shared" si="24"/>
        <v>0</v>
      </c>
      <c r="I99" s="218">
        <v>7</v>
      </c>
      <c r="J99" s="225">
        <v>90</v>
      </c>
      <c r="K99" s="220">
        <v>-0.2</v>
      </c>
      <c r="L99" s="226" t="s">
        <v>93</v>
      </c>
      <c r="M99" s="231"/>
      <c r="N99" s="221">
        <f t="shared" si="25"/>
        <v>0</v>
      </c>
      <c r="P99" s="218">
        <v>7</v>
      </c>
      <c r="Q99" s="225">
        <v>1020</v>
      </c>
      <c r="R99" s="226">
        <v>9.9999999999999995E-7</v>
      </c>
      <c r="S99" s="226" t="s">
        <v>93</v>
      </c>
      <c r="T99" s="219">
        <v>9.9999999999999995E-7</v>
      </c>
      <c r="U99" s="221">
        <f t="shared" si="26"/>
        <v>0</v>
      </c>
    </row>
    <row r="100" spans="1:28" ht="13.8" thickBot="1">
      <c r="A100" s="233"/>
      <c r="B100" s="123"/>
      <c r="C100" s="123"/>
      <c r="D100" s="123"/>
      <c r="E100" s="234"/>
      <c r="G100" s="235"/>
      <c r="I100" s="123"/>
      <c r="J100" s="123"/>
      <c r="K100" s="123"/>
      <c r="L100" s="234"/>
      <c r="N100" s="235"/>
      <c r="R100" s="230"/>
      <c r="AB100" s="236"/>
    </row>
    <row r="101" spans="1:28">
      <c r="A101" s="841">
        <v>10</v>
      </c>
      <c r="B101" s="842" t="s">
        <v>254</v>
      </c>
      <c r="C101" s="842"/>
      <c r="D101" s="842"/>
      <c r="E101" s="842"/>
      <c r="F101" s="842"/>
      <c r="G101" s="842"/>
      <c r="I101" s="842" t="str">
        <f>B101</f>
        <v>KOREKSI Sekonic HE-21.000669</v>
      </c>
      <c r="J101" s="842"/>
      <c r="K101" s="842"/>
      <c r="L101" s="842"/>
      <c r="M101" s="842"/>
      <c r="N101" s="842"/>
      <c r="P101" s="842" t="str">
        <f>I101</f>
        <v>KOREKSI Sekonic HE-21.000669</v>
      </c>
      <c r="Q101" s="842"/>
      <c r="R101" s="842"/>
      <c r="S101" s="842"/>
      <c r="T101" s="842"/>
      <c r="U101" s="842"/>
      <c r="W101" s="836" t="s">
        <v>208</v>
      </c>
      <c r="X101" s="837"/>
    </row>
    <row r="102" spans="1:28">
      <c r="A102" s="841"/>
      <c r="B102" s="838" t="s">
        <v>7</v>
      </c>
      <c r="C102" s="838"/>
      <c r="D102" s="838" t="s">
        <v>241</v>
      </c>
      <c r="E102" s="838"/>
      <c r="F102" s="838"/>
      <c r="G102" s="838" t="s">
        <v>242</v>
      </c>
      <c r="I102" s="838" t="s">
        <v>204</v>
      </c>
      <c r="J102" s="838"/>
      <c r="K102" s="838" t="s">
        <v>241</v>
      </c>
      <c r="L102" s="838"/>
      <c r="M102" s="838"/>
      <c r="N102" s="838" t="s">
        <v>242</v>
      </c>
      <c r="P102" s="838" t="s">
        <v>243</v>
      </c>
      <c r="Q102" s="838"/>
      <c r="R102" s="838" t="s">
        <v>241</v>
      </c>
      <c r="S102" s="838"/>
      <c r="T102" s="838"/>
      <c r="U102" s="838" t="s">
        <v>242</v>
      </c>
      <c r="W102" s="215" t="s">
        <v>7</v>
      </c>
      <c r="X102" s="216">
        <v>0.3</v>
      </c>
    </row>
    <row r="103" spans="1:28" ht="14.4">
      <c r="A103" s="841"/>
      <c r="B103" s="839" t="s">
        <v>244</v>
      </c>
      <c r="C103" s="839"/>
      <c r="D103" s="217">
        <v>2019</v>
      </c>
      <c r="E103" s="217">
        <v>2016</v>
      </c>
      <c r="F103" s="217">
        <v>2016</v>
      </c>
      <c r="G103" s="838"/>
      <c r="I103" s="840" t="s">
        <v>24</v>
      </c>
      <c r="J103" s="839"/>
      <c r="K103" s="238">
        <f>D103</f>
        <v>2019</v>
      </c>
      <c r="L103" s="238">
        <f>E103</f>
        <v>2016</v>
      </c>
      <c r="M103" s="217">
        <v>2016</v>
      </c>
      <c r="N103" s="838"/>
      <c r="P103" s="840" t="s">
        <v>245</v>
      </c>
      <c r="Q103" s="839"/>
      <c r="R103" s="217">
        <f>K103</f>
        <v>2019</v>
      </c>
      <c r="S103" s="217">
        <f>L103</f>
        <v>2016</v>
      </c>
      <c r="T103" s="217">
        <v>2016</v>
      </c>
      <c r="U103" s="838"/>
      <c r="W103" s="215" t="s">
        <v>24</v>
      </c>
      <c r="X103" s="216">
        <v>1.5</v>
      </c>
    </row>
    <row r="104" spans="1:28" ht="13.8" thickBot="1">
      <c r="A104" s="841"/>
      <c r="B104" s="218">
        <v>1</v>
      </c>
      <c r="C104" s="219">
        <v>15</v>
      </c>
      <c r="D104" s="219">
        <v>0.2</v>
      </c>
      <c r="E104" s="219">
        <v>0.2</v>
      </c>
      <c r="F104" s="231"/>
      <c r="G104" s="221">
        <f>0.5*(MAX(D104:F104)-MIN(D104:F104))</f>
        <v>0</v>
      </c>
      <c r="I104" s="218">
        <v>1</v>
      </c>
      <c r="J104" s="220">
        <v>30</v>
      </c>
      <c r="K104" s="219">
        <v>-2.9</v>
      </c>
      <c r="L104" s="219">
        <v>-5.8</v>
      </c>
      <c r="M104" s="231"/>
      <c r="N104" s="221">
        <f>0.5*(MAX(K104:M104)-MIN(K104:M104))</f>
        <v>1.45</v>
      </c>
      <c r="P104" s="218">
        <v>1</v>
      </c>
      <c r="Q104" s="219">
        <v>750</v>
      </c>
      <c r="R104" s="222" t="s">
        <v>93</v>
      </c>
      <c r="S104" s="222" t="s">
        <v>93</v>
      </c>
      <c r="T104" s="219">
        <v>9.9999999999999995E-7</v>
      </c>
      <c r="U104" s="221">
        <f>0.5*(MAX(R104:T104)-MIN(R104:T104))</f>
        <v>0</v>
      </c>
      <c r="W104" s="223" t="s">
        <v>245</v>
      </c>
      <c r="X104" s="224">
        <v>0</v>
      </c>
    </row>
    <row r="105" spans="1:28">
      <c r="A105" s="841"/>
      <c r="B105" s="218">
        <v>2</v>
      </c>
      <c r="C105" s="219">
        <v>20</v>
      </c>
      <c r="D105" s="219">
        <v>0.2</v>
      </c>
      <c r="E105" s="219">
        <v>-0.7</v>
      </c>
      <c r="F105" s="231"/>
      <c r="G105" s="221">
        <f t="shared" ref="G105:G110" si="27">0.5*(MAX(D105:F105)-MIN(D105:F105))</f>
        <v>0.44999999999999996</v>
      </c>
      <c r="I105" s="218">
        <v>2</v>
      </c>
      <c r="J105" s="220">
        <v>40</v>
      </c>
      <c r="K105" s="219">
        <v>-3.3</v>
      </c>
      <c r="L105" s="219">
        <v>-6.4</v>
      </c>
      <c r="M105" s="231"/>
      <c r="N105" s="221">
        <f t="shared" ref="N105:N110" si="28">0.5*(MAX(K105:M105)-MIN(K105:M105))</f>
        <v>1.5500000000000003</v>
      </c>
      <c r="P105" s="218">
        <v>2</v>
      </c>
      <c r="Q105" s="219">
        <v>800</v>
      </c>
      <c r="R105" s="222" t="s">
        <v>93</v>
      </c>
      <c r="S105" s="222" t="s">
        <v>93</v>
      </c>
      <c r="T105" s="219">
        <v>9.9999999999999995E-7</v>
      </c>
      <c r="U105" s="221">
        <f t="shared" ref="U105:U110" si="29">0.5*(MAX(R105:T105)-MIN(R105:T105))</f>
        <v>0</v>
      </c>
    </row>
    <row r="106" spans="1:28">
      <c r="A106" s="841"/>
      <c r="B106" s="218">
        <v>3</v>
      </c>
      <c r="C106" s="219">
        <v>25</v>
      </c>
      <c r="D106" s="219">
        <v>0.1</v>
      </c>
      <c r="E106" s="219">
        <v>-0.5</v>
      </c>
      <c r="F106" s="231"/>
      <c r="G106" s="221">
        <f t="shared" si="27"/>
        <v>0.3</v>
      </c>
      <c r="I106" s="218">
        <v>3</v>
      </c>
      <c r="J106" s="220">
        <v>50</v>
      </c>
      <c r="K106" s="219">
        <v>-3.1</v>
      </c>
      <c r="L106" s="219">
        <v>-6.1</v>
      </c>
      <c r="M106" s="231"/>
      <c r="N106" s="221">
        <f t="shared" si="28"/>
        <v>1.4999999999999998</v>
      </c>
      <c r="P106" s="218">
        <v>3</v>
      </c>
      <c r="Q106" s="219">
        <v>850</v>
      </c>
      <c r="R106" s="222" t="s">
        <v>93</v>
      </c>
      <c r="S106" s="222" t="s">
        <v>93</v>
      </c>
      <c r="T106" s="219">
        <v>9.9999999999999995E-7</v>
      </c>
      <c r="U106" s="221">
        <f t="shared" si="29"/>
        <v>0</v>
      </c>
    </row>
    <row r="107" spans="1:28">
      <c r="A107" s="841"/>
      <c r="B107" s="218">
        <v>4</v>
      </c>
      <c r="C107" s="225">
        <v>30</v>
      </c>
      <c r="D107" s="225">
        <v>0.1</v>
      </c>
      <c r="E107" s="225">
        <v>0.2</v>
      </c>
      <c r="F107" s="231"/>
      <c r="G107" s="221">
        <f t="shared" si="27"/>
        <v>0.05</v>
      </c>
      <c r="I107" s="218">
        <v>4</v>
      </c>
      <c r="J107" s="239">
        <v>60</v>
      </c>
      <c r="K107" s="225">
        <v>-2.1</v>
      </c>
      <c r="L107" s="225">
        <v>-5.6</v>
      </c>
      <c r="M107" s="231"/>
      <c r="N107" s="221">
        <f t="shared" si="28"/>
        <v>1.7499999999999998</v>
      </c>
      <c r="P107" s="218">
        <v>4</v>
      </c>
      <c r="Q107" s="225">
        <v>900</v>
      </c>
      <c r="R107" s="226" t="s">
        <v>93</v>
      </c>
      <c r="S107" s="226" t="s">
        <v>93</v>
      </c>
      <c r="T107" s="219">
        <v>9.9999999999999995E-7</v>
      </c>
      <c r="U107" s="221">
        <f t="shared" si="29"/>
        <v>0</v>
      </c>
    </row>
    <row r="108" spans="1:28">
      <c r="A108" s="841"/>
      <c r="B108" s="218">
        <v>5</v>
      </c>
      <c r="C108" s="225">
        <v>35</v>
      </c>
      <c r="D108" s="225">
        <v>0.2</v>
      </c>
      <c r="E108" s="225">
        <v>0.8</v>
      </c>
      <c r="F108" s="231"/>
      <c r="G108" s="221">
        <f t="shared" si="27"/>
        <v>0.30000000000000004</v>
      </c>
      <c r="I108" s="218">
        <v>5</v>
      </c>
      <c r="J108" s="239">
        <v>70</v>
      </c>
      <c r="K108" s="225">
        <v>-0.3</v>
      </c>
      <c r="L108" s="225">
        <v>-5.0999999999999996</v>
      </c>
      <c r="M108" s="231"/>
      <c r="N108" s="221">
        <f t="shared" si="28"/>
        <v>2.4</v>
      </c>
      <c r="P108" s="218">
        <v>5</v>
      </c>
      <c r="Q108" s="225">
        <v>1000</v>
      </c>
      <c r="R108" s="226" t="s">
        <v>93</v>
      </c>
      <c r="S108" s="226" t="s">
        <v>93</v>
      </c>
      <c r="T108" s="219">
        <v>9.9999999999999995E-7</v>
      </c>
      <c r="U108" s="221">
        <f t="shared" si="29"/>
        <v>0</v>
      </c>
    </row>
    <row r="109" spans="1:28">
      <c r="A109" s="841"/>
      <c r="B109" s="218">
        <v>6</v>
      </c>
      <c r="C109" s="225">
        <v>37</v>
      </c>
      <c r="D109" s="225">
        <v>0.2</v>
      </c>
      <c r="E109" s="225">
        <v>0.4</v>
      </c>
      <c r="F109" s="231"/>
      <c r="G109" s="221">
        <f t="shared" si="27"/>
        <v>0.1</v>
      </c>
      <c r="I109" s="218">
        <v>6</v>
      </c>
      <c r="J109" s="239">
        <v>80</v>
      </c>
      <c r="K109" s="225">
        <v>2.2000000000000002</v>
      </c>
      <c r="L109" s="225">
        <v>-4.7</v>
      </c>
      <c r="M109" s="231"/>
      <c r="N109" s="221">
        <f t="shared" si="28"/>
        <v>3.45</v>
      </c>
      <c r="P109" s="218">
        <v>6</v>
      </c>
      <c r="Q109" s="225">
        <v>1005</v>
      </c>
      <c r="R109" s="226" t="s">
        <v>93</v>
      </c>
      <c r="S109" s="226" t="s">
        <v>93</v>
      </c>
      <c r="T109" s="219">
        <v>9.9999999999999995E-7</v>
      </c>
      <c r="U109" s="221">
        <f t="shared" si="29"/>
        <v>0</v>
      </c>
    </row>
    <row r="110" spans="1:28" ht="13.8" thickBot="1">
      <c r="A110" s="841"/>
      <c r="B110" s="218">
        <v>7</v>
      </c>
      <c r="C110" s="239">
        <v>40</v>
      </c>
      <c r="D110" s="220">
        <v>0.2</v>
      </c>
      <c r="E110" s="220">
        <v>9.9999999999999995E-7</v>
      </c>
      <c r="F110" s="231"/>
      <c r="G110" s="221">
        <f t="shared" si="27"/>
        <v>9.9999500000000005E-2</v>
      </c>
      <c r="I110" s="218">
        <v>7</v>
      </c>
      <c r="J110" s="239">
        <v>90</v>
      </c>
      <c r="K110" s="239">
        <v>5.4</v>
      </c>
      <c r="L110" s="239">
        <v>9.9999999999999995E-7</v>
      </c>
      <c r="M110" s="231"/>
      <c r="N110" s="221">
        <f t="shared" si="28"/>
        <v>2.6999995000000001</v>
      </c>
      <c r="P110" s="218">
        <v>7</v>
      </c>
      <c r="Q110" s="225">
        <v>1020</v>
      </c>
      <c r="R110" s="226" t="s">
        <v>93</v>
      </c>
      <c r="S110" s="226" t="s">
        <v>93</v>
      </c>
      <c r="T110" s="219">
        <v>9.9999999999999995E-7</v>
      </c>
      <c r="U110" s="221">
        <f t="shared" si="29"/>
        <v>0</v>
      </c>
    </row>
    <row r="111" spans="1:28" ht="13.8" thickBot="1">
      <c r="A111" s="233"/>
      <c r="B111" s="123"/>
      <c r="C111" s="123"/>
      <c r="D111" s="123"/>
      <c r="E111" s="234"/>
      <c r="F111" s="235"/>
      <c r="G111" s="236"/>
      <c r="H111" s="123"/>
      <c r="I111" s="123"/>
      <c r="J111" s="123"/>
      <c r="K111" s="234"/>
      <c r="L111" s="235"/>
      <c r="M111" s="236"/>
      <c r="O111" s="240"/>
      <c r="P111" s="230"/>
    </row>
    <row r="112" spans="1:28">
      <c r="A112" s="851">
        <v>11</v>
      </c>
      <c r="B112" s="842" t="s">
        <v>255</v>
      </c>
      <c r="C112" s="842"/>
      <c r="D112" s="842"/>
      <c r="E112" s="842"/>
      <c r="F112" s="842"/>
      <c r="G112" s="842"/>
      <c r="I112" s="842" t="str">
        <f>B112</f>
        <v>KOREKSI Sekonic HE-21.000670</v>
      </c>
      <c r="J112" s="842"/>
      <c r="K112" s="842"/>
      <c r="L112" s="842"/>
      <c r="M112" s="842"/>
      <c r="N112" s="842"/>
      <c r="P112" s="842" t="str">
        <f>I112</f>
        <v>KOREKSI Sekonic HE-21.000670</v>
      </c>
      <c r="Q112" s="842"/>
      <c r="R112" s="842"/>
      <c r="S112" s="842"/>
      <c r="T112" s="842"/>
      <c r="U112" s="842"/>
      <c r="W112" s="836" t="s">
        <v>208</v>
      </c>
      <c r="X112" s="837"/>
      <c r="AB112" s="240"/>
    </row>
    <row r="113" spans="1:24">
      <c r="A113" s="851"/>
      <c r="B113" s="838" t="s">
        <v>7</v>
      </c>
      <c r="C113" s="838"/>
      <c r="D113" s="838" t="s">
        <v>241</v>
      </c>
      <c r="E113" s="838"/>
      <c r="F113" s="838"/>
      <c r="G113" s="838" t="s">
        <v>242</v>
      </c>
      <c r="I113" s="838" t="s">
        <v>204</v>
      </c>
      <c r="J113" s="838"/>
      <c r="K113" s="838" t="s">
        <v>241</v>
      </c>
      <c r="L113" s="838"/>
      <c r="M113" s="838"/>
      <c r="N113" s="838" t="s">
        <v>242</v>
      </c>
      <c r="P113" s="838" t="s">
        <v>243</v>
      </c>
      <c r="Q113" s="838"/>
      <c r="R113" s="838" t="s">
        <v>241</v>
      </c>
      <c r="S113" s="838"/>
      <c r="T113" s="838"/>
      <c r="U113" s="838" t="s">
        <v>242</v>
      </c>
      <c r="W113" s="215" t="s">
        <v>7</v>
      </c>
      <c r="X113" s="216">
        <v>0.3</v>
      </c>
    </row>
    <row r="114" spans="1:24" ht="14.4">
      <c r="A114" s="851"/>
      <c r="B114" s="839" t="s">
        <v>244</v>
      </c>
      <c r="C114" s="839"/>
      <c r="D114" s="217">
        <v>2020</v>
      </c>
      <c r="E114" s="237">
        <v>2016</v>
      </c>
      <c r="F114" s="217">
        <v>2016</v>
      </c>
      <c r="G114" s="838"/>
      <c r="I114" s="840" t="s">
        <v>24</v>
      </c>
      <c r="J114" s="839"/>
      <c r="K114" s="238">
        <f>D114</f>
        <v>2020</v>
      </c>
      <c r="L114" s="238">
        <f>E114</f>
        <v>2016</v>
      </c>
      <c r="M114" s="217">
        <v>2016</v>
      </c>
      <c r="N114" s="838"/>
      <c r="P114" s="840" t="s">
        <v>245</v>
      </c>
      <c r="Q114" s="839"/>
      <c r="R114" s="238">
        <f>K114</f>
        <v>2020</v>
      </c>
      <c r="S114" s="238">
        <f>L114</f>
        <v>2016</v>
      </c>
      <c r="T114" s="217">
        <v>2016</v>
      </c>
      <c r="U114" s="838"/>
      <c r="W114" s="215" t="s">
        <v>24</v>
      </c>
      <c r="X114" s="216">
        <v>1.8</v>
      </c>
    </row>
    <row r="115" spans="1:24" ht="13.8" thickBot="1">
      <c r="A115" s="851"/>
      <c r="B115" s="218">
        <v>1</v>
      </c>
      <c r="C115" s="219">
        <v>15</v>
      </c>
      <c r="D115" s="219">
        <v>0.3</v>
      </c>
      <c r="E115" s="219">
        <v>0.3</v>
      </c>
      <c r="F115" s="231"/>
      <c r="G115" s="221">
        <f>0.5*(MAX(D115:F115)-MIN(D115:F115))</f>
        <v>0</v>
      </c>
      <c r="I115" s="218">
        <v>1</v>
      </c>
      <c r="J115" s="219">
        <v>30</v>
      </c>
      <c r="K115" s="219">
        <v>-5.2</v>
      </c>
      <c r="L115" s="219">
        <v>-6.4</v>
      </c>
      <c r="M115" s="231"/>
      <c r="N115" s="221">
        <f>0.5*(MAX(K115:M115)-MIN(K115:M115))</f>
        <v>0.60000000000000009</v>
      </c>
      <c r="P115" s="218">
        <v>1</v>
      </c>
      <c r="Q115" s="219">
        <v>750</v>
      </c>
      <c r="R115" s="222" t="s">
        <v>93</v>
      </c>
      <c r="S115" s="220" t="s">
        <v>93</v>
      </c>
      <c r="T115" s="219">
        <v>9.9999999999999995E-7</v>
      </c>
      <c r="U115" s="221">
        <f>0.5*(MAX(R115:T115)-MIN(R115:T115))</f>
        <v>0</v>
      </c>
      <c r="W115" s="223" t="s">
        <v>245</v>
      </c>
      <c r="X115" s="224">
        <v>0</v>
      </c>
    </row>
    <row r="116" spans="1:24">
      <c r="A116" s="851"/>
      <c r="B116" s="218">
        <v>2</v>
      </c>
      <c r="C116" s="219">
        <v>20</v>
      </c>
      <c r="D116" s="219">
        <v>0.4</v>
      </c>
      <c r="E116" s="219">
        <v>0.5</v>
      </c>
      <c r="F116" s="231"/>
      <c r="G116" s="221">
        <f t="shared" ref="G116:G121" si="30">0.5*(MAX(D116:F116)-MIN(D116:F116))</f>
        <v>4.9999999999999989E-2</v>
      </c>
      <c r="I116" s="218">
        <v>2</v>
      </c>
      <c r="J116" s="219">
        <v>40</v>
      </c>
      <c r="K116" s="219">
        <v>-5.5</v>
      </c>
      <c r="L116" s="219">
        <v>-5.9</v>
      </c>
      <c r="M116" s="231"/>
      <c r="N116" s="221">
        <f t="shared" ref="N116:N121" si="31">0.5*(MAX(K116:M116)-MIN(K116:M116))</f>
        <v>0.20000000000000018</v>
      </c>
      <c r="P116" s="218">
        <v>2</v>
      </c>
      <c r="Q116" s="219">
        <v>800</v>
      </c>
      <c r="R116" s="222" t="s">
        <v>93</v>
      </c>
      <c r="S116" s="220" t="s">
        <v>93</v>
      </c>
      <c r="T116" s="219">
        <v>9.9999999999999995E-7</v>
      </c>
      <c r="U116" s="221">
        <f t="shared" ref="U116:U121" si="32">0.5*(MAX(R116:T116)-MIN(R116:T116))</f>
        <v>0</v>
      </c>
    </row>
    <row r="117" spans="1:24">
      <c r="A117" s="851"/>
      <c r="B117" s="218">
        <v>3</v>
      </c>
      <c r="C117" s="219">
        <v>25</v>
      </c>
      <c r="D117" s="219">
        <v>0.4</v>
      </c>
      <c r="E117" s="219">
        <v>0.5</v>
      </c>
      <c r="F117" s="231"/>
      <c r="G117" s="221">
        <f t="shared" si="30"/>
        <v>4.9999999999999989E-2</v>
      </c>
      <c r="I117" s="218">
        <v>3</v>
      </c>
      <c r="J117" s="219">
        <v>50</v>
      </c>
      <c r="K117" s="219">
        <v>-5.5</v>
      </c>
      <c r="L117" s="219">
        <v>-5.6</v>
      </c>
      <c r="M117" s="231"/>
      <c r="N117" s="221">
        <f t="shared" si="31"/>
        <v>4.9999999999999822E-2</v>
      </c>
      <c r="P117" s="218">
        <v>3</v>
      </c>
      <c r="Q117" s="219">
        <v>850</v>
      </c>
      <c r="R117" s="222" t="s">
        <v>93</v>
      </c>
      <c r="S117" s="220" t="s">
        <v>93</v>
      </c>
      <c r="T117" s="219">
        <v>9.9999999999999995E-7</v>
      </c>
      <c r="U117" s="221">
        <f t="shared" si="32"/>
        <v>0</v>
      </c>
    </row>
    <row r="118" spans="1:24">
      <c r="A118" s="851"/>
      <c r="B118" s="218">
        <v>4</v>
      </c>
      <c r="C118" s="225">
        <v>30</v>
      </c>
      <c r="D118" s="225">
        <v>0.5</v>
      </c>
      <c r="E118" s="225">
        <v>0.4</v>
      </c>
      <c r="F118" s="231"/>
      <c r="G118" s="221">
        <f t="shared" si="30"/>
        <v>4.9999999999999989E-2</v>
      </c>
      <c r="I118" s="218">
        <v>4</v>
      </c>
      <c r="J118" s="225">
        <v>60</v>
      </c>
      <c r="K118" s="225">
        <v>-4.8</v>
      </c>
      <c r="L118" s="225">
        <v>-4.5</v>
      </c>
      <c r="M118" s="231"/>
      <c r="N118" s="221">
        <f t="shared" si="31"/>
        <v>0.14999999999999991</v>
      </c>
      <c r="P118" s="218">
        <v>4</v>
      </c>
      <c r="Q118" s="225">
        <v>900</v>
      </c>
      <c r="R118" s="226" t="s">
        <v>93</v>
      </c>
      <c r="S118" s="226" t="s">
        <v>93</v>
      </c>
      <c r="T118" s="219">
        <v>9.9999999999999995E-7</v>
      </c>
      <c r="U118" s="221">
        <f t="shared" si="32"/>
        <v>0</v>
      </c>
    </row>
    <row r="119" spans="1:24">
      <c r="A119" s="851"/>
      <c r="B119" s="218">
        <v>5</v>
      </c>
      <c r="C119" s="225">
        <v>35</v>
      </c>
      <c r="D119" s="225">
        <v>0.5</v>
      </c>
      <c r="E119" s="225">
        <v>0.4</v>
      </c>
      <c r="F119" s="231"/>
      <c r="G119" s="221">
        <f t="shared" si="30"/>
        <v>4.9999999999999989E-2</v>
      </c>
      <c r="I119" s="218">
        <v>5</v>
      </c>
      <c r="J119" s="225">
        <v>70</v>
      </c>
      <c r="K119" s="225">
        <v>-3.4</v>
      </c>
      <c r="L119" s="225">
        <v>-1.7</v>
      </c>
      <c r="M119" s="231"/>
      <c r="N119" s="221">
        <f t="shared" si="31"/>
        <v>0.85</v>
      </c>
      <c r="P119" s="218">
        <v>5</v>
      </c>
      <c r="Q119" s="225">
        <v>1000</v>
      </c>
      <c r="R119" s="226" t="s">
        <v>93</v>
      </c>
      <c r="S119" s="226" t="s">
        <v>93</v>
      </c>
      <c r="T119" s="219">
        <v>9.9999999999999995E-7</v>
      </c>
      <c r="U119" s="221">
        <f t="shared" si="32"/>
        <v>0</v>
      </c>
    </row>
    <row r="120" spans="1:24">
      <c r="A120" s="851"/>
      <c r="B120" s="218">
        <v>6</v>
      </c>
      <c r="C120" s="225">
        <v>37</v>
      </c>
      <c r="D120" s="225">
        <v>0.5</v>
      </c>
      <c r="E120" s="225">
        <v>0.5</v>
      </c>
      <c r="F120" s="231"/>
      <c r="G120" s="221">
        <f t="shared" si="30"/>
        <v>0</v>
      </c>
      <c r="I120" s="218">
        <v>6</v>
      </c>
      <c r="J120" s="225">
        <v>80</v>
      </c>
      <c r="K120" s="225">
        <v>-1.4</v>
      </c>
      <c r="L120" s="225">
        <v>2.6</v>
      </c>
      <c r="M120" s="231"/>
      <c r="N120" s="221">
        <f t="shared" si="31"/>
        <v>2</v>
      </c>
      <c r="P120" s="218">
        <v>6</v>
      </c>
      <c r="Q120" s="225">
        <v>1005</v>
      </c>
      <c r="R120" s="226" t="s">
        <v>93</v>
      </c>
      <c r="S120" s="226" t="s">
        <v>93</v>
      </c>
      <c r="T120" s="219">
        <v>9.9999999999999995E-7</v>
      </c>
      <c r="U120" s="221">
        <f t="shared" si="32"/>
        <v>0</v>
      </c>
    </row>
    <row r="121" spans="1:24" ht="13.8" thickBot="1">
      <c r="A121" s="851"/>
      <c r="B121" s="218">
        <v>7</v>
      </c>
      <c r="C121" s="239">
        <v>40</v>
      </c>
      <c r="D121" s="239">
        <v>0.5</v>
      </c>
      <c r="E121" s="239">
        <v>9.9999999999999995E-7</v>
      </c>
      <c r="F121" s="231"/>
      <c r="G121" s="221">
        <f t="shared" si="30"/>
        <v>0.24999950000000001</v>
      </c>
      <c r="I121" s="218">
        <v>7</v>
      </c>
      <c r="J121" s="239">
        <v>90</v>
      </c>
      <c r="K121" s="239">
        <v>1.3</v>
      </c>
      <c r="L121" s="239">
        <v>9.9999999999999995E-7</v>
      </c>
      <c r="M121" s="231"/>
      <c r="N121" s="221">
        <f t="shared" si="31"/>
        <v>0.64999950000000006</v>
      </c>
      <c r="P121" s="218">
        <v>7</v>
      </c>
      <c r="Q121" s="225">
        <v>1020</v>
      </c>
      <c r="R121" s="226" t="s">
        <v>93</v>
      </c>
      <c r="S121" s="226" t="s">
        <v>93</v>
      </c>
      <c r="T121" s="219">
        <v>9.9999999999999995E-7</v>
      </c>
      <c r="U121" s="221">
        <f t="shared" si="32"/>
        <v>0</v>
      </c>
    </row>
    <row r="122" spans="1:24" ht="13.8" thickBot="1">
      <c r="A122" s="233"/>
      <c r="B122" s="123"/>
      <c r="C122" s="123"/>
      <c r="D122" s="123"/>
      <c r="E122" s="234"/>
      <c r="F122" s="235"/>
      <c r="G122" s="236"/>
      <c r="I122" s="123"/>
      <c r="J122" s="123"/>
      <c r="K122" s="123"/>
      <c r="L122" s="234"/>
      <c r="M122" s="235"/>
      <c r="Q122" s="240"/>
      <c r="R122" s="230"/>
    </row>
    <row r="123" spans="1:24">
      <c r="A123" s="841">
        <v>12</v>
      </c>
      <c r="B123" s="842" t="s">
        <v>256</v>
      </c>
      <c r="C123" s="842"/>
      <c r="D123" s="842"/>
      <c r="E123" s="842"/>
      <c r="F123" s="842"/>
      <c r="G123" s="842"/>
      <c r="I123" s="842" t="str">
        <f>B123</f>
        <v>KOREKSI EXTECH A.100586</v>
      </c>
      <c r="J123" s="842"/>
      <c r="K123" s="842"/>
      <c r="L123" s="842"/>
      <c r="M123" s="842"/>
      <c r="N123" s="842"/>
      <c r="P123" s="842" t="str">
        <f>I123</f>
        <v>KOREKSI EXTECH A.100586</v>
      </c>
      <c r="Q123" s="842"/>
      <c r="R123" s="842"/>
      <c r="S123" s="842"/>
      <c r="T123" s="842"/>
      <c r="U123" s="842"/>
      <c r="W123" s="836" t="s">
        <v>208</v>
      </c>
      <c r="X123" s="837"/>
    </row>
    <row r="124" spans="1:24">
      <c r="A124" s="841"/>
      <c r="B124" s="838" t="s">
        <v>7</v>
      </c>
      <c r="C124" s="838"/>
      <c r="D124" s="838" t="s">
        <v>241</v>
      </c>
      <c r="E124" s="838"/>
      <c r="F124" s="838"/>
      <c r="G124" s="838" t="s">
        <v>242</v>
      </c>
      <c r="I124" s="838" t="s">
        <v>204</v>
      </c>
      <c r="J124" s="838"/>
      <c r="K124" s="838" t="s">
        <v>241</v>
      </c>
      <c r="L124" s="838"/>
      <c r="M124" s="838"/>
      <c r="N124" s="838" t="s">
        <v>242</v>
      </c>
      <c r="P124" s="838" t="s">
        <v>243</v>
      </c>
      <c r="Q124" s="838"/>
      <c r="R124" s="838" t="s">
        <v>241</v>
      </c>
      <c r="S124" s="838"/>
      <c r="T124" s="838"/>
      <c r="U124" s="838" t="s">
        <v>242</v>
      </c>
      <c r="W124" s="215" t="s">
        <v>7</v>
      </c>
      <c r="X124" s="216">
        <v>0.5</v>
      </c>
    </row>
    <row r="125" spans="1:24" ht="14.4">
      <c r="A125" s="841"/>
      <c r="B125" s="839" t="s">
        <v>244</v>
      </c>
      <c r="C125" s="839"/>
      <c r="D125" s="217">
        <v>2023</v>
      </c>
      <c r="E125" s="217">
        <v>2020</v>
      </c>
      <c r="F125" s="217">
        <v>2016</v>
      </c>
      <c r="G125" s="838"/>
      <c r="I125" s="840" t="s">
        <v>24</v>
      </c>
      <c r="J125" s="839"/>
      <c r="K125" s="217">
        <v>2023</v>
      </c>
      <c r="L125" s="217">
        <f>E125</f>
        <v>2020</v>
      </c>
      <c r="M125" s="217">
        <v>2016</v>
      </c>
      <c r="N125" s="838"/>
      <c r="P125" s="840" t="s">
        <v>245</v>
      </c>
      <c r="Q125" s="839"/>
      <c r="R125" s="217">
        <v>2023</v>
      </c>
      <c r="S125" s="217">
        <f>L125</f>
        <v>2020</v>
      </c>
      <c r="T125" s="217">
        <v>2016</v>
      </c>
      <c r="U125" s="838"/>
      <c r="W125" s="215" t="s">
        <v>24</v>
      </c>
      <c r="X125" s="216">
        <v>2.2999999999999998</v>
      </c>
    </row>
    <row r="126" spans="1:24" ht="13.8" thickBot="1">
      <c r="A126" s="841"/>
      <c r="B126" s="218">
        <v>1</v>
      </c>
      <c r="C126" s="219">
        <v>15</v>
      </c>
      <c r="D126" s="219">
        <v>0.2</v>
      </c>
      <c r="E126" s="219">
        <v>9.9999999999999995E-7</v>
      </c>
      <c r="F126" s="231"/>
      <c r="G126" s="221">
        <f>0.5*(MAX(D126:F126)-MIN(D126:F126))</f>
        <v>9.9999500000000005E-2</v>
      </c>
      <c r="I126" s="218">
        <v>1</v>
      </c>
      <c r="J126" s="219">
        <v>35</v>
      </c>
      <c r="K126" s="219">
        <v>-3.1</v>
      </c>
      <c r="L126" s="219">
        <v>-0.4</v>
      </c>
      <c r="M126" s="231"/>
      <c r="N126" s="221">
        <f>0.5*(MAX(K126:M126)-MIN(K126:M126))</f>
        <v>1.35</v>
      </c>
      <c r="P126" s="218">
        <v>1</v>
      </c>
      <c r="Q126" s="219">
        <v>960</v>
      </c>
      <c r="R126" s="222">
        <v>4.0999999999999996</v>
      </c>
      <c r="S126" s="222">
        <v>-0.4</v>
      </c>
      <c r="T126" s="231"/>
      <c r="U126" s="221">
        <f>0.5*(MAX(R126:T126)-MIN(R126:T126))</f>
        <v>2.25</v>
      </c>
      <c r="W126" s="223" t="s">
        <v>245</v>
      </c>
      <c r="X126" s="224">
        <v>2.1</v>
      </c>
    </row>
    <row r="127" spans="1:24">
      <c r="A127" s="841"/>
      <c r="B127" s="218">
        <v>2</v>
      </c>
      <c r="C127" s="219">
        <v>20</v>
      </c>
      <c r="D127" s="219">
        <v>0.3</v>
      </c>
      <c r="E127" s="219">
        <v>9.9999999999999995E-7</v>
      </c>
      <c r="F127" s="231"/>
      <c r="G127" s="221">
        <f t="shared" ref="G127:G132" si="33">0.5*(MAX(D127:F127)-MIN(D127:F127))</f>
        <v>0.14999950000000001</v>
      </c>
      <c r="I127" s="218">
        <v>2</v>
      </c>
      <c r="J127" s="219">
        <v>40</v>
      </c>
      <c r="K127" s="219">
        <v>-3.1</v>
      </c>
      <c r="L127" s="219">
        <v>-0.1</v>
      </c>
      <c r="M127" s="231"/>
      <c r="N127" s="221">
        <f t="shared" ref="N127:N132" si="34">0.5*(MAX(K127:M127)-MIN(K127:M127))</f>
        <v>1.5</v>
      </c>
      <c r="P127" s="218">
        <v>2</v>
      </c>
      <c r="Q127" s="219">
        <v>970</v>
      </c>
      <c r="R127" s="222">
        <v>4.0999999999999996</v>
      </c>
      <c r="S127" s="222">
        <v>-0.5</v>
      </c>
      <c r="T127" s="231"/>
      <c r="U127" s="221">
        <f t="shared" ref="U127:U132" si="35">0.5*(MAX(R127:T127)-MIN(R127:T127))</f>
        <v>2.2999999999999998</v>
      </c>
    </row>
    <row r="128" spans="1:24">
      <c r="A128" s="841"/>
      <c r="B128" s="218">
        <v>3</v>
      </c>
      <c r="C128" s="219">
        <v>25</v>
      </c>
      <c r="D128" s="219">
        <v>0.4</v>
      </c>
      <c r="E128" s="219">
        <v>9.9999999999999995E-7</v>
      </c>
      <c r="F128" s="231"/>
      <c r="G128" s="221">
        <f t="shared" si="33"/>
        <v>0.19999950000000002</v>
      </c>
      <c r="I128" s="218">
        <v>3</v>
      </c>
      <c r="J128" s="219">
        <v>50</v>
      </c>
      <c r="K128" s="219">
        <v>-3.2</v>
      </c>
      <c r="L128" s="219">
        <v>9.9999999999999995E-7</v>
      </c>
      <c r="M128" s="231"/>
      <c r="N128" s="221">
        <f t="shared" si="34"/>
        <v>1.6000005000000002</v>
      </c>
      <c r="P128" s="218">
        <v>3</v>
      </c>
      <c r="Q128" s="225">
        <v>980</v>
      </c>
      <c r="R128" s="226">
        <v>4.0999999999999996</v>
      </c>
      <c r="S128" s="226">
        <v>-0.6</v>
      </c>
      <c r="T128" s="231"/>
      <c r="U128" s="221">
        <f t="shared" si="35"/>
        <v>2.3499999999999996</v>
      </c>
    </row>
    <row r="129" spans="1:24">
      <c r="A129" s="841"/>
      <c r="B129" s="218">
        <v>4</v>
      </c>
      <c r="C129" s="225">
        <v>30</v>
      </c>
      <c r="D129" s="225">
        <v>0.5</v>
      </c>
      <c r="E129" s="225">
        <v>-0.1</v>
      </c>
      <c r="F129" s="231"/>
      <c r="G129" s="221">
        <f t="shared" si="33"/>
        <v>0.3</v>
      </c>
      <c r="I129" s="218">
        <v>4</v>
      </c>
      <c r="J129" s="225">
        <v>60</v>
      </c>
      <c r="K129" s="225">
        <v>-3</v>
      </c>
      <c r="L129" s="225">
        <v>9.9999999999999995E-7</v>
      </c>
      <c r="M129" s="231"/>
      <c r="N129" s="221">
        <f t="shared" si="34"/>
        <v>1.5000005000000001</v>
      </c>
      <c r="P129" s="218">
        <v>4</v>
      </c>
      <c r="Q129" s="225">
        <v>990</v>
      </c>
      <c r="R129" s="226">
        <v>4.0999999999999996</v>
      </c>
      <c r="S129" s="226">
        <v>-0.7</v>
      </c>
      <c r="T129" s="231"/>
      <c r="U129" s="221">
        <f t="shared" si="35"/>
        <v>2.4</v>
      </c>
    </row>
    <row r="130" spans="1:24">
      <c r="A130" s="841"/>
      <c r="B130" s="218">
        <v>5</v>
      </c>
      <c r="C130" s="225">
        <v>35</v>
      </c>
      <c r="D130" s="225">
        <v>0.7</v>
      </c>
      <c r="E130" s="225">
        <v>-0.2</v>
      </c>
      <c r="F130" s="231"/>
      <c r="G130" s="221">
        <f t="shared" si="33"/>
        <v>0.44999999999999996</v>
      </c>
      <c r="I130" s="218">
        <v>5</v>
      </c>
      <c r="J130" s="225">
        <v>70</v>
      </c>
      <c r="K130" s="225">
        <v>-2.8</v>
      </c>
      <c r="L130" s="225">
        <v>-0.1</v>
      </c>
      <c r="M130" s="231"/>
      <c r="N130" s="221">
        <f t="shared" si="34"/>
        <v>1.3499999999999999</v>
      </c>
      <c r="P130" s="218">
        <v>5</v>
      </c>
      <c r="Q130" s="225">
        <v>1000</v>
      </c>
      <c r="R130" s="226">
        <v>4.0999999999999996</v>
      </c>
      <c r="S130" s="226">
        <v>-0.8</v>
      </c>
      <c r="T130" s="231"/>
      <c r="U130" s="221">
        <f t="shared" si="35"/>
        <v>2.4499999999999997</v>
      </c>
    </row>
    <row r="131" spans="1:24">
      <c r="A131" s="841"/>
      <c r="B131" s="218">
        <v>6</v>
      </c>
      <c r="C131" s="225">
        <v>37</v>
      </c>
      <c r="D131" s="225">
        <v>0.7</v>
      </c>
      <c r="E131" s="225">
        <v>-0.3</v>
      </c>
      <c r="F131" s="231"/>
      <c r="G131" s="221">
        <f t="shared" si="33"/>
        <v>0.5</v>
      </c>
      <c r="I131" s="218">
        <v>6</v>
      </c>
      <c r="J131" s="225">
        <v>80</v>
      </c>
      <c r="K131" s="225">
        <v>-2.4</v>
      </c>
      <c r="L131" s="225">
        <v>-0.5</v>
      </c>
      <c r="M131" s="231"/>
      <c r="N131" s="221">
        <f t="shared" si="34"/>
        <v>0.95</v>
      </c>
      <c r="P131" s="218">
        <v>6</v>
      </c>
      <c r="Q131" s="225">
        <v>1010</v>
      </c>
      <c r="R131" s="226">
        <v>4.0999999999999996</v>
      </c>
      <c r="S131" s="226">
        <v>-0.8</v>
      </c>
      <c r="T131" s="231"/>
      <c r="U131" s="221">
        <f t="shared" si="35"/>
        <v>2.4499999999999997</v>
      </c>
    </row>
    <row r="132" spans="1:24">
      <c r="A132" s="841"/>
      <c r="B132" s="218">
        <v>7</v>
      </c>
      <c r="C132" s="239">
        <v>40</v>
      </c>
      <c r="D132" s="225">
        <v>0.8</v>
      </c>
      <c r="E132" s="225">
        <v>-0.4</v>
      </c>
      <c r="F132" s="231"/>
      <c r="G132" s="221">
        <f t="shared" si="33"/>
        <v>0.60000000000000009</v>
      </c>
      <c r="I132" s="218">
        <v>7</v>
      </c>
      <c r="J132" s="239">
        <v>90</v>
      </c>
      <c r="K132" s="225">
        <v>-1.8</v>
      </c>
      <c r="L132" s="225">
        <v>-0.9</v>
      </c>
      <c r="M132" s="231"/>
      <c r="N132" s="221">
        <f t="shared" si="34"/>
        <v>0.45</v>
      </c>
      <c r="P132" s="218">
        <v>7</v>
      </c>
      <c r="Q132" s="225">
        <v>1020</v>
      </c>
      <c r="R132" s="226">
        <v>0</v>
      </c>
      <c r="S132" s="226">
        <v>9.9999999999999995E-7</v>
      </c>
      <c r="T132" s="231"/>
      <c r="U132" s="221">
        <f t="shared" si="35"/>
        <v>4.9999999999999998E-7</v>
      </c>
    </row>
    <row r="133" spans="1:24" ht="13.8" thickBot="1">
      <c r="A133" s="241"/>
      <c r="C133" s="242"/>
      <c r="D133" s="232"/>
      <c r="E133" s="243"/>
      <c r="F133" s="242"/>
      <c r="I133" s="242"/>
      <c r="J133" s="232"/>
      <c r="K133" s="243"/>
      <c r="L133" s="242"/>
      <c r="O133" s="232"/>
      <c r="P133" s="243"/>
      <c r="Q133" s="243"/>
      <c r="R133" s="242"/>
    </row>
    <row r="134" spans="1:24">
      <c r="A134" s="841">
        <v>13</v>
      </c>
      <c r="B134" s="842" t="s">
        <v>257</v>
      </c>
      <c r="C134" s="842"/>
      <c r="D134" s="842"/>
      <c r="E134" s="842"/>
      <c r="F134" s="842"/>
      <c r="G134" s="842"/>
      <c r="I134" s="842" t="str">
        <f>B134</f>
        <v>KOREKSI EXTECH A.100605</v>
      </c>
      <c r="J134" s="842"/>
      <c r="K134" s="842"/>
      <c r="L134" s="842"/>
      <c r="M134" s="842"/>
      <c r="N134" s="842"/>
      <c r="P134" s="842" t="str">
        <f>I134</f>
        <v>KOREKSI EXTECH A.100605</v>
      </c>
      <c r="Q134" s="842"/>
      <c r="R134" s="842"/>
      <c r="S134" s="842"/>
      <c r="T134" s="842"/>
      <c r="U134" s="842"/>
      <c r="W134" s="836" t="s">
        <v>208</v>
      </c>
      <c r="X134" s="837"/>
    </row>
    <row r="135" spans="1:24">
      <c r="A135" s="841"/>
      <c r="B135" s="838" t="s">
        <v>7</v>
      </c>
      <c r="C135" s="838"/>
      <c r="D135" s="838" t="s">
        <v>241</v>
      </c>
      <c r="E135" s="838"/>
      <c r="F135" s="838"/>
      <c r="G135" s="838" t="s">
        <v>242</v>
      </c>
      <c r="I135" s="838" t="s">
        <v>204</v>
      </c>
      <c r="J135" s="838"/>
      <c r="K135" s="838" t="s">
        <v>241</v>
      </c>
      <c r="L135" s="838"/>
      <c r="M135" s="838"/>
      <c r="N135" s="838" t="s">
        <v>242</v>
      </c>
      <c r="P135" s="838" t="s">
        <v>243</v>
      </c>
      <c r="Q135" s="838"/>
      <c r="R135" s="838" t="s">
        <v>241</v>
      </c>
      <c r="S135" s="838"/>
      <c r="T135" s="838"/>
      <c r="U135" s="838" t="s">
        <v>242</v>
      </c>
      <c r="W135" s="215" t="s">
        <v>7</v>
      </c>
      <c r="X135" s="216">
        <v>0.5</v>
      </c>
    </row>
    <row r="136" spans="1:24" ht="14.4">
      <c r="A136" s="841"/>
      <c r="B136" s="839" t="s">
        <v>244</v>
      </c>
      <c r="C136" s="839"/>
      <c r="D136" s="217">
        <v>2023</v>
      </c>
      <c r="E136" s="217">
        <v>2022</v>
      </c>
      <c r="F136" s="217">
        <v>2020</v>
      </c>
      <c r="G136" s="838"/>
      <c r="I136" s="840" t="s">
        <v>24</v>
      </c>
      <c r="J136" s="839"/>
      <c r="K136" s="238">
        <f>D136</f>
        <v>2023</v>
      </c>
      <c r="L136" s="238">
        <f>E136</f>
        <v>2022</v>
      </c>
      <c r="M136" s="217">
        <v>2020</v>
      </c>
      <c r="N136" s="838"/>
      <c r="P136" s="840" t="s">
        <v>245</v>
      </c>
      <c r="Q136" s="839"/>
      <c r="R136" s="238">
        <f>K136</f>
        <v>2023</v>
      </c>
      <c r="S136" s="238">
        <f>L136</f>
        <v>2022</v>
      </c>
      <c r="T136" s="217">
        <v>2020</v>
      </c>
      <c r="U136" s="838"/>
      <c r="W136" s="215" t="s">
        <v>24</v>
      </c>
      <c r="X136" s="216">
        <v>2.2999999999999998</v>
      </c>
    </row>
    <row r="137" spans="1:24" ht="13.8" thickBot="1">
      <c r="A137" s="841"/>
      <c r="B137" s="218">
        <v>1</v>
      </c>
      <c r="C137" s="219">
        <v>15</v>
      </c>
      <c r="D137" s="219">
        <v>0.1</v>
      </c>
      <c r="E137" s="219">
        <v>0.5</v>
      </c>
      <c r="F137" s="219">
        <v>-0.7</v>
      </c>
      <c r="G137" s="221">
        <f>0.5*(MAX(D137:F137)-MIN(D137:F137))</f>
        <v>0.6</v>
      </c>
      <c r="I137" s="218">
        <v>1</v>
      </c>
      <c r="J137" s="219">
        <v>30</v>
      </c>
      <c r="K137" s="219"/>
      <c r="L137" s="219">
        <v>-2.2000000000000002</v>
      </c>
      <c r="M137" s="219">
        <v>-1.4</v>
      </c>
      <c r="N137" s="221">
        <f>0.5*(MAX(K137:M137)-MIN(K137:M137))</f>
        <v>0.40000000000000013</v>
      </c>
      <c r="P137" s="218">
        <v>1</v>
      </c>
      <c r="Q137" s="219">
        <v>985</v>
      </c>
      <c r="R137" s="222"/>
      <c r="S137" s="222">
        <v>3.8</v>
      </c>
      <c r="T137" s="222">
        <v>0.9</v>
      </c>
      <c r="U137" s="221">
        <f>0.5*(MAX(R137:T137)-MIN(R137:T137))</f>
        <v>1.45</v>
      </c>
      <c r="W137" s="223" t="s">
        <v>245</v>
      </c>
      <c r="X137" s="224">
        <v>2.4</v>
      </c>
    </row>
    <row r="138" spans="1:24">
      <c r="A138" s="841"/>
      <c r="B138" s="218">
        <v>2</v>
      </c>
      <c r="C138" s="219">
        <v>20</v>
      </c>
      <c r="D138" s="219">
        <v>0.2</v>
      </c>
      <c r="E138" s="219">
        <v>0.2</v>
      </c>
      <c r="F138" s="219">
        <v>-0.4</v>
      </c>
      <c r="G138" s="221">
        <f t="shared" ref="G138:G143" si="36">0.5*(MAX(D138:F138)-MIN(D138:F138))</f>
        <v>0.30000000000000004</v>
      </c>
      <c r="I138" s="218">
        <v>2</v>
      </c>
      <c r="J138" s="219">
        <v>40</v>
      </c>
      <c r="K138" s="219">
        <v>-4</v>
      </c>
      <c r="L138" s="219">
        <v>-2</v>
      </c>
      <c r="M138" s="219">
        <v>-1.3</v>
      </c>
      <c r="N138" s="221">
        <f t="shared" ref="N138:N143" si="37">0.5*(MAX(K138:M138)-MIN(K138:M138))</f>
        <v>1.35</v>
      </c>
      <c r="P138" s="218">
        <v>2</v>
      </c>
      <c r="Q138" s="219">
        <v>990</v>
      </c>
      <c r="R138" s="222">
        <v>3.9</v>
      </c>
      <c r="S138" s="222">
        <v>3.8</v>
      </c>
      <c r="T138" s="222">
        <v>1</v>
      </c>
      <c r="U138" s="221">
        <f t="shared" ref="U138:U143" si="38">0.5*(MAX(R138:T138)-MIN(R138:T138))</f>
        <v>1.45</v>
      </c>
    </row>
    <row r="139" spans="1:24">
      <c r="A139" s="841"/>
      <c r="B139" s="218">
        <v>3</v>
      </c>
      <c r="C139" s="219">
        <v>25</v>
      </c>
      <c r="D139" s="219">
        <v>0.3</v>
      </c>
      <c r="E139" s="219">
        <v>0.1</v>
      </c>
      <c r="F139" s="219">
        <v>-0.2</v>
      </c>
      <c r="G139" s="221">
        <f t="shared" si="36"/>
        <v>0.25</v>
      </c>
      <c r="I139" s="218">
        <v>3</v>
      </c>
      <c r="J139" s="219">
        <v>50</v>
      </c>
      <c r="K139" s="219">
        <v>-3.6</v>
      </c>
      <c r="L139" s="219">
        <v>-1.8</v>
      </c>
      <c r="M139" s="219">
        <v>-1.3</v>
      </c>
      <c r="N139" s="221">
        <f t="shared" si="37"/>
        <v>1.1499999999999999</v>
      </c>
      <c r="P139" s="218">
        <v>3</v>
      </c>
      <c r="Q139" s="225">
        <v>995</v>
      </c>
      <c r="R139" s="226"/>
      <c r="S139" s="226">
        <v>3.7</v>
      </c>
      <c r="T139" s="226">
        <v>1</v>
      </c>
      <c r="U139" s="221">
        <f t="shared" si="38"/>
        <v>1.35</v>
      </c>
    </row>
    <row r="140" spans="1:24">
      <c r="A140" s="841"/>
      <c r="B140" s="218">
        <v>4</v>
      </c>
      <c r="C140" s="225">
        <v>30</v>
      </c>
      <c r="D140" s="225">
        <v>0.4</v>
      </c>
      <c r="E140" s="225">
        <v>-0.1</v>
      </c>
      <c r="F140" s="225">
        <v>0.1</v>
      </c>
      <c r="G140" s="221">
        <f t="shared" si="36"/>
        <v>0.25</v>
      </c>
      <c r="I140" s="218">
        <v>4</v>
      </c>
      <c r="J140" s="225">
        <v>60</v>
      </c>
      <c r="K140" s="225">
        <v>-3.1</v>
      </c>
      <c r="L140" s="225">
        <v>-1.6</v>
      </c>
      <c r="M140" s="225">
        <v>-1.5</v>
      </c>
      <c r="N140" s="221">
        <f t="shared" si="37"/>
        <v>0.8</v>
      </c>
      <c r="P140" s="218">
        <v>4</v>
      </c>
      <c r="Q140" s="225">
        <v>1000</v>
      </c>
      <c r="R140" s="226">
        <v>4.0999999999999996</v>
      </c>
      <c r="S140" s="226">
        <v>3.7</v>
      </c>
      <c r="T140" s="226">
        <v>1.1000000000000001</v>
      </c>
      <c r="U140" s="221">
        <f t="shared" si="38"/>
        <v>1.4999999999999998</v>
      </c>
    </row>
    <row r="141" spans="1:24">
      <c r="A141" s="841"/>
      <c r="B141" s="218">
        <v>5</v>
      </c>
      <c r="C141" s="225">
        <v>35</v>
      </c>
      <c r="D141" s="225">
        <v>0.5</v>
      </c>
      <c r="E141" s="225">
        <v>-0.2</v>
      </c>
      <c r="F141" s="225">
        <v>0.3</v>
      </c>
      <c r="G141" s="221">
        <f t="shared" si="36"/>
        <v>0.35</v>
      </c>
      <c r="I141" s="218">
        <v>5</v>
      </c>
      <c r="J141" s="225">
        <v>70</v>
      </c>
      <c r="K141" s="225">
        <v>-2.2999999999999998</v>
      </c>
      <c r="L141" s="225">
        <v>-1.4</v>
      </c>
      <c r="M141" s="225">
        <v>-1.9</v>
      </c>
      <c r="N141" s="221">
        <f t="shared" si="37"/>
        <v>0.44999999999999996</v>
      </c>
      <c r="P141" s="218">
        <v>5</v>
      </c>
      <c r="Q141" s="225">
        <v>1005</v>
      </c>
      <c r="R141" s="226"/>
      <c r="S141" s="226">
        <v>3.6</v>
      </c>
      <c r="T141" s="226">
        <v>1.1000000000000001</v>
      </c>
      <c r="U141" s="221">
        <f t="shared" si="38"/>
        <v>1.25</v>
      </c>
    </row>
    <row r="142" spans="1:24">
      <c r="A142" s="841"/>
      <c r="B142" s="218">
        <v>6</v>
      </c>
      <c r="C142" s="225">
        <v>37</v>
      </c>
      <c r="D142" s="225">
        <v>0.6</v>
      </c>
      <c r="E142" s="225">
        <v>-0.2</v>
      </c>
      <c r="F142" s="225">
        <v>0.4</v>
      </c>
      <c r="G142" s="221">
        <f t="shared" si="36"/>
        <v>0.4</v>
      </c>
      <c r="I142" s="218">
        <v>6</v>
      </c>
      <c r="J142" s="225">
        <v>80</v>
      </c>
      <c r="K142" s="225">
        <v>-1.5</v>
      </c>
      <c r="L142" s="225">
        <v>-1.2</v>
      </c>
      <c r="M142" s="225">
        <v>-2.5</v>
      </c>
      <c r="N142" s="221">
        <f t="shared" si="37"/>
        <v>0.65</v>
      </c>
      <c r="P142" s="218">
        <v>6</v>
      </c>
      <c r="Q142" s="225">
        <v>1010</v>
      </c>
      <c r="R142" s="226">
        <v>4.3</v>
      </c>
      <c r="S142" s="226">
        <v>3.5</v>
      </c>
      <c r="T142" s="226">
        <v>1.1000000000000001</v>
      </c>
      <c r="U142" s="221">
        <f t="shared" si="38"/>
        <v>1.5999999999999999</v>
      </c>
    </row>
    <row r="143" spans="1:24">
      <c r="A143" s="841"/>
      <c r="B143" s="218">
        <v>7</v>
      </c>
      <c r="C143" s="239">
        <v>40</v>
      </c>
      <c r="D143" s="225">
        <v>0.7</v>
      </c>
      <c r="E143" s="225">
        <v>-0.2</v>
      </c>
      <c r="F143" s="225">
        <v>0.5</v>
      </c>
      <c r="G143" s="221">
        <f t="shared" si="36"/>
        <v>0.44999999999999996</v>
      </c>
      <c r="I143" s="218">
        <v>7</v>
      </c>
      <c r="J143" s="239">
        <v>90</v>
      </c>
      <c r="K143" s="225">
        <v>-0.4</v>
      </c>
      <c r="L143" s="225">
        <v>-1</v>
      </c>
      <c r="M143" s="225">
        <v>-3.2</v>
      </c>
      <c r="N143" s="221">
        <f t="shared" si="37"/>
        <v>1.4000000000000001</v>
      </c>
      <c r="P143" s="218">
        <v>7</v>
      </c>
      <c r="Q143" s="225">
        <v>1020</v>
      </c>
      <c r="R143" s="226"/>
      <c r="S143" s="226">
        <v>9.9999999999999995E-7</v>
      </c>
      <c r="T143" s="226">
        <v>9.9999999999999995E-7</v>
      </c>
      <c r="U143" s="221">
        <f t="shared" si="38"/>
        <v>0</v>
      </c>
    </row>
    <row r="144" spans="1:24" ht="13.8" thickBot="1">
      <c r="A144" s="241"/>
      <c r="C144" s="242"/>
      <c r="D144" s="232"/>
      <c r="E144" s="243"/>
      <c r="F144" s="242"/>
      <c r="J144" s="242"/>
      <c r="K144" s="232"/>
      <c r="L144" s="243"/>
      <c r="M144" s="242"/>
      <c r="Q144" s="232"/>
      <c r="R144" s="243"/>
      <c r="S144" s="243"/>
      <c r="T144" s="242"/>
    </row>
    <row r="145" spans="1:24">
      <c r="A145" s="841">
        <v>14</v>
      </c>
      <c r="B145" s="842" t="s">
        <v>258</v>
      </c>
      <c r="C145" s="842"/>
      <c r="D145" s="842"/>
      <c r="E145" s="842"/>
      <c r="F145" s="842"/>
      <c r="G145" s="842"/>
      <c r="I145" s="842" t="str">
        <f>B145</f>
        <v>KOREKSI EXTECH A.100609</v>
      </c>
      <c r="J145" s="842"/>
      <c r="K145" s="842"/>
      <c r="L145" s="842"/>
      <c r="M145" s="842"/>
      <c r="N145" s="842"/>
      <c r="P145" s="842" t="str">
        <f>I145</f>
        <v>KOREKSI EXTECH A.100609</v>
      </c>
      <c r="Q145" s="842"/>
      <c r="R145" s="842"/>
      <c r="S145" s="842"/>
      <c r="T145" s="842"/>
      <c r="U145" s="842"/>
      <c r="W145" s="836" t="s">
        <v>208</v>
      </c>
      <c r="X145" s="837"/>
    </row>
    <row r="146" spans="1:24">
      <c r="A146" s="841"/>
      <c r="B146" s="838" t="s">
        <v>7</v>
      </c>
      <c r="C146" s="838"/>
      <c r="D146" s="838" t="s">
        <v>241</v>
      </c>
      <c r="E146" s="838"/>
      <c r="F146" s="838"/>
      <c r="G146" s="838" t="s">
        <v>242</v>
      </c>
      <c r="I146" s="838" t="s">
        <v>204</v>
      </c>
      <c r="J146" s="838"/>
      <c r="K146" s="838" t="s">
        <v>241</v>
      </c>
      <c r="L146" s="838"/>
      <c r="M146" s="838"/>
      <c r="N146" s="838" t="s">
        <v>242</v>
      </c>
      <c r="P146" s="838" t="s">
        <v>243</v>
      </c>
      <c r="Q146" s="838"/>
      <c r="R146" s="838" t="s">
        <v>241</v>
      </c>
      <c r="S146" s="838"/>
      <c r="T146" s="838"/>
      <c r="U146" s="838" t="s">
        <v>242</v>
      </c>
      <c r="W146" s="215" t="s">
        <v>7</v>
      </c>
      <c r="X146" s="216">
        <v>0.6</v>
      </c>
    </row>
    <row r="147" spans="1:24" ht="14.4">
      <c r="A147" s="841"/>
      <c r="B147" s="839" t="s">
        <v>244</v>
      </c>
      <c r="C147" s="839"/>
      <c r="D147" s="217">
        <v>2023</v>
      </c>
      <c r="E147" s="217">
        <v>2022</v>
      </c>
      <c r="F147" s="217">
        <v>2020</v>
      </c>
      <c r="G147" s="838"/>
      <c r="I147" s="840" t="s">
        <v>24</v>
      </c>
      <c r="J147" s="839"/>
      <c r="K147" s="238">
        <f>D147</f>
        <v>2023</v>
      </c>
      <c r="L147" s="238">
        <f>E147</f>
        <v>2022</v>
      </c>
      <c r="M147" s="217">
        <v>2020</v>
      </c>
      <c r="N147" s="838"/>
      <c r="P147" s="840" t="s">
        <v>245</v>
      </c>
      <c r="Q147" s="839"/>
      <c r="R147" s="238">
        <f>K147</f>
        <v>2023</v>
      </c>
      <c r="S147" s="238">
        <f>L147</f>
        <v>2022</v>
      </c>
      <c r="T147" s="217">
        <v>2020</v>
      </c>
      <c r="U147" s="838"/>
      <c r="W147" s="215" t="s">
        <v>24</v>
      </c>
      <c r="X147" s="216">
        <v>2.2999999999999998</v>
      </c>
    </row>
    <row r="148" spans="1:24" ht="13.8" thickBot="1">
      <c r="A148" s="841"/>
      <c r="B148" s="218">
        <v>1</v>
      </c>
      <c r="C148" s="219">
        <v>15</v>
      </c>
      <c r="D148" s="219">
        <v>0.1</v>
      </c>
      <c r="E148" s="219">
        <v>0.5</v>
      </c>
      <c r="F148" s="219">
        <v>-0.2</v>
      </c>
      <c r="G148" s="221">
        <f>0.5*(MAX(D148:F148)-MIN(D148:F148))</f>
        <v>0.35</v>
      </c>
      <c r="I148" s="218">
        <v>1</v>
      </c>
      <c r="J148" s="219">
        <v>30</v>
      </c>
      <c r="K148" s="219"/>
      <c r="L148" s="219">
        <v>-0.8</v>
      </c>
      <c r="M148" s="219">
        <v>0.6</v>
      </c>
      <c r="N148" s="221">
        <f>0.5*(MAX(K148:M148)-MIN(K148:M148))</f>
        <v>0.7</v>
      </c>
      <c r="P148" s="218">
        <v>1</v>
      </c>
      <c r="Q148" s="219">
        <v>985</v>
      </c>
      <c r="R148" s="222"/>
      <c r="S148" s="222">
        <v>3.9</v>
      </c>
      <c r="T148" s="222">
        <v>0.9</v>
      </c>
      <c r="U148" s="221">
        <f>0.5*(MAX(R148:T148)-MIN(R148:T148))</f>
        <v>1.5</v>
      </c>
      <c r="W148" s="223" t="s">
        <v>245</v>
      </c>
      <c r="X148" s="224">
        <v>2.5</v>
      </c>
    </row>
    <row r="149" spans="1:24">
      <c r="A149" s="841"/>
      <c r="B149" s="218">
        <v>2</v>
      </c>
      <c r="C149" s="219">
        <v>20</v>
      </c>
      <c r="D149" s="219">
        <v>0.2</v>
      </c>
      <c r="E149" s="219">
        <v>0.2</v>
      </c>
      <c r="F149" s="219">
        <v>-0.1</v>
      </c>
      <c r="G149" s="221">
        <f t="shared" ref="G149:G154" si="39">0.5*(MAX(D149:F149)-MIN(D149:F149))</f>
        <v>0.15000000000000002</v>
      </c>
      <c r="I149" s="218">
        <v>2</v>
      </c>
      <c r="J149" s="219">
        <v>40</v>
      </c>
      <c r="K149" s="219">
        <v>-3.8</v>
      </c>
      <c r="L149" s="219">
        <v>-0.4</v>
      </c>
      <c r="M149" s="219">
        <v>0.3</v>
      </c>
      <c r="N149" s="221">
        <f t="shared" ref="N149:N154" si="40">0.5*(MAX(K149:M149)-MIN(K149:M149))</f>
        <v>2.0499999999999998</v>
      </c>
      <c r="P149" s="218">
        <v>2</v>
      </c>
      <c r="Q149" s="219">
        <v>990</v>
      </c>
      <c r="R149" s="222">
        <v>4</v>
      </c>
      <c r="S149" s="222">
        <v>3.9</v>
      </c>
      <c r="T149" s="222">
        <v>1</v>
      </c>
      <c r="U149" s="221">
        <f t="shared" ref="U149:U154" si="41">0.5*(MAX(R149:T149)-MIN(R149:T149))</f>
        <v>1.5</v>
      </c>
    </row>
    <row r="150" spans="1:24">
      <c r="A150" s="841"/>
      <c r="B150" s="218">
        <v>3</v>
      </c>
      <c r="C150" s="219">
        <v>25</v>
      </c>
      <c r="D150" s="219">
        <v>0.2</v>
      </c>
      <c r="E150" s="219">
        <v>-0.1</v>
      </c>
      <c r="F150" s="219">
        <v>-0.1</v>
      </c>
      <c r="G150" s="221">
        <f t="shared" si="39"/>
        <v>0.15000000000000002</v>
      </c>
      <c r="I150" s="218">
        <v>3</v>
      </c>
      <c r="J150" s="219">
        <v>50</v>
      </c>
      <c r="K150" s="219">
        <v>-2.8</v>
      </c>
      <c r="L150" s="219">
        <v>9.9999999999999995E-7</v>
      </c>
      <c r="M150" s="219">
        <v>-0.2</v>
      </c>
      <c r="N150" s="221">
        <f t="shared" si="40"/>
        <v>1.4000005</v>
      </c>
      <c r="P150" s="218">
        <v>3</v>
      </c>
      <c r="Q150" s="225">
        <v>995</v>
      </c>
      <c r="R150" s="226"/>
      <c r="S150" s="226">
        <v>3.8</v>
      </c>
      <c r="T150" s="226">
        <v>1</v>
      </c>
      <c r="U150" s="221">
        <f t="shared" si="41"/>
        <v>1.4</v>
      </c>
    </row>
    <row r="151" spans="1:24">
      <c r="A151" s="841"/>
      <c r="B151" s="218">
        <v>4</v>
      </c>
      <c r="C151" s="225">
        <v>30</v>
      </c>
      <c r="D151" s="225">
        <v>0.3</v>
      </c>
      <c r="E151" s="225">
        <v>-0.4</v>
      </c>
      <c r="F151" s="225">
        <v>-0.3</v>
      </c>
      <c r="G151" s="221">
        <f t="shared" si="39"/>
        <v>0.35</v>
      </c>
      <c r="I151" s="218">
        <v>4</v>
      </c>
      <c r="J151" s="225">
        <v>60</v>
      </c>
      <c r="K151" s="225">
        <v>-1.8</v>
      </c>
      <c r="L151" s="225">
        <v>0.3</v>
      </c>
      <c r="M151" s="225">
        <v>-0.6</v>
      </c>
      <c r="N151" s="221">
        <f t="shared" si="40"/>
        <v>1.05</v>
      </c>
      <c r="P151" s="218">
        <v>4</v>
      </c>
      <c r="Q151" s="225">
        <v>1000</v>
      </c>
      <c r="R151" s="226">
        <v>4.2</v>
      </c>
      <c r="S151" s="226">
        <v>3.8</v>
      </c>
      <c r="T151" s="226">
        <v>1.1000000000000001</v>
      </c>
      <c r="U151" s="221">
        <f t="shared" si="41"/>
        <v>1.55</v>
      </c>
    </row>
    <row r="152" spans="1:24">
      <c r="A152" s="841"/>
      <c r="B152" s="218">
        <v>5</v>
      </c>
      <c r="C152" s="225">
        <v>35</v>
      </c>
      <c r="D152" s="225">
        <v>0.3</v>
      </c>
      <c r="E152" s="225">
        <v>-0.6</v>
      </c>
      <c r="F152" s="225">
        <v>-0.6</v>
      </c>
      <c r="G152" s="221">
        <f t="shared" si="39"/>
        <v>0.44999999999999996</v>
      </c>
      <c r="I152" s="218">
        <v>5</v>
      </c>
      <c r="J152" s="225">
        <v>70</v>
      </c>
      <c r="K152" s="225">
        <v>-0.6</v>
      </c>
      <c r="L152" s="225">
        <v>0.7</v>
      </c>
      <c r="M152" s="225">
        <v>-0.8</v>
      </c>
      <c r="N152" s="221">
        <f t="shared" si="40"/>
        <v>0.75</v>
      </c>
      <c r="P152" s="218">
        <v>5</v>
      </c>
      <c r="Q152" s="225">
        <v>1005</v>
      </c>
      <c r="R152" s="226"/>
      <c r="S152" s="226">
        <v>3.8</v>
      </c>
      <c r="T152" s="226">
        <v>1.1000000000000001</v>
      </c>
      <c r="U152" s="221">
        <f t="shared" si="41"/>
        <v>1.3499999999999999</v>
      </c>
    </row>
    <row r="153" spans="1:24">
      <c r="A153" s="841"/>
      <c r="B153" s="218">
        <v>6</v>
      </c>
      <c r="C153" s="225">
        <v>37</v>
      </c>
      <c r="D153" s="225">
        <v>0.4</v>
      </c>
      <c r="E153" s="225">
        <v>-0.7</v>
      </c>
      <c r="F153" s="225">
        <v>-0.8</v>
      </c>
      <c r="G153" s="221">
        <f t="shared" si="39"/>
        <v>0.60000000000000009</v>
      </c>
      <c r="I153" s="218">
        <v>6</v>
      </c>
      <c r="J153" s="225">
        <v>80</v>
      </c>
      <c r="K153" s="225">
        <v>0.6</v>
      </c>
      <c r="L153" s="225">
        <v>1.1000000000000001</v>
      </c>
      <c r="M153" s="225">
        <v>-0.9</v>
      </c>
      <c r="N153" s="221">
        <f t="shared" si="40"/>
        <v>1</v>
      </c>
      <c r="P153" s="218">
        <v>6</v>
      </c>
      <c r="Q153" s="225">
        <v>1010</v>
      </c>
      <c r="R153" s="226">
        <v>4.4000000000000004</v>
      </c>
      <c r="S153" s="226">
        <v>3.7</v>
      </c>
      <c r="T153" s="226">
        <v>1.1000000000000001</v>
      </c>
      <c r="U153" s="221">
        <f t="shared" si="41"/>
        <v>1.6500000000000001</v>
      </c>
    </row>
    <row r="154" spans="1:24">
      <c r="A154" s="841"/>
      <c r="B154" s="218">
        <v>7</v>
      </c>
      <c r="C154" s="239">
        <v>40</v>
      </c>
      <c r="D154" s="225">
        <v>0.4</v>
      </c>
      <c r="E154" s="225">
        <v>-0.8</v>
      </c>
      <c r="F154" s="225">
        <v>-1.1000000000000001</v>
      </c>
      <c r="G154" s="221">
        <f t="shared" si="39"/>
        <v>0.75</v>
      </c>
      <c r="I154" s="218">
        <v>7</v>
      </c>
      <c r="J154" s="239">
        <v>90</v>
      </c>
      <c r="K154" s="225">
        <v>1.9</v>
      </c>
      <c r="L154" s="225">
        <v>1.5</v>
      </c>
      <c r="M154" s="225">
        <v>-0.8</v>
      </c>
      <c r="N154" s="221">
        <f t="shared" si="40"/>
        <v>1.35</v>
      </c>
      <c r="P154" s="218">
        <v>7</v>
      </c>
      <c r="Q154" s="225">
        <v>1020</v>
      </c>
      <c r="R154" s="226"/>
      <c r="S154" s="226">
        <v>9.9999999999999995E-7</v>
      </c>
      <c r="T154" s="226">
        <v>9.9999999999999995E-7</v>
      </c>
      <c r="U154" s="221">
        <f t="shared" si="41"/>
        <v>0</v>
      </c>
    </row>
    <row r="155" spans="1:24" ht="13.8" thickBot="1">
      <c r="A155" s="241"/>
      <c r="C155" s="242"/>
      <c r="D155" s="232"/>
      <c r="E155" s="243"/>
      <c r="F155" s="242"/>
      <c r="J155" s="242"/>
      <c r="K155" s="232"/>
      <c r="L155" s="243"/>
      <c r="M155" s="242"/>
      <c r="Q155" s="232"/>
      <c r="R155" s="243"/>
      <c r="S155" s="243"/>
      <c r="T155" s="242"/>
    </row>
    <row r="156" spans="1:24">
      <c r="A156" s="841">
        <v>15</v>
      </c>
      <c r="B156" s="842" t="s">
        <v>259</v>
      </c>
      <c r="C156" s="842"/>
      <c r="D156" s="842"/>
      <c r="E156" s="842"/>
      <c r="F156" s="842"/>
      <c r="G156" s="842"/>
      <c r="I156" s="842" t="str">
        <f>B156</f>
        <v>KOREKSI EXTECH A.100611</v>
      </c>
      <c r="J156" s="842"/>
      <c r="K156" s="842"/>
      <c r="L156" s="842"/>
      <c r="M156" s="842"/>
      <c r="N156" s="842"/>
      <c r="P156" s="842" t="str">
        <f>I156</f>
        <v>KOREKSI EXTECH A.100611</v>
      </c>
      <c r="Q156" s="842"/>
      <c r="R156" s="842"/>
      <c r="S156" s="842"/>
      <c r="T156" s="842"/>
      <c r="U156" s="842"/>
      <c r="W156" s="836" t="s">
        <v>208</v>
      </c>
      <c r="X156" s="837"/>
    </row>
    <row r="157" spans="1:24">
      <c r="A157" s="841"/>
      <c r="B157" s="838" t="s">
        <v>7</v>
      </c>
      <c r="C157" s="838"/>
      <c r="D157" s="838" t="s">
        <v>241</v>
      </c>
      <c r="E157" s="838"/>
      <c r="F157" s="838"/>
      <c r="G157" s="838" t="s">
        <v>242</v>
      </c>
      <c r="I157" s="838" t="s">
        <v>204</v>
      </c>
      <c r="J157" s="838"/>
      <c r="K157" s="838" t="s">
        <v>241</v>
      </c>
      <c r="L157" s="838"/>
      <c r="M157" s="838"/>
      <c r="N157" s="838" t="s">
        <v>242</v>
      </c>
      <c r="P157" s="838" t="s">
        <v>243</v>
      </c>
      <c r="Q157" s="838"/>
      <c r="R157" s="838" t="s">
        <v>241</v>
      </c>
      <c r="S157" s="838"/>
      <c r="T157" s="838"/>
      <c r="U157" s="838" t="s">
        <v>242</v>
      </c>
      <c r="W157" s="215" t="s">
        <v>7</v>
      </c>
      <c r="X157" s="216">
        <v>0.5</v>
      </c>
    </row>
    <row r="158" spans="1:24" ht="14.4">
      <c r="A158" s="841"/>
      <c r="B158" s="839" t="s">
        <v>244</v>
      </c>
      <c r="C158" s="839"/>
      <c r="D158" s="217">
        <v>2023</v>
      </c>
      <c r="E158" s="217">
        <v>2022</v>
      </c>
      <c r="F158" s="217">
        <v>2020</v>
      </c>
      <c r="G158" s="838"/>
      <c r="I158" s="840" t="s">
        <v>24</v>
      </c>
      <c r="J158" s="839"/>
      <c r="K158" s="238">
        <f>D158</f>
        <v>2023</v>
      </c>
      <c r="L158" s="238">
        <f>E158</f>
        <v>2022</v>
      </c>
      <c r="M158" s="217">
        <v>2020</v>
      </c>
      <c r="N158" s="838"/>
      <c r="P158" s="840" t="s">
        <v>245</v>
      </c>
      <c r="Q158" s="839"/>
      <c r="R158" s="238">
        <f>K158</f>
        <v>2023</v>
      </c>
      <c r="S158" s="238">
        <v>2022</v>
      </c>
      <c r="T158" s="217">
        <v>2020</v>
      </c>
      <c r="U158" s="838"/>
      <c r="W158" s="215" t="s">
        <v>24</v>
      </c>
      <c r="X158" s="216">
        <v>2.2999999999999998</v>
      </c>
    </row>
    <row r="159" spans="1:24" ht="13.8" thickBot="1">
      <c r="A159" s="841"/>
      <c r="B159" s="218">
        <v>1</v>
      </c>
      <c r="C159" s="219">
        <v>15</v>
      </c>
      <c r="D159" s="219">
        <v>0.1</v>
      </c>
      <c r="E159" s="219">
        <v>0.6</v>
      </c>
      <c r="F159" s="219">
        <v>-0.6</v>
      </c>
      <c r="G159" s="221">
        <f>0.5*(MAX(D159:F159)-MIN(D159:F159))</f>
        <v>0.6</v>
      </c>
      <c r="I159" s="218">
        <v>1</v>
      </c>
      <c r="J159" s="219">
        <v>30</v>
      </c>
      <c r="K159" s="219">
        <v>-4.0999999999999996</v>
      </c>
      <c r="L159" s="219">
        <v>-2</v>
      </c>
      <c r="M159" s="219">
        <v>-0.4</v>
      </c>
      <c r="N159" s="221">
        <f>0.5*(MAX(K159:M159)-MIN(K159:M159))</f>
        <v>1.8499999999999999</v>
      </c>
      <c r="P159" s="218">
        <v>1</v>
      </c>
      <c r="Q159" s="219">
        <v>980</v>
      </c>
      <c r="R159" s="222">
        <v>4.0999999999999996</v>
      </c>
      <c r="S159" s="222">
        <v>4.3</v>
      </c>
      <c r="T159" s="222">
        <v>0.9</v>
      </c>
      <c r="U159" s="221">
        <f>0.5*(MAX(R159:T159)-MIN(R159:T159))</f>
        <v>1.7</v>
      </c>
      <c r="W159" s="223" t="s">
        <v>245</v>
      </c>
      <c r="X159" s="224">
        <v>2.2999999999999998</v>
      </c>
    </row>
    <row r="160" spans="1:24">
      <c r="A160" s="841"/>
      <c r="B160" s="218">
        <v>2</v>
      </c>
      <c r="C160" s="219">
        <v>20</v>
      </c>
      <c r="D160" s="219">
        <v>0.2</v>
      </c>
      <c r="E160" s="219">
        <v>0.3</v>
      </c>
      <c r="F160" s="219">
        <v>-0.5</v>
      </c>
      <c r="G160" s="221">
        <f t="shared" ref="G160:G165" si="42">0.5*(MAX(D160:F160)-MIN(D160:F160))</f>
        <v>0.4</v>
      </c>
      <c r="I160" s="218">
        <v>2</v>
      </c>
      <c r="J160" s="219">
        <v>40</v>
      </c>
      <c r="K160" s="219">
        <v>-3.8</v>
      </c>
      <c r="L160" s="219">
        <v>-1.7</v>
      </c>
      <c r="M160" s="219">
        <v>-0.3</v>
      </c>
      <c r="N160" s="221">
        <f t="shared" ref="N160:N165" si="43">0.5*(MAX(K160:M160)-MIN(K160:M160))</f>
        <v>1.75</v>
      </c>
      <c r="P160" s="218">
        <v>2</v>
      </c>
      <c r="Q160" s="219">
        <v>990</v>
      </c>
      <c r="R160" s="222">
        <v>4.3</v>
      </c>
      <c r="S160" s="222">
        <v>4.2</v>
      </c>
      <c r="T160" s="222">
        <v>1</v>
      </c>
      <c r="U160" s="221">
        <f t="shared" ref="U160:U165" si="44">0.5*(MAX(R160:T160)-MIN(R160:T160))</f>
        <v>1.65</v>
      </c>
    </row>
    <row r="161" spans="1:24">
      <c r="A161" s="841"/>
      <c r="B161" s="218">
        <v>3</v>
      </c>
      <c r="C161" s="219">
        <v>25</v>
      </c>
      <c r="D161" s="219">
        <v>0.3</v>
      </c>
      <c r="E161" s="219">
        <v>0.2</v>
      </c>
      <c r="F161" s="219">
        <v>-0.4</v>
      </c>
      <c r="G161" s="221">
        <f t="shared" si="42"/>
        <v>0.35</v>
      </c>
      <c r="I161" s="218">
        <v>3</v>
      </c>
      <c r="J161" s="219">
        <v>50</v>
      </c>
      <c r="K161" s="219">
        <v>-3.1</v>
      </c>
      <c r="L161" s="219">
        <v>-1.4</v>
      </c>
      <c r="M161" s="219">
        <v>-0.3</v>
      </c>
      <c r="N161" s="221">
        <f t="shared" si="43"/>
        <v>1.4000000000000001</v>
      </c>
      <c r="P161" s="218">
        <v>3</v>
      </c>
      <c r="Q161" s="225">
        <v>995</v>
      </c>
      <c r="R161" s="226"/>
      <c r="S161" s="226">
        <v>4.0999999999999996</v>
      </c>
      <c r="T161" s="226">
        <v>1</v>
      </c>
      <c r="U161" s="221">
        <f t="shared" si="44"/>
        <v>1.5499999999999998</v>
      </c>
    </row>
    <row r="162" spans="1:24">
      <c r="A162" s="841"/>
      <c r="B162" s="218">
        <v>4</v>
      </c>
      <c r="C162" s="225">
        <v>30</v>
      </c>
      <c r="D162" s="225">
        <v>0.4</v>
      </c>
      <c r="E162" s="225">
        <v>0.4</v>
      </c>
      <c r="F162" s="225">
        <v>-0.2</v>
      </c>
      <c r="G162" s="221">
        <f t="shared" si="42"/>
        <v>0.30000000000000004</v>
      </c>
      <c r="I162" s="218">
        <v>4</v>
      </c>
      <c r="J162" s="225">
        <v>60</v>
      </c>
      <c r="K162" s="225">
        <v>-2.2999999999999998</v>
      </c>
      <c r="L162" s="225">
        <v>-1.1000000000000001</v>
      </c>
      <c r="M162" s="225">
        <v>-0.5</v>
      </c>
      <c r="N162" s="221">
        <f t="shared" si="43"/>
        <v>0.89999999999999991</v>
      </c>
      <c r="P162" s="218">
        <v>4</v>
      </c>
      <c r="Q162" s="225">
        <v>1000</v>
      </c>
      <c r="R162" s="226">
        <v>4.4000000000000004</v>
      </c>
      <c r="S162" s="226">
        <v>4.0999999999999996</v>
      </c>
      <c r="T162" s="226">
        <v>1.1000000000000001</v>
      </c>
      <c r="U162" s="221">
        <f t="shared" si="44"/>
        <v>1.6500000000000001</v>
      </c>
    </row>
    <row r="163" spans="1:24">
      <c r="A163" s="841"/>
      <c r="B163" s="218">
        <v>5</v>
      </c>
      <c r="C163" s="225">
        <v>35</v>
      </c>
      <c r="D163" s="225">
        <v>0.5</v>
      </c>
      <c r="E163" s="225">
        <v>0.8</v>
      </c>
      <c r="F163" s="225">
        <v>-0.1</v>
      </c>
      <c r="G163" s="221">
        <f t="shared" si="42"/>
        <v>0.45</v>
      </c>
      <c r="I163" s="218">
        <v>5</v>
      </c>
      <c r="J163" s="225">
        <v>70</v>
      </c>
      <c r="K163" s="225">
        <v>-1.6</v>
      </c>
      <c r="L163" s="225">
        <v>-0.7</v>
      </c>
      <c r="M163" s="225">
        <v>-0.8</v>
      </c>
      <c r="N163" s="221">
        <f t="shared" si="43"/>
        <v>0.45000000000000007</v>
      </c>
      <c r="P163" s="218">
        <v>5</v>
      </c>
      <c r="Q163" s="225">
        <v>1005</v>
      </c>
      <c r="R163" s="226"/>
      <c r="S163" s="226">
        <v>4</v>
      </c>
      <c r="T163" s="226">
        <v>1.1000000000000001</v>
      </c>
      <c r="U163" s="221">
        <f t="shared" si="44"/>
        <v>1.45</v>
      </c>
    </row>
    <row r="164" spans="1:24">
      <c r="A164" s="841"/>
      <c r="B164" s="218">
        <v>6</v>
      </c>
      <c r="C164" s="225">
        <v>37</v>
      </c>
      <c r="D164" s="225">
        <v>0.5</v>
      </c>
      <c r="E164" s="225">
        <v>1</v>
      </c>
      <c r="F164" s="225">
        <v>-0.1</v>
      </c>
      <c r="G164" s="221">
        <f t="shared" si="42"/>
        <v>0.55000000000000004</v>
      </c>
      <c r="I164" s="218">
        <v>6</v>
      </c>
      <c r="J164" s="225">
        <v>80</v>
      </c>
      <c r="K164" s="225">
        <v>-0.7</v>
      </c>
      <c r="L164" s="225">
        <v>-0.4</v>
      </c>
      <c r="M164" s="225">
        <v>-1.3</v>
      </c>
      <c r="N164" s="221">
        <f t="shared" si="43"/>
        <v>0.45</v>
      </c>
      <c r="P164" s="218">
        <v>6</v>
      </c>
      <c r="Q164" s="225">
        <v>1010</v>
      </c>
      <c r="R164" s="226">
        <v>4.5999999999999996</v>
      </c>
      <c r="S164" s="226">
        <v>3.9</v>
      </c>
      <c r="T164" s="226">
        <v>1.1000000000000001</v>
      </c>
      <c r="U164" s="221">
        <f t="shared" si="44"/>
        <v>1.7499999999999998</v>
      </c>
    </row>
    <row r="165" spans="1:24">
      <c r="A165" s="841"/>
      <c r="B165" s="218">
        <v>7</v>
      </c>
      <c r="C165" s="239">
        <v>40</v>
      </c>
      <c r="D165" s="225">
        <v>0.6</v>
      </c>
      <c r="E165" s="225">
        <v>1.4</v>
      </c>
      <c r="F165" s="225">
        <v>9.9999999999999995E-7</v>
      </c>
      <c r="G165" s="221">
        <f t="shared" si="42"/>
        <v>0.6999995</v>
      </c>
      <c r="I165" s="218">
        <v>7</v>
      </c>
      <c r="J165" s="239">
        <v>90</v>
      </c>
      <c r="K165" s="225">
        <v>0.1</v>
      </c>
      <c r="L165" s="225">
        <v>-0.1</v>
      </c>
      <c r="M165" s="225">
        <v>-2</v>
      </c>
      <c r="N165" s="221">
        <f t="shared" si="43"/>
        <v>1.05</v>
      </c>
      <c r="P165" s="218">
        <v>7</v>
      </c>
      <c r="Q165" s="225">
        <v>1020</v>
      </c>
      <c r="R165" s="226"/>
      <c r="S165" s="226">
        <v>9.9999999999999995E-7</v>
      </c>
      <c r="T165" s="226">
        <v>9.9999999999999995E-7</v>
      </c>
      <c r="U165" s="221">
        <f t="shared" si="44"/>
        <v>0</v>
      </c>
    </row>
    <row r="166" spans="1:24" ht="13.8" thickBot="1">
      <c r="A166" s="241"/>
      <c r="C166" s="242"/>
      <c r="D166" s="232"/>
      <c r="E166" s="243"/>
      <c r="F166" s="242"/>
      <c r="I166" s="242"/>
      <c r="J166" s="232"/>
      <c r="K166" s="243"/>
      <c r="L166" s="242"/>
      <c r="O166" s="232"/>
      <c r="P166" s="243"/>
      <c r="Q166" s="243"/>
      <c r="R166" s="242"/>
    </row>
    <row r="167" spans="1:24">
      <c r="A167" s="841">
        <v>16</v>
      </c>
      <c r="B167" s="842" t="s">
        <v>260</v>
      </c>
      <c r="C167" s="842"/>
      <c r="D167" s="842"/>
      <c r="E167" s="842"/>
      <c r="F167" s="842"/>
      <c r="G167" s="842"/>
      <c r="I167" s="842" t="str">
        <f>B167</f>
        <v>KOREKSI EXTECH A.100616</v>
      </c>
      <c r="J167" s="842"/>
      <c r="K167" s="842"/>
      <c r="L167" s="842"/>
      <c r="M167" s="842"/>
      <c r="N167" s="842"/>
      <c r="P167" s="842" t="str">
        <f>I167</f>
        <v>KOREKSI EXTECH A.100616</v>
      </c>
      <c r="Q167" s="842"/>
      <c r="R167" s="842"/>
      <c r="S167" s="842"/>
      <c r="T167" s="842"/>
      <c r="U167" s="842"/>
      <c r="W167" s="836" t="s">
        <v>208</v>
      </c>
      <c r="X167" s="837"/>
    </row>
    <row r="168" spans="1:24">
      <c r="A168" s="841"/>
      <c r="B168" s="838" t="s">
        <v>7</v>
      </c>
      <c r="C168" s="838"/>
      <c r="D168" s="838" t="s">
        <v>241</v>
      </c>
      <c r="E168" s="838"/>
      <c r="F168" s="838"/>
      <c r="G168" s="838" t="s">
        <v>242</v>
      </c>
      <c r="I168" s="838" t="s">
        <v>204</v>
      </c>
      <c r="J168" s="838"/>
      <c r="K168" s="838" t="s">
        <v>241</v>
      </c>
      <c r="L168" s="838"/>
      <c r="M168" s="838"/>
      <c r="N168" s="838" t="s">
        <v>242</v>
      </c>
      <c r="P168" s="838" t="s">
        <v>243</v>
      </c>
      <c r="Q168" s="838"/>
      <c r="R168" s="838" t="s">
        <v>241</v>
      </c>
      <c r="S168" s="838"/>
      <c r="T168" s="838"/>
      <c r="U168" s="838" t="s">
        <v>242</v>
      </c>
      <c r="W168" s="215" t="s">
        <v>7</v>
      </c>
      <c r="X168" s="216">
        <v>0.5</v>
      </c>
    </row>
    <row r="169" spans="1:24" ht="14.4">
      <c r="A169" s="841"/>
      <c r="B169" s="839" t="s">
        <v>244</v>
      </c>
      <c r="C169" s="839"/>
      <c r="D169" s="217">
        <v>2023</v>
      </c>
      <c r="E169" s="217">
        <v>2020</v>
      </c>
      <c r="F169" s="217">
        <v>2016</v>
      </c>
      <c r="G169" s="838"/>
      <c r="I169" s="840" t="s">
        <v>24</v>
      </c>
      <c r="J169" s="839"/>
      <c r="K169" s="238">
        <f>D169</f>
        <v>2023</v>
      </c>
      <c r="L169" s="238">
        <f>E169</f>
        <v>2020</v>
      </c>
      <c r="M169" s="217">
        <v>2016</v>
      </c>
      <c r="N169" s="838"/>
      <c r="P169" s="840" t="s">
        <v>245</v>
      </c>
      <c r="Q169" s="839"/>
      <c r="R169" s="238">
        <f>K169</f>
        <v>2023</v>
      </c>
      <c r="S169" s="238">
        <f>L169</f>
        <v>2020</v>
      </c>
      <c r="T169" s="217">
        <v>2016</v>
      </c>
      <c r="U169" s="838"/>
      <c r="W169" s="215" t="s">
        <v>24</v>
      </c>
      <c r="X169" s="216">
        <v>2.2999999999999998</v>
      </c>
    </row>
    <row r="170" spans="1:24" ht="13.8" thickBot="1">
      <c r="A170" s="841"/>
      <c r="B170" s="218">
        <v>1</v>
      </c>
      <c r="C170" s="219">
        <v>15</v>
      </c>
      <c r="D170" s="219">
        <v>0.1</v>
      </c>
      <c r="E170" s="219">
        <v>0.1</v>
      </c>
      <c r="F170" s="231"/>
      <c r="G170" s="221">
        <f>0.5*(MAX(D170:F170)-MIN(D170:F170))</f>
        <v>0</v>
      </c>
      <c r="I170" s="218">
        <v>1</v>
      </c>
      <c r="J170" s="219">
        <v>35</v>
      </c>
      <c r="K170" s="219">
        <v>-2.5</v>
      </c>
      <c r="L170" s="219">
        <v>-1.6</v>
      </c>
      <c r="M170" s="231"/>
      <c r="N170" s="221">
        <f>0.5*(MAX(K170:M170)-MIN(K170:M170))</f>
        <v>0.44999999999999996</v>
      </c>
      <c r="P170" s="218">
        <v>1</v>
      </c>
      <c r="Q170" s="219">
        <v>960</v>
      </c>
      <c r="R170" s="222">
        <v>4.5999999999999996</v>
      </c>
      <c r="S170" s="222">
        <v>-2.9</v>
      </c>
      <c r="T170" s="231"/>
      <c r="U170" s="221">
        <f>0.5*(MAX(R170:T170)-MIN(R170:T170))</f>
        <v>3.75</v>
      </c>
      <c r="W170" s="223" t="s">
        <v>245</v>
      </c>
      <c r="X170" s="224">
        <v>2.2000000000000002</v>
      </c>
    </row>
    <row r="171" spans="1:24">
      <c r="A171" s="841"/>
      <c r="B171" s="218">
        <v>2</v>
      </c>
      <c r="C171" s="219">
        <v>20</v>
      </c>
      <c r="D171" s="219">
        <v>0.3</v>
      </c>
      <c r="E171" s="219">
        <v>0.2</v>
      </c>
      <c r="F171" s="231"/>
      <c r="G171" s="221">
        <f t="shared" ref="G171:G176" si="45">0.5*(MAX(D171:F171)-MIN(D171:F171))</f>
        <v>4.9999999999999989E-2</v>
      </c>
      <c r="I171" s="218">
        <v>2</v>
      </c>
      <c r="J171" s="219">
        <v>40</v>
      </c>
      <c r="K171" s="219">
        <v>-2.2999999999999998</v>
      </c>
      <c r="L171" s="219">
        <v>-1.4</v>
      </c>
      <c r="M171" s="231"/>
      <c r="N171" s="221">
        <f t="shared" ref="N171:N176" si="46">0.5*(MAX(K171:M171)-MIN(K171:M171))</f>
        <v>0.44999999999999996</v>
      </c>
      <c r="P171" s="218">
        <v>2</v>
      </c>
      <c r="Q171" s="219">
        <v>970</v>
      </c>
      <c r="R171" s="222">
        <v>4.5</v>
      </c>
      <c r="S171" s="222">
        <v>-2.2999999999999998</v>
      </c>
      <c r="T171" s="231"/>
      <c r="U171" s="221">
        <f t="shared" ref="U171:U176" si="47">0.5*(MAX(R171:T171)-MIN(R171:T171))</f>
        <v>3.4</v>
      </c>
    </row>
    <row r="172" spans="1:24">
      <c r="A172" s="841"/>
      <c r="B172" s="218">
        <v>3</v>
      </c>
      <c r="C172" s="219">
        <v>25</v>
      </c>
      <c r="D172" s="219">
        <v>0.5</v>
      </c>
      <c r="E172" s="219">
        <v>0.2</v>
      </c>
      <c r="F172" s="231"/>
      <c r="G172" s="221">
        <f t="shared" si="45"/>
        <v>0.15</v>
      </c>
      <c r="I172" s="218">
        <v>3</v>
      </c>
      <c r="J172" s="219">
        <v>50</v>
      </c>
      <c r="K172" s="219">
        <v>-2</v>
      </c>
      <c r="L172" s="219">
        <v>-1.4</v>
      </c>
      <c r="M172" s="231"/>
      <c r="N172" s="221">
        <f t="shared" si="46"/>
        <v>0.30000000000000004</v>
      </c>
      <c r="P172" s="218">
        <v>3</v>
      </c>
      <c r="Q172" s="225">
        <v>980</v>
      </c>
      <c r="R172" s="226">
        <v>4.5</v>
      </c>
      <c r="S172" s="226">
        <v>-1.7</v>
      </c>
      <c r="T172" s="231"/>
      <c r="U172" s="221">
        <f t="shared" si="47"/>
        <v>3.1</v>
      </c>
    </row>
    <row r="173" spans="1:24">
      <c r="A173" s="841"/>
      <c r="B173" s="218">
        <v>4</v>
      </c>
      <c r="C173" s="225">
        <v>30</v>
      </c>
      <c r="D173" s="225">
        <v>0.6</v>
      </c>
      <c r="E173" s="225">
        <v>0.2</v>
      </c>
      <c r="F173" s="231"/>
      <c r="G173" s="221">
        <f t="shared" si="45"/>
        <v>0.19999999999999998</v>
      </c>
      <c r="I173" s="218">
        <v>4</v>
      </c>
      <c r="J173" s="225">
        <v>60</v>
      </c>
      <c r="K173" s="225">
        <v>-1.9</v>
      </c>
      <c r="L173" s="225">
        <v>-1.5</v>
      </c>
      <c r="M173" s="231"/>
      <c r="N173" s="221">
        <f t="shared" si="46"/>
        <v>0.19999999999999996</v>
      </c>
      <c r="P173" s="218">
        <v>4</v>
      </c>
      <c r="Q173" s="225">
        <v>990</v>
      </c>
      <c r="R173" s="226">
        <v>4.4000000000000004</v>
      </c>
      <c r="S173" s="226">
        <v>-1.1000000000000001</v>
      </c>
      <c r="T173" s="231"/>
      <c r="U173" s="221">
        <f t="shared" si="47"/>
        <v>2.75</v>
      </c>
    </row>
    <row r="174" spans="1:24">
      <c r="A174" s="841"/>
      <c r="B174" s="218">
        <v>5</v>
      </c>
      <c r="C174" s="225">
        <v>35</v>
      </c>
      <c r="D174" s="225">
        <v>0.6</v>
      </c>
      <c r="E174" s="225">
        <v>0.1</v>
      </c>
      <c r="F174" s="231"/>
      <c r="G174" s="221">
        <f t="shared" si="45"/>
        <v>0.25</v>
      </c>
      <c r="I174" s="218">
        <v>5</v>
      </c>
      <c r="J174" s="225">
        <v>70</v>
      </c>
      <c r="K174" s="225">
        <v>-2.1</v>
      </c>
      <c r="L174" s="225">
        <v>-1.8</v>
      </c>
      <c r="M174" s="231"/>
      <c r="N174" s="221">
        <f t="shared" si="46"/>
        <v>0.15000000000000002</v>
      </c>
      <c r="P174" s="218">
        <v>5</v>
      </c>
      <c r="Q174" s="225">
        <v>1000</v>
      </c>
      <c r="R174" s="226">
        <v>4.3</v>
      </c>
      <c r="S174" s="226">
        <v>-0.4</v>
      </c>
      <c r="T174" s="231"/>
      <c r="U174" s="221">
        <f t="shared" si="47"/>
        <v>2.35</v>
      </c>
    </row>
    <row r="175" spans="1:24">
      <c r="A175" s="841"/>
      <c r="B175" s="218">
        <v>6</v>
      </c>
      <c r="C175" s="225">
        <v>37</v>
      </c>
      <c r="D175" s="225">
        <v>0.6</v>
      </c>
      <c r="E175" s="225">
        <v>9.9999999999999995E-7</v>
      </c>
      <c r="F175" s="231"/>
      <c r="G175" s="221">
        <f t="shared" si="45"/>
        <v>0.29999949999999997</v>
      </c>
      <c r="I175" s="218">
        <v>6</v>
      </c>
      <c r="J175" s="225">
        <v>80</v>
      </c>
      <c r="K175" s="225">
        <v>-2.5</v>
      </c>
      <c r="L175" s="225">
        <v>-2.2999999999999998</v>
      </c>
      <c r="M175" s="231"/>
      <c r="N175" s="221">
        <f t="shared" si="46"/>
        <v>0.10000000000000009</v>
      </c>
      <c r="P175" s="218">
        <v>6</v>
      </c>
      <c r="Q175" s="225">
        <v>1010</v>
      </c>
      <c r="R175" s="226">
        <v>4.3</v>
      </c>
      <c r="S175" s="226">
        <v>-0.4</v>
      </c>
      <c r="T175" s="231"/>
      <c r="U175" s="221">
        <f t="shared" si="47"/>
        <v>2.35</v>
      </c>
    </row>
    <row r="176" spans="1:24">
      <c r="A176" s="841"/>
      <c r="B176" s="218">
        <v>7</v>
      </c>
      <c r="C176" s="239">
        <v>40</v>
      </c>
      <c r="D176" s="225">
        <v>0.6</v>
      </c>
      <c r="E176" s="225">
        <v>9.9999999999999995E-7</v>
      </c>
      <c r="F176" s="231"/>
      <c r="G176" s="221">
        <f t="shared" si="45"/>
        <v>0.29999949999999997</v>
      </c>
      <c r="I176" s="218">
        <v>7</v>
      </c>
      <c r="J176" s="239">
        <v>90</v>
      </c>
      <c r="K176" s="225">
        <v>-3.1</v>
      </c>
      <c r="L176" s="225">
        <v>-3</v>
      </c>
      <c r="M176" s="231"/>
      <c r="N176" s="221">
        <f t="shared" si="46"/>
        <v>5.0000000000000044E-2</v>
      </c>
      <c r="P176" s="218">
        <v>7</v>
      </c>
      <c r="Q176" s="225">
        <v>1020</v>
      </c>
      <c r="R176" s="226">
        <v>0</v>
      </c>
      <c r="S176" s="226">
        <v>9.9999999999999995E-7</v>
      </c>
      <c r="T176" s="231"/>
      <c r="U176" s="221">
        <f t="shared" si="47"/>
        <v>4.9999999999999998E-7</v>
      </c>
    </row>
    <row r="177" spans="1:24" ht="13.8" thickBot="1">
      <c r="A177" s="241"/>
      <c r="C177" s="242"/>
      <c r="D177" s="232"/>
      <c r="E177" s="243"/>
      <c r="F177" s="242"/>
      <c r="J177" s="242"/>
      <c r="K177" s="232"/>
      <c r="L177" s="243"/>
      <c r="M177" s="242"/>
      <c r="Q177" s="232"/>
      <c r="R177" s="243"/>
      <c r="S177" s="243"/>
      <c r="T177" s="242"/>
    </row>
    <row r="178" spans="1:24">
      <c r="A178" s="841">
        <v>17</v>
      </c>
      <c r="B178" s="842" t="s">
        <v>261</v>
      </c>
      <c r="C178" s="842"/>
      <c r="D178" s="842"/>
      <c r="E178" s="842"/>
      <c r="F178" s="842"/>
      <c r="G178" s="842"/>
      <c r="I178" s="842" t="str">
        <f>B178</f>
        <v>KOREKSI EXTECH A.100617</v>
      </c>
      <c r="J178" s="842"/>
      <c r="K178" s="842"/>
      <c r="L178" s="842"/>
      <c r="M178" s="842"/>
      <c r="N178" s="842"/>
      <c r="P178" s="842" t="str">
        <f>I178</f>
        <v>KOREKSI EXTECH A.100617</v>
      </c>
      <c r="Q178" s="842"/>
      <c r="R178" s="842"/>
      <c r="S178" s="842"/>
      <c r="T178" s="842"/>
      <c r="U178" s="842"/>
      <c r="W178" s="836" t="s">
        <v>208</v>
      </c>
      <c r="X178" s="837"/>
    </row>
    <row r="179" spans="1:24">
      <c r="A179" s="841"/>
      <c r="B179" s="838" t="s">
        <v>7</v>
      </c>
      <c r="C179" s="838"/>
      <c r="D179" s="838" t="s">
        <v>241</v>
      </c>
      <c r="E179" s="838"/>
      <c r="F179" s="838"/>
      <c r="G179" s="838" t="s">
        <v>242</v>
      </c>
      <c r="I179" s="838" t="s">
        <v>204</v>
      </c>
      <c r="J179" s="838"/>
      <c r="K179" s="838" t="s">
        <v>241</v>
      </c>
      <c r="L179" s="838"/>
      <c r="M179" s="838"/>
      <c r="N179" s="838" t="s">
        <v>242</v>
      </c>
      <c r="P179" s="838" t="s">
        <v>243</v>
      </c>
      <c r="Q179" s="838"/>
      <c r="R179" s="838" t="s">
        <v>241</v>
      </c>
      <c r="S179" s="838"/>
      <c r="T179" s="838"/>
      <c r="U179" s="838" t="s">
        <v>242</v>
      </c>
      <c r="W179" s="215" t="s">
        <v>7</v>
      </c>
      <c r="X179" s="216">
        <v>0.8</v>
      </c>
    </row>
    <row r="180" spans="1:24" ht="14.4">
      <c r="A180" s="841"/>
      <c r="B180" s="839" t="s">
        <v>244</v>
      </c>
      <c r="C180" s="839"/>
      <c r="D180" s="217">
        <v>2023</v>
      </c>
      <c r="E180" s="217">
        <v>2020</v>
      </c>
      <c r="F180" s="217">
        <v>2016</v>
      </c>
      <c r="G180" s="838"/>
      <c r="I180" s="840" t="s">
        <v>24</v>
      </c>
      <c r="J180" s="839"/>
      <c r="K180" s="238">
        <f>D180</f>
        <v>2023</v>
      </c>
      <c r="L180" s="238">
        <f>E180</f>
        <v>2020</v>
      </c>
      <c r="M180" s="217">
        <v>2016</v>
      </c>
      <c r="N180" s="838"/>
      <c r="P180" s="840" t="s">
        <v>245</v>
      </c>
      <c r="Q180" s="839"/>
      <c r="R180" s="238">
        <f>K180</f>
        <v>2023</v>
      </c>
      <c r="S180" s="238">
        <f>L180</f>
        <v>2020</v>
      </c>
      <c r="T180" s="217">
        <v>2016</v>
      </c>
      <c r="U180" s="838"/>
      <c r="W180" s="215" t="s">
        <v>24</v>
      </c>
      <c r="X180" s="216">
        <v>2.2999999999999998</v>
      </c>
    </row>
    <row r="181" spans="1:24" ht="13.8" thickBot="1">
      <c r="A181" s="841"/>
      <c r="B181" s="218">
        <v>1</v>
      </c>
      <c r="C181" s="219">
        <v>15</v>
      </c>
      <c r="D181" s="219">
        <v>0.2</v>
      </c>
      <c r="E181" s="219">
        <v>0.1</v>
      </c>
      <c r="F181" s="231"/>
      <c r="G181" s="221">
        <f t="shared" ref="G181:G187" si="48">0.5*(MAX(D181:F181)-MIN(D181:F181))</f>
        <v>0.05</v>
      </c>
      <c r="I181" s="218">
        <v>1</v>
      </c>
      <c r="J181" s="219">
        <v>35</v>
      </c>
      <c r="K181" s="219">
        <v>-2.7</v>
      </c>
      <c r="L181" s="219">
        <v>0.1</v>
      </c>
      <c r="M181" s="231"/>
      <c r="N181" s="221">
        <f>0.5*(MAX(K181:M181)-MIN(K181:M181))</f>
        <v>1.4000000000000001</v>
      </c>
      <c r="P181" s="218">
        <v>1</v>
      </c>
      <c r="Q181" s="219">
        <v>960</v>
      </c>
      <c r="R181" s="222">
        <v>4.5999999999999996</v>
      </c>
      <c r="S181" s="222">
        <v>-0.6</v>
      </c>
      <c r="T181" s="231"/>
      <c r="U181" s="221">
        <f>0.5*(MAX(R181:T181)-MIN(R181:T181))</f>
        <v>2.5999999999999996</v>
      </c>
      <c r="W181" s="223" t="s">
        <v>245</v>
      </c>
      <c r="X181" s="224">
        <v>2.1</v>
      </c>
    </row>
    <row r="182" spans="1:24">
      <c r="A182" s="841"/>
      <c r="B182" s="218">
        <v>2</v>
      </c>
      <c r="C182" s="219">
        <v>20</v>
      </c>
      <c r="D182" s="219">
        <v>0.4</v>
      </c>
      <c r="E182" s="219">
        <v>0.1</v>
      </c>
      <c r="F182" s="231"/>
      <c r="G182" s="221">
        <f t="shared" si="48"/>
        <v>0.15000000000000002</v>
      </c>
      <c r="I182" s="218">
        <v>2</v>
      </c>
      <c r="J182" s="219">
        <v>40</v>
      </c>
      <c r="K182" s="219">
        <v>-2.4</v>
      </c>
      <c r="L182" s="219">
        <v>0.2</v>
      </c>
      <c r="M182" s="231"/>
      <c r="N182" s="221">
        <f t="shared" ref="N182:N187" si="49">0.5*(MAX(K182:M182)-MIN(K182:M182))</f>
        <v>1.3</v>
      </c>
      <c r="P182" s="218">
        <v>2</v>
      </c>
      <c r="Q182" s="219">
        <v>970</v>
      </c>
      <c r="R182" s="222">
        <v>4.5</v>
      </c>
      <c r="S182" s="222">
        <v>-0.6</v>
      </c>
      <c r="T182" s="231"/>
      <c r="U182" s="221">
        <f t="shared" ref="U182:U187" si="50">0.5*(MAX(R182:T182)-MIN(R182:T182))</f>
        <v>2.5499999999999998</v>
      </c>
    </row>
    <row r="183" spans="1:24">
      <c r="A183" s="841"/>
      <c r="B183" s="218">
        <v>3</v>
      </c>
      <c r="C183" s="219">
        <v>25</v>
      </c>
      <c r="D183" s="219">
        <v>0.5</v>
      </c>
      <c r="E183" s="219">
        <v>9.9999999999999995E-7</v>
      </c>
      <c r="F183" s="231"/>
      <c r="G183" s="221">
        <f t="shared" si="48"/>
        <v>0.24999950000000001</v>
      </c>
      <c r="I183" s="218">
        <v>3</v>
      </c>
      <c r="J183" s="219">
        <v>50</v>
      </c>
      <c r="K183" s="219">
        <v>-1.9</v>
      </c>
      <c r="L183" s="219">
        <v>0.2</v>
      </c>
      <c r="M183" s="231"/>
      <c r="N183" s="221">
        <f t="shared" si="49"/>
        <v>1.05</v>
      </c>
      <c r="P183" s="218">
        <v>3</v>
      </c>
      <c r="Q183" s="225">
        <v>980</v>
      </c>
      <c r="R183" s="226">
        <v>4.5</v>
      </c>
      <c r="S183" s="226">
        <v>-0.6</v>
      </c>
      <c r="T183" s="231"/>
      <c r="U183" s="221">
        <f t="shared" si="50"/>
        <v>2.5499999999999998</v>
      </c>
    </row>
    <row r="184" spans="1:24">
      <c r="A184" s="841"/>
      <c r="B184" s="218">
        <v>4</v>
      </c>
      <c r="C184" s="225">
        <v>30</v>
      </c>
      <c r="D184" s="225">
        <v>0.6</v>
      </c>
      <c r="E184" s="225">
        <v>-0.2</v>
      </c>
      <c r="F184" s="231"/>
      <c r="G184" s="221">
        <f t="shared" si="48"/>
        <v>0.4</v>
      </c>
      <c r="I184" s="218">
        <v>4</v>
      </c>
      <c r="J184" s="225">
        <v>60</v>
      </c>
      <c r="K184" s="225">
        <v>-1.7</v>
      </c>
      <c r="L184" s="225">
        <v>9.9999999999999995E-7</v>
      </c>
      <c r="M184" s="231"/>
      <c r="N184" s="221">
        <f t="shared" si="49"/>
        <v>0.85000049999999994</v>
      </c>
      <c r="P184" s="218">
        <v>4</v>
      </c>
      <c r="Q184" s="225">
        <v>990</v>
      </c>
      <c r="R184" s="226">
        <v>4.4000000000000004</v>
      </c>
      <c r="S184" s="226">
        <v>-0.6</v>
      </c>
      <c r="T184" s="231"/>
      <c r="U184" s="221">
        <f t="shared" si="50"/>
        <v>2.5</v>
      </c>
    </row>
    <row r="185" spans="1:24">
      <c r="A185" s="841"/>
      <c r="B185" s="218">
        <v>5</v>
      </c>
      <c r="C185" s="225">
        <v>35</v>
      </c>
      <c r="D185" s="225">
        <v>0.7</v>
      </c>
      <c r="E185" s="225">
        <v>-0.5</v>
      </c>
      <c r="F185" s="231"/>
      <c r="G185" s="221">
        <f t="shared" si="48"/>
        <v>0.6</v>
      </c>
      <c r="I185" s="218">
        <v>5</v>
      </c>
      <c r="J185" s="225">
        <v>70</v>
      </c>
      <c r="K185" s="225">
        <v>-1.8</v>
      </c>
      <c r="L185" s="225">
        <v>-0.3</v>
      </c>
      <c r="M185" s="231"/>
      <c r="N185" s="221">
        <f t="shared" si="49"/>
        <v>0.75</v>
      </c>
      <c r="P185" s="218">
        <v>5</v>
      </c>
      <c r="Q185" s="225">
        <v>1000</v>
      </c>
      <c r="R185" s="226">
        <v>4.4000000000000004</v>
      </c>
      <c r="S185" s="226">
        <v>-0.6</v>
      </c>
      <c r="T185" s="231"/>
      <c r="U185" s="221">
        <f t="shared" si="50"/>
        <v>2.5</v>
      </c>
    </row>
    <row r="186" spans="1:24">
      <c r="A186" s="841"/>
      <c r="B186" s="218">
        <v>6</v>
      </c>
      <c r="C186" s="225">
        <v>37</v>
      </c>
      <c r="D186" s="225">
        <v>0.7</v>
      </c>
      <c r="E186" s="225">
        <v>-0.6</v>
      </c>
      <c r="F186" s="231"/>
      <c r="G186" s="221">
        <f t="shared" si="48"/>
        <v>0.64999999999999991</v>
      </c>
      <c r="I186" s="218">
        <v>6</v>
      </c>
      <c r="J186" s="225">
        <v>80</v>
      </c>
      <c r="K186" s="225">
        <v>-2.2000000000000002</v>
      </c>
      <c r="L186" s="225">
        <v>-0.8</v>
      </c>
      <c r="M186" s="231"/>
      <c r="N186" s="221">
        <f t="shared" si="49"/>
        <v>0.70000000000000007</v>
      </c>
      <c r="P186" s="218">
        <v>6</v>
      </c>
      <c r="Q186" s="225">
        <v>1010</v>
      </c>
      <c r="R186" s="226">
        <v>4.4000000000000004</v>
      </c>
      <c r="S186" s="226">
        <v>-0.6</v>
      </c>
      <c r="T186" s="231"/>
      <c r="U186" s="221">
        <f t="shared" si="50"/>
        <v>2.5</v>
      </c>
    </row>
    <row r="187" spans="1:24">
      <c r="A187" s="841"/>
      <c r="B187" s="218">
        <v>7</v>
      </c>
      <c r="C187" s="239">
        <v>40</v>
      </c>
      <c r="D187" s="225">
        <v>0.7</v>
      </c>
      <c r="E187" s="225">
        <v>-0.8</v>
      </c>
      <c r="F187" s="231"/>
      <c r="G187" s="221">
        <f t="shared" si="48"/>
        <v>0.75</v>
      </c>
      <c r="I187" s="218">
        <v>7</v>
      </c>
      <c r="J187" s="239">
        <v>90</v>
      </c>
      <c r="K187" s="225">
        <v>-2.9</v>
      </c>
      <c r="L187" s="225">
        <v>-1.4</v>
      </c>
      <c r="M187" s="231"/>
      <c r="N187" s="221">
        <f t="shared" si="49"/>
        <v>0.75</v>
      </c>
      <c r="P187" s="218">
        <v>7</v>
      </c>
      <c r="Q187" s="225">
        <v>1020</v>
      </c>
      <c r="R187" s="226">
        <v>0</v>
      </c>
      <c r="S187" s="226">
        <v>9.9999999999999995E-7</v>
      </c>
      <c r="T187" s="231"/>
      <c r="U187" s="221">
        <f t="shared" si="50"/>
        <v>4.9999999999999998E-7</v>
      </c>
    </row>
    <row r="188" spans="1:24" ht="13.8" thickBot="1">
      <c r="A188" s="241"/>
      <c r="C188" s="242"/>
      <c r="D188" s="232"/>
      <c r="E188" s="243"/>
      <c r="F188" s="242"/>
      <c r="J188" s="242"/>
      <c r="K188" s="232"/>
      <c r="L188" s="243"/>
      <c r="M188" s="242"/>
      <c r="Q188" s="232"/>
      <c r="R188" s="243"/>
      <c r="S188" s="243"/>
      <c r="T188" s="242"/>
    </row>
    <row r="189" spans="1:24">
      <c r="A189" s="841">
        <v>18</v>
      </c>
      <c r="B189" s="842" t="s">
        <v>262</v>
      </c>
      <c r="C189" s="842"/>
      <c r="D189" s="842"/>
      <c r="E189" s="842"/>
      <c r="F189" s="842"/>
      <c r="G189" s="842"/>
      <c r="I189" s="842" t="str">
        <f>B189</f>
        <v>KOREKSI EXTECH A.100618</v>
      </c>
      <c r="J189" s="842"/>
      <c r="K189" s="842"/>
      <c r="L189" s="842"/>
      <c r="M189" s="842"/>
      <c r="N189" s="842"/>
      <c r="P189" s="842" t="str">
        <f>I189</f>
        <v>KOREKSI EXTECH A.100618</v>
      </c>
      <c r="Q189" s="842"/>
      <c r="R189" s="842"/>
      <c r="S189" s="842"/>
      <c r="T189" s="842"/>
      <c r="U189" s="842"/>
      <c r="W189" s="836" t="s">
        <v>208</v>
      </c>
      <c r="X189" s="837"/>
    </row>
    <row r="190" spans="1:24">
      <c r="A190" s="841"/>
      <c r="B190" s="838" t="s">
        <v>7</v>
      </c>
      <c r="C190" s="838"/>
      <c r="D190" s="838" t="s">
        <v>241</v>
      </c>
      <c r="E190" s="838"/>
      <c r="F190" s="838"/>
      <c r="G190" s="838" t="s">
        <v>242</v>
      </c>
      <c r="I190" s="838" t="s">
        <v>204</v>
      </c>
      <c r="J190" s="838"/>
      <c r="K190" s="838" t="s">
        <v>241</v>
      </c>
      <c r="L190" s="838"/>
      <c r="M190" s="838"/>
      <c r="N190" s="838" t="s">
        <v>242</v>
      </c>
      <c r="P190" s="838" t="s">
        <v>243</v>
      </c>
      <c r="Q190" s="838"/>
      <c r="R190" s="838" t="s">
        <v>241</v>
      </c>
      <c r="S190" s="838"/>
      <c r="T190" s="838"/>
      <c r="U190" s="838" t="s">
        <v>242</v>
      </c>
      <c r="W190" s="215" t="s">
        <v>7</v>
      </c>
      <c r="X190" s="216">
        <v>0.6</v>
      </c>
    </row>
    <row r="191" spans="1:24" ht="14.4">
      <c r="A191" s="841"/>
      <c r="B191" s="839" t="s">
        <v>244</v>
      </c>
      <c r="C191" s="839"/>
      <c r="D191" s="217">
        <v>2023</v>
      </c>
      <c r="E191" s="217">
        <v>2020</v>
      </c>
      <c r="F191" s="217">
        <v>2016</v>
      </c>
      <c r="G191" s="838"/>
      <c r="I191" s="840" t="s">
        <v>24</v>
      </c>
      <c r="J191" s="839"/>
      <c r="K191" s="238">
        <f>D191</f>
        <v>2023</v>
      </c>
      <c r="L191" s="238">
        <f>E191</f>
        <v>2020</v>
      </c>
      <c r="M191" s="217">
        <v>2016</v>
      </c>
      <c r="N191" s="838"/>
      <c r="P191" s="840" t="s">
        <v>245</v>
      </c>
      <c r="Q191" s="839"/>
      <c r="R191" s="238">
        <f>K191</f>
        <v>2023</v>
      </c>
      <c r="S191" s="238">
        <f>L191</f>
        <v>2020</v>
      </c>
      <c r="T191" s="217">
        <v>2016</v>
      </c>
      <c r="U191" s="838"/>
      <c r="W191" s="215" t="s">
        <v>24</v>
      </c>
      <c r="X191" s="216">
        <v>2.2999999999999998</v>
      </c>
    </row>
    <row r="192" spans="1:24" ht="13.8" thickBot="1">
      <c r="A192" s="841"/>
      <c r="B192" s="218">
        <v>1</v>
      </c>
      <c r="C192" s="219">
        <v>15</v>
      </c>
      <c r="D192" s="219">
        <v>0.3</v>
      </c>
      <c r="E192" s="219">
        <v>9.9999999999999995E-7</v>
      </c>
      <c r="F192" s="231"/>
      <c r="G192" s="221">
        <f>0.5*(MAX(D192:F192)-MIN(D192:F192))</f>
        <v>0.14999950000000001</v>
      </c>
      <c r="I192" s="218">
        <v>1</v>
      </c>
      <c r="J192" s="219">
        <v>35</v>
      </c>
      <c r="K192" s="219">
        <v>-3.2</v>
      </c>
      <c r="L192" s="219">
        <v>-0.4</v>
      </c>
      <c r="M192" s="231"/>
      <c r="N192" s="221">
        <f>0.5*(MAX(K192:M192)-MIN(K192:M192))</f>
        <v>1.4000000000000001</v>
      </c>
      <c r="P192" s="218">
        <v>1</v>
      </c>
      <c r="Q192" s="219">
        <v>960</v>
      </c>
      <c r="R192" s="222">
        <v>4.4000000000000004</v>
      </c>
      <c r="S192" s="222">
        <v>-1.5</v>
      </c>
      <c r="T192" s="231"/>
      <c r="U192" s="221">
        <f>0.5*(MAX(R192:T192)-MIN(R192:T192))</f>
        <v>2.95</v>
      </c>
      <c r="W192" s="223" t="s">
        <v>245</v>
      </c>
      <c r="X192" s="224">
        <v>2.1</v>
      </c>
    </row>
    <row r="193" spans="1:24">
      <c r="A193" s="841"/>
      <c r="B193" s="218">
        <v>2</v>
      </c>
      <c r="C193" s="219">
        <v>20</v>
      </c>
      <c r="D193" s="219">
        <v>0.2</v>
      </c>
      <c r="E193" s="219">
        <v>-0.1</v>
      </c>
      <c r="F193" s="231"/>
      <c r="G193" s="221">
        <f t="shared" ref="G193:G198" si="51">0.5*(MAX(D193:F193)-MIN(D193:F193))</f>
        <v>0.15000000000000002</v>
      </c>
      <c r="I193" s="218">
        <v>2</v>
      </c>
      <c r="J193" s="219">
        <v>40</v>
      </c>
      <c r="K193" s="219">
        <v>-2.9</v>
      </c>
      <c r="L193" s="219">
        <v>-0.2</v>
      </c>
      <c r="M193" s="231"/>
      <c r="N193" s="221">
        <f t="shared" ref="N193:N198" si="52">0.5*(MAX(K193:M193)-MIN(K193:M193))</f>
        <v>1.3499999999999999</v>
      </c>
      <c r="P193" s="218">
        <v>2</v>
      </c>
      <c r="Q193" s="219">
        <v>970</v>
      </c>
      <c r="R193" s="222">
        <v>4.4000000000000004</v>
      </c>
      <c r="S193" s="222">
        <v>-1.3</v>
      </c>
      <c r="T193" s="231"/>
      <c r="U193" s="221">
        <f t="shared" ref="U193:U198" si="53">0.5*(MAX(R193:T193)-MIN(R193:T193))</f>
        <v>2.85</v>
      </c>
    </row>
    <row r="194" spans="1:24">
      <c r="A194" s="841"/>
      <c r="B194" s="218">
        <v>3</v>
      </c>
      <c r="C194" s="219">
        <v>25</v>
      </c>
      <c r="D194" s="219">
        <v>0.2</v>
      </c>
      <c r="E194" s="219">
        <v>-0.2</v>
      </c>
      <c r="F194" s="231"/>
      <c r="G194" s="221">
        <f t="shared" si="51"/>
        <v>0.2</v>
      </c>
      <c r="I194" s="218">
        <v>3</v>
      </c>
      <c r="J194" s="219">
        <v>50</v>
      </c>
      <c r="K194" s="219">
        <v>-2.4</v>
      </c>
      <c r="L194" s="219">
        <v>-0.2</v>
      </c>
      <c r="M194" s="231"/>
      <c r="N194" s="221">
        <f t="shared" si="52"/>
        <v>1.0999999999999999</v>
      </c>
      <c r="P194" s="218">
        <v>3</v>
      </c>
      <c r="Q194" s="225">
        <v>980</v>
      </c>
      <c r="R194" s="226">
        <v>4.3</v>
      </c>
      <c r="S194" s="226">
        <v>-1.1000000000000001</v>
      </c>
      <c r="T194" s="231"/>
      <c r="U194" s="221">
        <f t="shared" si="53"/>
        <v>2.7</v>
      </c>
    </row>
    <row r="195" spans="1:24">
      <c r="A195" s="841"/>
      <c r="B195" s="218">
        <v>4</v>
      </c>
      <c r="C195" s="225">
        <v>30</v>
      </c>
      <c r="D195" s="225">
        <v>0.3</v>
      </c>
      <c r="E195" s="225">
        <v>-0.2</v>
      </c>
      <c r="F195" s="231"/>
      <c r="G195" s="221">
        <f t="shared" si="51"/>
        <v>0.25</v>
      </c>
      <c r="I195" s="218">
        <v>4</v>
      </c>
      <c r="J195" s="225">
        <v>60</v>
      </c>
      <c r="K195" s="225">
        <v>-2.1</v>
      </c>
      <c r="L195" s="225">
        <v>-0.2</v>
      </c>
      <c r="M195" s="231"/>
      <c r="N195" s="221">
        <f t="shared" si="52"/>
        <v>0.95000000000000007</v>
      </c>
      <c r="P195" s="218">
        <v>4</v>
      </c>
      <c r="Q195" s="225">
        <v>990</v>
      </c>
      <c r="R195" s="226">
        <v>4.3</v>
      </c>
      <c r="S195" s="226">
        <v>-0.9</v>
      </c>
      <c r="T195" s="231"/>
      <c r="U195" s="221">
        <f t="shared" si="53"/>
        <v>2.6</v>
      </c>
    </row>
    <row r="196" spans="1:24">
      <c r="A196" s="841"/>
      <c r="B196" s="218">
        <v>5</v>
      </c>
      <c r="C196" s="225">
        <v>35</v>
      </c>
      <c r="D196" s="225">
        <v>0.4</v>
      </c>
      <c r="E196" s="225">
        <v>-0.3</v>
      </c>
      <c r="F196" s="231"/>
      <c r="G196" s="221">
        <f t="shared" si="51"/>
        <v>0.35</v>
      </c>
      <c r="I196" s="218">
        <v>5</v>
      </c>
      <c r="J196" s="225">
        <v>70</v>
      </c>
      <c r="K196" s="225">
        <v>-2.2000000000000002</v>
      </c>
      <c r="L196" s="225">
        <v>-0.3</v>
      </c>
      <c r="M196" s="231"/>
      <c r="N196" s="221">
        <f t="shared" si="52"/>
        <v>0.95000000000000007</v>
      </c>
      <c r="P196" s="218">
        <v>5</v>
      </c>
      <c r="Q196" s="225">
        <v>1000</v>
      </c>
      <c r="R196" s="226">
        <v>4.3</v>
      </c>
      <c r="S196" s="226">
        <v>-0.8</v>
      </c>
      <c r="T196" s="231"/>
      <c r="U196" s="221">
        <f t="shared" si="53"/>
        <v>2.5499999999999998</v>
      </c>
    </row>
    <row r="197" spans="1:24">
      <c r="A197" s="841"/>
      <c r="B197" s="218">
        <v>6</v>
      </c>
      <c r="C197" s="225">
        <v>37</v>
      </c>
      <c r="D197" s="225">
        <v>0.4</v>
      </c>
      <c r="E197" s="225">
        <v>-0.3</v>
      </c>
      <c r="F197" s="231"/>
      <c r="G197" s="221">
        <f t="shared" si="51"/>
        <v>0.35</v>
      </c>
      <c r="I197" s="218">
        <v>6</v>
      </c>
      <c r="J197" s="225">
        <v>80</v>
      </c>
      <c r="K197" s="225">
        <v>-2.4</v>
      </c>
      <c r="L197" s="225">
        <v>-0.5</v>
      </c>
      <c r="M197" s="231"/>
      <c r="N197" s="221">
        <f t="shared" si="52"/>
        <v>0.95</v>
      </c>
      <c r="P197" s="218">
        <v>6</v>
      </c>
      <c r="Q197" s="225">
        <v>1010</v>
      </c>
      <c r="R197" s="226">
        <v>4.2</v>
      </c>
      <c r="S197" s="226">
        <v>-0.7</v>
      </c>
      <c r="T197" s="231"/>
      <c r="U197" s="221">
        <f t="shared" si="53"/>
        <v>2.4500000000000002</v>
      </c>
    </row>
    <row r="198" spans="1:24">
      <c r="A198" s="841"/>
      <c r="B198" s="218">
        <v>7</v>
      </c>
      <c r="C198" s="239">
        <v>40</v>
      </c>
      <c r="D198" s="225">
        <v>0.5</v>
      </c>
      <c r="E198" s="225">
        <v>-0.4</v>
      </c>
      <c r="F198" s="231"/>
      <c r="G198" s="221">
        <f t="shared" si="51"/>
        <v>0.45</v>
      </c>
      <c r="I198" s="218">
        <v>7</v>
      </c>
      <c r="J198" s="239">
        <v>90</v>
      </c>
      <c r="K198" s="225">
        <v>-3</v>
      </c>
      <c r="L198" s="225">
        <v>-0.8</v>
      </c>
      <c r="M198" s="231"/>
      <c r="N198" s="221">
        <f t="shared" si="52"/>
        <v>1.1000000000000001</v>
      </c>
      <c r="P198" s="218">
        <v>7</v>
      </c>
      <c r="Q198" s="225">
        <v>1020</v>
      </c>
      <c r="R198" s="226">
        <v>0</v>
      </c>
      <c r="S198" s="226">
        <v>9.9999999999999995E-7</v>
      </c>
      <c r="T198" s="231"/>
      <c r="U198" s="221">
        <f t="shared" si="53"/>
        <v>4.9999999999999998E-7</v>
      </c>
    </row>
    <row r="199" spans="1:24" ht="13.8" thickBot="1">
      <c r="A199" s="241"/>
      <c r="C199" s="242"/>
      <c r="D199" s="232"/>
      <c r="E199" s="243"/>
      <c r="F199" s="242"/>
      <c r="I199" s="242"/>
      <c r="J199" s="232"/>
      <c r="K199" s="243"/>
      <c r="L199" s="242"/>
      <c r="O199" s="232"/>
      <c r="P199" s="243"/>
      <c r="Q199" s="243"/>
      <c r="R199" s="242"/>
    </row>
    <row r="200" spans="1:24">
      <c r="A200" s="841">
        <v>19</v>
      </c>
      <c r="B200" s="842" t="s">
        <v>263</v>
      </c>
      <c r="C200" s="842"/>
      <c r="D200" s="842"/>
      <c r="E200" s="842"/>
      <c r="F200" s="842"/>
      <c r="G200" s="842"/>
      <c r="I200" s="842" t="str">
        <f>B200</f>
        <v>KOREKSI EXTECH A.100615</v>
      </c>
      <c r="J200" s="842"/>
      <c r="K200" s="842"/>
      <c r="L200" s="842"/>
      <c r="M200" s="842"/>
      <c r="N200" s="842"/>
      <c r="P200" s="842" t="str">
        <f>I200</f>
        <v>KOREKSI EXTECH A.100615</v>
      </c>
      <c r="Q200" s="842"/>
      <c r="R200" s="842"/>
      <c r="S200" s="842"/>
      <c r="T200" s="842"/>
      <c r="U200" s="842"/>
      <c r="W200" s="836" t="s">
        <v>208</v>
      </c>
      <c r="X200" s="837"/>
    </row>
    <row r="201" spans="1:24">
      <c r="A201" s="841"/>
      <c r="B201" s="838" t="s">
        <v>7</v>
      </c>
      <c r="C201" s="838"/>
      <c r="D201" s="838" t="s">
        <v>241</v>
      </c>
      <c r="E201" s="838"/>
      <c r="F201" s="838"/>
      <c r="G201" s="838" t="s">
        <v>242</v>
      </c>
      <c r="I201" s="838" t="s">
        <v>204</v>
      </c>
      <c r="J201" s="838"/>
      <c r="K201" s="838" t="s">
        <v>241</v>
      </c>
      <c r="L201" s="838"/>
      <c r="M201" s="838"/>
      <c r="N201" s="838" t="s">
        <v>242</v>
      </c>
      <c r="P201" s="838" t="s">
        <v>243</v>
      </c>
      <c r="Q201" s="838"/>
      <c r="R201" s="838" t="s">
        <v>241</v>
      </c>
      <c r="S201" s="838"/>
      <c r="T201" s="838"/>
      <c r="U201" s="838" t="s">
        <v>242</v>
      </c>
      <c r="W201" s="215" t="s">
        <v>7</v>
      </c>
      <c r="X201" s="216">
        <v>0.5</v>
      </c>
    </row>
    <row r="202" spans="1:24" ht="14.4">
      <c r="A202" s="841"/>
      <c r="B202" s="839" t="s">
        <v>244</v>
      </c>
      <c r="C202" s="839"/>
      <c r="D202" s="217">
        <v>2023</v>
      </c>
      <c r="E202" s="217">
        <v>2021</v>
      </c>
      <c r="F202" s="217">
        <v>2016</v>
      </c>
      <c r="G202" s="838"/>
      <c r="I202" s="840" t="s">
        <v>24</v>
      </c>
      <c r="J202" s="839"/>
      <c r="K202" s="238">
        <f>D202</f>
        <v>2023</v>
      </c>
      <c r="L202" s="238">
        <f>E202</f>
        <v>2021</v>
      </c>
      <c r="M202" s="217">
        <v>2016</v>
      </c>
      <c r="N202" s="838"/>
      <c r="P202" s="840" t="s">
        <v>245</v>
      </c>
      <c r="Q202" s="839"/>
      <c r="R202" s="238">
        <f>K202</f>
        <v>2023</v>
      </c>
      <c r="S202" s="238">
        <f>L202</f>
        <v>2021</v>
      </c>
      <c r="T202" s="217">
        <v>2016</v>
      </c>
      <c r="U202" s="838"/>
      <c r="W202" s="215" t="s">
        <v>24</v>
      </c>
      <c r="X202" s="216">
        <v>2.2999999999999998</v>
      </c>
    </row>
    <row r="203" spans="1:24" ht="13.8" thickBot="1">
      <c r="A203" s="841"/>
      <c r="B203" s="218">
        <v>1</v>
      </c>
      <c r="C203" s="219">
        <v>15</v>
      </c>
      <c r="D203" s="219">
        <v>0.2</v>
      </c>
      <c r="E203" s="219">
        <v>9.9999999999999995E-7</v>
      </c>
      <c r="F203" s="231"/>
      <c r="G203" s="221">
        <f>0.5*(MAX(D203:F203)-MIN(D203:F203))</f>
        <v>9.9999500000000005E-2</v>
      </c>
      <c r="I203" s="218">
        <v>1</v>
      </c>
      <c r="J203" s="219">
        <v>35</v>
      </c>
      <c r="K203" s="219">
        <v>-2.2000000000000002</v>
      </c>
      <c r="L203" s="219">
        <v>-1.5</v>
      </c>
      <c r="M203" s="231"/>
      <c r="N203" s="221">
        <f>0.5*(MAX(K203:M203)-MIN(K203:M203))</f>
        <v>0.35000000000000009</v>
      </c>
      <c r="P203" s="218">
        <v>1</v>
      </c>
      <c r="Q203" s="219">
        <v>750</v>
      </c>
      <c r="R203" s="222">
        <v>4.5</v>
      </c>
      <c r="S203" s="222">
        <v>2.5</v>
      </c>
      <c r="T203" s="231"/>
      <c r="U203" s="221">
        <f>0.5*(MAX(R203:T203)-MIN(R203:T203))</f>
        <v>1</v>
      </c>
      <c r="W203" s="223" t="s">
        <v>245</v>
      </c>
      <c r="X203" s="224">
        <v>2.1</v>
      </c>
    </row>
    <row r="204" spans="1:24">
      <c r="A204" s="841"/>
      <c r="B204" s="218">
        <v>2</v>
      </c>
      <c r="C204" s="219">
        <v>20</v>
      </c>
      <c r="D204" s="219">
        <v>0.3</v>
      </c>
      <c r="E204" s="219">
        <v>0.1</v>
      </c>
      <c r="F204" s="231"/>
      <c r="G204" s="221">
        <f t="shared" ref="G204:G209" si="54">0.5*(MAX(D204:F204)-MIN(D204:F204))</f>
        <v>9.9999999999999992E-2</v>
      </c>
      <c r="I204" s="218">
        <v>2</v>
      </c>
      <c r="J204" s="219">
        <v>40</v>
      </c>
      <c r="K204" s="219">
        <v>-2.4</v>
      </c>
      <c r="L204" s="219">
        <v>-0.8</v>
      </c>
      <c r="M204" s="231"/>
      <c r="N204" s="221">
        <f t="shared" ref="N204:N209" si="55">0.5*(MAX(K204:M204)-MIN(K204:M204))</f>
        <v>0.79999999999999993</v>
      </c>
      <c r="P204" s="218">
        <v>2</v>
      </c>
      <c r="Q204" s="219">
        <v>800</v>
      </c>
      <c r="R204" s="222">
        <v>4.5</v>
      </c>
      <c r="S204" s="222">
        <v>2.5</v>
      </c>
      <c r="T204" s="231"/>
      <c r="U204" s="221">
        <f t="shared" ref="U204:U209" si="56">0.5*(MAX(R204:T204)-MIN(R204:T204))</f>
        <v>1</v>
      </c>
    </row>
    <row r="205" spans="1:24">
      <c r="A205" s="841"/>
      <c r="B205" s="218">
        <v>3</v>
      </c>
      <c r="C205" s="219">
        <v>25</v>
      </c>
      <c r="D205" s="219">
        <v>0.4</v>
      </c>
      <c r="E205" s="219">
        <v>9.9999999999999995E-7</v>
      </c>
      <c r="F205" s="231"/>
      <c r="G205" s="221">
        <f t="shared" si="54"/>
        <v>0.19999950000000002</v>
      </c>
      <c r="I205" s="218">
        <v>3</v>
      </c>
      <c r="J205" s="219">
        <v>50</v>
      </c>
      <c r="K205" s="219">
        <v>-2.7</v>
      </c>
      <c r="L205" s="219">
        <v>-0.2</v>
      </c>
      <c r="M205" s="231"/>
      <c r="N205" s="221">
        <f t="shared" si="55"/>
        <v>1.25</v>
      </c>
      <c r="P205" s="218">
        <v>3</v>
      </c>
      <c r="Q205" s="219">
        <v>850</v>
      </c>
      <c r="R205" s="222">
        <v>4.4000000000000004</v>
      </c>
      <c r="S205" s="222">
        <v>2.4</v>
      </c>
      <c r="T205" s="231"/>
      <c r="U205" s="221">
        <f t="shared" si="56"/>
        <v>1.0000000000000002</v>
      </c>
    </row>
    <row r="206" spans="1:24">
      <c r="A206" s="841"/>
      <c r="B206" s="218">
        <v>4</v>
      </c>
      <c r="C206" s="225">
        <v>30</v>
      </c>
      <c r="D206" s="225">
        <v>0.5</v>
      </c>
      <c r="E206" s="225">
        <v>-0.1</v>
      </c>
      <c r="F206" s="231"/>
      <c r="G206" s="221">
        <f t="shared" si="54"/>
        <v>0.3</v>
      </c>
      <c r="I206" s="218">
        <v>4</v>
      </c>
      <c r="J206" s="225">
        <v>60</v>
      </c>
      <c r="K206" s="225">
        <v>-2.7</v>
      </c>
      <c r="L206" s="225">
        <v>0.4</v>
      </c>
      <c r="M206" s="231"/>
      <c r="N206" s="221">
        <f t="shared" si="55"/>
        <v>1.55</v>
      </c>
      <c r="P206" s="218">
        <v>4</v>
      </c>
      <c r="Q206" s="225">
        <v>900</v>
      </c>
      <c r="R206" s="226">
        <v>4.4000000000000004</v>
      </c>
      <c r="S206" s="226">
        <v>2.2999999999999998</v>
      </c>
      <c r="T206" s="231"/>
      <c r="U206" s="221">
        <f t="shared" si="56"/>
        <v>1.0500000000000003</v>
      </c>
    </row>
    <row r="207" spans="1:24">
      <c r="A207" s="841"/>
      <c r="B207" s="218">
        <v>5</v>
      </c>
      <c r="C207" s="225">
        <v>35</v>
      </c>
      <c r="D207" s="225">
        <v>0.5</v>
      </c>
      <c r="E207" s="225">
        <v>-0.1</v>
      </c>
      <c r="F207" s="231"/>
      <c r="G207" s="221">
        <f t="shared" si="54"/>
        <v>0.3</v>
      </c>
      <c r="I207" s="218">
        <v>5</v>
      </c>
      <c r="J207" s="225">
        <v>70</v>
      </c>
      <c r="K207" s="225">
        <v>-2.6</v>
      </c>
      <c r="L207" s="225">
        <v>-0.7</v>
      </c>
      <c r="M207" s="231"/>
      <c r="N207" s="221">
        <f t="shared" si="55"/>
        <v>0.95000000000000007</v>
      </c>
      <c r="P207" s="218">
        <v>5</v>
      </c>
      <c r="Q207" s="225">
        <v>950</v>
      </c>
      <c r="R207" s="226">
        <v>4.4000000000000004</v>
      </c>
      <c r="S207" s="226">
        <v>2.4</v>
      </c>
      <c r="T207" s="231"/>
      <c r="U207" s="221">
        <f t="shared" si="56"/>
        <v>1.0000000000000002</v>
      </c>
    </row>
    <row r="208" spans="1:24">
      <c r="A208" s="841"/>
      <c r="B208" s="218">
        <v>6</v>
      </c>
      <c r="C208" s="225">
        <v>37</v>
      </c>
      <c r="D208" s="225">
        <v>0.5</v>
      </c>
      <c r="E208" s="225">
        <v>9.9999999999999995E-7</v>
      </c>
      <c r="F208" s="231"/>
      <c r="G208" s="221">
        <f t="shared" si="54"/>
        <v>0.24999950000000001</v>
      </c>
      <c r="I208" s="218">
        <v>6</v>
      </c>
      <c r="J208" s="225">
        <v>80</v>
      </c>
      <c r="K208" s="225">
        <v>-2.2000000000000002</v>
      </c>
      <c r="L208" s="225">
        <v>-0.9</v>
      </c>
      <c r="M208" s="231"/>
      <c r="N208" s="221">
        <f t="shared" si="55"/>
        <v>0.65000000000000013</v>
      </c>
      <c r="P208" s="218">
        <v>6</v>
      </c>
      <c r="Q208" s="225">
        <v>1000</v>
      </c>
      <c r="R208" s="226">
        <v>4.3</v>
      </c>
      <c r="S208" s="226">
        <v>2.2000000000000002</v>
      </c>
      <c r="T208" s="231"/>
      <c r="U208" s="221">
        <f t="shared" si="56"/>
        <v>1.0499999999999998</v>
      </c>
    </row>
    <row r="209" spans="1:31">
      <c r="A209" s="841"/>
      <c r="B209" s="218">
        <v>7</v>
      </c>
      <c r="C209" s="239">
        <v>40</v>
      </c>
      <c r="D209" s="225">
        <v>0.6</v>
      </c>
      <c r="E209" s="225">
        <v>0.2</v>
      </c>
      <c r="F209" s="231"/>
      <c r="G209" s="221">
        <f t="shared" si="54"/>
        <v>0.19999999999999998</v>
      </c>
      <c r="I209" s="218">
        <v>7</v>
      </c>
      <c r="J209" s="239">
        <v>90</v>
      </c>
      <c r="K209" s="225">
        <v>-1.7</v>
      </c>
      <c r="L209" s="225">
        <v>-0.6</v>
      </c>
      <c r="M209" s="231"/>
      <c r="N209" s="221">
        <f t="shared" si="55"/>
        <v>0.55000000000000004</v>
      </c>
      <c r="P209" s="218">
        <v>7</v>
      </c>
      <c r="Q209" s="225">
        <v>1050</v>
      </c>
      <c r="R209" s="226">
        <v>0</v>
      </c>
      <c r="S209" s="226">
        <v>2.2999999999999998</v>
      </c>
      <c r="T209" s="231"/>
      <c r="U209" s="221">
        <f t="shared" si="56"/>
        <v>1.1499999999999999</v>
      </c>
    </row>
    <row r="210" spans="1:31" ht="13.8" thickBot="1">
      <c r="A210" s="241"/>
      <c r="C210" s="242"/>
      <c r="D210" s="232"/>
      <c r="E210" s="243"/>
      <c r="F210" s="242"/>
      <c r="J210" s="242"/>
      <c r="K210" s="232"/>
      <c r="L210" s="243"/>
      <c r="M210" s="242"/>
      <c r="Q210" s="232"/>
      <c r="R210" s="243"/>
      <c r="S210" s="243"/>
      <c r="T210" s="242"/>
    </row>
    <row r="211" spans="1:31">
      <c r="A211" s="851">
        <v>20</v>
      </c>
      <c r="B211" s="855">
        <v>20</v>
      </c>
      <c r="C211" s="855"/>
      <c r="D211" s="855"/>
      <c r="E211" s="855"/>
      <c r="F211" s="855"/>
      <c r="G211" s="855"/>
      <c r="H211" s="127"/>
      <c r="I211" s="855">
        <f>B211</f>
        <v>20</v>
      </c>
      <c r="J211" s="855"/>
      <c r="K211" s="855"/>
      <c r="L211" s="855"/>
      <c r="M211" s="855"/>
      <c r="N211" s="855"/>
      <c r="O211" s="127"/>
      <c r="P211" s="855">
        <f>I211</f>
        <v>20</v>
      </c>
      <c r="Q211" s="855"/>
      <c r="R211" s="855"/>
      <c r="S211" s="855"/>
      <c r="T211" s="855"/>
      <c r="U211" s="855"/>
      <c r="W211" s="836" t="s">
        <v>208</v>
      </c>
      <c r="X211" s="837"/>
    </row>
    <row r="212" spans="1:31">
      <c r="A212" s="851"/>
      <c r="B212" s="838" t="s">
        <v>7</v>
      </c>
      <c r="C212" s="838"/>
      <c r="D212" s="838" t="s">
        <v>241</v>
      </c>
      <c r="E212" s="838"/>
      <c r="F212" s="838"/>
      <c r="G212" s="838" t="s">
        <v>242</v>
      </c>
      <c r="I212" s="838" t="s">
        <v>204</v>
      </c>
      <c r="J212" s="838"/>
      <c r="K212" s="838" t="s">
        <v>241</v>
      </c>
      <c r="L212" s="838"/>
      <c r="M212" s="838"/>
      <c r="N212" s="838" t="s">
        <v>242</v>
      </c>
      <c r="P212" s="838" t="s">
        <v>243</v>
      </c>
      <c r="Q212" s="838"/>
      <c r="R212" s="838" t="s">
        <v>241</v>
      </c>
      <c r="S212" s="838"/>
      <c r="T212" s="838"/>
      <c r="U212" s="838" t="s">
        <v>242</v>
      </c>
      <c r="W212" s="215" t="s">
        <v>7</v>
      </c>
      <c r="X212" s="216">
        <v>0</v>
      </c>
    </row>
    <row r="213" spans="1:31" ht="14.4">
      <c r="A213" s="851"/>
      <c r="B213" s="839" t="s">
        <v>244</v>
      </c>
      <c r="C213" s="839"/>
      <c r="D213" s="217">
        <v>2017</v>
      </c>
      <c r="E213" s="237" t="s">
        <v>93</v>
      </c>
      <c r="F213" s="217">
        <v>2016</v>
      </c>
      <c r="G213" s="838"/>
      <c r="I213" s="840" t="s">
        <v>24</v>
      </c>
      <c r="J213" s="839"/>
      <c r="K213" s="238">
        <f>D213</f>
        <v>2017</v>
      </c>
      <c r="L213" s="238" t="str">
        <f>E213</f>
        <v>-</v>
      </c>
      <c r="M213" s="217">
        <v>2016</v>
      </c>
      <c r="N213" s="838"/>
      <c r="P213" s="840" t="s">
        <v>245</v>
      </c>
      <c r="Q213" s="839"/>
      <c r="R213" s="238">
        <f>K213</f>
        <v>2017</v>
      </c>
      <c r="S213" s="238" t="str">
        <f>L213</f>
        <v>-</v>
      </c>
      <c r="T213" s="217">
        <v>2016</v>
      </c>
      <c r="U213" s="838"/>
      <c r="W213" s="215" t="s">
        <v>24</v>
      </c>
      <c r="X213" s="216">
        <v>0</v>
      </c>
    </row>
    <row r="214" spans="1:31" ht="13.8" thickBot="1">
      <c r="A214" s="851"/>
      <c r="B214" s="218">
        <v>1</v>
      </c>
      <c r="C214" s="219">
        <v>14.8</v>
      </c>
      <c r="D214" s="219">
        <v>9.9999999999999995E-7</v>
      </c>
      <c r="E214" s="220" t="s">
        <v>93</v>
      </c>
      <c r="F214" s="219">
        <v>9.9999999999999995E-7</v>
      </c>
      <c r="G214" s="221">
        <f>0.5*(MAX(D214:F214)-MIN(D214:F214))</f>
        <v>0</v>
      </c>
      <c r="I214" s="218">
        <v>1</v>
      </c>
      <c r="J214" s="219">
        <v>45.7</v>
      </c>
      <c r="K214" s="219">
        <v>9.9999999999999995E-7</v>
      </c>
      <c r="L214" s="220" t="s">
        <v>93</v>
      </c>
      <c r="M214" s="231"/>
      <c r="N214" s="221">
        <f>0.5*(MAX(K214:M214)-MIN(K214:M214))</f>
        <v>0</v>
      </c>
      <c r="P214" s="218">
        <v>1</v>
      </c>
      <c r="Q214" s="219">
        <v>750</v>
      </c>
      <c r="R214" s="222">
        <v>9.9999999999999995E-7</v>
      </c>
      <c r="S214" s="220" t="s">
        <v>93</v>
      </c>
      <c r="T214" s="219">
        <v>9.9999999999999995E-7</v>
      </c>
      <c r="U214" s="221">
        <f>0.5*(MAX(R214:T214)-MIN(R214:T214))</f>
        <v>0</v>
      </c>
      <c r="W214" s="223" t="s">
        <v>245</v>
      </c>
      <c r="X214" s="224">
        <v>0</v>
      </c>
    </row>
    <row r="215" spans="1:31">
      <c r="A215" s="851"/>
      <c r="B215" s="218">
        <v>2</v>
      </c>
      <c r="C215" s="219">
        <v>19.7</v>
      </c>
      <c r="D215" s="219">
        <v>9.9999999999999995E-7</v>
      </c>
      <c r="E215" s="220" t="s">
        <v>93</v>
      </c>
      <c r="F215" s="219">
        <v>9.9999999999999995E-7</v>
      </c>
      <c r="G215" s="221">
        <f t="shared" ref="G215:G220" si="57">0.5*(MAX(D215:F215)-MIN(D215:F215))</f>
        <v>0</v>
      </c>
      <c r="I215" s="218">
        <v>2</v>
      </c>
      <c r="J215" s="219">
        <v>54.3</v>
      </c>
      <c r="K215" s="219">
        <v>9.9999999999999995E-7</v>
      </c>
      <c r="L215" s="220" t="s">
        <v>93</v>
      </c>
      <c r="M215" s="231"/>
      <c r="N215" s="221">
        <f t="shared" ref="N215:N220" si="58">0.5*(MAX(K215:M215)-MIN(K215:M215))</f>
        <v>0</v>
      </c>
      <c r="P215" s="218">
        <v>2</v>
      </c>
      <c r="Q215" s="219">
        <v>800</v>
      </c>
      <c r="R215" s="222">
        <v>9.9999999999999995E-7</v>
      </c>
      <c r="S215" s="220" t="s">
        <v>93</v>
      </c>
      <c r="T215" s="219">
        <v>9.9999999999999995E-7</v>
      </c>
      <c r="U215" s="221">
        <f t="shared" ref="U215:U220" si="59">0.5*(MAX(R215:T215)-MIN(R215:T215))</f>
        <v>0</v>
      </c>
    </row>
    <row r="216" spans="1:31">
      <c r="A216" s="851"/>
      <c r="B216" s="218">
        <v>3</v>
      </c>
      <c r="C216" s="219">
        <v>24.6</v>
      </c>
      <c r="D216" s="219">
        <v>9.9999999999999995E-7</v>
      </c>
      <c r="E216" s="220" t="s">
        <v>93</v>
      </c>
      <c r="F216" s="219">
        <v>9.9999999999999995E-7</v>
      </c>
      <c r="G216" s="221">
        <f t="shared" si="57"/>
        <v>0</v>
      </c>
      <c r="I216" s="218">
        <v>3</v>
      </c>
      <c r="J216" s="219">
        <v>62.5</v>
      </c>
      <c r="K216" s="219">
        <v>9.9999999999999995E-7</v>
      </c>
      <c r="L216" s="220" t="s">
        <v>93</v>
      </c>
      <c r="M216" s="231"/>
      <c r="N216" s="221">
        <f t="shared" si="58"/>
        <v>0</v>
      </c>
      <c r="P216" s="218">
        <v>3</v>
      </c>
      <c r="Q216" s="219">
        <v>850</v>
      </c>
      <c r="R216" s="222">
        <v>9.9999999999999995E-7</v>
      </c>
      <c r="S216" s="220" t="s">
        <v>93</v>
      </c>
      <c r="T216" s="219">
        <v>9.9999999999999995E-7</v>
      </c>
      <c r="U216" s="221">
        <f t="shared" si="59"/>
        <v>0</v>
      </c>
    </row>
    <row r="217" spans="1:31">
      <c r="A217" s="851"/>
      <c r="B217" s="218">
        <v>4</v>
      </c>
      <c r="C217" s="225">
        <v>29.5</v>
      </c>
      <c r="D217" s="219">
        <v>9.9999999999999995E-7</v>
      </c>
      <c r="E217" s="226" t="s">
        <v>93</v>
      </c>
      <c r="F217" s="219">
        <v>9.9999999999999995E-7</v>
      </c>
      <c r="G217" s="221">
        <f t="shared" si="57"/>
        <v>0</v>
      </c>
      <c r="I217" s="218">
        <v>4</v>
      </c>
      <c r="J217" s="225">
        <v>71.5</v>
      </c>
      <c r="K217" s="219">
        <v>9.9999999999999995E-7</v>
      </c>
      <c r="L217" s="226" t="s">
        <v>93</v>
      </c>
      <c r="M217" s="231"/>
      <c r="N217" s="221">
        <f t="shared" si="58"/>
        <v>0</v>
      </c>
      <c r="P217" s="218">
        <v>4</v>
      </c>
      <c r="Q217" s="225">
        <v>900</v>
      </c>
      <c r="R217" s="222">
        <v>9.9999999999999995E-7</v>
      </c>
      <c r="S217" s="226" t="s">
        <v>93</v>
      </c>
      <c r="T217" s="219">
        <v>9.9999999999999995E-7</v>
      </c>
      <c r="U217" s="221">
        <f t="shared" si="59"/>
        <v>0</v>
      </c>
    </row>
    <row r="218" spans="1:31">
      <c r="A218" s="851"/>
      <c r="B218" s="218">
        <v>5</v>
      </c>
      <c r="C218" s="225">
        <v>34.5</v>
      </c>
      <c r="D218" s="219">
        <v>9.9999999999999995E-7</v>
      </c>
      <c r="E218" s="226" t="s">
        <v>93</v>
      </c>
      <c r="F218" s="219">
        <v>9.9999999999999995E-7</v>
      </c>
      <c r="G218" s="221">
        <f t="shared" si="57"/>
        <v>0</v>
      </c>
      <c r="I218" s="218">
        <v>5</v>
      </c>
      <c r="J218" s="225">
        <v>80.8</v>
      </c>
      <c r="K218" s="219">
        <v>9.9999999999999995E-7</v>
      </c>
      <c r="L218" s="226" t="s">
        <v>93</v>
      </c>
      <c r="M218" s="231"/>
      <c r="N218" s="221">
        <f t="shared" si="58"/>
        <v>0</v>
      </c>
      <c r="P218" s="218">
        <v>5</v>
      </c>
      <c r="Q218" s="225">
        <v>1000</v>
      </c>
      <c r="R218" s="222">
        <v>9.9999999999999995E-7</v>
      </c>
      <c r="S218" s="226" t="s">
        <v>93</v>
      </c>
      <c r="T218" s="219">
        <v>9.9999999999999995E-7</v>
      </c>
      <c r="U218" s="221">
        <f t="shared" si="59"/>
        <v>0</v>
      </c>
    </row>
    <row r="219" spans="1:31">
      <c r="A219" s="851"/>
      <c r="B219" s="218">
        <v>6</v>
      </c>
      <c r="C219" s="225">
        <v>39.5</v>
      </c>
      <c r="D219" s="219">
        <v>9.9999999999999995E-7</v>
      </c>
      <c r="E219" s="226" t="s">
        <v>93</v>
      </c>
      <c r="F219" s="219">
        <v>9.9999999999999995E-7</v>
      </c>
      <c r="G219" s="221">
        <f t="shared" si="57"/>
        <v>0</v>
      </c>
      <c r="I219" s="218">
        <v>6</v>
      </c>
      <c r="J219" s="225">
        <v>88.7</v>
      </c>
      <c r="K219" s="219">
        <v>9.9999999999999995E-7</v>
      </c>
      <c r="L219" s="226" t="s">
        <v>93</v>
      </c>
      <c r="M219" s="231"/>
      <c r="N219" s="221">
        <f t="shared" si="58"/>
        <v>0</v>
      </c>
      <c r="P219" s="218">
        <v>6</v>
      </c>
      <c r="Q219" s="225">
        <v>1005</v>
      </c>
      <c r="R219" s="222">
        <v>9.9999999999999995E-7</v>
      </c>
      <c r="S219" s="226" t="s">
        <v>93</v>
      </c>
      <c r="T219" s="219">
        <v>9.9999999999999995E-7</v>
      </c>
      <c r="U219" s="221">
        <f t="shared" si="59"/>
        <v>0</v>
      </c>
    </row>
    <row r="220" spans="1:31">
      <c r="A220" s="851"/>
      <c r="B220" s="218">
        <v>7</v>
      </c>
      <c r="C220" s="239">
        <v>40</v>
      </c>
      <c r="D220" s="219">
        <v>9.9999999999999995E-7</v>
      </c>
      <c r="E220" s="226" t="s">
        <v>93</v>
      </c>
      <c r="F220" s="219">
        <v>9.9999999999999995E-7</v>
      </c>
      <c r="G220" s="221">
        <f t="shared" si="57"/>
        <v>0</v>
      </c>
      <c r="I220" s="218">
        <v>7</v>
      </c>
      <c r="J220" s="239">
        <v>90</v>
      </c>
      <c r="K220" s="219">
        <v>9.9999999999999995E-7</v>
      </c>
      <c r="L220" s="226" t="s">
        <v>93</v>
      </c>
      <c r="M220" s="231"/>
      <c r="N220" s="221">
        <f t="shared" si="58"/>
        <v>0</v>
      </c>
      <c r="P220" s="218">
        <v>7</v>
      </c>
      <c r="Q220" s="225">
        <v>1020</v>
      </c>
      <c r="R220" s="222">
        <v>9.9999999999999995E-7</v>
      </c>
      <c r="S220" s="226" t="s">
        <v>93</v>
      </c>
      <c r="T220" s="219">
        <v>9.9999999999999995E-7</v>
      </c>
      <c r="U220" s="221">
        <f t="shared" si="59"/>
        <v>0</v>
      </c>
    </row>
    <row r="221" spans="1:31" ht="13.8" thickBot="1">
      <c r="A221" s="244"/>
      <c r="B221" s="871"/>
      <c r="C221" s="871"/>
      <c r="D221" s="871"/>
      <c r="E221" s="871"/>
      <c r="F221" s="871"/>
      <c r="G221" s="871"/>
      <c r="H221" s="871"/>
      <c r="I221" s="871"/>
      <c r="J221" s="871"/>
      <c r="K221" s="871"/>
      <c r="L221" s="871"/>
      <c r="M221" s="871"/>
      <c r="N221" s="871"/>
      <c r="O221" s="871"/>
      <c r="P221" s="871"/>
      <c r="Q221" s="871"/>
      <c r="R221" s="871"/>
      <c r="S221" s="871"/>
      <c r="T221" s="871"/>
      <c r="U221" s="871"/>
    </row>
    <row r="222" spans="1:31" hidden="1">
      <c r="A222" s="230"/>
      <c r="B222" s="230"/>
      <c r="C222" s="230"/>
      <c r="D222" s="230"/>
      <c r="E222" s="230"/>
      <c r="F222" s="230"/>
      <c r="G222" s="230"/>
      <c r="H222" s="230"/>
      <c r="I222" s="230"/>
      <c r="J222" s="230"/>
      <c r="K222" s="230"/>
      <c r="L222" s="230"/>
      <c r="M222" s="230"/>
      <c r="N222" s="230"/>
      <c r="O222" s="230"/>
      <c r="P222" s="230"/>
    </row>
    <row r="223" spans="1:31" ht="12.75" hidden="1" customHeight="1">
      <c r="A223" s="856" t="s">
        <v>34</v>
      </c>
      <c r="B223" s="857" t="s">
        <v>264</v>
      </c>
      <c r="C223" s="842" t="s">
        <v>265</v>
      </c>
      <c r="D223" s="842"/>
      <c r="E223" s="842"/>
      <c r="F223" s="842"/>
      <c r="G223" s="245"/>
      <c r="I223" s="856" t="s">
        <v>34</v>
      </c>
      <c r="J223" s="857" t="s">
        <v>264</v>
      </c>
      <c r="K223" s="842" t="s">
        <v>265</v>
      </c>
      <c r="L223" s="842"/>
      <c r="M223" s="842"/>
      <c r="N223" s="842"/>
      <c r="O223" s="246"/>
      <c r="Q223" s="858" t="s">
        <v>34</v>
      </c>
      <c r="R223" s="859" t="s">
        <v>264</v>
      </c>
      <c r="S223" s="860" t="s">
        <v>265</v>
      </c>
      <c r="T223" s="860"/>
      <c r="U223" s="860"/>
      <c r="V223" s="861"/>
      <c r="Y223" s="862" t="s">
        <v>208</v>
      </c>
      <c r="Z223" s="863"/>
      <c r="AE223" s="247"/>
    </row>
    <row r="224" spans="1:31" ht="13.8" hidden="1">
      <c r="A224" s="856"/>
      <c r="B224" s="857"/>
      <c r="C224" s="248" t="s">
        <v>7</v>
      </c>
      <c r="D224" s="864" t="s">
        <v>241</v>
      </c>
      <c r="E224" s="864"/>
      <c r="F224" s="864"/>
      <c r="G224" s="864" t="s">
        <v>242</v>
      </c>
      <c r="I224" s="856"/>
      <c r="J224" s="857"/>
      <c r="K224" s="248" t="s">
        <v>204</v>
      </c>
      <c r="L224" s="864" t="s">
        <v>241</v>
      </c>
      <c r="M224" s="864"/>
      <c r="N224" s="864"/>
      <c r="O224" s="864" t="s">
        <v>242</v>
      </c>
      <c r="Q224" s="856"/>
      <c r="R224" s="857"/>
      <c r="S224" s="248" t="s">
        <v>243</v>
      </c>
      <c r="T224" s="865" t="s">
        <v>241</v>
      </c>
      <c r="U224" s="866"/>
      <c r="V224" s="867"/>
      <c r="W224" s="868" t="s">
        <v>242</v>
      </c>
      <c r="Y224" s="869" t="s">
        <v>7</v>
      </c>
      <c r="Z224" s="870"/>
      <c r="AE224" s="230"/>
    </row>
    <row r="225" spans="1:38" ht="14.4" hidden="1">
      <c r="A225" s="856"/>
      <c r="B225" s="857"/>
      <c r="C225" s="249" t="s">
        <v>266</v>
      </c>
      <c r="D225" s="248"/>
      <c r="E225" s="248"/>
      <c r="F225" s="246"/>
      <c r="G225" s="864"/>
      <c r="I225" s="856"/>
      <c r="J225" s="857"/>
      <c r="K225" s="249" t="s">
        <v>24</v>
      </c>
      <c r="L225" s="248"/>
      <c r="M225" s="248"/>
      <c r="N225" s="246"/>
      <c r="O225" s="864"/>
      <c r="Q225" s="856"/>
      <c r="R225" s="857"/>
      <c r="S225" s="249" t="s">
        <v>245</v>
      </c>
      <c r="T225" s="248"/>
      <c r="U225" s="248"/>
      <c r="W225" s="868"/>
      <c r="Y225" s="250">
        <v>1</v>
      </c>
      <c r="Z225" s="251">
        <f>X3</f>
        <v>0.5</v>
      </c>
      <c r="AE225" s="230"/>
    </row>
    <row r="226" spans="1:38" hidden="1">
      <c r="A226" s="872">
        <v>1</v>
      </c>
      <c r="B226" s="252">
        <v>1</v>
      </c>
      <c r="C226" s="252">
        <f>C5</f>
        <v>15</v>
      </c>
      <c r="D226" s="252">
        <f t="shared" ref="D226:F226" si="60">D5</f>
        <v>0.3</v>
      </c>
      <c r="E226" s="252">
        <f t="shared" si="60"/>
        <v>0.1</v>
      </c>
      <c r="F226" s="252">
        <f t="shared" si="60"/>
        <v>-0.5</v>
      </c>
      <c r="G226" s="252">
        <f>G5</f>
        <v>0.4</v>
      </c>
      <c r="I226" s="872">
        <v>1</v>
      </c>
      <c r="J226" s="252">
        <v>1</v>
      </c>
      <c r="K226" s="252">
        <f>J5</f>
        <v>30</v>
      </c>
      <c r="L226" s="252">
        <f>K5</f>
        <v>0</v>
      </c>
      <c r="M226" s="252">
        <f>L5</f>
        <v>-14.4</v>
      </c>
      <c r="N226" s="252">
        <f>M5</f>
        <v>-6</v>
      </c>
      <c r="O226" s="252">
        <f>N5</f>
        <v>4.2</v>
      </c>
      <c r="Q226" s="875">
        <v>1</v>
      </c>
      <c r="R226" s="252">
        <v>1</v>
      </c>
      <c r="S226" s="252">
        <f>Q5</f>
        <v>750</v>
      </c>
      <c r="T226" s="252" t="str">
        <f>R5</f>
        <v>-</v>
      </c>
      <c r="U226" s="252" t="str">
        <f>S5</f>
        <v>-</v>
      </c>
      <c r="V226" s="252">
        <f>T5</f>
        <v>9.9999999999999995E-7</v>
      </c>
      <c r="W226" s="253">
        <f>U5</f>
        <v>0</v>
      </c>
      <c r="Y226" s="254">
        <v>2</v>
      </c>
      <c r="Z226" s="251">
        <f>X14</f>
        <v>0.5</v>
      </c>
      <c r="AE226" s="230"/>
    </row>
    <row r="227" spans="1:38" hidden="1">
      <c r="A227" s="872"/>
      <c r="B227" s="252">
        <v>2</v>
      </c>
      <c r="C227" s="252">
        <f>C16</f>
        <v>15</v>
      </c>
      <c r="D227" s="252">
        <f t="shared" ref="D227:F227" si="61">D16</f>
        <v>0.2</v>
      </c>
      <c r="E227" s="252">
        <f t="shared" si="61"/>
        <v>0.4</v>
      </c>
      <c r="F227" s="252">
        <f t="shared" si="61"/>
        <v>9.9999999999999995E-7</v>
      </c>
      <c r="G227" s="252">
        <f>G16</f>
        <v>0.19999950000000002</v>
      </c>
      <c r="I227" s="872"/>
      <c r="J227" s="252">
        <v>2</v>
      </c>
      <c r="K227" s="252">
        <f>J16</f>
        <v>35</v>
      </c>
      <c r="L227" s="252">
        <f>K16</f>
        <v>-12.6</v>
      </c>
      <c r="M227" s="252">
        <f>L16</f>
        <v>-6.9</v>
      </c>
      <c r="N227" s="252">
        <f>M16</f>
        <v>-1.6</v>
      </c>
      <c r="O227" s="252">
        <f>N16</f>
        <v>5.5</v>
      </c>
      <c r="Q227" s="876"/>
      <c r="R227" s="252">
        <v>2</v>
      </c>
      <c r="S227" s="252">
        <f>Q16</f>
        <v>750</v>
      </c>
      <c r="T227" s="252" t="str">
        <f>R16</f>
        <v>-</v>
      </c>
      <c r="U227" s="252" t="str">
        <f>S16</f>
        <v>-</v>
      </c>
      <c r="V227" s="252" t="str">
        <f>T16</f>
        <v>-</v>
      </c>
      <c r="W227" s="253">
        <f>U16</f>
        <v>0</v>
      </c>
      <c r="Y227" s="254">
        <v>3</v>
      </c>
      <c r="Z227" s="255">
        <f>X25</f>
        <v>0.5</v>
      </c>
      <c r="AE227" s="230"/>
    </row>
    <row r="228" spans="1:38" hidden="1">
      <c r="A228" s="872"/>
      <c r="B228" s="252">
        <v>3</v>
      </c>
      <c r="C228" s="252">
        <f>C27</f>
        <v>15</v>
      </c>
      <c r="D228" s="252">
        <f t="shared" ref="D228:F228" si="62">D27</f>
        <v>0.2</v>
      </c>
      <c r="E228" s="252">
        <f t="shared" si="62"/>
        <v>0.4</v>
      </c>
      <c r="F228" s="252">
        <f t="shared" si="62"/>
        <v>9.9999999999999995E-7</v>
      </c>
      <c r="G228" s="252">
        <f>G27</f>
        <v>0.19999950000000002</v>
      </c>
      <c r="I228" s="872"/>
      <c r="J228" s="252">
        <v>3</v>
      </c>
      <c r="K228" s="252">
        <f>J27</f>
        <v>35</v>
      </c>
      <c r="L228" s="252">
        <f>K27</f>
        <v>-11.5</v>
      </c>
      <c r="M228" s="252">
        <f>L27</f>
        <v>-7.3</v>
      </c>
      <c r="N228" s="252">
        <f>M27</f>
        <v>-5.7</v>
      </c>
      <c r="O228" s="252">
        <f>N27</f>
        <v>2.9</v>
      </c>
      <c r="Q228" s="876"/>
      <c r="R228" s="252">
        <v>3</v>
      </c>
      <c r="S228" s="252">
        <f>Q27</f>
        <v>750</v>
      </c>
      <c r="T228" s="252" t="str">
        <f>R27</f>
        <v>-</v>
      </c>
      <c r="U228" s="252" t="str">
        <f>S27</f>
        <v>-</v>
      </c>
      <c r="V228" s="252" t="str">
        <f>T27</f>
        <v>-</v>
      </c>
      <c r="W228" s="253">
        <f>U27</f>
        <v>0</v>
      </c>
      <c r="Y228" s="254">
        <v>4</v>
      </c>
      <c r="Z228" s="255">
        <f>X36</f>
        <v>0.3</v>
      </c>
      <c r="AE228" s="230"/>
    </row>
    <row r="229" spans="1:38" hidden="1">
      <c r="A229" s="872"/>
      <c r="B229" s="252">
        <v>4</v>
      </c>
      <c r="C229" s="256">
        <f>C38</f>
        <v>15</v>
      </c>
      <c r="D229" s="256">
        <f t="shared" ref="D229:F229" si="63">D38</f>
        <v>-0.2</v>
      </c>
      <c r="E229" s="256">
        <f t="shared" si="63"/>
        <v>-0.1</v>
      </c>
      <c r="F229" s="256">
        <f t="shared" si="63"/>
        <v>0</v>
      </c>
      <c r="G229" s="256">
        <f>G38</f>
        <v>0.05</v>
      </c>
      <c r="I229" s="872"/>
      <c r="J229" s="252">
        <v>4</v>
      </c>
      <c r="K229" s="256">
        <f>J38</f>
        <v>35</v>
      </c>
      <c r="L229" s="256">
        <f>K38</f>
        <v>-4.5</v>
      </c>
      <c r="M229" s="256">
        <f>L38</f>
        <v>-1.7</v>
      </c>
      <c r="N229" s="256">
        <f>M38</f>
        <v>0</v>
      </c>
      <c r="O229" s="256">
        <f>N38</f>
        <v>1.4</v>
      </c>
      <c r="Q229" s="876"/>
      <c r="R229" s="252">
        <v>4</v>
      </c>
      <c r="S229" s="256">
        <f>Q38</f>
        <v>750</v>
      </c>
      <c r="T229" s="256" t="str">
        <f>R38</f>
        <v>-</v>
      </c>
      <c r="U229" s="256" t="str">
        <f>S38</f>
        <v>-</v>
      </c>
      <c r="V229" s="256">
        <f>T38</f>
        <v>9.9999999999999995E-7</v>
      </c>
      <c r="W229" s="257">
        <f>U38</f>
        <v>0</v>
      </c>
      <c r="Y229" s="254">
        <v>5</v>
      </c>
      <c r="Z229" s="255">
        <f>X47</f>
        <v>0.3</v>
      </c>
      <c r="AE229" s="230"/>
    </row>
    <row r="230" spans="1:38" hidden="1">
      <c r="A230" s="872"/>
      <c r="B230" s="252">
        <v>5</v>
      </c>
      <c r="C230" s="256">
        <f>C49</f>
        <v>15</v>
      </c>
      <c r="D230" s="256">
        <f t="shared" ref="D230:F230" si="64">D49</f>
        <v>0.3</v>
      </c>
      <c r="E230" s="256">
        <f t="shared" si="64"/>
        <v>-0.1</v>
      </c>
      <c r="F230" s="256">
        <f t="shared" si="64"/>
        <v>-0.3</v>
      </c>
      <c r="G230" s="256">
        <f>G49</f>
        <v>0.3</v>
      </c>
      <c r="I230" s="872"/>
      <c r="J230" s="252">
        <v>5</v>
      </c>
      <c r="K230" s="256">
        <f>J49</f>
        <v>35</v>
      </c>
      <c r="L230" s="256">
        <f>K49</f>
        <v>-10.5</v>
      </c>
      <c r="M230" s="256">
        <f>L49</f>
        <v>-9.6999999999999993</v>
      </c>
      <c r="N230" s="256">
        <f>M49</f>
        <v>-7.7</v>
      </c>
      <c r="O230" s="256">
        <f>N49</f>
        <v>1.4</v>
      </c>
      <c r="Q230" s="876"/>
      <c r="R230" s="252">
        <v>5</v>
      </c>
      <c r="S230" s="256">
        <f>Q49</f>
        <v>750</v>
      </c>
      <c r="T230" s="256" t="str">
        <f>R49</f>
        <v>-</v>
      </c>
      <c r="U230" s="256" t="str">
        <f>S49</f>
        <v>-</v>
      </c>
      <c r="V230" s="256" t="str">
        <f>T49</f>
        <v>-</v>
      </c>
      <c r="W230" s="257">
        <f>U49</f>
        <v>0</v>
      </c>
      <c r="Y230" s="250">
        <v>6</v>
      </c>
      <c r="Z230" s="251">
        <f>X58</f>
        <v>0.8</v>
      </c>
      <c r="AE230" s="230"/>
    </row>
    <row r="231" spans="1:38" hidden="1">
      <c r="A231" s="872"/>
      <c r="B231" s="252">
        <v>6</v>
      </c>
      <c r="C231" s="256">
        <f>C60</f>
        <v>15</v>
      </c>
      <c r="D231" s="256">
        <f t="shared" ref="D231:F231" si="65">D60</f>
        <v>0.4</v>
      </c>
      <c r="E231" s="256">
        <f t="shared" si="65"/>
        <v>0.4</v>
      </c>
      <c r="F231" s="256">
        <f t="shared" si="65"/>
        <v>0</v>
      </c>
      <c r="G231" s="256">
        <f>G60</f>
        <v>0</v>
      </c>
      <c r="I231" s="872"/>
      <c r="J231" s="252">
        <v>6</v>
      </c>
      <c r="K231" s="256">
        <f>J60</f>
        <v>30</v>
      </c>
      <c r="L231" s="256">
        <f>K60</f>
        <v>-1.5</v>
      </c>
      <c r="M231" s="256">
        <f>L60</f>
        <v>1.7</v>
      </c>
      <c r="N231" s="256">
        <f>M60</f>
        <v>0</v>
      </c>
      <c r="O231" s="256">
        <f>N60</f>
        <v>1.6</v>
      </c>
      <c r="Q231" s="876"/>
      <c r="R231" s="252">
        <v>6</v>
      </c>
      <c r="S231" s="256">
        <f>Q60</f>
        <v>750</v>
      </c>
      <c r="T231" s="256">
        <f>R60</f>
        <v>0.9</v>
      </c>
      <c r="U231" s="256">
        <f>S60</f>
        <v>2.1</v>
      </c>
      <c r="V231" s="256">
        <f>T60</f>
        <v>9.9999999999999995E-7</v>
      </c>
      <c r="W231" s="257">
        <f>U60</f>
        <v>1.0499995</v>
      </c>
      <c r="Y231" s="250">
        <v>7</v>
      </c>
      <c r="Z231" s="251">
        <f>X69</f>
        <v>0.2</v>
      </c>
      <c r="AE231" s="230"/>
    </row>
    <row r="232" spans="1:38" hidden="1">
      <c r="A232" s="872"/>
      <c r="B232" s="252">
        <v>7</v>
      </c>
      <c r="C232" s="256">
        <f>C71</f>
        <v>15</v>
      </c>
      <c r="D232" s="256">
        <f t="shared" ref="D232:F232" si="66">D71</f>
        <v>0.1</v>
      </c>
      <c r="E232" s="256">
        <f t="shared" si="66"/>
        <v>0.3</v>
      </c>
      <c r="F232" s="256">
        <f t="shared" si="66"/>
        <v>0</v>
      </c>
      <c r="G232" s="256">
        <f>G71</f>
        <v>9.9999999999999992E-2</v>
      </c>
      <c r="I232" s="872"/>
      <c r="J232" s="252">
        <v>7</v>
      </c>
      <c r="K232" s="256">
        <f>J71</f>
        <v>30</v>
      </c>
      <c r="L232" s="256">
        <f>K71</f>
        <v>-1.9</v>
      </c>
      <c r="M232" s="256">
        <f>L71</f>
        <v>1.8</v>
      </c>
      <c r="N232" s="256">
        <f>M71</f>
        <v>0</v>
      </c>
      <c r="O232" s="256">
        <f>N71</f>
        <v>1.85</v>
      </c>
      <c r="Q232" s="876"/>
      <c r="R232" s="252">
        <v>7</v>
      </c>
      <c r="S232" s="256">
        <f>Q71</f>
        <v>750</v>
      </c>
      <c r="T232" s="256">
        <f>R71</f>
        <v>9.9999999999999995E-7</v>
      </c>
      <c r="U232" s="256">
        <f>S71</f>
        <v>3.2</v>
      </c>
      <c r="V232" s="256">
        <f>T71</f>
        <v>9.9999999999999995E-7</v>
      </c>
      <c r="W232" s="257">
        <f>U71</f>
        <v>1.5999995</v>
      </c>
      <c r="Y232" s="250">
        <v>8</v>
      </c>
      <c r="Z232" s="251">
        <f>X80</f>
        <v>0.8</v>
      </c>
      <c r="AE232" s="230"/>
    </row>
    <row r="233" spans="1:38" hidden="1">
      <c r="A233" s="872"/>
      <c r="B233" s="252">
        <v>8</v>
      </c>
      <c r="C233" s="256">
        <f>C82</f>
        <v>15</v>
      </c>
      <c r="D233" s="256">
        <f t="shared" ref="D233:F233" si="67">D82</f>
        <v>0.4</v>
      </c>
      <c r="E233" s="256">
        <f t="shared" si="67"/>
        <v>0.1</v>
      </c>
      <c r="F233" s="256">
        <f t="shared" si="67"/>
        <v>9.9999999999999995E-7</v>
      </c>
      <c r="G233" s="256">
        <f>G82</f>
        <v>0.19999950000000002</v>
      </c>
      <c r="I233" s="872"/>
      <c r="J233" s="252">
        <v>8</v>
      </c>
      <c r="K233" s="256">
        <f>J82</f>
        <v>30</v>
      </c>
      <c r="L233" s="256">
        <f>K82</f>
        <v>0</v>
      </c>
      <c r="M233" s="256">
        <f>L82</f>
        <v>-4</v>
      </c>
      <c r="N233" s="256">
        <f>M82</f>
        <v>-1.4</v>
      </c>
      <c r="O233" s="256">
        <f>N82</f>
        <v>1.3</v>
      </c>
      <c r="Q233" s="876"/>
      <c r="R233" s="252">
        <v>8</v>
      </c>
      <c r="S233" s="256">
        <f>Q82</f>
        <v>960</v>
      </c>
      <c r="T233" s="256">
        <f>R82</f>
        <v>-1.5</v>
      </c>
      <c r="U233" s="256">
        <f>S82</f>
        <v>-4</v>
      </c>
      <c r="V233" s="256">
        <f>T82</f>
        <v>9.9999999999999995E-7</v>
      </c>
      <c r="W233" s="257">
        <f>U82</f>
        <v>2.0000005000000001</v>
      </c>
      <c r="Y233" s="250">
        <v>9</v>
      </c>
      <c r="Z233" s="251">
        <f>X91</f>
        <v>0.3</v>
      </c>
      <c r="AE233" s="230"/>
    </row>
    <row r="234" spans="1:38" hidden="1">
      <c r="A234" s="872"/>
      <c r="B234" s="252">
        <v>9</v>
      </c>
      <c r="C234" s="256">
        <f>C93</f>
        <v>15</v>
      </c>
      <c r="D234" s="256">
        <f t="shared" ref="D234:F234" si="68">D93</f>
        <v>9.9999999999999995E-7</v>
      </c>
      <c r="E234" s="256" t="str">
        <f t="shared" si="68"/>
        <v>-</v>
      </c>
      <c r="F234" s="256">
        <f t="shared" si="68"/>
        <v>0</v>
      </c>
      <c r="G234" s="256">
        <f>G93</f>
        <v>0</v>
      </c>
      <c r="I234" s="872"/>
      <c r="J234" s="252">
        <v>9</v>
      </c>
      <c r="K234" s="256">
        <f>J93</f>
        <v>30</v>
      </c>
      <c r="L234" s="256">
        <f>K93</f>
        <v>-1.2</v>
      </c>
      <c r="M234" s="256" t="str">
        <f>L93</f>
        <v>-</v>
      </c>
      <c r="N234" s="256">
        <f>M93</f>
        <v>0</v>
      </c>
      <c r="O234" s="256">
        <f>N93</f>
        <v>0</v>
      </c>
      <c r="Q234" s="876"/>
      <c r="R234" s="252">
        <v>9</v>
      </c>
      <c r="S234" s="256">
        <f>Q93</f>
        <v>750</v>
      </c>
      <c r="T234" s="256">
        <f>R93</f>
        <v>9.9999999999999995E-7</v>
      </c>
      <c r="U234" s="256" t="str">
        <f>S93</f>
        <v>-</v>
      </c>
      <c r="V234" s="256">
        <f>T93</f>
        <v>9.9999999999999995E-7</v>
      </c>
      <c r="W234" s="257">
        <f>U93</f>
        <v>0</v>
      </c>
      <c r="Y234" s="250">
        <v>10</v>
      </c>
      <c r="Z234" s="251">
        <f>X102</f>
        <v>0.3</v>
      </c>
      <c r="AE234" s="230"/>
    </row>
    <row r="235" spans="1:38" hidden="1">
      <c r="A235" s="872"/>
      <c r="B235" s="252">
        <v>10</v>
      </c>
      <c r="C235" s="256">
        <f>C104</f>
        <v>15</v>
      </c>
      <c r="D235" s="256">
        <f t="shared" ref="D235:F235" si="69">D104</f>
        <v>0.2</v>
      </c>
      <c r="E235" s="256">
        <f t="shared" si="69"/>
        <v>0.2</v>
      </c>
      <c r="F235" s="256">
        <f t="shared" si="69"/>
        <v>0</v>
      </c>
      <c r="G235" s="256">
        <f>G104</f>
        <v>0</v>
      </c>
      <c r="I235" s="872"/>
      <c r="J235" s="252">
        <v>10</v>
      </c>
      <c r="K235" s="256">
        <f>J104</f>
        <v>30</v>
      </c>
      <c r="L235" s="256">
        <f>K104</f>
        <v>-2.9</v>
      </c>
      <c r="M235" s="256">
        <f>L104</f>
        <v>-5.8</v>
      </c>
      <c r="N235" s="256">
        <f>M104</f>
        <v>0</v>
      </c>
      <c r="O235" s="256">
        <f>N104</f>
        <v>1.45</v>
      </c>
      <c r="Q235" s="876"/>
      <c r="R235" s="252">
        <v>10</v>
      </c>
      <c r="S235" s="256">
        <f>Q104</f>
        <v>750</v>
      </c>
      <c r="T235" s="256" t="str">
        <f>R104</f>
        <v>-</v>
      </c>
      <c r="U235" s="256" t="str">
        <f>S104</f>
        <v>-</v>
      </c>
      <c r="V235" s="256">
        <f>T104</f>
        <v>9.9999999999999995E-7</v>
      </c>
      <c r="W235" s="257">
        <f>U104</f>
        <v>0</v>
      </c>
      <c r="Y235" s="250">
        <v>11</v>
      </c>
      <c r="Z235" s="251">
        <f>X113</f>
        <v>0.3</v>
      </c>
      <c r="AE235" s="230"/>
    </row>
    <row r="236" spans="1:38" hidden="1">
      <c r="A236" s="872"/>
      <c r="B236" s="252">
        <v>11</v>
      </c>
      <c r="C236" s="256">
        <f>C115</f>
        <v>15</v>
      </c>
      <c r="D236" s="256">
        <f t="shared" ref="D236:F236" si="70">D115</f>
        <v>0.3</v>
      </c>
      <c r="E236" s="256">
        <f t="shared" si="70"/>
        <v>0.3</v>
      </c>
      <c r="F236" s="256">
        <f t="shared" si="70"/>
        <v>0</v>
      </c>
      <c r="G236" s="256">
        <f>G115</f>
        <v>0</v>
      </c>
      <c r="I236" s="872"/>
      <c r="J236" s="252">
        <v>11</v>
      </c>
      <c r="K236" s="256">
        <f>J115</f>
        <v>30</v>
      </c>
      <c r="L236" s="256">
        <f>K115</f>
        <v>-5.2</v>
      </c>
      <c r="M236" s="256">
        <f>L115</f>
        <v>-6.4</v>
      </c>
      <c r="N236" s="256">
        <f>M115</f>
        <v>0</v>
      </c>
      <c r="O236" s="256">
        <f>N115</f>
        <v>0.60000000000000009</v>
      </c>
      <c r="Q236" s="876"/>
      <c r="R236" s="252">
        <v>11</v>
      </c>
      <c r="S236" s="256">
        <f>Q115</f>
        <v>750</v>
      </c>
      <c r="T236" s="256" t="str">
        <f>R115</f>
        <v>-</v>
      </c>
      <c r="U236" s="256" t="str">
        <f>S115</f>
        <v>-</v>
      </c>
      <c r="V236" s="256">
        <f>T115</f>
        <v>9.9999999999999995E-7</v>
      </c>
      <c r="W236" s="257">
        <f>U115</f>
        <v>0</v>
      </c>
      <c r="Y236" s="250">
        <v>12</v>
      </c>
      <c r="Z236" s="251">
        <f>X124</f>
        <v>0.5</v>
      </c>
      <c r="AE236" s="230"/>
    </row>
    <row r="237" spans="1:38" hidden="1">
      <c r="A237" s="872"/>
      <c r="B237" s="252">
        <v>12</v>
      </c>
      <c r="C237" s="256">
        <f>C126</f>
        <v>15</v>
      </c>
      <c r="D237" s="256">
        <f t="shared" ref="D237:F237" si="71">D126</f>
        <v>0.2</v>
      </c>
      <c r="E237" s="256">
        <f t="shared" si="71"/>
        <v>9.9999999999999995E-7</v>
      </c>
      <c r="F237" s="256">
        <f t="shared" si="71"/>
        <v>0</v>
      </c>
      <c r="G237" s="256">
        <f>G126</f>
        <v>9.9999500000000005E-2</v>
      </c>
      <c r="I237" s="872"/>
      <c r="J237" s="252">
        <v>12</v>
      </c>
      <c r="K237" s="256">
        <f>J126</f>
        <v>35</v>
      </c>
      <c r="L237" s="256">
        <f>K126</f>
        <v>-3.1</v>
      </c>
      <c r="M237" s="256">
        <f>L126</f>
        <v>-0.4</v>
      </c>
      <c r="N237" s="256">
        <f>M126</f>
        <v>0</v>
      </c>
      <c r="O237" s="256">
        <f>N126</f>
        <v>1.35</v>
      </c>
      <c r="Q237" s="876"/>
      <c r="R237" s="252">
        <v>12</v>
      </c>
      <c r="S237" s="256">
        <f>Q126</f>
        <v>960</v>
      </c>
      <c r="T237" s="256">
        <f>R126</f>
        <v>4.0999999999999996</v>
      </c>
      <c r="U237" s="256">
        <f>S126</f>
        <v>-0.4</v>
      </c>
      <c r="V237" s="256">
        <f>T126</f>
        <v>0</v>
      </c>
      <c r="W237" s="257">
        <f>U126</f>
        <v>2.25</v>
      </c>
      <c r="Y237" s="250">
        <v>13</v>
      </c>
      <c r="Z237" s="258">
        <f>X135</f>
        <v>0.5</v>
      </c>
      <c r="AE237" s="230"/>
      <c r="AL237" s="230"/>
    </row>
    <row r="238" spans="1:38" hidden="1">
      <c r="A238" s="872"/>
      <c r="B238" s="252">
        <v>13</v>
      </c>
      <c r="C238" s="256">
        <f>C137</f>
        <v>15</v>
      </c>
      <c r="D238" s="256">
        <f t="shared" ref="D238:F238" si="72">D137</f>
        <v>0.1</v>
      </c>
      <c r="E238" s="256">
        <f t="shared" si="72"/>
        <v>0.5</v>
      </c>
      <c r="F238" s="256">
        <f t="shared" si="72"/>
        <v>-0.7</v>
      </c>
      <c r="G238" s="256">
        <f>G137</f>
        <v>0.6</v>
      </c>
      <c r="I238" s="872"/>
      <c r="J238" s="252">
        <v>13</v>
      </c>
      <c r="K238" s="256">
        <f>J137</f>
        <v>30</v>
      </c>
      <c r="L238" s="256">
        <f>K137</f>
        <v>0</v>
      </c>
      <c r="M238" s="256">
        <f>L137</f>
        <v>-2.2000000000000002</v>
      </c>
      <c r="N238" s="256">
        <f>M137</f>
        <v>-1.4</v>
      </c>
      <c r="O238" s="256">
        <f>N137</f>
        <v>0.40000000000000013</v>
      </c>
      <c r="Q238" s="876"/>
      <c r="R238" s="252">
        <v>13</v>
      </c>
      <c r="S238" s="256">
        <f>Q137</f>
        <v>985</v>
      </c>
      <c r="T238" s="256">
        <f>R137</f>
        <v>0</v>
      </c>
      <c r="U238" s="256">
        <f>S137</f>
        <v>3.8</v>
      </c>
      <c r="V238" s="256">
        <f>T137</f>
        <v>0.9</v>
      </c>
      <c r="W238" s="257">
        <f>U137</f>
        <v>1.45</v>
      </c>
      <c r="Y238" s="250">
        <v>14</v>
      </c>
      <c r="Z238" s="258">
        <f>X146</f>
        <v>0.6</v>
      </c>
      <c r="AE238" s="230"/>
      <c r="AL238" s="230"/>
    </row>
    <row r="239" spans="1:38" hidden="1">
      <c r="A239" s="872"/>
      <c r="B239" s="252">
        <v>14</v>
      </c>
      <c r="C239" s="256">
        <f>C148</f>
        <v>15</v>
      </c>
      <c r="D239" s="256">
        <f t="shared" ref="D239:F239" si="73">D148</f>
        <v>0.1</v>
      </c>
      <c r="E239" s="256">
        <f t="shared" si="73"/>
        <v>0.5</v>
      </c>
      <c r="F239" s="256">
        <f t="shared" si="73"/>
        <v>-0.2</v>
      </c>
      <c r="G239" s="256">
        <f>G148</f>
        <v>0.35</v>
      </c>
      <c r="I239" s="872"/>
      <c r="J239" s="252">
        <v>14</v>
      </c>
      <c r="K239" s="256">
        <f>J148</f>
        <v>30</v>
      </c>
      <c r="L239" s="256">
        <f>K148</f>
        <v>0</v>
      </c>
      <c r="M239" s="256">
        <f>L148</f>
        <v>-0.8</v>
      </c>
      <c r="N239" s="256">
        <f>M148</f>
        <v>0.6</v>
      </c>
      <c r="O239" s="256">
        <f>N148</f>
        <v>0.7</v>
      </c>
      <c r="Q239" s="876"/>
      <c r="R239" s="252">
        <v>14</v>
      </c>
      <c r="S239" s="256">
        <f>Q148</f>
        <v>985</v>
      </c>
      <c r="T239" s="256">
        <f>R148</f>
        <v>0</v>
      </c>
      <c r="U239" s="256">
        <f>S148</f>
        <v>3.9</v>
      </c>
      <c r="V239" s="256">
        <f>T148</f>
        <v>0.9</v>
      </c>
      <c r="W239" s="257">
        <f>U148</f>
        <v>1.5</v>
      </c>
      <c r="Y239" s="250">
        <v>15</v>
      </c>
      <c r="Z239" s="258">
        <f>X157</f>
        <v>0.5</v>
      </c>
      <c r="AE239" s="230"/>
      <c r="AL239" s="230"/>
    </row>
    <row r="240" spans="1:38" hidden="1">
      <c r="A240" s="872"/>
      <c r="B240" s="252">
        <v>15</v>
      </c>
      <c r="C240" s="256">
        <f>C159</f>
        <v>15</v>
      </c>
      <c r="D240" s="256">
        <f t="shared" ref="D240:F240" si="74">D159</f>
        <v>0.1</v>
      </c>
      <c r="E240" s="256">
        <f t="shared" si="74"/>
        <v>0.6</v>
      </c>
      <c r="F240" s="256">
        <f t="shared" si="74"/>
        <v>-0.6</v>
      </c>
      <c r="G240" s="256">
        <f>G159</f>
        <v>0.6</v>
      </c>
      <c r="I240" s="872"/>
      <c r="J240" s="252">
        <v>15</v>
      </c>
      <c r="K240" s="256">
        <f>J159</f>
        <v>30</v>
      </c>
      <c r="L240" s="256">
        <f>K159</f>
        <v>-4.0999999999999996</v>
      </c>
      <c r="M240" s="256">
        <f>L159</f>
        <v>-2</v>
      </c>
      <c r="N240" s="256">
        <f>M159</f>
        <v>-0.4</v>
      </c>
      <c r="O240" s="256">
        <f>N159</f>
        <v>1.8499999999999999</v>
      </c>
      <c r="Q240" s="876"/>
      <c r="R240" s="252">
        <v>15</v>
      </c>
      <c r="S240" s="256">
        <f>Q159</f>
        <v>980</v>
      </c>
      <c r="T240" s="256">
        <f>R159</f>
        <v>4.0999999999999996</v>
      </c>
      <c r="U240" s="256">
        <f>S159</f>
        <v>4.3</v>
      </c>
      <c r="V240" s="256">
        <f>T159</f>
        <v>0.9</v>
      </c>
      <c r="W240" s="257">
        <f>U159</f>
        <v>1.7</v>
      </c>
      <c r="Y240" s="250">
        <v>16</v>
      </c>
      <c r="Z240" s="258">
        <f>X168</f>
        <v>0.5</v>
      </c>
      <c r="AE240" s="230"/>
      <c r="AL240" s="230"/>
    </row>
    <row r="241" spans="1:38" hidden="1">
      <c r="A241" s="872"/>
      <c r="B241" s="252">
        <v>16</v>
      </c>
      <c r="C241" s="256">
        <f>C170</f>
        <v>15</v>
      </c>
      <c r="D241" s="256">
        <f t="shared" ref="D241:F241" si="75">D170</f>
        <v>0.1</v>
      </c>
      <c r="E241" s="256">
        <f t="shared" si="75"/>
        <v>0.1</v>
      </c>
      <c r="F241" s="256">
        <f t="shared" si="75"/>
        <v>0</v>
      </c>
      <c r="G241" s="256">
        <f>G170</f>
        <v>0</v>
      </c>
      <c r="I241" s="872"/>
      <c r="J241" s="252">
        <v>16</v>
      </c>
      <c r="K241" s="256">
        <f>J170</f>
        <v>35</v>
      </c>
      <c r="L241" s="256">
        <f>K170</f>
        <v>-2.5</v>
      </c>
      <c r="M241" s="256">
        <f>L170</f>
        <v>-1.6</v>
      </c>
      <c r="N241" s="256">
        <f>M170</f>
        <v>0</v>
      </c>
      <c r="O241" s="256">
        <f>N170</f>
        <v>0.44999999999999996</v>
      </c>
      <c r="Q241" s="876"/>
      <c r="R241" s="252">
        <v>16</v>
      </c>
      <c r="S241" s="256">
        <f>Q170</f>
        <v>960</v>
      </c>
      <c r="T241" s="256">
        <f>R170</f>
        <v>4.5999999999999996</v>
      </c>
      <c r="U241" s="256">
        <f>S170</f>
        <v>-2.9</v>
      </c>
      <c r="V241" s="256">
        <f>T170</f>
        <v>0</v>
      </c>
      <c r="W241" s="257">
        <f>U170</f>
        <v>3.75</v>
      </c>
      <c r="Y241" s="250">
        <v>17</v>
      </c>
      <c r="Z241" s="258">
        <f>X179</f>
        <v>0.8</v>
      </c>
      <c r="AE241" s="230"/>
      <c r="AL241" s="230"/>
    </row>
    <row r="242" spans="1:38" hidden="1">
      <c r="A242" s="872"/>
      <c r="B242" s="252">
        <v>17</v>
      </c>
      <c r="C242" s="256">
        <f>C181</f>
        <v>15</v>
      </c>
      <c r="D242" s="256">
        <f>D181</f>
        <v>0.2</v>
      </c>
      <c r="E242" s="256">
        <f>E181</f>
        <v>0.1</v>
      </c>
      <c r="F242" s="256">
        <f t="shared" ref="F242" si="76">F181</f>
        <v>0</v>
      </c>
      <c r="G242" s="256">
        <f>G181</f>
        <v>0.05</v>
      </c>
      <c r="I242" s="872"/>
      <c r="J242" s="252">
        <v>17</v>
      </c>
      <c r="K242" s="256">
        <f>J181</f>
        <v>35</v>
      </c>
      <c r="L242" s="256">
        <f>K181</f>
        <v>-2.7</v>
      </c>
      <c r="M242" s="256">
        <f>L181</f>
        <v>0.1</v>
      </c>
      <c r="N242" s="256">
        <f>M181</f>
        <v>0</v>
      </c>
      <c r="O242" s="256">
        <f>N181</f>
        <v>1.4000000000000001</v>
      </c>
      <c r="Q242" s="876"/>
      <c r="R242" s="252">
        <v>17</v>
      </c>
      <c r="S242" s="256">
        <f>Q181</f>
        <v>960</v>
      </c>
      <c r="T242" s="256">
        <f>R181</f>
        <v>4.5999999999999996</v>
      </c>
      <c r="U242" s="256">
        <f>S181</f>
        <v>-0.6</v>
      </c>
      <c r="V242" s="256">
        <f>T181</f>
        <v>0</v>
      </c>
      <c r="W242" s="257">
        <f>U181</f>
        <v>2.5999999999999996</v>
      </c>
      <c r="Y242" s="250">
        <v>18</v>
      </c>
      <c r="Z242" s="258">
        <f>X190</f>
        <v>0.6</v>
      </c>
      <c r="AE242" s="230"/>
      <c r="AL242" s="230"/>
    </row>
    <row r="243" spans="1:38" hidden="1">
      <c r="A243" s="872"/>
      <c r="B243" s="252">
        <v>18</v>
      </c>
      <c r="C243" s="256">
        <f>C192</f>
        <v>15</v>
      </c>
      <c r="D243" s="256">
        <f t="shared" ref="D243:F243" si="77">D192</f>
        <v>0.3</v>
      </c>
      <c r="E243" s="256">
        <f t="shared" si="77"/>
        <v>9.9999999999999995E-7</v>
      </c>
      <c r="F243" s="256">
        <f t="shared" si="77"/>
        <v>0</v>
      </c>
      <c r="G243" s="256">
        <f>G192</f>
        <v>0.14999950000000001</v>
      </c>
      <c r="I243" s="872"/>
      <c r="J243" s="252">
        <v>18</v>
      </c>
      <c r="K243" s="256">
        <f>J192</f>
        <v>35</v>
      </c>
      <c r="L243" s="256">
        <f>K192</f>
        <v>-3.2</v>
      </c>
      <c r="M243" s="256">
        <f>L192</f>
        <v>-0.4</v>
      </c>
      <c r="N243" s="256">
        <f>M192</f>
        <v>0</v>
      </c>
      <c r="O243" s="256">
        <f>N192</f>
        <v>1.4000000000000001</v>
      </c>
      <c r="Q243" s="876"/>
      <c r="R243" s="252">
        <v>18</v>
      </c>
      <c r="S243" s="256">
        <f>Q192</f>
        <v>960</v>
      </c>
      <c r="T243" s="256">
        <f>R192</f>
        <v>4.4000000000000004</v>
      </c>
      <c r="U243" s="256">
        <f>S192</f>
        <v>-1.5</v>
      </c>
      <c r="V243" s="256">
        <f>T192</f>
        <v>0</v>
      </c>
      <c r="W243" s="257">
        <f>U192</f>
        <v>2.95</v>
      </c>
      <c r="Y243" s="250">
        <v>19</v>
      </c>
      <c r="Z243" s="258">
        <f>X201</f>
        <v>0.5</v>
      </c>
      <c r="AE243" s="230"/>
      <c r="AL243" s="230"/>
    </row>
    <row r="244" spans="1:38" ht="13.8" hidden="1" thickBot="1">
      <c r="A244" s="872"/>
      <c r="B244" s="252">
        <v>19</v>
      </c>
      <c r="C244" s="256">
        <f>C203</f>
        <v>15</v>
      </c>
      <c r="D244" s="256">
        <f t="shared" ref="D244:F244" si="78">D203</f>
        <v>0.2</v>
      </c>
      <c r="E244" s="256">
        <f t="shared" si="78"/>
        <v>9.9999999999999995E-7</v>
      </c>
      <c r="F244" s="256">
        <f t="shared" si="78"/>
        <v>0</v>
      </c>
      <c r="G244" s="256">
        <f>G203</f>
        <v>9.9999500000000005E-2</v>
      </c>
      <c r="I244" s="872"/>
      <c r="J244" s="252">
        <v>19</v>
      </c>
      <c r="K244" s="256">
        <f>J203</f>
        <v>35</v>
      </c>
      <c r="L244" s="256">
        <f>K203</f>
        <v>-2.2000000000000002</v>
      </c>
      <c r="M244" s="256">
        <f>L203</f>
        <v>-1.5</v>
      </c>
      <c r="N244" s="256">
        <f>M203</f>
        <v>0</v>
      </c>
      <c r="O244" s="256">
        <f>N203</f>
        <v>0.35000000000000009</v>
      </c>
      <c r="Q244" s="876"/>
      <c r="R244" s="252">
        <v>19</v>
      </c>
      <c r="S244" s="256">
        <f>Q203</f>
        <v>750</v>
      </c>
      <c r="T244" s="256">
        <f>R203</f>
        <v>4.5</v>
      </c>
      <c r="U244" s="256">
        <f>S203</f>
        <v>2.5</v>
      </c>
      <c r="V244" s="256">
        <f>T203</f>
        <v>0</v>
      </c>
      <c r="W244" s="257">
        <f>U203</f>
        <v>1</v>
      </c>
      <c r="Y244" s="259">
        <v>20</v>
      </c>
      <c r="Z244" s="260">
        <f>X212</f>
        <v>0</v>
      </c>
      <c r="AE244" s="230"/>
      <c r="AL244" s="230"/>
    </row>
    <row r="245" spans="1:38" ht="13.8" hidden="1" thickBot="1">
      <c r="A245" s="872"/>
      <c r="B245" s="252">
        <v>20</v>
      </c>
      <c r="C245" s="256">
        <f>C214</f>
        <v>14.8</v>
      </c>
      <c r="D245" s="256">
        <f t="shared" ref="D245:F245" si="79">D214</f>
        <v>9.9999999999999995E-7</v>
      </c>
      <c r="E245" s="256" t="str">
        <f t="shared" si="79"/>
        <v>-</v>
      </c>
      <c r="F245" s="256">
        <f t="shared" si="79"/>
        <v>9.9999999999999995E-7</v>
      </c>
      <c r="G245" s="256">
        <f>G214</f>
        <v>0</v>
      </c>
      <c r="I245" s="872"/>
      <c r="J245" s="252">
        <v>20</v>
      </c>
      <c r="K245" s="256">
        <f>J214</f>
        <v>45.7</v>
      </c>
      <c r="L245" s="256">
        <f>K214</f>
        <v>9.9999999999999995E-7</v>
      </c>
      <c r="M245" s="256" t="str">
        <f>L214</f>
        <v>-</v>
      </c>
      <c r="N245" s="256">
        <f>M214</f>
        <v>0</v>
      </c>
      <c r="O245" s="256">
        <f>N214</f>
        <v>0</v>
      </c>
      <c r="Q245" s="877"/>
      <c r="R245" s="261">
        <v>20</v>
      </c>
      <c r="S245" s="262">
        <f>Q214</f>
        <v>750</v>
      </c>
      <c r="T245" s="262">
        <f>R214</f>
        <v>9.9999999999999995E-7</v>
      </c>
      <c r="U245" s="262" t="str">
        <f>S214</f>
        <v>-</v>
      </c>
      <c r="V245" s="262">
        <f>T214</f>
        <v>9.9999999999999995E-7</v>
      </c>
      <c r="W245" s="263">
        <f>U214</f>
        <v>0</v>
      </c>
      <c r="Y245" s="264"/>
      <c r="AE245" s="265"/>
      <c r="AL245" s="230"/>
    </row>
    <row r="246" spans="1:38" hidden="1">
      <c r="A246" s="266"/>
      <c r="B246" s="266"/>
      <c r="C246" s="124"/>
      <c r="D246" s="124"/>
      <c r="E246" s="124"/>
      <c r="F246" s="246"/>
      <c r="G246" s="124"/>
      <c r="I246" s="266"/>
      <c r="J246" s="266"/>
      <c r="K246" s="124"/>
      <c r="L246" s="124"/>
      <c r="M246" s="124"/>
      <c r="N246" s="246"/>
      <c r="O246" s="124"/>
      <c r="Q246" s="267"/>
      <c r="R246" s="267"/>
      <c r="S246" s="268"/>
      <c r="T246" s="268"/>
      <c r="U246" s="268"/>
      <c r="W246" s="269"/>
      <c r="Y246" s="270"/>
      <c r="AE246" s="270"/>
      <c r="AL246" s="270"/>
    </row>
    <row r="247" spans="1:38" hidden="1">
      <c r="A247" s="872">
        <v>2</v>
      </c>
      <c r="B247" s="252">
        <v>1</v>
      </c>
      <c r="C247" s="256">
        <f>C6</f>
        <v>20</v>
      </c>
      <c r="D247" s="256">
        <f t="shared" ref="D247:F247" si="80">D6</f>
        <v>0</v>
      </c>
      <c r="E247" s="256">
        <f t="shared" si="80"/>
        <v>0.1</v>
      </c>
      <c r="F247" s="256">
        <f t="shared" si="80"/>
        <v>-0.2</v>
      </c>
      <c r="G247" s="256">
        <f>G6</f>
        <v>0.15000000000000002</v>
      </c>
      <c r="I247" s="872">
        <v>2</v>
      </c>
      <c r="J247" s="252">
        <v>1</v>
      </c>
      <c r="K247" s="256">
        <f>J6</f>
        <v>40</v>
      </c>
      <c r="L247" s="256">
        <f>K6</f>
        <v>-5.9</v>
      </c>
      <c r="M247" s="256">
        <f>L6</f>
        <v>-11.5</v>
      </c>
      <c r="N247" s="256">
        <f>M6</f>
        <v>-5.8</v>
      </c>
      <c r="O247" s="256">
        <f>N6</f>
        <v>2.85</v>
      </c>
      <c r="Q247" s="873">
        <v>2</v>
      </c>
      <c r="R247" s="271">
        <v>1</v>
      </c>
      <c r="S247" s="272">
        <f>Q6</f>
        <v>800</v>
      </c>
      <c r="T247" s="272" t="str">
        <f>R6</f>
        <v>-</v>
      </c>
      <c r="U247" s="272" t="str">
        <f>S6</f>
        <v>-</v>
      </c>
      <c r="V247" s="272">
        <f>T6</f>
        <v>9.9999999999999995E-7</v>
      </c>
      <c r="W247" s="273">
        <f>U6</f>
        <v>0</v>
      </c>
      <c r="Y247" s="862" t="s">
        <v>208</v>
      </c>
      <c r="Z247" s="863"/>
      <c r="AE247" s="274"/>
    </row>
    <row r="248" spans="1:38" hidden="1">
      <c r="A248" s="872"/>
      <c r="B248" s="252">
        <v>2</v>
      </c>
      <c r="C248" s="256">
        <f>C17</f>
        <v>20</v>
      </c>
      <c r="D248" s="256">
        <f t="shared" ref="D248:F248" si="81">D17</f>
        <v>0.2</v>
      </c>
      <c r="E248" s="256">
        <f t="shared" si="81"/>
        <v>0.7</v>
      </c>
      <c r="F248" s="256">
        <f t="shared" si="81"/>
        <v>-0.1</v>
      </c>
      <c r="G248" s="256">
        <f>G17</f>
        <v>0.39999999999999997</v>
      </c>
      <c r="I248" s="872"/>
      <c r="J248" s="252">
        <v>2</v>
      </c>
      <c r="K248" s="256">
        <f>J17</f>
        <v>40</v>
      </c>
      <c r="L248" s="256">
        <f>K17</f>
        <v>-10.3</v>
      </c>
      <c r="M248" s="256">
        <f>L17</f>
        <v>-6.2</v>
      </c>
      <c r="N248" s="256">
        <f>M17</f>
        <v>-1.6</v>
      </c>
      <c r="O248" s="256">
        <f>N17</f>
        <v>4.3500000000000005</v>
      </c>
      <c r="Q248" s="872"/>
      <c r="R248" s="252">
        <v>2</v>
      </c>
      <c r="S248" s="256">
        <f>Q17</f>
        <v>800</v>
      </c>
      <c r="T248" s="256" t="str">
        <f>R17</f>
        <v>-</v>
      </c>
      <c r="U248" s="256" t="str">
        <f>S17</f>
        <v>-</v>
      </c>
      <c r="V248" s="256" t="str">
        <f>T17</f>
        <v>-</v>
      </c>
      <c r="W248" s="257">
        <f>U17</f>
        <v>0</v>
      </c>
      <c r="Y248" s="869" t="s">
        <v>204</v>
      </c>
      <c r="Z248" s="870"/>
      <c r="AE248" s="230"/>
    </row>
    <row r="249" spans="1:38" hidden="1">
      <c r="A249" s="872"/>
      <c r="B249" s="252">
        <v>3</v>
      </c>
      <c r="C249" s="252">
        <f>C28</f>
        <v>20</v>
      </c>
      <c r="D249" s="252">
        <f t="shared" ref="D249:F249" si="82">D28</f>
        <v>0.2</v>
      </c>
      <c r="E249" s="252">
        <f t="shared" si="82"/>
        <v>1</v>
      </c>
      <c r="F249" s="252">
        <f t="shared" si="82"/>
        <v>9.9999999999999995E-7</v>
      </c>
      <c r="G249" s="252">
        <f>G28</f>
        <v>0.49999949999999999</v>
      </c>
      <c r="I249" s="872"/>
      <c r="J249" s="252">
        <v>3</v>
      </c>
      <c r="K249" s="252">
        <f>J28</f>
        <v>40</v>
      </c>
      <c r="L249" s="252">
        <f>K28</f>
        <v>-9.6999999999999993</v>
      </c>
      <c r="M249" s="252">
        <f>L28</f>
        <v>-5.9</v>
      </c>
      <c r="N249" s="252">
        <f>M28</f>
        <v>-5.3</v>
      </c>
      <c r="O249" s="252">
        <f>N28</f>
        <v>2.1999999999999997</v>
      </c>
      <c r="Q249" s="872"/>
      <c r="R249" s="252">
        <v>3</v>
      </c>
      <c r="S249" s="252">
        <f>Q28</f>
        <v>800</v>
      </c>
      <c r="T249" s="252" t="str">
        <f>R28</f>
        <v>-</v>
      </c>
      <c r="U249" s="252" t="str">
        <f>S28</f>
        <v>-</v>
      </c>
      <c r="V249" s="252" t="str">
        <f>T28</f>
        <v>-</v>
      </c>
      <c r="W249" s="253">
        <f>U28</f>
        <v>0</v>
      </c>
      <c r="Y249" s="250">
        <v>1</v>
      </c>
      <c r="Z249" s="251">
        <f>X4</f>
        <v>2.6</v>
      </c>
      <c r="AE249" s="230"/>
    </row>
    <row r="250" spans="1:38" hidden="1">
      <c r="A250" s="872"/>
      <c r="B250" s="252">
        <v>4</v>
      </c>
      <c r="C250" s="252">
        <f>C39</f>
        <v>20</v>
      </c>
      <c r="D250" s="252">
        <f t="shared" ref="D250:F250" si="83">D39</f>
        <v>-0.1</v>
      </c>
      <c r="E250" s="252">
        <f t="shared" si="83"/>
        <v>-0.3</v>
      </c>
      <c r="F250" s="252">
        <f t="shared" si="83"/>
        <v>0</v>
      </c>
      <c r="G250" s="252">
        <f>G39</f>
        <v>9.9999999999999992E-2</v>
      </c>
      <c r="I250" s="872"/>
      <c r="J250" s="252">
        <v>4</v>
      </c>
      <c r="K250" s="252">
        <f>J39</f>
        <v>40</v>
      </c>
      <c r="L250" s="252">
        <f>K39</f>
        <v>-4.4000000000000004</v>
      </c>
      <c r="M250" s="252">
        <f>L39</f>
        <v>-1.5</v>
      </c>
      <c r="N250" s="252">
        <f>M39</f>
        <v>0</v>
      </c>
      <c r="O250" s="252">
        <f>N39</f>
        <v>1.4500000000000002</v>
      </c>
      <c r="Q250" s="872"/>
      <c r="R250" s="252">
        <v>4</v>
      </c>
      <c r="S250" s="252">
        <f>Q39</f>
        <v>800</v>
      </c>
      <c r="T250" s="252" t="str">
        <f>R39</f>
        <v>-</v>
      </c>
      <c r="U250" s="252" t="str">
        <f>S39</f>
        <v>-</v>
      </c>
      <c r="V250" s="252">
        <f>T39</f>
        <v>9.9999999999999995E-7</v>
      </c>
      <c r="W250" s="253">
        <f>U39</f>
        <v>0</v>
      </c>
      <c r="Y250" s="254">
        <v>2</v>
      </c>
      <c r="Z250" s="251">
        <f>X15</f>
        <v>3.3</v>
      </c>
      <c r="AE250" s="230"/>
    </row>
    <row r="251" spans="1:38" hidden="1">
      <c r="A251" s="872"/>
      <c r="B251" s="252">
        <v>5</v>
      </c>
      <c r="C251" s="252">
        <f>C50</f>
        <v>20</v>
      </c>
      <c r="D251" s="252">
        <f t="shared" ref="D251:F251" si="84">D50</f>
        <v>0.4</v>
      </c>
      <c r="E251" s="252">
        <f t="shared" si="84"/>
        <v>0.1</v>
      </c>
      <c r="F251" s="252">
        <f t="shared" si="84"/>
        <v>0.1</v>
      </c>
      <c r="G251" s="252">
        <f>G50</f>
        <v>0.15000000000000002</v>
      </c>
      <c r="I251" s="872"/>
      <c r="J251" s="252">
        <v>5</v>
      </c>
      <c r="K251" s="252">
        <f>J50</f>
        <v>40</v>
      </c>
      <c r="L251" s="252">
        <f>K50</f>
        <v>-9.6</v>
      </c>
      <c r="M251" s="252">
        <f>L50</f>
        <v>-9.6999999999999993</v>
      </c>
      <c r="N251" s="252">
        <f>M50</f>
        <v>-7.2</v>
      </c>
      <c r="O251" s="252">
        <f>N50</f>
        <v>1.2499999999999996</v>
      </c>
      <c r="Q251" s="872"/>
      <c r="R251" s="252">
        <v>5</v>
      </c>
      <c r="S251" s="252">
        <f>Q50</f>
        <v>800</v>
      </c>
      <c r="T251" s="252" t="str">
        <f>R50</f>
        <v>-</v>
      </c>
      <c r="U251" s="252" t="str">
        <f>S50</f>
        <v>-</v>
      </c>
      <c r="V251" s="252" t="str">
        <f>T50</f>
        <v>-</v>
      </c>
      <c r="W251" s="253">
        <f>U50</f>
        <v>0</v>
      </c>
      <c r="Y251" s="254">
        <v>3</v>
      </c>
      <c r="Z251" s="255">
        <f>X26</f>
        <v>2.4</v>
      </c>
      <c r="AE251" s="230"/>
    </row>
    <row r="252" spans="1:38" hidden="1">
      <c r="A252" s="872"/>
      <c r="B252" s="252">
        <v>6</v>
      </c>
      <c r="C252" s="252">
        <f>C61</f>
        <v>20</v>
      </c>
      <c r="D252" s="252">
        <f t="shared" ref="D252:F252" si="85">D61</f>
        <v>0.3</v>
      </c>
      <c r="E252" s="252">
        <f t="shared" si="85"/>
        <v>0.2</v>
      </c>
      <c r="F252" s="252">
        <f t="shared" si="85"/>
        <v>0</v>
      </c>
      <c r="G252" s="252">
        <f>G61</f>
        <v>4.9999999999999989E-2</v>
      </c>
      <c r="I252" s="872"/>
      <c r="J252" s="252">
        <v>6</v>
      </c>
      <c r="K252" s="252">
        <f>J61</f>
        <v>40</v>
      </c>
      <c r="L252" s="252">
        <f>K61</f>
        <v>-3.8</v>
      </c>
      <c r="M252" s="252">
        <f>L61</f>
        <v>1.5</v>
      </c>
      <c r="N252" s="252">
        <f>M61</f>
        <v>0</v>
      </c>
      <c r="O252" s="252">
        <f>N61</f>
        <v>2.65</v>
      </c>
      <c r="Q252" s="872"/>
      <c r="R252" s="252">
        <v>6</v>
      </c>
      <c r="S252" s="252">
        <f>Q61</f>
        <v>800</v>
      </c>
      <c r="T252" s="252">
        <f>R61</f>
        <v>0.9</v>
      </c>
      <c r="U252" s="252">
        <f>S61</f>
        <v>1.6</v>
      </c>
      <c r="V252" s="252">
        <f>T61</f>
        <v>9.9999999999999995E-7</v>
      </c>
      <c r="W252" s="253">
        <f>U61</f>
        <v>0.79999950000000009</v>
      </c>
      <c r="Y252" s="254">
        <v>4</v>
      </c>
      <c r="Z252" s="255">
        <f>X37</f>
        <v>1.3</v>
      </c>
      <c r="AE252" s="230"/>
    </row>
    <row r="253" spans="1:38" hidden="1">
      <c r="A253" s="872"/>
      <c r="B253" s="252">
        <v>7</v>
      </c>
      <c r="C253" s="252">
        <f>C72</f>
        <v>20</v>
      </c>
      <c r="D253" s="252">
        <f t="shared" ref="D253:F253" si="86">D72</f>
        <v>9.9999999999999995E-7</v>
      </c>
      <c r="E253" s="252">
        <f t="shared" si="86"/>
        <v>0.1</v>
      </c>
      <c r="F253" s="252">
        <f t="shared" si="86"/>
        <v>0</v>
      </c>
      <c r="G253" s="252">
        <f>G72</f>
        <v>4.9999500000000002E-2</v>
      </c>
      <c r="I253" s="872"/>
      <c r="J253" s="252">
        <v>7</v>
      </c>
      <c r="K253" s="252">
        <f>J72</f>
        <v>40</v>
      </c>
      <c r="L253" s="252">
        <f>K72</f>
        <v>-1.9</v>
      </c>
      <c r="M253" s="252">
        <f>L72</f>
        <v>1.2</v>
      </c>
      <c r="N253" s="252">
        <f>M72</f>
        <v>0</v>
      </c>
      <c r="O253" s="252">
        <f>N72</f>
        <v>1.5499999999999998</v>
      </c>
      <c r="Q253" s="872"/>
      <c r="R253" s="252">
        <v>7</v>
      </c>
      <c r="S253" s="252">
        <f>Q72</f>
        <v>800</v>
      </c>
      <c r="T253" s="252">
        <f>R72</f>
        <v>9.9999999999999995E-7</v>
      </c>
      <c r="U253" s="252">
        <f>S72</f>
        <v>2.5</v>
      </c>
      <c r="V253" s="252">
        <f>T72</f>
        <v>9.9999999999999995E-7</v>
      </c>
      <c r="W253" s="253">
        <f>U72</f>
        <v>1.2499994999999999</v>
      </c>
      <c r="Y253" s="254">
        <v>5</v>
      </c>
      <c r="Z253" s="255">
        <f>X48</f>
        <v>2.2999999999999998</v>
      </c>
      <c r="AE253" s="230"/>
    </row>
    <row r="254" spans="1:38" hidden="1">
      <c r="A254" s="872"/>
      <c r="B254" s="252">
        <v>8</v>
      </c>
      <c r="C254" s="252">
        <f>C83</f>
        <v>20</v>
      </c>
      <c r="D254" s="252">
        <f t="shared" ref="D254:F254" si="87">D83</f>
        <v>0.2</v>
      </c>
      <c r="E254" s="252">
        <f t="shared" si="87"/>
        <v>9.9999999999999995E-7</v>
      </c>
      <c r="F254" s="252">
        <f t="shared" si="87"/>
        <v>-0.2</v>
      </c>
      <c r="G254" s="252">
        <f>G83</f>
        <v>0.2</v>
      </c>
      <c r="I254" s="872"/>
      <c r="J254" s="252">
        <v>8</v>
      </c>
      <c r="K254" s="252">
        <f>J83</f>
        <v>40</v>
      </c>
      <c r="L254" s="252">
        <f>K83</f>
        <v>-4.5999999999999996</v>
      </c>
      <c r="M254" s="252">
        <f>L83</f>
        <v>-3.8</v>
      </c>
      <c r="N254" s="252">
        <f>M83</f>
        <v>-1.2</v>
      </c>
      <c r="O254" s="252">
        <f>N83</f>
        <v>1.6999999999999997</v>
      </c>
      <c r="Q254" s="872"/>
      <c r="R254" s="252">
        <v>8</v>
      </c>
      <c r="S254" s="252">
        <f>Q83</f>
        <v>970</v>
      </c>
      <c r="T254" s="252">
        <f>R83</f>
        <v>-1</v>
      </c>
      <c r="U254" s="252">
        <f>S83</f>
        <v>-3.9</v>
      </c>
      <c r="V254" s="252">
        <f>T83</f>
        <v>9.9999999999999995E-7</v>
      </c>
      <c r="W254" s="253">
        <f>U83</f>
        <v>1.9500005</v>
      </c>
      <c r="Y254" s="250">
        <v>6</v>
      </c>
      <c r="Z254" s="251">
        <f>X59</f>
        <v>2.6</v>
      </c>
      <c r="AE254" s="230"/>
    </row>
    <row r="255" spans="1:38" hidden="1">
      <c r="A255" s="872"/>
      <c r="B255" s="252">
        <v>9</v>
      </c>
      <c r="C255" s="252">
        <f>C94</f>
        <v>20</v>
      </c>
      <c r="D255" s="252">
        <f t="shared" ref="D255:F255" si="88">D94</f>
        <v>-0.2</v>
      </c>
      <c r="E255" s="252" t="str">
        <f t="shared" si="88"/>
        <v>-</v>
      </c>
      <c r="F255" s="252">
        <f t="shared" si="88"/>
        <v>0</v>
      </c>
      <c r="G255" s="252">
        <f>G94</f>
        <v>0</v>
      </c>
      <c r="I255" s="872"/>
      <c r="J255" s="252">
        <v>9</v>
      </c>
      <c r="K255" s="252">
        <f>J94</f>
        <v>40</v>
      </c>
      <c r="L255" s="252">
        <f>K94</f>
        <v>-1</v>
      </c>
      <c r="M255" s="252" t="str">
        <f>L94</f>
        <v>-</v>
      </c>
      <c r="N255" s="252">
        <f>M94</f>
        <v>0</v>
      </c>
      <c r="O255" s="252">
        <f>N94</f>
        <v>0</v>
      </c>
      <c r="Q255" s="872"/>
      <c r="R255" s="252">
        <v>9</v>
      </c>
      <c r="S255" s="252">
        <f>Q94</f>
        <v>800</v>
      </c>
      <c r="T255" s="252">
        <f>R94</f>
        <v>9.9999999999999995E-7</v>
      </c>
      <c r="U255" s="252" t="str">
        <f>S94</f>
        <v>-</v>
      </c>
      <c r="V255" s="252">
        <f>T94</f>
        <v>9.9999999999999995E-7</v>
      </c>
      <c r="W255" s="253">
        <f>U94</f>
        <v>0</v>
      </c>
      <c r="Y255" s="250">
        <v>7</v>
      </c>
      <c r="Z255" s="251">
        <f>X70</f>
        <v>2.4</v>
      </c>
      <c r="AE255" s="230"/>
    </row>
    <row r="256" spans="1:38" hidden="1">
      <c r="A256" s="872"/>
      <c r="B256" s="252">
        <v>10</v>
      </c>
      <c r="C256" s="252">
        <f>C105</f>
        <v>20</v>
      </c>
      <c r="D256" s="252">
        <f t="shared" ref="D256:F256" si="89">D105</f>
        <v>0.2</v>
      </c>
      <c r="E256" s="252">
        <f t="shared" si="89"/>
        <v>-0.7</v>
      </c>
      <c r="F256" s="252">
        <f t="shared" si="89"/>
        <v>0</v>
      </c>
      <c r="G256" s="252">
        <f>G105</f>
        <v>0.44999999999999996</v>
      </c>
      <c r="I256" s="872"/>
      <c r="J256" s="252">
        <v>10</v>
      </c>
      <c r="K256" s="252">
        <f>J105</f>
        <v>40</v>
      </c>
      <c r="L256" s="252">
        <f>K105</f>
        <v>-3.3</v>
      </c>
      <c r="M256" s="252">
        <f>L105</f>
        <v>-6.4</v>
      </c>
      <c r="N256" s="252">
        <f>M105</f>
        <v>0</v>
      </c>
      <c r="O256" s="252">
        <f>N105</f>
        <v>1.5500000000000003</v>
      </c>
      <c r="Q256" s="872"/>
      <c r="R256" s="252">
        <v>10</v>
      </c>
      <c r="S256" s="252">
        <f>Q105</f>
        <v>800</v>
      </c>
      <c r="T256" s="252" t="str">
        <f>R105</f>
        <v>-</v>
      </c>
      <c r="U256" s="252" t="str">
        <f>S105</f>
        <v>-</v>
      </c>
      <c r="V256" s="252">
        <f>T105</f>
        <v>9.9999999999999995E-7</v>
      </c>
      <c r="W256" s="253">
        <f>U105</f>
        <v>0</v>
      </c>
      <c r="Y256" s="250">
        <v>8</v>
      </c>
      <c r="Z256" s="251">
        <f>X81</f>
        <v>2.2999999999999998</v>
      </c>
      <c r="AE256" s="230"/>
    </row>
    <row r="257" spans="1:31" hidden="1">
      <c r="A257" s="872"/>
      <c r="B257" s="252">
        <v>11</v>
      </c>
      <c r="C257" s="252">
        <f>C116</f>
        <v>20</v>
      </c>
      <c r="D257" s="252">
        <f t="shared" ref="D257:F257" si="90">D116</f>
        <v>0.4</v>
      </c>
      <c r="E257" s="252">
        <f t="shared" si="90"/>
        <v>0.5</v>
      </c>
      <c r="F257" s="252">
        <f t="shared" si="90"/>
        <v>0</v>
      </c>
      <c r="G257" s="252">
        <f>G116</f>
        <v>4.9999999999999989E-2</v>
      </c>
      <c r="I257" s="872"/>
      <c r="J257" s="252">
        <v>11</v>
      </c>
      <c r="K257" s="252">
        <f>J116</f>
        <v>40</v>
      </c>
      <c r="L257" s="252">
        <f>K116</f>
        <v>-5.5</v>
      </c>
      <c r="M257" s="252">
        <f>L116</f>
        <v>-5.9</v>
      </c>
      <c r="N257" s="252">
        <f>M116</f>
        <v>0</v>
      </c>
      <c r="O257" s="252">
        <f>N116</f>
        <v>0.20000000000000018</v>
      </c>
      <c r="Q257" s="872"/>
      <c r="R257" s="252">
        <v>11</v>
      </c>
      <c r="S257" s="252">
        <f>Q116</f>
        <v>800</v>
      </c>
      <c r="T257" s="252" t="str">
        <f>R116</f>
        <v>-</v>
      </c>
      <c r="U257" s="252" t="str">
        <f>S116</f>
        <v>-</v>
      </c>
      <c r="V257" s="252">
        <f>T116</f>
        <v>9.9999999999999995E-7</v>
      </c>
      <c r="W257" s="253">
        <f>U116</f>
        <v>0</v>
      </c>
      <c r="Y257" s="250">
        <v>9</v>
      </c>
      <c r="Z257" s="251">
        <f>X92</f>
        <v>2.4</v>
      </c>
      <c r="AE257" s="230"/>
    </row>
    <row r="258" spans="1:31" hidden="1">
      <c r="A258" s="872"/>
      <c r="B258" s="252">
        <v>12</v>
      </c>
      <c r="C258" s="252">
        <f>C127</f>
        <v>20</v>
      </c>
      <c r="D258" s="252">
        <f t="shared" ref="D258:F258" si="91">D127</f>
        <v>0.3</v>
      </c>
      <c r="E258" s="252">
        <f t="shared" si="91"/>
        <v>9.9999999999999995E-7</v>
      </c>
      <c r="F258" s="252">
        <f t="shared" si="91"/>
        <v>0</v>
      </c>
      <c r="G258" s="252">
        <f>G127</f>
        <v>0.14999950000000001</v>
      </c>
      <c r="I258" s="872"/>
      <c r="J258" s="252">
        <v>12</v>
      </c>
      <c r="K258" s="252">
        <f>J127</f>
        <v>40</v>
      </c>
      <c r="L258" s="252">
        <f>K127</f>
        <v>-3.1</v>
      </c>
      <c r="M258" s="252">
        <f>L127</f>
        <v>-0.1</v>
      </c>
      <c r="N258" s="252">
        <f>M127</f>
        <v>0</v>
      </c>
      <c r="O258" s="252">
        <f>N127</f>
        <v>1.5</v>
      </c>
      <c r="Q258" s="872"/>
      <c r="R258" s="252">
        <v>12</v>
      </c>
      <c r="S258" s="252">
        <f>Q127</f>
        <v>970</v>
      </c>
      <c r="T258" s="252">
        <f>R127</f>
        <v>4.0999999999999996</v>
      </c>
      <c r="U258" s="252">
        <f>S127</f>
        <v>-0.5</v>
      </c>
      <c r="V258" s="252">
        <f>T127</f>
        <v>0</v>
      </c>
      <c r="W258" s="253">
        <f>U127</f>
        <v>2.2999999999999998</v>
      </c>
      <c r="Y258" s="250">
        <v>10</v>
      </c>
      <c r="Z258" s="251">
        <f>X103</f>
        <v>1.5</v>
      </c>
      <c r="AE258" s="230"/>
    </row>
    <row r="259" spans="1:31" hidden="1">
      <c r="A259" s="872"/>
      <c r="B259" s="252">
        <v>13</v>
      </c>
      <c r="C259" s="252">
        <f>C138</f>
        <v>20</v>
      </c>
      <c r="D259" s="252">
        <f t="shared" ref="D259:F259" si="92">D138</f>
        <v>0.2</v>
      </c>
      <c r="E259" s="252">
        <f t="shared" si="92"/>
        <v>0.2</v>
      </c>
      <c r="F259" s="252">
        <f t="shared" si="92"/>
        <v>-0.4</v>
      </c>
      <c r="G259" s="252">
        <f>G138</f>
        <v>0.30000000000000004</v>
      </c>
      <c r="I259" s="872"/>
      <c r="J259" s="252">
        <v>13</v>
      </c>
      <c r="K259" s="252">
        <f>J138</f>
        <v>40</v>
      </c>
      <c r="L259" s="252">
        <f>K138</f>
        <v>-4</v>
      </c>
      <c r="M259" s="252">
        <f>L138</f>
        <v>-2</v>
      </c>
      <c r="N259" s="252">
        <f>M138</f>
        <v>-1.3</v>
      </c>
      <c r="O259" s="252">
        <f>N138</f>
        <v>1.35</v>
      </c>
      <c r="Q259" s="872"/>
      <c r="R259" s="252">
        <v>13</v>
      </c>
      <c r="S259" s="252">
        <f>Q138</f>
        <v>990</v>
      </c>
      <c r="T259" s="252">
        <f>R138</f>
        <v>3.9</v>
      </c>
      <c r="U259" s="252">
        <f>S138</f>
        <v>3.8</v>
      </c>
      <c r="V259" s="252">
        <f>T138</f>
        <v>1</v>
      </c>
      <c r="W259" s="253">
        <f>U138</f>
        <v>1.45</v>
      </c>
      <c r="Y259" s="250">
        <v>11</v>
      </c>
      <c r="Z259" s="251">
        <f>X114</f>
        <v>1.8</v>
      </c>
      <c r="AE259" s="230"/>
    </row>
    <row r="260" spans="1:31" hidden="1">
      <c r="A260" s="872"/>
      <c r="B260" s="252">
        <v>14</v>
      </c>
      <c r="C260" s="252">
        <f>C149</f>
        <v>20</v>
      </c>
      <c r="D260" s="252">
        <f t="shared" ref="D260:F260" si="93">D149</f>
        <v>0.2</v>
      </c>
      <c r="E260" s="252">
        <f t="shared" si="93"/>
        <v>0.2</v>
      </c>
      <c r="F260" s="252">
        <f t="shared" si="93"/>
        <v>-0.1</v>
      </c>
      <c r="G260" s="252">
        <f>G149</f>
        <v>0.15000000000000002</v>
      </c>
      <c r="I260" s="872"/>
      <c r="J260" s="252">
        <v>14</v>
      </c>
      <c r="K260" s="252">
        <f>J149</f>
        <v>40</v>
      </c>
      <c r="L260" s="252">
        <f>K149</f>
        <v>-3.8</v>
      </c>
      <c r="M260" s="252">
        <f>L149</f>
        <v>-0.4</v>
      </c>
      <c r="N260" s="252">
        <f>M149</f>
        <v>0.3</v>
      </c>
      <c r="O260" s="252">
        <f>N149</f>
        <v>2.0499999999999998</v>
      </c>
      <c r="Q260" s="872"/>
      <c r="R260" s="252">
        <v>14</v>
      </c>
      <c r="S260" s="252">
        <f>Q149</f>
        <v>990</v>
      </c>
      <c r="T260" s="252">
        <f>R149</f>
        <v>4</v>
      </c>
      <c r="U260" s="252">
        <f>S149</f>
        <v>3.9</v>
      </c>
      <c r="V260" s="252">
        <f>T149</f>
        <v>1</v>
      </c>
      <c r="W260" s="253">
        <f>U149</f>
        <v>1.5</v>
      </c>
      <c r="Y260" s="250">
        <v>12</v>
      </c>
      <c r="Z260" s="275">
        <f>X125</f>
        <v>2.2999999999999998</v>
      </c>
      <c r="AE260" s="230"/>
    </row>
    <row r="261" spans="1:31" hidden="1">
      <c r="A261" s="872"/>
      <c r="B261" s="252">
        <v>15</v>
      </c>
      <c r="C261" s="252">
        <f>C160</f>
        <v>20</v>
      </c>
      <c r="D261" s="252">
        <f t="shared" ref="D261:F261" si="94">D160</f>
        <v>0.2</v>
      </c>
      <c r="E261" s="252">
        <f t="shared" si="94"/>
        <v>0.3</v>
      </c>
      <c r="F261" s="252">
        <f t="shared" si="94"/>
        <v>-0.5</v>
      </c>
      <c r="G261" s="252">
        <f>G160</f>
        <v>0.4</v>
      </c>
      <c r="I261" s="872"/>
      <c r="J261" s="252">
        <v>15</v>
      </c>
      <c r="K261" s="252">
        <f>J160</f>
        <v>40</v>
      </c>
      <c r="L261" s="252">
        <f>K160</f>
        <v>-3.8</v>
      </c>
      <c r="M261" s="252">
        <f>L160</f>
        <v>-1.7</v>
      </c>
      <c r="N261" s="252">
        <f>M160</f>
        <v>-0.3</v>
      </c>
      <c r="O261" s="252">
        <f>N160</f>
        <v>1.75</v>
      </c>
      <c r="Q261" s="872"/>
      <c r="R261" s="252">
        <v>15</v>
      </c>
      <c r="S261" s="252">
        <f>Q160</f>
        <v>990</v>
      </c>
      <c r="T261" s="252">
        <f>R160</f>
        <v>4.3</v>
      </c>
      <c r="U261" s="252">
        <f>S160</f>
        <v>4.2</v>
      </c>
      <c r="V261" s="252">
        <f>T160</f>
        <v>1</v>
      </c>
      <c r="W261" s="253">
        <f>U160</f>
        <v>1.65</v>
      </c>
      <c r="Y261" s="250">
        <v>13</v>
      </c>
      <c r="Z261" s="251">
        <f>X136</f>
        <v>2.2999999999999998</v>
      </c>
      <c r="AE261" s="230"/>
    </row>
    <row r="262" spans="1:31" hidden="1">
      <c r="A262" s="872"/>
      <c r="B262" s="252">
        <v>16</v>
      </c>
      <c r="C262" s="252">
        <f>C171</f>
        <v>20</v>
      </c>
      <c r="D262" s="252">
        <f t="shared" ref="D262:F262" si="95">D171</f>
        <v>0.3</v>
      </c>
      <c r="E262" s="252">
        <f t="shared" si="95"/>
        <v>0.2</v>
      </c>
      <c r="F262" s="252">
        <f t="shared" si="95"/>
        <v>0</v>
      </c>
      <c r="G262" s="252">
        <f>G171</f>
        <v>4.9999999999999989E-2</v>
      </c>
      <c r="I262" s="872"/>
      <c r="J262" s="252">
        <v>16</v>
      </c>
      <c r="K262" s="252">
        <f>J171</f>
        <v>40</v>
      </c>
      <c r="L262" s="252">
        <f>K171</f>
        <v>-2.2999999999999998</v>
      </c>
      <c r="M262" s="252">
        <f>L171</f>
        <v>-1.4</v>
      </c>
      <c r="N262" s="252">
        <f>M171</f>
        <v>0</v>
      </c>
      <c r="O262" s="252">
        <f>N171</f>
        <v>0.44999999999999996</v>
      </c>
      <c r="Q262" s="872"/>
      <c r="R262" s="252">
        <v>16</v>
      </c>
      <c r="S262" s="252">
        <f>Q171</f>
        <v>970</v>
      </c>
      <c r="T262" s="252">
        <f>R171</f>
        <v>4.5</v>
      </c>
      <c r="U262" s="252">
        <f>S171</f>
        <v>-2.2999999999999998</v>
      </c>
      <c r="V262" s="252">
        <f>T171</f>
        <v>0</v>
      </c>
      <c r="W262" s="253">
        <f>U171</f>
        <v>3.4</v>
      </c>
      <c r="Y262" s="250">
        <v>14</v>
      </c>
      <c r="Z262" s="251">
        <f>X147</f>
        <v>2.2999999999999998</v>
      </c>
      <c r="AE262" s="230"/>
    </row>
    <row r="263" spans="1:31" hidden="1">
      <c r="A263" s="872"/>
      <c r="B263" s="252">
        <v>17</v>
      </c>
      <c r="C263" s="252">
        <f>C182</f>
        <v>20</v>
      </c>
      <c r="D263" s="252">
        <f>D182</f>
        <v>0.4</v>
      </c>
      <c r="E263" s="252">
        <f>E182</f>
        <v>0.1</v>
      </c>
      <c r="F263" s="252">
        <f t="shared" ref="F263" si="96">F182</f>
        <v>0</v>
      </c>
      <c r="G263" s="252">
        <f>G182</f>
        <v>0.15000000000000002</v>
      </c>
      <c r="I263" s="872"/>
      <c r="J263" s="252">
        <v>17</v>
      </c>
      <c r="K263" s="252">
        <f>J182</f>
        <v>40</v>
      </c>
      <c r="L263" s="252">
        <f>K182</f>
        <v>-2.4</v>
      </c>
      <c r="M263" s="252">
        <f>L182</f>
        <v>0.2</v>
      </c>
      <c r="N263" s="252">
        <f>M182</f>
        <v>0</v>
      </c>
      <c r="O263" s="252">
        <f>N182</f>
        <v>1.3</v>
      </c>
      <c r="Q263" s="872"/>
      <c r="R263" s="252">
        <v>17</v>
      </c>
      <c r="S263" s="252">
        <f>Q182</f>
        <v>970</v>
      </c>
      <c r="T263" s="252">
        <f>R182</f>
        <v>4.5</v>
      </c>
      <c r="U263" s="252">
        <f>S182</f>
        <v>-0.6</v>
      </c>
      <c r="V263" s="252">
        <f>T182</f>
        <v>0</v>
      </c>
      <c r="W263" s="253">
        <f>U182</f>
        <v>2.5499999999999998</v>
      </c>
      <c r="Y263" s="250">
        <v>15</v>
      </c>
      <c r="Z263" s="251">
        <f>X158</f>
        <v>2.2999999999999998</v>
      </c>
      <c r="AE263" s="230"/>
    </row>
    <row r="264" spans="1:31" hidden="1">
      <c r="A264" s="872"/>
      <c r="B264" s="252">
        <v>18</v>
      </c>
      <c r="C264" s="252">
        <f>C193</f>
        <v>20</v>
      </c>
      <c r="D264" s="252">
        <f t="shared" ref="D264:F264" si="97">D193</f>
        <v>0.2</v>
      </c>
      <c r="E264" s="252">
        <f t="shared" si="97"/>
        <v>-0.1</v>
      </c>
      <c r="F264" s="252">
        <f t="shared" si="97"/>
        <v>0</v>
      </c>
      <c r="G264" s="252">
        <f>G193</f>
        <v>0.15000000000000002</v>
      </c>
      <c r="I264" s="872"/>
      <c r="J264" s="252">
        <v>18</v>
      </c>
      <c r="K264" s="252">
        <f>J193</f>
        <v>40</v>
      </c>
      <c r="L264" s="252">
        <f>K193</f>
        <v>-2.9</v>
      </c>
      <c r="M264" s="252">
        <f>L193</f>
        <v>-0.2</v>
      </c>
      <c r="N264" s="252">
        <f>M193</f>
        <v>0</v>
      </c>
      <c r="O264" s="252">
        <f>N193</f>
        <v>1.3499999999999999</v>
      </c>
      <c r="Q264" s="872"/>
      <c r="R264" s="252">
        <v>18</v>
      </c>
      <c r="S264" s="252">
        <f>Q193</f>
        <v>970</v>
      </c>
      <c r="T264" s="252">
        <f>R193</f>
        <v>4.4000000000000004</v>
      </c>
      <c r="U264" s="252">
        <f>S193</f>
        <v>-1.3</v>
      </c>
      <c r="V264" s="252">
        <f>T193</f>
        <v>0</v>
      </c>
      <c r="W264" s="253">
        <f>U193</f>
        <v>2.85</v>
      </c>
      <c r="Y264" s="250">
        <v>16</v>
      </c>
      <c r="Z264" s="251">
        <f>X169</f>
        <v>2.2999999999999998</v>
      </c>
      <c r="AE264" s="230"/>
    </row>
    <row r="265" spans="1:31" hidden="1">
      <c r="A265" s="872"/>
      <c r="B265" s="252">
        <v>19</v>
      </c>
      <c r="C265" s="252">
        <f>C204</f>
        <v>20</v>
      </c>
      <c r="D265" s="252">
        <f t="shared" ref="D265:F265" si="98">D204</f>
        <v>0.3</v>
      </c>
      <c r="E265" s="252">
        <f t="shared" si="98"/>
        <v>0.1</v>
      </c>
      <c r="F265" s="252">
        <f t="shared" si="98"/>
        <v>0</v>
      </c>
      <c r="G265" s="252">
        <f>G204</f>
        <v>9.9999999999999992E-2</v>
      </c>
      <c r="I265" s="872"/>
      <c r="J265" s="252">
        <v>19</v>
      </c>
      <c r="K265" s="252">
        <f>J204</f>
        <v>40</v>
      </c>
      <c r="L265" s="252">
        <f>K204</f>
        <v>-2.4</v>
      </c>
      <c r="M265" s="252">
        <f>L204</f>
        <v>-0.8</v>
      </c>
      <c r="N265" s="252">
        <f>M204</f>
        <v>0</v>
      </c>
      <c r="O265" s="252">
        <f>N204</f>
        <v>0.79999999999999993</v>
      </c>
      <c r="Q265" s="872"/>
      <c r="R265" s="252">
        <v>19</v>
      </c>
      <c r="S265" s="252">
        <f>Q204</f>
        <v>800</v>
      </c>
      <c r="T265" s="252">
        <f>R204</f>
        <v>4.5</v>
      </c>
      <c r="U265" s="252">
        <f>S204</f>
        <v>2.5</v>
      </c>
      <c r="V265" s="252">
        <f>T204</f>
        <v>0</v>
      </c>
      <c r="W265" s="253">
        <f>U204</f>
        <v>1</v>
      </c>
      <c r="Y265" s="250">
        <v>17</v>
      </c>
      <c r="Z265" s="251">
        <f>X180</f>
        <v>2.2999999999999998</v>
      </c>
      <c r="AE265" s="230"/>
    </row>
    <row r="266" spans="1:31" ht="13.8" hidden="1" thickBot="1">
      <c r="A266" s="872"/>
      <c r="B266" s="252">
        <v>20</v>
      </c>
      <c r="C266" s="252">
        <f>C215</f>
        <v>19.7</v>
      </c>
      <c r="D266" s="252">
        <f t="shared" ref="D266:F266" si="99">D215</f>
        <v>9.9999999999999995E-7</v>
      </c>
      <c r="E266" s="252" t="str">
        <f t="shared" si="99"/>
        <v>-</v>
      </c>
      <c r="F266" s="252">
        <f t="shared" si="99"/>
        <v>9.9999999999999995E-7</v>
      </c>
      <c r="G266" s="252">
        <f>G215</f>
        <v>0</v>
      </c>
      <c r="I266" s="872"/>
      <c r="J266" s="252">
        <v>20</v>
      </c>
      <c r="K266" s="252">
        <f>J215</f>
        <v>54.3</v>
      </c>
      <c r="L266" s="252">
        <f>K215</f>
        <v>9.9999999999999995E-7</v>
      </c>
      <c r="M266" s="252" t="str">
        <f>L215</f>
        <v>-</v>
      </c>
      <c r="N266" s="252">
        <f>M215</f>
        <v>0</v>
      </c>
      <c r="O266" s="252">
        <f>N215</f>
        <v>0</v>
      </c>
      <c r="Q266" s="874"/>
      <c r="R266" s="261">
        <v>20</v>
      </c>
      <c r="S266" s="261">
        <f>Q215</f>
        <v>800</v>
      </c>
      <c r="T266" s="261">
        <f>R215</f>
        <v>9.9999999999999995E-7</v>
      </c>
      <c r="U266" s="261" t="str">
        <f>S215</f>
        <v>-</v>
      </c>
      <c r="V266" s="261">
        <f>T215</f>
        <v>9.9999999999999995E-7</v>
      </c>
      <c r="W266" s="276">
        <f>U215</f>
        <v>0</v>
      </c>
      <c r="Y266" s="250">
        <v>18</v>
      </c>
      <c r="Z266" s="251">
        <f>X191</f>
        <v>2.2999999999999998</v>
      </c>
      <c r="AE266" s="265"/>
    </row>
    <row r="267" spans="1:31" hidden="1">
      <c r="A267" s="266"/>
      <c r="B267" s="266"/>
      <c r="C267" s="266"/>
      <c r="D267" s="266"/>
      <c r="E267" s="266"/>
      <c r="F267" s="246"/>
      <c r="G267" s="266"/>
      <c r="I267" s="266"/>
      <c r="J267" s="266"/>
      <c r="K267" s="266"/>
      <c r="L267" s="266"/>
      <c r="M267" s="266"/>
      <c r="N267" s="246"/>
      <c r="O267" s="266"/>
      <c r="Q267" s="277"/>
      <c r="R267" s="267"/>
      <c r="S267" s="125"/>
      <c r="T267" s="125"/>
      <c r="U267" s="125"/>
      <c r="W267" s="126"/>
      <c r="Y267" s="250">
        <v>19</v>
      </c>
      <c r="Z267" s="258">
        <f>X202</f>
        <v>2.2999999999999998</v>
      </c>
      <c r="AE267" s="230"/>
    </row>
    <row r="268" spans="1:31" ht="13.8" hidden="1" thickBot="1">
      <c r="A268" s="872">
        <v>3</v>
      </c>
      <c r="B268" s="252">
        <v>1</v>
      </c>
      <c r="C268" s="252">
        <f>C7</f>
        <v>25</v>
      </c>
      <c r="D268" s="252">
        <f t="shared" ref="D268:F268" si="100">D7</f>
        <v>-0.1</v>
      </c>
      <c r="E268" s="252">
        <f t="shared" si="100"/>
        <v>0.1</v>
      </c>
      <c r="F268" s="252">
        <f t="shared" si="100"/>
        <v>9.9999999999999995E-7</v>
      </c>
      <c r="G268" s="252">
        <f>G7</f>
        <v>0.1</v>
      </c>
      <c r="I268" s="872">
        <v>3</v>
      </c>
      <c r="J268" s="252">
        <v>1</v>
      </c>
      <c r="K268" s="252">
        <f>J7</f>
        <v>50</v>
      </c>
      <c r="L268" s="252">
        <f>K7</f>
        <v>-6.6</v>
      </c>
      <c r="M268" s="252">
        <f>L7</f>
        <v>-9.1</v>
      </c>
      <c r="N268" s="252">
        <f>M7</f>
        <v>-5.3</v>
      </c>
      <c r="O268" s="252">
        <f>N7</f>
        <v>1.9</v>
      </c>
      <c r="Q268" s="873">
        <v>3</v>
      </c>
      <c r="R268" s="271">
        <v>1</v>
      </c>
      <c r="S268" s="271">
        <f>Q7</f>
        <v>850</v>
      </c>
      <c r="T268" s="271" t="str">
        <f>R7</f>
        <v>-</v>
      </c>
      <c r="U268" s="271" t="str">
        <f>S7</f>
        <v>-</v>
      </c>
      <c r="V268" s="271">
        <f>T7</f>
        <v>9.9999999999999995E-7</v>
      </c>
      <c r="W268" s="278">
        <f>U7</f>
        <v>0</v>
      </c>
      <c r="Y268" s="259">
        <v>20</v>
      </c>
      <c r="Z268" s="260">
        <f>X213</f>
        <v>0</v>
      </c>
      <c r="AE268" s="274"/>
    </row>
    <row r="269" spans="1:31" hidden="1">
      <c r="A269" s="872"/>
      <c r="B269" s="252">
        <v>2</v>
      </c>
      <c r="C269" s="252">
        <f>C18</f>
        <v>25</v>
      </c>
      <c r="D269" s="252">
        <f t="shared" ref="D269:F269" si="101">D18</f>
        <v>0.3</v>
      </c>
      <c r="E269" s="252">
        <f t="shared" si="101"/>
        <v>0.5</v>
      </c>
      <c r="F269" s="252">
        <f t="shared" si="101"/>
        <v>-0.2</v>
      </c>
      <c r="G269" s="252">
        <f>G18</f>
        <v>0.35</v>
      </c>
      <c r="I269" s="872"/>
      <c r="J269" s="252">
        <v>2</v>
      </c>
      <c r="K269" s="252">
        <f>J18</f>
        <v>50</v>
      </c>
      <c r="L269" s="252">
        <f>K18</f>
        <v>-8</v>
      </c>
      <c r="M269" s="252">
        <f>L18</f>
        <v>-5.3</v>
      </c>
      <c r="N269" s="252">
        <f>M18</f>
        <v>-1.5</v>
      </c>
      <c r="O269" s="252">
        <f>N18</f>
        <v>3.25</v>
      </c>
      <c r="Q269" s="872"/>
      <c r="R269" s="252">
        <v>2</v>
      </c>
      <c r="S269" s="252">
        <f>Q18</f>
        <v>850</v>
      </c>
      <c r="T269" s="252" t="str">
        <f>R18</f>
        <v>-</v>
      </c>
      <c r="U269" s="252" t="str">
        <f>S18</f>
        <v>-</v>
      </c>
      <c r="V269" s="252" t="str">
        <f>T18</f>
        <v>-</v>
      </c>
      <c r="W269" s="253">
        <f>U18</f>
        <v>0</v>
      </c>
      <c r="AE269" s="230"/>
    </row>
    <row r="270" spans="1:31" hidden="1">
      <c r="A270" s="872"/>
      <c r="B270" s="252">
        <v>3</v>
      </c>
      <c r="C270" s="252">
        <f>C29</f>
        <v>25</v>
      </c>
      <c r="D270" s="252">
        <f t="shared" ref="D270:F270" si="102">D29</f>
        <v>0.3</v>
      </c>
      <c r="E270" s="252">
        <f t="shared" si="102"/>
        <v>0.7</v>
      </c>
      <c r="F270" s="252">
        <f t="shared" si="102"/>
        <v>-0.1</v>
      </c>
      <c r="G270" s="252">
        <f>G29</f>
        <v>0.39999999999999997</v>
      </c>
      <c r="I270" s="872"/>
      <c r="J270" s="252">
        <v>3</v>
      </c>
      <c r="K270" s="252">
        <f>J29</f>
        <v>50</v>
      </c>
      <c r="L270" s="252">
        <f>K29</f>
        <v>-7.9</v>
      </c>
      <c r="M270" s="252">
        <f>L29</f>
        <v>-4.5</v>
      </c>
      <c r="N270" s="252">
        <f>M29</f>
        <v>-4.9000000000000004</v>
      </c>
      <c r="O270" s="252">
        <f>N29</f>
        <v>1.7000000000000002</v>
      </c>
      <c r="Q270" s="872"/>
      <c r="R270" s="252">
        <v>3</v>
      </c>
      <c r="S270" s="252">
        <f>Q29</f>
        <v>850</v>
      </c>
      <c r="T270" s="252" t="str">
        <f>R29</f>
        <v>-</v>
      </c>
      <c r="U270" s="252" t="str">
        <f>S29</f>
        <v>-</v>
      </c>
      <c r="V270" s="252" t="str">
        <f>T29</f>
        <v>-</v>
      </c>
      <c r="W270" s="253">
        <f>U29</f>
        <v>0</v>
      </c>
      <c r="AE270" s="230"/>
    </row>
    <row r="271" spans="1:31" hidden="1">
      <c r="A271" s="872"/>
      <c r="B271" s="252">
        <v>4</v>
      </c>
      <c r="C271" s="252">
        <f>C40</f>
        <v>25</v>
      </c>
      <c r="D271" s="252">
        <f t="shared" ref="D271:F271" si="103">D40</f>
        <v>-0.1</v>
      </c>
      <c r="E271" s="252">
        <f t="shared" si="103"/>
        <v>-0.5</v>
      </c>
      <c r="F271" s="252">
        <f t="shared" si="103"/>
        <v>0</v>
      </c>
      <c r="G271" s="252">
        <f>G40</f>
        <v>0.2</v>
      </c>
      <c r="I271" s="872"/>
      <c r="J271" s="252">
        <v>4</v>
      </c>
      <c r="K271" s="252">
        <f>J40</f>
        <v>50</v>
      </c>
      <c r="L271" s="252">
        <f>K40</f>
        <v>-4.3</v>
      </c>
      <c r="M271" s="252">
        <f>L40</f>
        <v>-1</v>
      </c>
      <c r="N271" s="252">
        <f>M40</f>
        <v>0</v>
      </c>
      <c r="O271" s="252">
        <f>N40</f>
        <v>1.65</v>
      </c>
      <c r="Q271" s="872"/>
      <c r="R271" s="252">
        <v>4</v>
      </c>
      <c r="S271" s="252">
        <f>Q40</f>
        <v>850</v>
      </c>
      <c r="T271" s="252" t="str">
        <f>R40</f>
        <v>-</v>
      </c>
      <c r="U271" s="252" t="str">
        <f>S40</f>
        <v>-</v>
      </c>
      <c r="V271" s="252">
        <f>T40</f>
        <v>9.9999999999999995E-7</v>
      </c>
      <c r="W271" s="253">
        <f>U40</f>
        <v>0</v>
      </c>
      <c r="Y271" s="862" t="s">
        <v>208</v>
      </c>
      <c r="Z271" s="863"/>
      <c r="AE271" s="230"/>
    </row>
    <row r="272" spans="1:31" hidden="1">
      <c r="A272" s="872"/>
      <c r="B272" s="252">
        <v>5</v>
      </c>
      <c r="C272" s="252">
        <f>C51</f>
        <v>25</v>
      </c>
      <c r="D272" s="252">
        <f t="shared" ref="D272:F272" si="104">D51</f>
        <v>0.4</v>
      </c>
      <c r="E272" s="252">
        <f t="shared" si="104"/>
        <v>0.2</v>
      </c>
      <c r="F272" s="252">
        <f t="shared" si="104"/>
        <v>0.4</v>
      </c>
      <c r="G272" s="252">
        <f>G51</f>
        <v>0.1</v>
      </c>
      <c r="I272" s="872"/>
      <c r="J272" s="252">
        <v>5</v>
      </c>
      <c r="K272" s="252">
        <f>J51</f>
        <v>50</v>
      </c>
      <c r="L272" s="252">
        <f>K51</f>
        <v>-8.8000000000000007</v>
      </c>
      <c r="M272" s="252">
        <f>L51</f>
        <v>-9.1</v>
      </c>
      <c r="N272" s="252">
        <f>M51</f>
        <v>-6.2</v>
      </c>
      <c r="O272" s="252">
        <f>N51</f>
        <v>1.4499999999999997</v>
      </c>
      <c r="Q272" s="872"/>
      <c r="R272" s="252">
        <v>5</v>
      </c>
      <c r="S272" s="252">
        <f>Q51</f>
        <v>850</v>
      </c>
      <c r="T272" s="252" t="str">
        <f>R51</f>
        <v>-</v>
      </c>
      <c r="U272" s="252" t="str">
        <f>S51</f>
        <v>-</v>
      </c>
      <c r="V272" s="252" t="str">
        <f>T51</f>
        <v>-</v>
      </c>
      <c r="W272" s="253">
        <f>U51</f>
        <v>0</v>
      </c>
      <c r="Y272" s="869" t="s">
        <v>243</v>
      </c>
      <c r="Z272" s="870"/>
      <c r="AE272" s="230"/>
    </row>
    <row r="273" spans="1:31" hidden="1">
      <c r="A273" s="872"/>
      <c r="B273" s="252">
        <v>6</v>
      </c>
      <c r="C273" s="252">
        <f>C62</f>
        <v>25</v>
      </c>
      <c r="D273" s="252">
        <f t="shared" ref="D273:F273" si="105">D62</f>
        <v>0.2</v>
      </c>
      <c r="E273" s="252">
        <f t="shared" si="105"/>
        <v>-0.1</v>
      </c>
      <c r="F273" s="252">
        <f t="shared" si="105"/>
        <v>0</v>
      </c>
      <c r="G273" s="252">
        <f>G62</f>
        <v>0.15000000000000002</v>
      </c>
      <c r="I273" s="872"/>
      <c r="J273" s="252">
        <v>6</v>
      </c>
      <c r="K273" s="252">
        <f>J62</f>
        <v>50</v>
      </c>
      <c r="L273" s="252">
        <f>K62</f>
        <v>-5.4</v>
      </c>
      <c r="M273" s="252">
        <f>L62</f>
        <v>1.2</v>
      </c>
      <c r="N273" s="252">
        <f>M62</f>
        <v>0</v>
      </c>
      <c r="O273" s="252">
        <f>N62</f>
        <v>3.3000000000000003</v>
      </c>
      <c r="Q273" s="872"/>
      <c r="R273" s="252">
        <v>6</v>
      </c>
      <c r="S273" s="252">
        <f>Q62</f>
        <v>850</v>
      </c>
      <c r="T273" s="252">
        <f>R62</f>
        <v>0.9</v>
      </c>
      <c r="U273" s="252">
        <f>S62</f>
        <v>1.1000000000000001</v>
      </c>
      <c r="V273" s="252">
        <f>T62</f>
        <v>9.9999999999999995E-7</v>
      </c>
      <c r="W273" s="253">
        <f>U62</f>
        <v>0.54999950000000009</v>
      </c>
      <c r="Y273" s="250">
        <v>1</v>
      </c>
      <c r="Z273" s="251">
        <f>X5</f>
        <v>0</v>
      </c>
      <c r="AE273" s="230"/>
    </row>
    <row r="274" spans="1:31" hidden="1">
      <c r="A274" s="872"/>
      <c r="B274" s="252">
        <v>7</v>
      </c>
      <c r="C274" s="252">
        <f>C73</f>
        <v>25</v>
      </c>
      <c r="D274" s="252">
        <f t="shared" ref="D274:F274" si="106">D73</f>
        <v>9.9999999999999995E-7</v>
      </c>
      <c r="E274" s="252">
        <f t="shared" si="106"/>
        <v>-0.2</v>
      </c>
      <c r="F274" s="252">
        <f t="shared" si="106"/>
        <v>0</v>
      </c>
      <c r="G274" s="252">
        <f>G73</f>
        <v>0.10000050000000001</v>
      </c>
      <c r="I274" s="872"/>
      <c r="J274" s="252">
        <v>7</v>
      </c>
      <c r="K274" s="252">
        <f>J73</f>
        <v>50</v>
      </c>
      <c r="L274" s="252">
        <f>K73</f>
        <v>-1.9</v>
      </c>
      <c r="M274" s="252">
        <f>L73</f>
        <v>0.8</v>
      </c>
      <c r="N274" s="252">
        <f>M73</f>
        <v>0</v>
      </c>
      <c r="O274" s="252">
        <f>N73</f>
        <v>1.35</v>
      </c>
      <c r="Q274" s="872"/>
      <c r="R274" s="252">
        <v>7</v>
      </c>
      <c r="S274" s="252">
        <f>Q73</f>
        <v>850</v>
      </c>
      <c r="T274" s="252">
        <f>R73</f>
        <v>9.9999999999999995E-7</v>
      </c>
      <c r="U274" s="252">
        <f>S73</f>
        <v>1.7</v>
      </c>
      <c r="V274" s="252">
        <f>T73</f>
        <v>9.9999999999999995E-7</v>
      </c>
      <c r="W274" s="253">
        <f>U73</f>
        <v>0.84999950000000002</v>
      </c>
      <c r="Y274" s="254">
        <v>2</v>
      </c>
      <c r="Z274" s="251">
        <f>X16</f>
        <v>0</v>
      </c>
      <c r="AE274" s="230"/>
    </row>
    <row r="275" spans="1:31" hidden="1">
      <c r="A275" s="872"/>
      <c r="B275" s="252">
        <v>8</v>
      </c>
      <c r="C275" s="252">
        <f>C84</f>
        <v>25</v>
      </c>
      <c r="D275" s="252">
        <f t="shared" ref="D275:F275" si="107">D84</f>
        <v>0</v>
      </c>
      <c r="E275" s="252">
        <f t="shared" si="107"/>
        <v>-0.1</v>
      </c>
      <c r="F275" s="252">
        <f t="shared" si="107"/>
        <v>-0.4</v>
      </c>
      <c r="G275" s="252">
        <f>G84</f>
        <v>0.2</v>
      </c>
      <c r="I275" s="872"/>
      <c r="J275" s="252">
        <v>8</v>
      </c>
      <c r="K275" s="252">
        <f>J84</f>
        <v>50</v>
      </c>
      <c r="L275" s="252">
        <f>K84</f>
        <v>-5</v>
      </c>
      <c r="M275" s="252">
        <f>L84</f>
        <v>-3.8</v>
      </c>
      <c r="N275" s="252">
        <f>M84</f>
        <v>-1.2</v>
      </c>
      <c r="O275" s="252">
        <f>N84</f>
        <v>1.9</v>
      </c>
      <c r="Q275" s="872"/>
      <c r="R275" s="252">
        <v>8</v>
      </c>
      <c r="S275" s="252">
        <f>Q84</f>
        <v>980</v>
      </c>
      <c r="T275" s="252">
        <f>R84</f>
        <v>-0.6</v>
      </c>
      <c r="U275" s="252">
        <f>S84</f>
        <v>-3.8</v>
      </c>
      <c r="V275" s="252">
        <f>T84</f>
        <v>9.9999999999999995E-7</v>
      </c>
      <c r="W275" s="253">
        <f>U84</f>
        <v>1.9000005</v>
      </c>
      <c r="Y275" s="254">
        <v>3</v>
      </c>
      <c r="Z275" s="255">
        <f>X27</f>
        <v>0</v>
      </c>
      <c r="AE275" s="230"/>
    </row>
    <row r="276" spans="1:31" hidden="1">
      <c r="A276" s="872"/>
      <c r="B276" s="252">
        <v>9</v>
      </c>
      <c r="C276" s="252">
        <f>C95</f>
        <v>25</v>
      </c>
      <c r="D276" s="252">
        <f t="shared" ref="D276:F276" si="108">D95</f>
        <v>-0.4</v>
      </c>
      <c r="E276" s="252" t="str">
        <f t="shared" si="108"/>
        <v>-</v>
      </c>
      <c r="F276" s="252">
        <f t="shared" si="108"/>
        <v>0</v>
      </c>
      <c r="G276" s="252">
        <f>G95</f>
        <v>0</v>
      </c>
      <c r="I276" s="872"/>
      <c r="J276" s="252">
        <v>9</v>
      </c>
      <c r="K276" s="252">
        <f>J95</f>
        <v>50</v>
      </c>
      <c r="L276" s="252">
        <f>K95</f>
        <v>-0.9</v>
      </c>
      <c r="M276" s="252" t="str">
        <f>L95</f>
        <v>-</v>
      </c>
      <c r="N276" s="252">
        <f>M95</f>
        <v>0</v>
      </c>
      <c r="O276" s="252">
        <f>N95</f>
        <v>0</v>
      </c>
      <c r="Q276" s="872"/>
      <c r="R276" s="252">
        <v>9</v>
      </c>
      <c r="S276" s="252">
        <f>Q95</f>
        <v>850</v>
      </c>
      <c r="T276" s="252">
        <f>R95</f>
        <v>9.9999999999999995E-7</v>
      </c>
      <c r="U276" s="252" t="str">
        <f>S95</f>
        <v>-</v>
      </c>
      <c r="V276" s="252">
        <f>T95</f>
        <v>9.9999999999999995E-7</v>
      </c>
      <c r="W276" s="253">
        <f>U95</f>
        <v>0</v>
      </c>
      <c r="Y276" s="254">
        <v>4</v>
      </c>
      <c r="Z276" s="255">
        <f>X38</f>
        <v>0</v>
      </c>
      <c r="AE276" s="230"/>
    </row>
    <row r="277" spans="1:31" hidden="1">
      <c r="A277" s="872"/>
      <c r="B277" s="252">
        <v>10</v>
      </c>
      <c r="C277" s="252">
        <f>C106</f>
        <v>25</v>
      </c>
      <c r="D277" s="252">
        <f t="shared" ref="D277:F277" si="109">D106</f>
        <v>0.1</v>
      </c>
      <c r="E277" s="252">
        <f t="shared" si="109"/>
        <v>-0.5</v>
      </c>
      <c r="F277" s="252">
        <f t="shared" si="109"/>
        <v>0</v>
      </c>
      <c r="G277" s="252">
        <f>G106</f>
        <v>0.3</v>
      </c>
      <c r="I277" s="872"/>
      <c r="J277" s="252">
        <v>10</v>
      </c>
      <c r="K277" s="252">
        <f>J106</f>
        <v>50</v>
      </c>
      <c r="L277" s="252">
        <f>K106</f>
        <v>-3.1</v>
      </c>
      <c r="M277" s="252">
        <f>L106</f>
        <v>-6.1</v>
      </c>
      <c r="N277" s="252">
        <f>M106</f>
        <v>0</v>
      </c>
      <c r="O277" s="252">
        <f>N106</f>
        <v>1.4999999999999998</v>
      </c>
      <c r="Q277" s="872"/>
      <c r="R277" s="252">
        <v>10</v>
      </c>
      <c r="S277" s="252">
        <f>Q106</f>
        <v>850</v>
      </c>
      <c r="T277" s="252" t="str">
        <f>R106</f>
        <v>-</v>
      </c>
      <c r="U277" s="252" t="str">
        <f>S106</f>
        <v>-</v>
      </c>
      <c r="V277" s="252">
        <f>T106</f>
        <v>9.9999999999999995E-7</v>
      </c>
      <c r="W277" s="253">
        <f>U106</f>
        <v>0</v>
      </c>
      <c r="Y277" s="254">
        <v>5</v>
      </c>
      <c r="Z277" s="255">
        <f>X49</f>
        <v>0</v>
      </c>
      <c r="AE277" s="230"/>
    </row>
    <row r="278" spans="1:31" hidden="1">
      <c r="A278" s="872"/>
      <c r="B278" s="252">
        <v>11</v>
      </c>
      <c r="C278" s="252">
        <f>C117</f>
        <v>25</v>
      </c>
      <c r="D278" s="252">
        <f t="shared" ref="D278:F278" si="110">D117</f>
        <v>0.4</v>
      </c>
      <c r="E278" s="252">
        <f t="shared" si="110"/>
        <v>0.5</v>
      </c>
      <c r="F278" s="252">
        <f t="shared" si="110"/>
        <v>0</v>
      </c>
      <c r="G278" s="252">
        <f>G117</f>
        <v>4.9999999999999989E-2</v>
      </c>
      <c r="I278" s="872"/>
      <c r="J278" s="252">
        <v>11</v>
      </c>
      <c r="K278" s="252">
        <f>J117</f>
        <v>50</v>
      </c>
      <c r="L278" s="252">
        <f>K117</f>
        <v>-5.5</v>
      </c>
      <c r="M278" s="252">
        <f>L117</f>
        <v>-5.6</v>
      </c>
      <c r="N278" s="252">
        <f>M117</f>
        <v>0</v>
      </c>
      <c r="O278" s="252">
        <f>N117</f>
        <v>4.9999999999999822E-2</v>
      </c>
      <c r="Q278" s="872"/>
      <c r="R278" s="252">
        <v>11</v>
      </c>
      <c r="S278" s="252">
        <f>Q117</f>
        <v>850</v>
      </c>
      <c r="T278" s="252" t="str">
        <f>R117</f>
        <v>-</v>
      </c>
      <c r="U278" s="252" t="str">
        <f>S117</f>
        <v>-</v>
      </c>
      <c r="V278" s="252">
        <f>T117</f>
        <v>9.9999999999999995E-7</v>
      </c>
      <c r="W278" s="253">
        <f>U117</f>
        <v>0</v>
      </c>
      <c r="Y278" s="250">
        <v>6</v>
      </c>
      <c r="Z278" s="251">
        <f>X60</f>
        <v>1.6</v>
      </c>
      <c r="AE278" s="230"/>
    </row>
    <row r="279" spans="1:31" hidden="1">
      <c r="A279" s="872"/>
      <c r="B279" s="252">
        <v>12</v>
      </c>
      <c r="C279" s="252">
        <f>C128</f>
        <v>25</v>
      </c>
      <c r="D279" s="252">
        <f t="shared" ref="D279:F279" si="111">D128</f>
        <v>0.4</v>
      </c>
      <c r="E279" s="252">
        <f t="shared" si="111"/>
        <v>9.9999999999999995E-7</v>
      </c>
      <c r="F279" s="252">
        <f t="shared" si="111"/>
        <v>0</v>
      </c>
      <c r="G279" s="252">
        <f>G128</f>
        <v>0.19999950000000002</v>
      </c>
      <c r="I279" s="872"/>
      <c r="J279" s="252">
        <v>12</v>
      </c>
      <c r="K279" s="252">
        <f>J128</f>
        <v>50</v>
      </c>
      <c r="L279" s="252">
        <f>K128</f>
        <v>-3.2</v>
      </c>
      <c r="M279" s="252">
        <f>L128</f>
        <v>9.9999999999999995E-7</v>
      </c>
      <c r="N279" s="252">
        <f>M128</f>
        <v>0</v>
      </c>
      <c r="O279" s="252">
        <f>N128</f>
        <v>1.6000005000000002</v>
      </c>
      <c r="Q279" s="872"/>
      <c r="R279" s="252">
        <v>12</v>
      </c>
      <c r="S279" s="252">
        <f>Q128</f>
        <v>980</v>
      </c>
      <c r="T279" s="252">
        <f>R128</f>
        <v>4.0999999999999996</v>
      </c>
      <c r="U279" s="252">
        <f>S128</f>
        <v>-0.6</v>
      </c>
      <c r="V279" s="252">
        <f>T128</f>
        <v>0</v>
      </c>
      <c r="W279" s="253">
        <f>U128</f>
        <v>2.3499999999999996</v>
      </c>
      <c r="Y279" s="250">
        <v>7</v>
      </c>
      <c r="Z279" s="251">
        <f>X71</f>
        <v>2.4</v>
      </c>
      <c r="AE279" s="230"/>
    </row>
    <row r="280" spans="1:31" hidden="1">
      <c r="A280" s="872"/>
      <c r="B280" s="252">
        <v>13</v>
      </c>
      <c r="C280" s="252">
        <f>C139</f>
        <v>25</v>
      </c>
      <c r="D280" s="252">
        <f t="shared" ref="D280:F280" si="112">D139</f>
        <v>0.3</v>
      </c>
      <c r="E280" s="252">
        <f t="shared" si="112"/>
        <v>0.1</v>
      </c>
      <c r="F280" s="252">
        <f t="shared" si="112"/>
        <v>-0.2</v>
      </c>
      <c r="G280" s="252">
        <f>G139</f>
        <v>0.25</v>
      </c>
      <c r="I280" s="872"/>
      <c r="J280" s="252">
        <v>13</v>
      </c>
      <c r="K280" s="252">
        <f>J139</f>
        <v>50</v>
      </c>
      <c r="L280" s="252">
        <f>K139</f>
        <v>-3.6</v>
      </c>
      <c r="M280" s="252">
        <f>L139</f>
        <v>-1.8</v>
      </c>
      <c r="N280" s="252">
        <f>M139</f>
        <v>-1.3</v>
      </c>
      <c r="O280" s="252">
        <f>N139</f>
        <v>1.1499999999999999</v>
      </c>
      <c r="Q280" s="872"/>
      <c r="R280" s="252">
        <v>13</v>
      </c>
      <c r="S280" s="252">
        <f>Q139</f>
        <v>995</v>
      </c>
      <c r="T280" s="252">
        <f>R139</f>
        <v>0</v>
      </c>
      <c r="U280" s="252">
        <f>S139</f>
        <v>3.7</v>
      </c>
      <c r="V280" s="252">
        <f>T139</f>
        <v>1</v>
      </c>
      <c r="W280" s="253">
        <f>U139</f>
        <v>1.35</v>
      </c>
      <c r="Y280" s="250">
        <v>8</v>
      </c>
      <c r="Z280" s="251">
        <f>X82</f>
        <v>2.5</v>
      </c>
      <c r="AE280" s="230"/>
    </row>
    <row r="281" spans="1:31" hidden="1">
      <c r="A281" s="872"/>
      <c r="B281" s="252">
        <v>14</v>
      </c>
      <c r="C281" s="252">
        <f>C150</f>
        <v>25</v>
      </c>
      <c r="D281" s="252">
        <f t="shared" ref="D281:F281" si="113">D150</f>
        <v>0.2</v>
      </c>
      <c r="E281" s="252">
        <f t="shared" si="113"/>
        <v>-0.1</v>
      </c>
      <c r="F281" s="252">
        <f t="shared" si="113"/>
        <v>-0.1</v>
      </c>
      <c r="G281" s="252">
        <f>G150</f>
        <v>0.15000000000000002</v>
      </c>
      <c r="I281" s="872"/>
      <c r="J281" s="252">
        <v>14</v>
      </c>
      <c r="K281" s="252">
        <f>J151</f>
        <v>60</v>
      </c>
      <c r="L281" s="252">
        <f>K151</f>
        <v>-1.8</v>
      </c>
      <c r="M281" s="252">
        <f>L151</f>
        <v>0.3</v>
      </c>
      <c r="N281" s="252">
        <f>M151</f>
        <v>-0.6</v>
      </c>
      <c r="O281" s="252">
        <f>N151</f>
        <v>1.05</v>
      </c>
      <c r="Q281" s="872"/>
      <c r="R281" s="252">
        <v>14</v>
      </c>
      <c r="S281" s="252">
        <f>Q150</f>
        <v>995</v>
      </c>
      <c r="T281" s="252">
        <f>R150</f>
        <v>0</v>
      </c>
      <c r="U281" s="252">
        <f>S150</f>
        <v>3.8</v>
      </c>
      <c r="V281" s="252">
        <f>T150</f>
        <v>1</v>
      </c>
      <c r="W281" s="253">
        <f>U150</f>
        <v>1.4</v>
      </c>
      <c r="Y281" s="250">
        <v>9</v>
      </c>
      <c r="Z281" s="251">
        <f>X93</f>
        <v>2.2000000000000002</v>
      </c>
      <c r="AE281" s="230"/>
    </row>
    <row r="282" spans="1:31" hidden="1">
      <c r="A282" s="872"/>
      <c r="B282" s="252">
        <v>15</v>
      </c>
      <c r="C282" s="252">
        <f>C161</f>
        <v>25</v>
      </c>
      <c r="D282" s="252">
        <f t="shared" ref="D282:F282" si="114">D161</f>
        <v>0.3</v>
      </c>
      <c r="E282" s="252">
        <f t="shared" si="114"/>
        <v>0.2</v>
      </c>
      <c r="F282" s="252">
        <f t="shared" si="114"/>
        <v>-0.4</v>
      </c>
      <c r="G282" s="252">
        <f>G161</f>
        <v>0.35</v>
      </c>
      <c r="I282" s="872"/>
      <c r="J282" s="252">
        <v>15</v>
      </c>
      <c r="K282" s="252">
        <f>J161</f>
        <v>50</v>
      </c>
      <c r="L282" s="252">
        <f>K161</f>
        <v>-3.1</v>
      </c>
      <c r="M282" s="252">
        <f>L161</f>
        <v>-1.4</v>
      </c>
      <c r="N282" s="252">
        <f>M161</f>
        <v>-0.3</v>
      </c>
      <c r="O282" s="252">
        <f>N161</f>
        <v>1.4000000000000001</v>
      </c>
      <c r="Q282" s="872"/>
      <c r="R282" s="252">
        <v>15</v>
      </c>
      <c r="S282" s="252">
        <f>Q161</f>
        <v>995</v>
      </c>
      <c r="T282" s="252">
        <f>R161</f>
        <v>0</v>
      </c>
      <c r="U282" s="252">
        <f>S161</f>
        <v>4.0999999999999996</v>
      </c>
      <c r="V282" s="252">
        <f>T161</f>
        <v>1</v>
      </c>
      <c r="W282" s="253">
        <f>U161</f>
        <v>1.5499999999999998</v>
      </c>
      <c r="Y282" s="250">
        <v>10</v>
      </c>
      <c r="Z282" s="251">
        <f>X104</f>
        <v>0</v>
      </c>
      <c r="AE282" s="230"/>
    </row>
    <row r="283" spans="1:31" hidden="1">
      <c r="A283" s="872"/>
      <c r="B283" s="252">
        <v>16</v>
      </c>
      <c r="C283" s="252">
        <f>C172</f>
        <v>25</v>
      </c>
      <c r="D283" s="252">
        <f t="shared" ref="D283:F283" si="115">D172</f>
        <v>0.5</v>
      </c>
      <c r="E283" s="252">
        <f t="shared" si="115"/>
        <v>0.2</v>
      </c>
      <c r="F283" s="252">
        <f t="shared" si="115"/>
        <v>0</v>
      </c>
      <c r="G283" s="252">
        <f>G172</f>
        <v>0.15</v>
      </c>
      <c r="I283" s="872"/>
      <c r="J283" s="252">
        <v>16</v>
      </c>
      <c r="K283" s="252">
        <f>J172</f>
        <v>50</v>
      </c>
      <c r="L283" s="252">
        <f>K172</f>
        <v>-2</v>
      </c>
      <c r="M283" s="252">
        <f>L172</f>
        <v>-1.4</v>
      </c>
      <c r="N283" s="252">
        <f>M172</f>
        <v>0</v>
      </c>
      <c r="O283" s="252">
        <f>N172</f>
        <v>0.30000000000000004</v>
      </c>
      <c r="Q283" s="872"/>
      <c r="R283" s="252">
        <v>16</v>
      </c>
      <c r="S283" s="252">
        <f>Q172</f>
        <v>980</v>
      </c>
      <c r="T283" s="252">
        <f>R172</f>
        <v>4.5</v>
      </c>
      <c r="U283" s="252">
        <f>S172</f>
        <v>-1.7</v>
      </c>
      <c r="V283" s="252">
        <f>T172</f>
        <v>0</v>
      </c>
      <c r="W283" s="253">
        <f>U172</f>
        <v>3.1</v>
      </c>
      <c r="Y283" s="250">
        <v>11</v>
      </c>
      <c r="Z283" s="251">
        <f>X115</f>
        <v>0</v>
      </c>
      <c r="AE283" s="230"/>
    </row>
    <row r="284" spans="1:31" hidden="1">
      <c r="A284" s="872"/>
      <c r="B284" s="252">
        <v>17</v>
      </c>
      <c r="C284" s="252">
        <f>C183</f>
        <v>25</v>
      </c>
      <c r="D284" s="252">
        <f>D183</f>
        <v>0.5</v>
      </c>
      <c r="E284" s="252">
        <f>E183</f>
        <v>9.9999999999999995E-7</v>
      </c>
      <c r="F284" s="252">
        <f t="shared" ref="F284" si="116">F183</f>
        <v>0</v>
      </c>
      <c r="G284" s="252">
        <f>G183</f>
        <v>0.24999950000000001</v>
      </c>
      <c r="I284" s="872"/>
      <c r="J284" s="252">
        <v>17</v>
      </c>
      <c r="K284" s="252">
        <f>J183</f>
        <v>50</v>
      </c>
      <c r="L284" s="252">
        <f>K183</f>
        <v>-1.9</v>
      </c>
      <c r="M284" s="252">
        <f>L183</f>
        <v>0.2</v>
      </c>
      <c r="N284" s="252">
        <f>M183</f>
        <v>0</v>
      </c>
      <c r="O284" s="252">
        <f>N183</f>
        <v>1.05</v>
      </c>
      <c r="Q284" s="872"/>
      <c r="R284" s="252">
        <v>17</v>
      </c>
      <c r="S284" s="252">
        <f>Q183</f>
        <v>980</v>
      </c>
      <c r="T284" s="252">
        <f>R183</f>
        <v>4.5</v>
      </c>
      <c r="U284" s="252">
        <f>S183</f>
        <v>-0.6</v>
      </c>
      <c r="V284" s="252">
        <f>T183</f>
        <v>0</v>
      </c>
      <c r="W284" s="253">
        <f>U183</f>
        <v>2.5499999999999998</v>
      </c>
      <c r="Y284" s="250">
        <v>12</v>
      </c>
      <c r="Z284" s="275">
        <f>X126</f>
        <v>2.1</v>
      </c>
      <c r="AE284" s="230"/>
    </row>
    <row r="285" spans="1:31" hidden="1">
      <c r="A285" s="872"/>
      <c r="B285" s="252">
        <v>18</v>
      </c>
      <c r="C285" s="252">
        <f>C194</f>
        <v>25</v>
      </c>
      <c r="D285" s="252">
        <f t="shared" ref="D285:F285" si="117">D194</f>
        <v>0.2</v>
      </c>
      <c r="E285" s="252">
        <f t="shared" si="117"/>
        <v>-0.2</v>
      </c>
      <c r="F285" s="252">
        <f t="shared" si="117"/>
        <v>0</v>
      </c>
      <c r="G285" s="252">
        <f>G194</f>
        <v>0.2</v>
      </c>
      <c r="I285" s="872"/>
      <c r="J285" s="252">
        <v>18</v>
      </c>
      <c r="K285" s="252">
        <f>J194</f>
        <v>50</v>
      </c>
      <c r="L285" s="252">
        <f>K194</f>
        <v>-2.4</v>
      </c>
      <c r="M285" s="252">
        <f>L194</f>
        <v>-0.2</v>
      </c>
      <c r="N285" s="252">
        <f>M194</f>
        <v>0</v>
      </c>
      <c r="O285" s="252">
        <f>N194</f>
        <v>1.0999999999999999</v>
      </c>
      <c r="Q285" s="872"/>
      <c r="R285" s="252">
        <v>18</v>
      </c>
      <c r="S285" s="252">
        <f>Q194</f>
        <v>980</v>
      </c>
      <c r="T285" s="252">
        <f>R194</f>
        <v>4.3</v>
      </c>
      <c r="U285" s="252">
        <f>S194</f>
        <v>-1.1000000000000001</v>
      </c>
      <c r="V285" s="252">
        <f>T194</f>
        <v>0</v>
      </c>
      <c r="W285" s="253">
        <f>U194</f>
        <v>2.7</v>
      </c>
      <c r="Y285" s="250">
        <v>13</v>
      </c>
      <c r="Z285" s="251">
        <f>X137</f>
        <v>2.4</v>
      </c>
      <c r="AE285" s="230"/>
    </row>
    <row r="286" spans="1:31" hidden="1">
      <c r="A286" s="872"/>
      <c r="B286" s="252">
        <v>19</v>
      </c>
      <c r="C286" s="252">
        <f>C194</f>
        <v>25</v>
      </c>
      <c r="D286" s="252">
        <f t="shared" ref="D286:F286" si="118">D194</f>
        <v>0.2</v>
      </c>
      <c r="E286" s="252">
        <f t="shared" si="118"/>
        <v>-0.2</v>
      </c>
      <c r="F286" s="252">
        <f t="shared" si="118"/>
        <v>0</v>
      </c>
      <c r="G286" s="252">
        <f>G194</f>
        <v>0.2</v>
      </c>
      <c r="I286" s="872"/>
      <c r="J286" s="252">
        <v>19</v>
      </c>
      <c r="K286" s="252">
        <f>J205</f>
        <v>50</v>
      </c>
      <c r="L286" s="252">
        <f>K205</f>
        <v>-2.7</v>
      </c>
      <c r="M286" s="252">
        <f>L205</f>
        <v>-0.2</v>
      </c>
      <c r="N286" s="252">
        <f>M205</f>
        <v>0</v>
      </c>
      <c r="O286" s="252">
        <f>N205</f>
        <v>1.25</v>
      </c>
      <c r="Q286" s="872"/>
      <c r="R286" s="252">
        <v>19</v>
      </c>
      <c r="S286" s="252">
        <f>Q205</f>
        <v>850</v>
      </c>
      <c r="T286" s="252">
        <f>R205</f>
        <v>4.4000000000000004</v>
      </c>
      <c r="U286" s="252">
        <f>S205</f>
        <v>2.4</v>
      </c>
      <c r="V286" s="252">
        <f>T205</f>
        <v>0</v>
      </c>
      <c r="W286" s="253">
        <f>U205</f>
        <v>1.0000000000000002</v>
      </c>
      <c r="Y286" s="250">
        <v>14</v>
      </c>
      <c r="Z286" s="251">
        <f>X148</f>
        <v>2.5</v>
      </c>
      <c r="AE286" s="230"/>
    </row>
    <row r="287" spans="1:31" ht="13.8" hidden="1" thickBot="1">
      <c r="A287" s="872"/>
      <c r="B287" s="252">
        <v>20</v>
      </c>
      <c r="C287" s="252">
        <f>C216</f>
        <v>24.6</v>
      </c>
      <c r="D287" s="252">
        <f t="shared" ref="D287:F287" si="119">D216</f>
        <v>9.9999999999999995E-7</v>
      </c>
      <c r="E287" s="252" t="str">
        <f t="shared" si="119"/>
        <v>-</v>
      </c>
      <c r="F287" s="252">
        <f t="shared" si="119"/>
        <v>9.9999999999999995E-7</v>
      </c>
      <c r="G287" s="252">
        <f>G216</f>
        <v>0</v>
      </c>
      <c r="I287" s="872"/>
      <c r="J287" s="252">
        <v>20</v>
      </c>
      <c r="K287" s="252">
        <f>J216</f>
        <v>62.5</v>
      </c>
      <c r="L287" s="252">
        <f>K216</f>
        <v>9.9999999999999995E-7</v>
      </c>
      <c r="M287" s="252" t="str">
        <f>L216</f>
        <v>-</v>
      </c>
      <c r="N287" s="252">
        <f>M216</f>
        <v>0</v>
      </c>
      <c r="O287" s="252">
        <f>N216</f>
        <v>0</v>
      </c>
      <c r="Q287" s="874"/>
      <c r="R287" s="261">
        <v>20</v>
      </c>
      <c r="S287" s="261">
        <f>Q216</f>
        <v>850</v>
      </c>
      <c r="T287" s="261">
        <f>R216</f>
        <v>9.9999999999999995E-7</v>
      </c>
      <c r="U287" s="261" t="str">
        <f>S216</f>
        <v>-</v>
      </c>
      <c r="V287" s="261">
        <f>T216</f>
        <v>9.9999999999999995E-7</v>
      </c>
      <c r="W287" s="276">
        <f>U216</f>
        <v>0</v>
      </c>
      <c r="Y287" s="250">
        <v>15</v>
      </c>
      <c r="Z287" s="251">
        <f>X159</f>
        <v>2.2999999999999998</v>
      </c>
      <c r="AE287" s="265"/>
    </row>
    <row r="288" spans="1:31" hidden="1">
      <c r="A288" s="266"/>
      <c r="B288" s="266"/>
      <c r="C288" s="266"/>
      <c r="D288" s="266"/>
      <c r="E288" s="266"/>
      <c r="F288" s="246"/>
      <c r="G288" s="266"/>
      <c r="I288" s="266"/>
      <c r="J288" s="266"/>
      <c r="K288" s="266"/>
      <c r="L288" s="266"/>
      <c r="M288" s="266"/>
      <c r="N288" s="246"/>
      <c r="O288" s="266"/>
      <c r="Q288" s="277"/>
      <c r="R288" s="279"/>
      <c r="S288" s="125"/>
      <c r="T288" s="125"/>
      <c r="U288" s="125"/>
      <c r="W288" s="126"/>
      <c r="Y288" s="250">
        <v>16</v>
      </c>
      <c r="Z288" s="258">
        <f>X170</f>
        <v>2.2000000000000002</v>
      </c>
      <c r="AE288" s="230"/>
    </row>
    <row r="289" spans="1:31" hidden="1">
      <c r="A289" s="872">
        <v>4</v>
      </c>
      <c r="B289" s="252">
        <v>1</v>
      </c>
      <c r="C289" s="252">
        <f>C8</f>
        <v>30</v>
      </c>
      <c r="D289" s="252">
        <f t="shared" ref="D289:F289" si="120">D8</f>
        <v>-0.1</v>
      </c>
      <c r="E289" s="252">
        <f t="shared" si="120"/>
        <v>0</v>
      </c>
      <c r="F289" s="252">
        <f t="shared" si="120"/>
        <v>9.9999999999999995E-7</v>
      </c>
      <c r="G289" s="252">
        <f>G8</f>
        <v>5.0000500000000003E-2</v>
      </c>
      <c r="I289" s="872">
        <v>4</v>
      </c>
      <c r="J289" s="252">
        <v>1</v>
      </c>
      <c r="K289" s="252">
        <f>J8</f>
        <v>60</v>
      </c>
      <c r="L289" s="252">
        <f>K8</f>
        <v>-6</v>
      </c>
      <c r="M289" s="252">
        <f>L8</f>
        <v>-6.9</v>
      </c>
      <c r="N289" s="252">
        <f>M8</f>
        <v>-4.4000000000000004</v>
      </c>
      <c r="O289" s="252">
        <f>N8</f>
        <v>1.25</v>
      </c>
      <c r="Q289" s="873">
        <v>4</v>
      </c>
      <c r="R289" s="271">
        <v>1</v>
      </c>
      <c r="S289" s="271">
        <f>Q8</f>
        <v>900</v>
      </c>
      <c r="T289" s="271" t="str">
        <f>R8</f>
        <v>-</v>
      </c>
      <c r="U289" s="271" t="str">
        <f>S8</f>
        <v>-</v>
      </c>
      <c r="V289" s="271">
        <f>T8</f>
        <v>9.9999999999999995E-7</v>
      </c>
      <c r="W289" s="278">
        <f>U8</f>
        <v>0</v>
      </c>
      <c r="Y289" s="250">
        <v>17</v>
      </c>
      <c r="Z289" s="258">
        <f>X181</f>
        <v>2.1</v>
      </c>
      <c r="AE289" s="274"/>
    </row>
    <row r="290" spans="1:31" hidden="1">
      <c r="A290" s="872"/>
      <c r="B290" s="252">
        <v>2</v>
      </c>
      <c r="C290" s="252">
        <f>C19</f>
        <v>30</v>
      </c>
      <c r="D290" s="252">
        <f t="shared" ref="D290:F290" si="121">D19</f>
        <v>0.4</v>
      </c>
      <c r="E290" s="252">
        <f t="shared" si="121"/>
        <v>0.2</v>
      </c>
      <c r="F290" s="252">
        <f t="shared" si="121"/>
        <v>-0.3</v>
      </c>
      <c r="G290" s="252">
        <f>G19</f>
        <v>0.35</v>
      </c>
      <c r="I290" s="872"/>
      <c r="J290" s="252">
        <v>2</v>
      </c>
      <c r="K290" s="252">
        <f>J19</f>
        <v>60</v>
      </c>
      <c r="L290" s="252">
        <f>K19</f>
        <v>-5.7</v>
      </c>
      <c r="M290" s="252">
        <f>L19</f>
        <v>-4</v>
      </c>
      <c r="N290" s="252">
        <f>M19</f>
        <v>-1.3</v>
      </c>
      <c r="O290" s="252">
        <f>N19</f>
        <v>2.2000000000000002</v>
      </c>
      <c r="Q290" s="872"/>
      <c r="R290" s="252">
        <v>2</v>
      </c>
      <c r="S290" s="252">
        <f>Q19</f>
        <v>900</v>
      </c>
      <c r="T290" s="252" t="str">
        <f>R19</f>
        <v>-</v>
      </c>
      <c r="U290" s="252" t="str">
        <f>S19</f>
        <v>-</v>
      </c>
      <c r="V290" s="252" t="str">
        <f>T19</f>
        <v>-</v>
      </c>
      <c r="W290" s="253">
        <f>U19</f>
        <v>0</v>
      </c>
      <c r="Y290" s="250">
        <v>18</v>
      </c>
      <c r="Z290" s="258">
        <f>X192</f>
        <v>2.1</v>
      </c>
      <c r="AE290" s="230"/>
    </row>
    <row r="291" spans="1:31" hidden="1">
      <c r="A291" s="872"/>
      <c r="B291" s="252">
        <v>3</v>
      </c>
      <c r="C291" s="252">
        <f>C30</f>
        <v>30</v>
      </c>
      <c r="D291" s="252">
        <f t="shared" ref="D291:F291" si="122">D30</f>
        <v>0.3</v>
      </c>
      <c r="E291" s="252">
        <f t="shared" si="122"/>
        <v>9.9999999999999995E-7</v>
      </c>
      <c r="F291" s="252">
        <f t="shared" si="122"/>
        <v>-0.3</v>
      </c>
      <c r="G291" s="252">
        <f>G30</f>
        <v>0.3</v>
      </c>
      <c r="I291" s="872"/>
      <c r="J291" s="252">
        <v>3</v>
      </c>
      <c r="K291" s="252">
        <f>J30</f>
        <v>60</v>
      </c>
      <c r="L291" s="252">
        <f>K30</f>
        <v>-6.2</v>
      </c>
      <c r="M291" s="252">
        <f>L30</f>
        <v>-3.2</v>
      </c>
      <c r="N291" s="252">
        <f>M30</f>
        <v>-4.3</v>
      </c>
      <c r="O291" s="252">
        <f>N30</f>
        <v>1.5</v>
      </c>
      <c r="Q291" s="872"/>
      <c r="R291" s="252">
        <v>3</v>
      </c>
      <c r="S291" s="252">
        <f>Q30</f>
        <v>900</v>
      </c>
      <c r="T291" s="252" t="str">
        <f>R30</f>
        <v>-</v>
      </c>
      <c r="U291" s="252" t="str">
        <f>S30</f>
        <v>-</v>
      </c>
      <c r="V291" s="252" t="str">
        <f>T30</f>
        <v>-</v>
      </c>
      <c r="W291" s="253">
        <f>U30</f>
        <v>0</v>
      </c>
      <c r="Y291" s="250">
        <v>19</v>
      </c>
      <c r="Z291" s="258">
        <f>X203</f>
        <v>2.1</v>
      </c>
      <c r="AE291" s="230"/>
    </row>
    <row r="292" spans="1:31" ht="13.8" hidden="1" thickBot="1">
      <c r="A292" s="872"/>
      <c r="B292" s="252">
        <v>4</v>
      </c>
      <c r="C292" s="252">
        <f>C41</f>
        <v>30</v>
      </c>
      <c r="D292" s="252">
        <f t="shared" ref="D292:F292" si="123">D41</f>
        <v>-0.1</v>
      </c>
      <c r="E292" s="252">
        <f t="shared" si="123"/>
        <v>-0.6</v>
      </c>
      <c r="F292" s="252">
        <f t="shared" si="123"/>
        <v>0</v>
      </c>
      <c r="G292" s="252">
        <f>G41</f>
        <v>0.25</v>
      </c>
      <c r="I292" s="872"/>
      <c r="J292" s="252">
        <v>4</v>
      </c>
      <c r="K292" s="252">
        <f>J41</f>
        <v>60</v>
      </c>
      <c r="L292" s="252">
        <f>K41</f>
        <v>-4.2</v>
      </c>
      <c r="M292" s="252">
        <f>L41</f>
        <v>-0.3</v>
      </c>
      <c r="N292" s="252">
        <f>M41</f>
        <v>0</v>
      </c>
      <c r="O292" s="252">
        <f>N41</f>
        <v>1.9500000000000002</v>
      </c>
      <c r="Q292" s="872"/>
      <c r="R292" s="252">
        <v>4</v>
      </c>
      <c r="S292" s="252">
        <f>Q41</f>
        <v>900</v>
      </c>
      <c r="T292" s="252" t="str">
        <f>R41</f>
        <v>-</v>
      </c>
      <c r="U292" s="252" t="str">
        <f>S41</f>
        <v>-</v>
      </c>
      <c r="V292" s="252">
        <f>T41</f>
        <v>9.9999999999999995E-7</v>
      </c>
      <c r="W292" s="253">
        <f>U41</f>
        <v>0</v>
      </c>
      <c r="Y292" s="259">
        <v>20</v>
      </c>
      <c r="Z292" s="260">
        <f>X214</f>
        <v>0</v>
      </c>
      <c r="AE292" s="230"/>
    </row>
    <row r="293" spans="1:31" hidden="1">
      <c r="A293" s="872"/>
      <c r="B293" s="252">
        <v>5</v>
      </c>
      <c r="C293" s="252">
        <f>C52</f>
        <v>30</v>
      </c>
      <c r="D293" s="252">
        <f t="shared" ref="D293:F293" si="124">D52</f>
        <v>0.4</v>
      </c>
      <c r="E293" s="252">
        <f t="shared" si="124"/>
        <v>0.1</v>
      </c>
      <c r="F293" s="252">
        <f t="shared" si="124"/>
        <v>0.6</v>
      </c>
      <c r="G293" s="252">
        <f>G52</f>
        <v>0.25</v>
      </c>
      <c r="I293" s="872"/>
      <c r="J293" s="252">
        <v>5</v>
      </c>
      <c r="K293" s="252">
        <f>J52</f>
        <v>60</v>
      </c>
      <c r="L293" s="252">
        <f>K52</f>
        <v>-8</v>
      </c>
      <c r="M293" s="252">
        <f>L52</f>
        <v>-7.9</v>
      </c>
      <c r="N293" s="252">
        <f>M52</f>
        <v>-5.2</v>
      </c>
      <c r="O293" s="252">
        <f>N52</f>
        <v>1.4</v>
      </c>
      <c r="Q293" s="872"/>
      <c r="R293" s="252">
        <v>5</v>
      </c>
      <c r="S293" s="252">
        <f>Q52</f>
        <v>900</v>
      </c>
      <c r="T293" s="252" t="str">
        <f>R52</f>
        <v>-</v>
      </c>
      <c r="U293" s="252" t="str">
        <f>S52</f>
        <v>-</v>
      </c>
      <c r="V293" s="252" t="str">
        <f>T52</f>
        <v>-</v>
      </c>
      <c r="W293" s="253">
        <f>U52</f>
        <v>0</v>
      </c>
      <c r="AE293" s="230"/>
    </row>
    <row r="294" spans="1:31" hidden="1">
      <c r="A294" s="872"/>
      <c r="B294" s="252">
        <v>6</v>
      </c>
      <c r="C294" s="252">
        <f>C63</f>
        <v>30</v>
      </c>
      <c r="D294" s="252">
        <f t="shared" ref="D294:F294" si="125">D63</f>
        <v>0.1</v>
      </c>
      <c r="E294" s="252">
        <f t="shared" si="125"/>
        <v>-0.5</v>
      </c>
      <c r="F294" s="252">
        <f t="shared" si="125"/>
        <v>0</v>
      </c>
      <c r="G294" s="252">
        <f>G63</f>
        <v>0.3</v>
      </c>
      <c r="I294" s="872"/>
      <c r="J294" s="252">
        <v>6</v>
      </c>
      <c r="K294" s="252">
        <f>J63</f>
        <v>60</v>
      </c>
      <c r="L294" s="252">
        <f>K63</f>
        <v>-6.4</v>
      </c>
      <c r="M294" s="252">
        <f>L63</f>
        <v>1.1000000000000001</v>
      </c>
      <c r="N294" s="252">
        <f>M63</f>
        <v>0</v>
      </c>
      <c r="O294" s="252">
        <f>N63</f>
        <v>3.75</v>
      </c>
      <c r="Q294" s="872"/>
      <c r="R294" s="252">
        <v>6</v>
      </c>
      <c r="S294" s="252">
        <f>Q63</f>
        <v>900</v>
      </c>
      <c r="T294" s="252">
        <f>R63</f>
        <v>0.9</v>
      </c>
      <c r="U294" s="252">
        <f>S63</f>
        <v>0.7</v>
      </c>
      <c r="V294" s="252">
        <f>T63</f>
        <v>9.9999999999999995E-7</v>
      </c>
      <c r="W294" s="253">
        <f>U63</f>
        <v>0.4499995</v>
      </c>
      <c r="AE294" s="230"/>
    </row>
    <row r="295" spans="1:31" hidden="1">
      <c r="A295" s="872"/>
      <c r="B295" s="252">
        <v>7</v>
      </c>
      <c r="C295" s="252">
        <f>C74</f>
        <v>30</v>
      </c>
      <c r="D295" s="252">
        <f t="shared" ref="D295:F295" si="126">D74</f>
        <v>9.9999999999999995E-7</v>
      </c>
      <c r="E295" s="252">
        <f t="shared" si="126"/>
        <v>-0.6</v>
      </c>
      <c r="F295" s="252">
        <f t="shared" si="126"/>
        <v>0</v>
      </c>
      <c r="G295" s="252">
        <f>G74</f>
        <v>0.3000005</v>
      </c>
      <c r="I295" s="872"/>
      <c r="J295" s="252">
        <v>7</v>
      </c>
      <c r="K295" s="252">
        <f>J74</f>
        <v>60</v>
      </c>
      <c r="L295" s="252">
        <f>K74</f>
        <v>-2.1</v>
      </c>
      <c r="M295" s="252">
        <f>L74</f>
        <v>0.7</v>
      </c>
      <c r="N295" s="252">
        <f>M74</f>
        <v>0</v>
      </c>
      <c r="O295" s="252">
        <f>N74</f>
        <v>1.4</v>
      </c>
      <c r="Q295" s="872"/>
      <c r="R295" s="252">
        <v>7</v>
      </c>
      <c r="S295" s="252">
        <f>Q74</f>
        <v>900</v>
      </c>
      <c r="T295" s="252">
        <f>R74</f>
        <v>9.9999999999999995E-7</v>
      </c>
      <c r="U295" s="252">
        <f>S74</f>
        <v>1</v>
      </c>
      <c r="V295" s="252">
        <f>T74</f>
        <v>9.9999999999999995E-7</v>
      </c>
      <c r="W295" s="253">
        <f>U74</f>
        <v>0.49999949999999999</v>
      </c>
      <c r="AE295" s="230"/>
    </row>
    <row r="296" spans="1:31" hidden="1">
      <c r="A296" s="872"/>
      <c r="B296" s="252">
        <v>8</v>
      </c>
      <c r="C296" s="252">
        <f>C85</f>
        <v>30</v>
      </c>
      <c r="D296" s="252">
        <f t="shared" ref="D296:F296" si="127">D85</f>
        <v>-0.1</v>
      </c>
      <c r="E296" s="252">
        <f t="shared" si="127"/>
        <v>-0.2</v>
      </c>
      <c r="F296" s="252">
        <f t="shared" si="127"/>
        <v>-0.4</v>
      </c>
      <c r="G296" s="252">
        <f>G85</f>
        <v>0.15000000000000002</v>
      </c>
      <c r="I296" s="872"/>
      <c r="J296" s="252">
        <v>8</v>
      </c>
      <c r="K296" s="252">
        <f>J85</f>
        <v>60</v>
      </c>
      <c r="L296" s="252">
        <f>K85</f>
        <v>-5.6</v>
      </c>
      <c r="M296" s="252">
        <f>L85</f>
        <v>-3.9</v>
      </c>
      <c r="N296" s="252">
        <f>M85</f>
        <v>-1.1000000000000001</v>
      </c>
      <c r="O296" s="252">
        <f>N85</f>
        <v>2.25</v>
      </c>
      <c r="Q296" s="872"/>
      <c r="R296" s="252">
        <v>8</v>
      </c>
      <c r="S296" s="252">
        <f>Q85</f>
        <v>990</v>
      </c>
      <c r="T296" s="252">
        <f>R85</f>
        <v>-0.2</v>
      </c>
      <c r="U296" s="252">
        <f>S85</f>
        <v>-3.6</v>
      </c>
      <c r="V296" s="252">
        <f>T85</f>
        <v>9.9999999999999995E-7</v>
      </c>
      <c r="W296" s="253">
        <f>U85</f>
        <v>1.8000005000000001</v>
      </c>
      <c r="AE296" s="230"/>
    </row>
    <row r="297" spans="1:31" hidden="1">
      <c r="A297" s="872"/>
      <c r="B297" s="252">
        <v>9</v>
      </c>
      <c r="C297" s="252">
        <f>C96</f>
        <v>30</v>
      </c>
      <c r="D297" s="252">
        <f t="shared" ref="D297:F297" si="128">D96</f>
        <v>-0.5</v>
      </c>
      <c r="E297" s="252" t="str">
        <f t="shared" si="128"/>
        <v>-</v>
      </c>
      <c r="F297" s="252">
        <f t="shared" si="128"/>
        <v>0</v>
      </c>
      <c r="G297" s="252">
        <f>G96</f>
        <v>0</v>
      </c>
      <c r="I297" s="872"/>
      <c r="J297" s="252">
        <v>9</v>
      </c>
      <c r="K297" s="252">
        <f>J96</f>
        <v>60</v>
      </c>
      <c r="L297" s="252">
        <f>K96</f>
        <v>-0.8</v>
      </c>
      <c r="M297" s="252" t="str">
        <f>L96</f>
        <v>-</v>
      </c>
      <c r="N297" s="252">
        <f>M96</f>
        <v>0</v>
      </c>
      <c r="O297" s="252">
        <f>N96</f>
        <v>0</v>
      </c>
      <c r="Q297" s="872"/>
      <c r="R297" s="252">
        <v>9</v>
      </c>
      <c r="S297" s="252">
        <f>Q96</f>
        <v>900</v>
      </c>
      <c r="T297" s="252">
        <f>R96</f>
        <v>9.9999999999999995E-7</v>
      </c>
      <c r="U297" s="252" t="str">
        <f>S96</f>
        <v>-</v>
      </c>
      <c r="V297" s="252">
        <f>T96</f>
        <v>9.9999999999999995E-7</v>
      </c>
      <c r="W297" s="253">
        <f>U96</f>
        <v>0</v>
      </c>
      <c r="AE297" s="230"/>
    </row>
    <row r="298" spans="1:31" hidden="1">
      <c r="A298" s="872"/>
      <c r="B298" s="252">
        <v>10</v>
      </c>
      <c r="C298" s="252">
        <f>C107</f>
        <v>30</v>
      </c>
      <c r="D298" s="252">
        <f t="shared" ref="D298:F298" si="129">D107</f>
        <v>0.1</v>
      </c>
      <c r="E298" s="252">
        <f t="shared" si="129"/>
        <v>0.2</v>
      </c>
      <c r="F298" s="252">
        <f t="shared" si="129"/>
        <v>0</v>
      </c>
      <c r="G298" s="252">
        <f>G107</f>
        <v>0.05</v>
      </c>
      <c r="I298" s="872"/>
      <c r="J298" s="252">
        <v>10</v>
      </c>
      <c r="K298" s="252">
        <f>J107</f>
        <v>60</v>
      </c>
      <c r="L298" s="252">
        <f>K107</f>
        <v>-2.1</v>
      </c>
      <c r="M298" s="252">
        <f>L107</f>
        <v>-5.6</v>
      </c>
      <c r="N298" s="252">
        <f>M107</f>
        <v>0</v>
      </c>
      <c r="O298" s="252">
        <f>N107</f>
        <v>1.7499999999999998</v>
      </c>
      <c r="Q298" s="872"/>
      <c r="R298" s="252">
        <v>10</v>
      </c>
      <c r="S298" s="252">
        <f>Q107</f>
        <v>900</v>
      </c>
      <c r="T298" s="252" t="str">
        <f>R107</f>
        <v>-</v>
      </c>
      <c r="U298" s="252" t="str">
        <f>S107</f>
        <v>-</v>
      </c>
      <c r="V298" s="252">
        <f>T107</f>
        <v>9.9999999999999995E-7</v>
      </c>
      <c r="W298" s="253">
        <f>U107</f>
        <v>0</v>
      </c>
      <c r="AE298" s="230"/>
    </row>
    <row r="299" spans="1:31" hidden="1">
      <c r="A299" s="872"/>
      <c r="B299" s="252">
        <v>11</v>
      </c>
      <c r="C299" s="252">
        <f>C118</f>
        <v>30</v>
      </c>
      <c r="D299" s="252">
        <f t="shared" ref="D299:F299" si="130">D118</f>
        <v>0.5</v>
      </c>
      <c r="E299" s="252">
        <f t="shared" si="130"/>
        <v>0.4</v>
      </c>
      <c r="F299" s="252">
        <f t="shared" si="130"/>
        <v>0</v>
      </c>
      <c r="G299" s="252">
        <f>G118</f>
        <v>4.9999999999999989E-2</v>
      </c>
      <c r="I299" s="872"/>
      <c r="J299" s="252">
        <v>11</v>
      </c>
      <c r="K299" s="252">
        <f>J118</f>
        <v>60</v>
      </c>
      <c r="L299" s="252">
        <f>K118</f>
        <v>-4.8</v>
      </c>
      <c r="M299" s="252">
        <f>L118</f>
        <v>-4.5</v>
      </c>
      <c r="N299" s="252">
        <f>M118</f>
        <v>0</v>
      </c>
      <c r="O299" s="252">
        <f>N118</f>
        <v>0.14999999999999991</v>
      </c>
      <c r="Q299" s="872"/>
      <c r="R299" s="252">
        <v>11</v>
      </c>
      <c r="S299" s="252">
        <f>Q118</f>
        <v>900</v>
      </c>
      <c r="T299" s="252" t="str">
        <f>R118</f>
        <v>-</v>
      </c>
      <c r="U299" s="252" t="str">
        <f>S118</f>
        <v>-</v>
      </c>
      <c r="V299" s="252">
        <f>T118</f>
        <v>9.9999999999999995E-7</v>
      </c>
      <c r="W299" s="253">
        <f>U118</f>
        <v>0</v>
      </c>
      <c r="AE299" s="230"/>
    </row>
    <row r="300" spans="1:31" hidden="1">
      <c r="A300" s="872"/>
      <c r="B300" s="252">
        <v>12</v>
      </c>
      <c r="C300" s="252">
        <f>C129</f>
        <v>30</v>
      </c>
      <c r="D300" s="252">
        <f t="shared" ref="D300:F300" si="131">D129</f>
        <v>0.5</v>
      </c>
      <c r="E300" s="252">
        <f t="shared" si="131"/>
        <v>-0.1</v>
      </c>
      <c r="F300" s="252">
        <f t="shared" si="131"/>
        <v>0</v>
      </c>
      <c r="G300" s="252">
        <f>G129</f>
        <v>0.3</v>
      </c>
      <c r="I300" s="872"/>
      <c r="J300" s="252">
        <v>12</v>
      </c>
      <c r="K300" s="252">
        <f>J129</f>
        <v>60</v>
      </c>
      <c r="L300" s="252">
        <f>K129</f>
        <v>-3</v>
      </c>
      <c r="M300" s="252">
        <f>L129</f>
        <v>9.9999999999999995E-7</v>
      </c>
      <c r="N300" s="252">
        <f>M129</f>
        <v>0</v>
      </c>
      <c r="O300" s="252">
        <f>N129</f>
        <v>1.5000005000000001</v>
      </c>
      <c r="Q300" s="872"/>
      <c r="R300" s="252">
        <v>12</v>
      </c>
      <c r="S300" s="252">
        <f>Q129</f>
        <v>990</v>
      </c>
      <c r="T300" s="252">
        <f>R129</f>
        <v>4.0999999999999996</v>
      </c>
      <c r="U300" s="252">
        <f>S129</f>
        <v>-0.7</v>
      </c>
      <c r="V300" s="252">
        <f>T129</f>
        <v>0</v>
      </c>
      <c r="W300" s="253">
        <f>U129</f>
        <v>2.4</v>
      </c>
      <c r="AE300" s="230"/>
    </row>
    <row r="301" spans="1:31" hidden="1">
      <c r="A301" s="872"/>
      <c r="B301" s="252">
        <v>13</v>
      </c>
      <c r="C301" s="252">
        <f>C151</f>
        <v>30</v>
      </c>
      <c r="D301" s="252">
        <f t="shared" ref="D301:F301" si="132">D151</f>
        <v>0.3</v>
      </c>
      <c r="E301" s="252">
        <f t="shared" si="132"/>
        <v>-0.4</v>
      </c>
      <c r="F301" s="252">
        <f t="shared" si="132"/>
        <v>-0.3</v>
      </c>
      <c r="G301" s="252">
        <f>G151</f>
        <v>0.35</v>
      </c>
      <c r="I301" s="872"/>
      <c r="J301" s="252">
        <v>13</v>
      </c>
      <c r="K301" s="252">
        <f>J140</f>
        <v>60</v>
      </c>
      <c r="L301" s="252">
        <f>K140</f>
        <v>-3.1</v>
      </c>
      <c r="M301" s="252">
        <f>L140</f>
        <v>-1.6</v>
      </c>
      <c r="N301" s="252">
        <f>M140</f>
        <v>-1.5</v>
      </c>
      <c r="O301" s="252">
        <f>N140</f>
        <v>0.8</v>
      </c>
      <c r="Q301" s="872"/>
      <c r="R301" s="252">
        <v>13</v>
      </c>
      <c r="S301" s="252">
        <f>Q140</f>
        <v>1000</v>
      </c>
      <c r="T301" s="252">
        <f>R140</f>
        <v>4.0999999999999996</v>
      </c>
      <c r="U301" s="252">
        <f>S140</f>
        <v>3.7</v>
      </c>
      <c r="V301" s="252">
        <f>T140</f>
        <v>1.1000000000000001</v>
      </c>
      <c r="W301" s="253">
        <f>U140</f>
        <v>1.4999999999999998</v>
      </c>
      <c r="AE301" s="230"/>
    </row>
    <row r="302" spans="1:31" hidden="1">
      <c r="A302" s="872"/>
      <c r="B302" s="252">
        <v>14</v>
      </c>
      <c r="C302" s="252">
        <f>C151</f>
        <v>30</v>
      </c>
      <c r="D302" s="252">
        <f t="shared" ref="D302:F302" si="133">D151</f>
        <v>0.3</v>
      </c>
      <c r="E302" s="252">
        <f t="shared" si="133"/>
        <v>-0.4</v>
      </c>
      <c r="F302" s="252">
        <f t="shared" si="133"/>
        <v>-0.3</v>
      </c>
      <c r="G302" s="252">
        <f>G151</f>
        <v>0.35</v>
      </c>
      <c r="I302" s="872"/>
      <c r="J302" s="252">
        <v>14</v>
      </c>
      <c r="K302" s="252">
        <f>J151</f>
        <v>60</v>
      </c>
      <c r="L302" s="252">
        <f>K151</f>
        <v>-1.8</v>
      </c>
      <c r="M302" s="252">
        <f>L151</f>
        <v>0.3</v>
      </c>
      <c r="N302" s="252">
        <f>M151</f>
        <v>-0.6</v>
      </c>
      <c r="O302" s="252">
        <f>N151</f>
        <v>1.05</v>
      </c>
      <c r="Q302" s="872"/>
      <c r="R302" s="252">
        <v>14</v>
      </c>
      <c r="S302" s="252">
        <f>Q151</f>
        <v>1000</v>
      </c>
      <c r="T302" s="252">
        <f>R151</f>
        <v>4.2</v>
      </c>
      <c r="U302" s="252">
        <f>S151</f>
        <v>3.8</v>
      </c>
      <c r="V302" s="252">
        <f>T151</f>
        <v>1.1000000000000001</v>
      </c>
      <c r="W302" s="253">
        <f>U151</f>
        <v>1.55</v>
      </c>
      <c r="AE302" s="230"/>
    </row>
    <row r="303" spans="1:31" hidden="1">
      <c r="A303" s="872"/>
      <c r="B303" s="252">
        <v>15</v>
      </c>
      <c r="C303" s="252">
        <f>C162</f>
        <v>30</v>
      </c>
      <c r="D303" s="252">
        <f t="shared" ref="D303:F303" si="134">D162</f>
        <v>0.4</v>
      </c>
      <c r="E303" s="252">
        <f t="shared" si="134"/>
        <v>0.4</v>
      </c>
      <c r="F303" s="252">
        <f t="shared" si="134"/>
        <v>-0.2</v>
      </c>
      <c r="G303" s="252">
        <f>G162</f>
        <v>0.30000000000000004</v>
      </c>
      <c r="I303" s="872"/>
      <c r="J303" s="252">
        <v>15</v>
      </c>
      <c r="K303" s="252">
        <f>J162</f>
        <v>60</v>
      </c>
      <c r="L303" s="252">
        <f>K162</f>
        <v>-2.2999999999999998</v>
      </c>
      <c r="M303" s="252">
        <f>L162</f>
        <v>-1.1000000000000001</v>
      </c>
      <c r="N303" s="252">
        <f>M162</f>
        <v>-0.5</v>
      </c>
      <c r="O303" s="252">
        <f>N162</f>
        <v>0.89999999999999991</v>
      </c>
      <c r="Q303" s="872"/>
      <c r="R303" s="252">
        <v>15</v>
      </c>
      <c r="S303" s="252">
        <f>Q162</f>
        <v>1000</v>
      </c>
      <c r="T303" s="252">
        <f>R162</f>
        <v>4.4000000000000004</v>
      </c>
      <c r="U303" s="252">
        <f>S162</f>
        <v>4.0999999999999996</v>
      </c>
      <c r="V303" s="252">
        <f>T162</f>
        <v>1.1000000000000001</v>
      </c>
      <c r="W303" s="253">
        <f>U162</f>
        <v>1.6500000000000001</v>
      </c>
      <c r="AE303" s="230"/>
    </row>
    <row r="304" spans="1:31" hidden="1">
      <c r="A304" s="872"/>
      <c r="B304" s="252">
        <v>16</v>
      </c>
      <c r="C304" s="252">
        <f>C173</f>
        <v>30</v>
      </c>
      <c r="D304" s="252">
        <f t="shared" ref="D304:F304" si="135">D173</f>
        <v>0.6</v>
      </c>
      <c r="E304" s="252">
        <f t="shared" si="135"/>
        <v>0.2</v>
      </c>
      <c r="F304" s="252">
        <f t="shared" si="135"/>
        <v>0</v>
      </c>
      <c r="G304" s="252">
        <f>G173</f>
        <v>0.19999999999999998</v>
      </c>
      <c r="I304" s="872"/>
      <c r="J304" s="252">
        <v>16</v>
      </c>
      <c r="K304" s="252">
        <f>J173</f>
        <v>60</v>
      </c>
      <c r="L304" s="252">
        <f>K173</f>
        <v>-1.9</v>
      </c>
      <c r="M304" s="252">
        <f>L173</f>
        <v>-1.5</v>
      </c>
      <c r="N304" s="252">
        <f>M173</f>
        <v>0</v>
      </c>
      <c r="O304" s="252">
        <f>N173</f>
        <v>0.19999999999999996</v>
      </c>
      <c r="Q304" s="872"/>
      <c r="R304" s="252">
        <v>16</v>
      </c>
      <c r="S304" s="252">
        <f>Q173</f>
        <v>990</v>
      </c>
      <c r="T304" s="252">
        <f>R173</f>
        <v>4.4000000000000004</v>
      </c>
      <c r="U304" s="252">
        <f>S173</f>
        <v>-1.1000000000000001</v>
      </c>
      <c r="V304" s="252">
        <f>T173</f>
        <v>0</v>
      </c>
      <c r="W304" s="253">
        <f>U173</f>
        <v>2.75</v>
      </c>
      <c r="AE304" s="230"/>
    </row>
    <row r="305" spans="1:31" hidden="1">
      <c r="A305" s="872"/>
      <c r="B305" s="252">
        <v>17</v>
      </c>
      <c r="C305" s="252">
        <f>C184</f>
        <v>30</v>
      </c>
      <c r="D305" s="252">
        <f>D184</f>
        <v>0.6</v>
      </c>
      <c r="E305" s="252">
        <f>E184</f>
        <v>-0.2</v>
      </c>
      <c r="F305" s="252">
        <f t="shared" ref="F305" si="136">F184</f>
        <v>0</v>
      </c>
      <c r="G305" s="252">
        <f>G184</f>
        <v>0.4</v>
      </c>
      <c r="I305" s="872"/>
      <c r="J305" s="252">
        <v>17</v>
      </c>
      <c r="K305" s="252">
        <f>J184</f>
        <v>60</v>
      </c>
      <c r="L305" s="252">
        <f>K184</f>
        <v>-1.7</v>
      </c>
      <c r="M305" s="252">
        <f>L184</f>
        <v>9.9999999999999995E-7</v>
      </c>
      <c r="N305" s="252">
        <f>M184</f>
        <v>0</v>
      </c>
      <c r="O305" s="252">
        <f>N184</f>
        <v>0.85000049999999994</v>
      </c>
      <c r="Q305" s="872"/>
      <c r="R305" s="252">
        <v>17</v>
      </c>
      <c r="S305" s="252">
        <f>Q184</f>
        <v>990</v>
      </c>
      <c r="T305" s="252">
        <f>R184</f>
        <v>4.4000000000000004</v>
      </c>
      <c r="U305" s="252">
        <f>S184</f>
        <v>-0.6</v>
      </c>
      <c r="V305" s="252">
        <f>T184</f>
        <v>0</v>
      </c>
      <c r="W305" s="253">
        <f>U184</f>
        <v>2.5</v>
      </c>
      <c r="AE305" s="230"/>
    </row>
    <row r="306" spans="1:31" hidden="1">
      <c r="A306" s="872"/>
      <c r="B306" s="252">
        <v>18</v>
      </c>
      <c r="C306" s="252">
        <f>C195</f>
        <v>30</v>
      </c>
      <c r="D306" s="252">
        <f t="shared" ref="D306:F306" si="137">D195</f>
        <v>0.3</v>
      </c>
      <c r="E306" s="252">
        <f t="shared" si="137"/>
        <v>-0.2</v>
      </c>
      <c r="F306" s="252">
        <f t="shared" si="137"/>
        <v>0</v>
      </c>
      <c r="G306" s="252">
        <f>G195</f>
        <v>0.25</v>
      </c>
      <c r="I306" s="872"/>
      <c r="J306" s="252">
        <v>18</v>
      </c>
      <c r="K306" s="252">
        <f>J195</f>
        <v>60</v>
      </c>
      <c r="L306" s="252">
        <f>K195</f>
        <v>-2.1</v>
      </c>
      <c r="M306" s="252">
        <f>L195</f>
        <v>-0.2</v>
      </c>
      <c r="N306" s="252">
        <f>M195</f>
        <v>0</v>
      </c>
      <c r="O306" s="252">
        <f>N195</f>
        <v>0.95000000000000007</v>
      </c>
      <c r="Q306" s="872"/>
      <c r="R306" s="252">
        <v>18</v>
      </c>
      <c r="S306" s="252">
        <f>Q195</f>
        <v>990</v>
      </c>
      <c r="T306" s="252">
        <f>R195</f>
        <v>4.3</v>
      </c>
      <c r="U306" s="252">
        <f>S195</f>
        <v>-0.9</v>
      </c>
      <c r="V306" s="252">
        <f>T195</f>
        <v>0</v>
      </c>
      <c r="W306" s="253">
        <f>U195</f>
        <v>2.6</v>
      </c>
      <c r="AE306" s="230"/>
    </row>
    <row r="307" spans="1:31" hidden="1">
      <c r="A307" s="872"/>
      <c r="B307" s="252">
        <v>19</v>
      </c>
      <c r="C307" s="252">
        <f>C206</f>
        <v>30</v>
      </c>
      <c r="D307" s="252">
        <f t="shared" ref="D307:F307" si="138">D206</f>
        <v>0.5</v>
      </c>
      <c r="E307" s="252">
        <f t="shared" si="138"/>
        <v>-0.1</v>
      </c>
      <c r="F307" s="252">
        <f t="shared" si="138"/>
        <v>0</v>
      </c>
      <c r="G307" s="252">
        <f>G206</f>
        <v>0.3</v>
      </c>
      <c r="I307" s="872"/>
      <c r="J307" s="252">
        <v>19</v>
      </c>
      <c r="K307" s="252">
        <f>J206</f>
        <v>60</v>
      </c>
      <c r="L307" s="252">
        <f>K206</f>
        <v>-2.7</v>
      </c>
      <c r="M307" s="252">
        <f>L206</f>
        <v>0.4</v>
      </c>
      <c r="N307" s="252">
        <f>M206</f>
        <v>0</v>
      </c>
      <c r="O307" s="252">
        <f>N206</f>
        <v>1.55</v>
      </c>
      <c r="Q307" s="872"/>
      <c r="R307" s="252">
        <v>19</v>
      </c>
      <c r="S307" s="252">
        <f>Q206</f>
        <v>900</v>
      </c>
      <c r="T307" s="252">
        <f>R206</f>
        <v>4.4000000000000004</v>
      </c>
      <c r="U307" s="252">
        <f>S206</f>
        <v>2.2999999999999998</v>
      </c>
      <c r="V307" s="252">
        <f>T206</f>
        <v>0</v>
      </c>
      <c r="W307" s="253">
        <f>U206</f>
        <v>1.0500000000000003</v>
      </c>
      <c r="AE307" s="230"/>
    </row>
    <row r="308" spans="1:31" ht="13.8" hidden="1" thickBot="1">
      <c r="A308" s="872"/>
      <c r="B308" s="252">
        <v>20</v>
      </c>
      <c r="C308" s="252">
        <f>C217</f>
        <v>29.5</v>
      </c>
      <c r="D308" s="252">
        <f t="shared" ref="D308:F308" si="139">D217</f>
        <v>9.9999999999999995E-7</v>
      </c>
      <c r="E308" s="252" t="str">
        <f t="shared" si="139"/>
        <v>-</v>
      </c>
      <c r="F308" s="252">
        <f t="shared" si="139"/>
        <v>9.9999999999999995E-7</v>
      </c>
      <c r="G308" s="252">
        <f>G217</f>
        <v>0</v>
      </c>
      <c r="I308" s="872"/>
      <c r="J308" s="252">
        <v>20</v>
      </c>
      <c r="K308" s="252">
        <f>J217</f>
        <v>71.5</v>
      </c>
      <c r="L308" s="252">
        <f>K217</f>
        <v>9.9999999999999995E-7</v>
      </c>
      <c r="M308" s="252" t="str">
        <f>L217</f>
        <v>-</v>
      </c>
      <c r="N308" s="252">
        <f>M217</f>
        <v>0</v>
      </c>
      <c r="O308" s="252">
        <f>N217</f>
        <v>0</v>
      </c>
      <c r="Q308" s="874"/>
      <c r="R308" s="261">
        <v>20</v>
      </c>
      <c r="S308" s="261">
        <f>Q217</f>
        <v>900</v>
      </c>
      <c r="T308" s="261">
        <f>R217</f>
        <v>9.9999999999999995E-7</v>
      </c>
      <c r="U308" s="261" t="str">
        <f>S217</f>
        <v>-</v>
      </c>
      <c r="V308" s="261">
        <f>T217</f>
        <v>9.9999999999999995E-7</v>
      </c>
      <c r="W308" s="276">
        <f>U217</f>
        <v>0</v>
      </c>
      <c r="AE308" s="265"/>
    </row>
    <row r="309" spans="1:31" hidden="1">
      <c r="A309" s="266"/>
      <c r="B309" s="266"/>
      <c r="C309" s="266"/>
      <c r="D309" s="266"/>
      <c r="E309" s="266"/>
      <c r="F309" s="246"/>
      <c r="G309" s="266"/>
      <c r="I309" s="266"/>
      <c r="J309" s="266"/>
      <c r="K309" s="266"/>
      <c r="L309" s="266"/>
      <c r="M309" s="266"/>
      <c r="N309" s="246"/>
      <c r="O309" s="266"/>
      <c r="Q309" s="277"/>
      <c r="R309" s="279"/>
      <c r="S309" s="125"/>
      <c r="T309" s="125"/>
      <c r="U309" s="125"/>
      <c r="W309" s="126"/>
      <c r="AE309" s="230"/>
    </row>
    <row r="310" spans="1:31" hidden="1">
      <c r="A310" s="872">
        <v>5</v>
      </c>
      <c r="B310" s="252">
        <v>1</v>
      </c>
      <c r="C310" s="252">
        <f>C9</f>
        <v>35</v>
      </c>
      <c r="D310" s="252">
        <f t="shared" ref="D310:F310" si="140">D9</f>
        <v>0</v>
      </c>
      <c r="E310" s="252">
        <f t="shared" si="140"/>
        <v>-0.2</v>
      </c>
      <c r="F310" s="252">
        <f t="shared" si="140"/>
        <v>-0.1</v>
      </c>
      <c r="G310" s="252">
        <f>G9</f>
        <v>0.1</v>
      </c>
      <c r="I310" s="872">
        <v>5</v>
      </c>
      <c r="J310" s="252">
        <v>1</v>
      </c>
      <c r="K310" s="252">
        <f>J20</f>
        <v>70</v>
      </c>
      <c r="L310" s="252">
        <f>K20</f>
        <v>-3.4</v>
      </c>
      <c r="M310" s="252">
        <f>L20</f>
        <v>-2.4</v>
      </c>
      <c r="N310" s="252">
        <f>M20</f>
        <v>-1.1000000000000001</v>
      </c>
      <c r="O310" s="252">
        <f>N20</f>
        <v>1.1499999999999999</v>
      </c>
      <c r="Q310" s="873">
        <v>5</v>
      </c>
      <c r="R310" s="271">
        <v>1</v>
      </c>
      <c r="S310" s="271">
        <f>Q9</f>
        <v>1000</v>
      </c>
      <c r="T310" s="271" t="str">
        <f>R9</f>
        <v>-</v>
      </c>
      <c r="U310" s="271" t="str">
        <f>S9</f>
        <v>-</v>
      </c>
      <c r="V310" s="271">
        <f>T9</f>
        <v>9.9999999999999995E-7</v>
      </c>
      <c r="W310" s="278">
        <f>U9</f>
        <v>0</v>
      </c>
      <c r="AE310" s="274"/>
    </row>
    <row r="311" spans="1:31" hidden="1">
      <c r="A311" s="872"/>
      <c r="B311" s="252">
        <v>2</v>
      </c>
      <c r="C311" s="252">
        <f>C20</f>
        <v>35</v>
      </c>
      <c r="D311" s="252">
        <f t="shared" ref="D311:F311" si="141">D20</f>
        <v>0.5</v>
      </c>
      <c r="E311" s="252">
        <f t="shared" si="141"/>
        <v>-0.1</v>
      </c>
      <c r="F311" s="252">
        <f t="shared" si="141"/>
        <v>-0.3</v>
      </c>
      <c r="G311" s="252">
        <f>G20</f>
        <v>0.4</v>
      </c>
      <c r="I311" s="872"/>
      <c r="J311" s="252">
        <v>2</v>
      </c>
      <c r="K311" s="252">
        <f>J20</f>
        <v>70</v>
      </c>
      <c r="L311" s="252">
        <f>K20</f>
        <v>-3.4</v>
      </c>
      <c r="M311" s="252">
        <f>L20</f>
        <v>-2.4</v>
      </c>
      <c r="N311" s="252">
        <f>M20</f>
        <v>-1.1000000000000001</v>
      </c>
      <c r="O311" s="252">
        <f>N20</f>
        <v>1.1499999999999999</v>
      </c>
      <c r="Q311" s="872"/>
      <c r="R311" s="252">
        <v>2</v>
      </c>
      <c r="S311" s="252">
        <f>Q20</f>
        <v>1000</v>
      </c>
      <c r="T311" s="252" t="str">
        <f>R20</f>
        <v>-</v>
      </c>
      <c r="U311" s="252" t="str">
        <f>S20</f>
        <v>-</v>
      </c>
      <c r="V311" s="252" t="str">
        <f>T20</f>
        <v>-</v>
      </c>
      <c r="W311" s="253">
        <f>U20</f>
        <v>0</v>
      </c>
      <c r="AE311" s="230"/>
    </row>
    <row r="312" spans="1:31" hidden="1">
      <c r="A312" s="872"/>
      <c r="B312" s="252">
        <v>3</v>
      </c>
      <c r="C312" s="252">
        <f>C31</f>
        <v>35</v>
      </c>
      <c r="D312" s="252">
        <f t="shared" ref="D312:F312" si="142">D31</f>
        <v>0.3</v>
      </c>
      <c r="E312" s="252">
        <f t="shared" si="142"/>
        <v>-0.3</v>
      </c>
      <c r="F312" s="252">
        <f t="shared" si="142"/>
        <v>-0.5</v>
      </c>
      <c r="G312" s="252">
        <f>G31</f>
        <v>0.4</v>
      </c>
      <c r="I312" s="872"/>
      <c r="J312" s="252">
        <v>3</v>
      </c>
      <c r="K312" s="252">
        <f>J31</f>
        <v>70</v>
      </c>
      <c r="L312" s="252">
        <f>K31</f>
        <v>-4.4000000000000004</v>
      </c>
      <c r="M312" s="252">
        <f>L31</f>
        <v>-2</v>
      </c>
      <c r="N312" s="252">
        <f>M31</f>
        <v>-3.6</v>
      </c>
      <c r="O312" s="252">
        <f>N31</f>
        <v>1.2000000000000002</v>
      </c>
      <c r="Q312" s="872"/>
      <c r="R312" s="252">
        <v>3</v>
      </c>
      <c r="S312" s="252">
        <f>Q31</f>
        <v>1000</v>
      </c>
      <c r="T312" s="252" t="str">
        <f>R31</f>
        <v>-</v>
      </c>
      <c r="U312" s="252" t="str">
        <f>S31</f>
        <v>-</v>
      </c>
      <c r="V312" s="252" t="str">
        <f>T31</f>
        <v>-</v>
      </c>
      <c r="W312" s="253">
        <f>U31</f>
        <v>0</v>
      </c>
      <c r="AE312" s="230"/>
    </row>
    <row r="313" spans="1:31" hidden="1">
      <c r="A313" s="872"/>
      <c r="B313" s="252">
        <v>4</v>
      </c>
      <c r="C313" s="252">
        <f>C42</f>
        <v>35</v>
      </c>
      <c r="D313" s="252">
        <f t="shared" ref="D313:F313" si="143">D42</f>
        <v>-0.3</v>
      </c>
      <c r="E313" s="252">
        <f t="shared" si="143"/>
        <v>-0.6</v>
      </c>
      <c r="F313" s="252">
        <f t="shared" si="143"/>
        <v>0</v>
      </c>
      <c r="G313" s="252">
        <f>G42</f>
        <v>0.15</v>
      </c>
      <c r="I313" s="872"/>
      <c r="J313" s="252">
        <v>4</v>
      </c>
      <c r="K313" s="252">
        <f>J42</f>
        <v>70</v>
      </c>
      <c r="L313" s="252">
        <f>K42</f>
        <v>-4</v>
      </c>
      <c r="M313" s="252">
        <f>L42</f>
        <v>0.7</v>
      </c>
      <c r="N313" s="252">
        <f>M42</f>
        <v>0</v>
      </c>
      <c r="O313" s="252">
        <f>N42</f>
        <v>2.35</v>
      </c>
      <c r="Q313" s="872"/>
      <c r="R313" s="252">
        <v>4</v>
      </c>
      <c r="S313" s="252">
        <f>Q42</f>
        <v>1000</v>
      </c>
      <c r="T313" s="252" t="str">
        <f>R42</f>
        <v>-</v>
      </c>
      <c r="U313" s="252" t="str">
        <f>S42</f>
        <v>-</v>
      </c>
      <c r="V313" s="252">
        <f>T42</f>
        <v>9.9999999999999995E-7</v>
      </c>
      <c r="W313" s="253">
        <f>U42</f>
        <v>0</v>
      </c>
      <c r="AE313" s="230"/>
    </row>
    <row r="314" spans="1:31" hidden="1">
      <c r="A314" s="872"/>
      <c r="B314" s="252">
        <v>5</v>
      </c>
      <c r="C314" s="252">
        <f>C53</f>
        <v>35</v>
      </c>
      <c r="D314" s="252">
        <f t="shared" ref="D314:F314" si="144">D53</f>
        <v>0.4</v>
      </c>
      <c r="E314" s="252">
        <f t="shared" si="144"/>
        <v>0.1</v>
      </c>
      <c r="F314" s="252">
        <f t="shared" si="144"/>
        <v>0.7</v>
      </c>
      <c r="G314" s="252">
        <f>G53</f>
        <v>0.3</v>
      </c>
      <c r="I314" s="872"/>
      <c r="J314" s="252">
        <v>5</v>
      </c>
      <c r="K314" s="252">
        <f>J53</f>
        <v>70</v>
      </c>
      <c r="L314" s="252">
        <f>K53</f>
        <v>-7.1</v>
      </c>
      <c r="M314" s="252">
        <f>L53</f>
        <v>-6.1</v>
      </c>
      <c r="N314" s="252">
        <f>M53</f>
        <v>-4.0999999999999996</v>
      </c>
      <c r="O314" s="252">
        <f>N53</f>
        <v>1.5</v>
      </c>
      <c r="Q314" s="872"/>
      <c r="R314" s="252">
        <v>5</v>
      </c>
      <c r="S314" s="252">
        <f>Q53</f>
        <v>1000</v>
      </c>
      <c r="T314" s="252" t="str">
        <f>R53</f>
        <v>-</v>
      </c>
      <c r="U314" s="252" t="str">
        <f>S53</f>
        <v>-</v>
      </c>
      <c r="V314" s="252" t="str">
        <f>T53</f>
        <v>-</v>
      </c>
      <c r="W314" s="253">
        <f>U53</f>
        <v>0</v>
      </c>
      <c r="AE314" s="230"/>
    </row>
    <row r="315" spans="1:31" hidden="1">
      <c r="A315" s="872"/>
      <c r="B315" s="252">
        <v>6</v>
      </c>
      <c r="C315" s="252">
        <f>C64</f>
        <v>35</v>
      </c>
      <c r="D315" s="252">
        <f t="shared" ref="D315:F315" si="145">D64</f>
        <v>0.1</v>
      </c>
      <c r="E315" s="252">
        <f t="shared" si="145"/>
        <v>-0.9</v>
      </c>
      <c r="F315" s="252">
        <f t="shared" si="145"/>
        <v>0</v>
      </c>
      <c r="G315" s="252">
        <f>G64</f>
        <v>0.5</v>
      </c>
      <c r="I315" s="872"/>
      <c r="J315" s="252">
        <v>6</v>
      </c>
      <c r="K315" s="252">
        <f>J64</f>
        <v>70</v>
      </c>
      <c r="L315" s="252">
        <f>K64</f>
        <v>-6.7</v>
      </c>
      <c r="M315" s="252">
        <f>L64</f>
        <v>0.9</v>
      </c>
      <c r="N315" s="252">
        <f>M64</f>
        <v>0</v>
      </c>
      <c r="O315" s="252">
        <f>N64</f>
        <v>3.8000000000000003</v>
      </c>
      <c r="Q315" s="872"/>
      <c r="R315" s="252">
        <v>6</v>
      </c>
      <c r="S315" s="252">
        <f>Q64</f>
        <v>1000</v>
      </c>
      <c r="T315" s="252">
        <f>R64</f>
        <v>0.9</v>
      </c>
      <c r="U315" s="252">
        <f>S64</f>
        <v>-0.3</v>
      </c>
      <c r="V315" s="252">
        <f>T64</f>
        <v>9.9999999999999995E-7</v>
      </c>
      <c r="W315" s="253">
        <f>U64</f>
        <v>0.6</v>
      </c>
      <c r="AE315" s="230"/>
    </row>
    <row r="316" spans="1:31" hidden="1">
      <c r="A316" s="872"/>
      <c r="B316" s="252">
        <v>7</v>
      </c>
      <c r="C316" s="252">
        <f>C75</f>
        <v>35</v>
      </c>
      <c r="D316" s="252">
        <f t="shared" ref="D316:F316" si="146">D75</f>
        <v>9.9999999999999995E-7</v>
      </c>
      <c r="E316" s="252">
        <f t="shared" si="146"/>
        <v>-1.1000000000000001</v>
      </c>
      <c r="F316" s="252">
        <f t="shared" si="146"/>
        <v>0</v>
      </c>
      <c r="G316" s="252">
        <f>G75</f>
        <v>0.5500005</v>
      </c>
      <c r="I316" s="872"/>
      <c r="J316" s="252">
        <v>7</v>
      </c>
      <c r="K316" s="252">
        <f>J75</f>
        <v>70</v>
      </c>
      <c r="L316" s="252">
        <f>K75</f>
        <v>-2.2999999999999998</v>
      </c>
      <c r="M316" s="252">
        <f>L75</f>
        <v>0.9</v>
      </c>
      <c r="N316" s="252">
        <f>M75</f>
        <v>0</v>
      </c>
      <c r="O316" s="252">
        <f>N75</f>
        <v>1.5999999999999999</v>
      </c>
      <c r="Q316" s="872"/>
      <c r="R316" s="252">
        <v>7</v>
      </c>
      <c r="S316" s="252">
        <f>Q75</f>
        <v>1000</v>
      </c>
      <c r="T316" s="252">
        <f>R75</f>
        <v>-3.9</v>
      </c>
      <c r="U316" s="252">
        <f>S75</f>
        <v>-0.4</v>
      </c>
      <c r="V316" s="252">
        <f>T75</f>
        <v>9.9999999999999995E-7</v>
      </c>
      <c r="W316" s="253">
        <f>U75</f>
        <v>1.9500005</v>
      </c>
      <c r="AE316" s="230"/>
    </row>
    <row r="317" spans="1:31" hidden="1">
      <c r="A317" s="872"/>
      <c r="B317" s="252">
        <v>8</v>
      </c>
      <c r="C317" s="252">
        <f>C86</f>
        <v>35</v>
      </c>
      <c r="D317" s="252">
        <f t="shared" ref="D317:F317" si="147">D86</f>
        <v>-0.1</v>
      </c>
      <c r="E317" s="252">
        <f t="shared" si="147"/>
        <v>-0.1</v>
      </c>
      <c r="F317" s="252">
        <f t="shared" si="147"/>
        <v>-0.5</v>
      </c>
      <c r="G317" s="252">
        <f>G86</f>
        <v>0.2</v>
      </c>
      <c r="I317" s="872"/>
      <c r="J317" s="252">
        <v>8</v>
      </c>
      <c r="K317" s="252">
        <f>J86</f>
        <v>70</v>
      </c>
      <c r="L317" s="252">
        <f>K86</f>
        <v>-6.5</v>
      </c>
      <c r="M317" s="252">
        <f>L86</f>
        <v>-4.0999999999999996</v>
      </c>
      <c r="N317" s="252">
        <f>M86</f>
        <v>-1.2</v>
      </c>
      <c r="O317" s="252">
        <f>N86</f>
        <v>2.65</v>
      </c>
      <c r="Q317" s="872"/>
      <c r="R317" s="252">
        <v>8</v>
      </c>
      <c r="S317" s="252">
        <f>Q86</f>
        <v>1000</v>
      </c>
      <c r="T317" s="252">
        <f>R86</f>
        <v>0.2</v>
      </c>
      <c r="U317" s="252">
        <f>S86</f>
        <v>-3.5</v>
      </c>
      <c r="V317" s="252">
        <f>T86</f>
        <v>0.2</v>
      </c>
      <c r="W317" s="253">
        <f>U86</f>
        <v>1.85</v>
      </c>
      <c r="AE317" s="230"/>
    </row>
    <row r="318" spans="1:31" hidden="1">
      <c r="A318" s="872"/>
      <c r="B318" s="252">
        <v>9</v>
      </c>
      <c r="C318" s="252">
        <f>C97</f>
        <v>35</v>
      </c>
      <c r="D318" s="252">
        <f t="shared" ref="D318:F318" si="148">D97</f>
        <v>-0.5</v>
      </c>
      <c r="E318" s="252" t="str">
        <f t="shared" si="148"/>
        <v>-</v>
      </c>
      <c r="F318" s="252">
        <f t="shared" si="148"/>
        <v>0</v>
      </c>
      <c r="G318" s="252">
        <f>G97</f>
        <v>0</v>
      </c>
      <c r="I318" s="872"/>
      <c r="J318" s="252">
        <v>9</v>
      </c>
      <c r="K318" s="252">
        <f>J97</f>
        <v>70</v>
      </c>
      <c r="L318" s="252">
        <f>K97</f>
        <v>-0.6</v>
      </c>
      <c r="M318" s="252" t="str">
        <f>L97</f>
        <v>-</v>
      </c>
      <c r="N318" s="252">
        <f>M97</f>
        <v>0</v>
      </c>
      <c r="O318" s="252">
        <f>N97</f>
        <v>0</v>
      </c>
      <c r="Q318" s="872"/>
      <c r="R318" s="252">
        <v>9</v>
      </c>
      <c r="S318" s="252">
        <f>Q97</f>
        <v>1000</v>
      </c>
      <c r="T318" s="252">
        <f>R97</f>
        <v>0.2</v>
      </c>
      <c r="U318" s="252" t="str">
        <f>S97</f>
        <v>-</v>
      </c>
      <c r="V318" s="252">
        <f>T97</f>
        <v>9.9999999999999995E-7</v>
      </c>
      <c r="W318" s="253">
        <f>U97</f>
        <v>9.9999500000000005E-2</v>
      </c>
      <c r="AE318" s="230"/>
    </row>
    <row r="319" spans="1:31" hidden="1">
      <c r="A319" s="872"/>
      <c r="B319" s="252">
        <v>10</v>
      </c>
      <c r="C319" s="252">
        <f>C108</f>
        <v>35</v>
      </c>
      <c r="D319" s="252">
        <f t="shared" ref="D319:F319" si="149">D108</f>
        <v>0.2</v>
      </c>
      <c r="E319" s="252">
        <f t="shared" si="149"/>
        <v>0.8</v>
      </c>
      <c r="F319" s="252">
        <f t="shared" si="149"/>
        <v>0</v>
      </c>
      <c r="G319" s="252">
        <f>G108</f>
        <v>0.30000000000000004</v>
      </c>
      <c r="I319" s="872"/>
      <c r="J319" s="252">
        <v>10</v>
      </c>
      <c r="K319" s="252">
        <f>J108</f>
        <v>70</v>
      </c>
      <c r="L319" s="252">
        <f>K108</f>
        <v>-0.3</v>
      </c>
      <c r="M319" s="252">
        <f>L108</f>
        <v>-5.0999999999999996</v>
      </c>
      <c r="N319" s="252">
        <f>M108</f>
        <v>0</v>
      </c>
      <c r="O319" s="252">
        <f>N108</f>
        <v>2.4</v>
      </c>
      <c r="Q319" s="872"/>
      <c r="R319" s="252">
        <v>10</v>
      </c>
      <c r="S319" s="252">
        <f>Q108</f>
        <v>1000</v>
      </c>
      <c r="T319" s="252" t="str">
        <f>R108</f>
        <v>-</v>
      </c>
      <c r="U319" s="252" t="str">
        <f>S108</f>
        <v>-</v>
      </c>
      <c r="V319" s="252">
        <f>T108</f>
        <v>9.9999999999999995E-7</v>
      </c>
      <c r="W319" s="253">
        <f>U108</f>
        <v>0</v>
      </c>
      <c r="AE319" s="230"/>
    </row>
    <row r="320" spans="1:31" hidden="1">
      <c r="A320" s="872"/>
      <c r="B320" s="252">
        <v>11</v>
      </c>
      <c r="C320" s="252">
        <f>C119</f>
        <v>35</v>
      </c>
      <c r="D320" s="252">
        <f t="shared" ref="D320:F320" si="150">D119</f>
        <v>0.5</v>
      </c>
      <c r="E320" s="252">
        <f t="shared" si="150"/>
        <v>0.4</v>
      </c>
      <c r="F320" s="252">
        <f t="shared" si="150"/>
        <v>0</v>
      </c>
      <c r="G320" s="252">
        <f>G119</f>
        <v>4.9999999999999989E-2</v>
      </c>
      <c r="I320" s="872"/>
      <c r="J320" s="252">
        <v>11</v>
      </c>
      <c r="K320" s="252">
        <f>J119</f>
        <v>70</v>
      </c>
      <c r="L320" s="252">
        <f>K119</f>
        <v>-3.4</v>
      </c>
      <c r="M320" s="252">
        <f>L119</f>
        <v>-1.7</v>
      </c>
      <c r="N320" s="252">
        <f>M119</f>
        <v>0</v>
      </c>
      <c r="O320" s="252">
        <f>N119</f>
        <v>0.85</v>
      </c>
      <c r="Q320" s="872"/>
      <c r="R320" s="252">
        <v>11</v>
      </c>
      <c r="S320" s="252">
        <f>Q119</f>
        <v>1000</v>
      </c>
      <c r="T320" s="252" t="str">
        <f>R119</f>
        <v>-</v>
      </c>
      <c r="U320" s="252" t="str">
        <f>S119</f>
        <v>-</v>
      </c>
      <c r="V320" s="252">
        <f>T119</f>
        <v>9.9999999999999995E-7</v>
      </c>
      <c r="W320" s="253">
        <f>U119</f>
        <v>0</v>
      </c>
      <c r="AE320" s="230"/>
    </row>
    <row r="321" spans="1:31" hidden="1">
      <c r="A321" s="872"/>
      <c r="B321" s="252">
        <v>12</v>
      </c>
      <c r="C321" s="252">
        <f>C130</f>
        <v>35</v>
      </c>
      <c r="D321" s="252">
        <f t="shared" ref="D321:F321" si="151">D130</f>
        <v>0.7</v>
      </c>
      <c r="E321" s="252">
        <f t="shared" si="151"/>
        <v>-0.2</v>
      </c>
      <c r="F321" s="252">
        <f t="shared" si="151"/>
        <v>0</v>
      </c>
      <c r="G321" s="252">
        <f>G130</f>
        <v>0.44999999999999996</v>
      </c>
      <c r="I321" s="872"/>
      <c r="J321" s="252">
        <v>12</v>
      </c>
      <c r="K321" s="252">
        <f>J130</f>
        <v>70</v>
      </c>
      <c r="L321" s="252">
        <f>K130</f>
        <v>-2.8</v>
      </c>
      <c r="M321" s="252">
        <f>L130</f>
        <v>-0.1</v>
      </c>
      <c r="N321" s="252">
        <f>M130</f>
        <v>0</v>
      </c>
      <c r="O321" s="252">
        <f>N130</f>
        <v>1.3499999999999999</v>
      </c>
      <c r="Q321" s="872"/>
      <c r="R321" s="252">
        <v>12</v>
      </c>
      <c r="S321" s="252">
        <f>Q130</f>
        <v>1000</v>
      </c>
      <c r="T321" s="252">
        <f>R130</f>
        <v>4.0999999999999996</v>
      </c>
      <c r="U321" s="252">
        <f>S130</f>
        <v>-0.8</v>
      </c>
      <c r="V321" s="252">
        <f>T130</f>
        <v>0</v>
      </c>
      <c r="W321" s="253">
        <f>U130</f>
        <v>2.4499999999999997</v>
      </c>
      <c r="AE321" s="230"/>
    </row>
    <row r="322" spans="1:31" hidden="1">
      <c r="A322" s="872"/>
      <c r="B322" s="252">
        <v>13</v>
      </c>
      <c r="C322" s="252">
        <f>C141</f>
        <v>35</v>
      </c>
      <c r="D322" s="252">
        <f t="shared" ref="D322:F322" si="152">D141</f>
        <v>0.5</v>
      </c>
      <c r="E322" s="252">
        <f t="shared" si="152"/>
        <v>-0.2</v>
      </c>
      <c r="F322" s="252">
        <f t="shared" si="152"/>
        <v>0.3</v>
      </c>
      <c r="G322" s="252">
        <f>G141</f>
        <v>0.35</v>
      </c>
      <c r="I322" s="872"/>
      <c r="J322" s="252">
        <v>13</v>
      </c>
      <c r="K322" s="252">
        <f>J141</f>
        <v>70</v>
      </c>
      <c r="L322" s="252">
        <f>K141</f>
        <v>-2.2999999999999998</v>
      </c>
      <c r="M322" s="252">
        <f>L141</f>
        <v>-1.4</v>
      </c>
      <c r="N322" s="252">
        <f>M141</f>
        <v>-1.9</v>
      </c>
      <c r="O322" s="252">
        <f>N141</f>
        <v>0.44999999999999996</v>
      </c>
      <c r="Q322" s="872"/>
      <c r="R322" s="252">
        <v>13</v>
      </c>
      <c r="S322" s="252">
        <f>Q141</f>
        <v>1005</v>
      </c>
      <c r="T322" s="252">
        <f>R141</f>
        <v>0</v>
      </c>
      <c r="U322" s="252">
        <f>S141</f>
        <v>3.6</v>
      </c>
      <c r="V322" s="252">
        <f>T141</f>
        <v>1.1000000000000001</v>
      </c>
      <c r="W322" s="253">
        <f>U141</f>
        <v>1.25</v>
      </c>
      <c r="AE322" s="230"/>
    </row>
    <row r="323" spans="1:31" hidden="1">
      <c r="A323" s="872"/>
      <c r="B323" s="252">
        <v>14</v>
      </c>
      <c r="C323" s="252">
        <f>C152</f>
        <v>35</v>
      </c>
      <c r="D323" s="252">
        <f t="shared" ref="D323:F323" si="153">D152</f>
        <v>0.3</v>
      </c>
      <c r="E323" s="252">
        <f t="shared" si="153"/>
        <v>-0.6</v>
      </c>
      <c r="F323" s="252">
        <f t="shared" si="153"/>
        <v>-0.6</v>
      </c>
      <c r="G323" s="252">
        <f>G152</f>
        <v>0.44999999999999996</v>
      </c>
      <c r="I323" s="872"/>
      <c r="J323" s="252">
        <v>14</v>
      </c>
      <c r="K323" s="252">
        <f>J152</f>
        <v>70</v>
      </c>
      <c r="L323" s="252">
        <f>K152</f>
        <v>-0.6</v>
      </c>
      <c r="M323" s="252">
        <f>L152</f>
        <v>0.7</v>
      </c>
      <c r="N323" s="252">
        <f>M152</f>
        <v>-0.8</v>
      </c>
      <c r="O323" s="252">
        <f>N152</f>
        <v>0.75</v>
      </c>
      <c r="Q323" s="872"/>
      <c r="R323" s="252">
        <v>14</v>
      </c>
      <c r="S323" s="252">
        <f>Q152</f>
        <v>1005</v>
      </c>
      <c r="T323" s="252">
        <f>R152</f>
        <v>0</v>
      </c>
      <c r="U323" s="252">
        <f>S152</f>
        <v>3.8</v>
      </c>
      <c r="V323" s="252">
        <f>T152</f>
        <v>1.1000000000000001</v>
      </c>
      <c r="W323" s="253">
        <f>U152</f>
        <v>1.3499999999999999</v>
      </c>
      <c r="AE323" s="230"/>
    </row>
    <row r="324" spans="1:31" hidden="1">
      <c r="A324" s="872"/>
      <c r="B324" s="252">
        <v>15</v>
      </c>
      <c r="C324" s="252">
        <f>C163</f>
        <v>35</v>
      </c>
      <c r="D324" s="252">
        <f t="shared" ref="D324:F324" si="154">D163</f>
        <v>0.5</v>
      </c>
      <c r="E324" s="252">
        <f t="shared" si="154"/>
        <v>0.8</v>
      </c>
      <c r="F324" s="252">
        <f t="shared" si="154"/>
        <v>-0.1</v>
      </c>
      <c r="G324" s="252">
        <f>G163</f>
        <v>0.45</v>
      </c>
      <c r="I324" s="872"/>
      <c r="J324" s="252">
        <v>15</v>
      </c>
      <c r="K324" s="252">
        <f>J163</f>
        <v>70</v>
      </c>
      <c r="L324" s="252">
        <f>K163</f>
        <v>-1.6</v>
      </c>
      <c r="M324" s="252">
        <f>L163</f>
        <v>-0.7</v>
      </c>
      <c r="N324" s="252">
        <f>M163</f>
        <v>-0.8</v>
      </c>
      <c r="O324" s="252">
        <f>N163</f>
        <v>0.45000000000000007</v>
      </c>
      <c r="Q324" s="872"/>
      <c r="R324" s="252">
        <v>15</v>
      </c>
      <c r="S324" s="252">
        <f>Q163</f>
        <v>1005</v>
      </c>
      <c r="T324" s="252">
        <f>R163</f>
        <v>0</v>
      </c>
      <c r="U324" s="252">
        <f>S163</f>
        <v>4</v>
      </c>
      <c r="V324" s="252">
        <f>T163</f>
        <v>1.1000000000000001</v>
      </c>
      <c r="W324" s="253">
        <f>U163</f>
        <v>1.45</v>
      </c>
      <c r="AE324" s="230"/>
    </row>
    <row r="325" spans="1:31" hidden="1">
      <c r="A325" s="872"/>
      <c r="B325" s="252">
        <v>16</v>
      </c>
      <c r="C325" s="252">
        <f>C174</f>
        <v>35</v>
      </c>
      <c r="D325" s="252">
        <f t="shared" ref="D325:F325" si="155">D174</f>
        <v>0.6</v>
      </c>
      <c r="E325" s="252">
        <f t="shared" si="155"/>
        <v>0.1</v>
      </c>
      <c r="F325" s="252">
        <f t="shared" si="155"/>
        <v>0</v>
      </c>
      <c r="G325" s="252">
        <f>G174</f>
        <v>0.25</v>
      </c>
      <c r="I325" s="872"/>
      <c r="J325" s="252">
        <v>16</v>
      </c>
      <c r="K325" s="252">
        <f>J174</f>
        <v>70</v>
      </c>
      <c r="L325" s="252">
        <f>K174</f>
        <v>-2.1</v>
      </c>
      <c r="M325" s="252">
        <f>L174</f>
        <v>-1.8</v>
      </c>
      <c r="N325" s="252">
        <f>M174</f>
        <v>0</v>
      </c>
      <c r="O325" s="252">
        <f>N174</f>
        <v>0.15000000000000002</v>
      </c>
      <c r="Q325" s="872"/>
      <c r="R325" s="252">
        <v>16</v>
      </c>
      <c r="S325" s="252">
        <f>Q174</f>
        <v>1000</v>
      </c>
      <c r="T325" s="252">
        <f>R174</f>
        <v>4.3</v>
      </c>
      <c r="U325" s="252">
        <f>S174</f>
        <v>-0.4</v>
      </c>
      <c r="V325" s="252">
        <f>T174</f>
        <v>0</v>
      </c>
      <c r="W325" s="253">
        <f>U174</f>
        <v>2.35</v>
      </c>
      <c r="AE325" s="230"/>
    </row>
    <row r="326" spans="1:31" hidden="1">
      <c r="A326" s="872"/>
      <c r="B326" s="252">
        <v>17</v>
      </c>
      <c r="C326" s="252">
        <f>C185</f>
        <v>35</v>
      </c>
      <c r="D326" s="252">
        <f>D185</f>
        <v>0.7</v>
      </c>
      <c r="E326" s="252">
        <f>E185</f>
        <v>-0.5</v>
      </c>
      <c r="F326" s="252">
        <f t="shared" ref="F326" si="156">F185</f>
        <v>0</v>
      </c>
      <c r="G326" s="252">
        <f>G185</f>
        <v>0.6</v>
      </c>
      <c r="I326" s="872"/>
      <c r="J326" s="252">
        <v>17</v>
      </c>
      <c r="K326" s="252">
        <f>J185</f>
        <v>70</v>
      </c>
      <c r="L326" s="252">
        <f>K185</f>
        <v>-1.8</v>
      </c>
      <c r="M326" s="252">
        <f>L185</f>
        <v>-0.3</v>
      </c>
      <c r="N326" s="252">
        <f>M185</f>
        <v>0</v>
      </c>
      <c r="O326" s="252">
        <f>N185</f>
        <v>0.75</v>
      </c>
      <c r="Q326" s="872"/>
      <c r="R326" s="252">
        <v>17</v>
      </c>
      <c r="S326" s="252">
        <f>Q185</f>
        <v>1000</v>
      </c>
      <c r="T326" s="252">
        <f>R185</f>
        <v>4.4000000000000004</v>
      </c>
      <c r="U326" s="252">
        <f>S185</f>
        <v>-0.6</v>
      </c>
      <c r="V326" s="252">
        <f>T185</f>
        <v>0</v>
      </c>
      <c r="W326" s="253">
        <f>U185</f>
        <v>2.5</v>
      </c>
      <c r="AE326" s="230"/>
    </row>
    <row r="327" spans="1:31" hidden="1">
      <c r="A327" s="872"/>
      <c r="B327" s="252">
        <v>18</v>
      </c>
      <c r="C327" s="252">
        <f>C196</f>
        <v>35</v>
      </c>
      <c r="D327" s="252">
        <f t="shared" ref="D327:F327" si="157">D196</f>
        <v>0.4</v>
      </c>
      <c r="E327" s="252">
        <f t="shared" si="157"/>
        <v>-0.3</v>
      </c>
      <c r="F327" s="252">
        <f t="shared" si="157"/>
        <v>0</v>
      </c>
      <c r="G327" s="252">
        <f>G196</f>
        <v>0.35</v>
      </c>
      <c r="I327" s="872"/>
      <c r="J327" s="252">
        <v>18</v>
      </c>
      <c r="K327" s="252">
        <f>J196</f>
        <v>70</v>
      </c>
      <c r="L327" s="252">
        <f>K196</f>
        <v>-2.2000000000000002</v>
      </c>
      <c r="M327" s="252">
        <f>L196</f>
        <v>-0.3</v>
      </c>
      <c r="N327" s="252">
        <f>M196</f>
        <v>0</v>
      </c>
      <c r="O327" s="252">
        <f>N196</f>
        <v>0.95000000000000007</v>
      </c>
      <c r="Q327" s="872"/>
      <c r="R327" s="252">
        <v>18</v>
      </c>
      <c r="S327" s="252">
        <f>Q196</f>
        <v>1000</v>
      </c>
      <c r="T327" s="252">
        <f>R196</f>
        <v>4.3</v>
      </c>
      <c r="U327" s="252">
        <f>S196</f>
        <v>-0.8</v>
      </c>
      <c r="V327" s="252">
        <f>T196</f>
        <v>0</v>
      </c>
      <c r="W327" s="253">
        <f>U196</f>
        <v>2.5499999999999998</v>
      </c>
      <c r="AE327" s="230"/>
    </row>
    <row r="328" spans="1:31" hidden="1">
      <c r="A328" s="872"/>
      <c r="B328" s="252">
        <v>19</v>
      </c>
      <c r="C328" s="252">
        <f>C207</f>
        <v>35</v>
      </c>
      <c r="D328" s="252">
        <f t="shared" ref="D328:F328" si="158">D207</f>
        <v>0.5</v>
      </c>
      <c r="E328" s="252">
        <f t="shared" si="158"/>
        <v>-0.1</v>
      </c>
      <c r="F328" s="252">
        <f t="shared" si="158"/>
        <v>0</v>
      </c>
      <c r="G328" s="252">
        <f>G207</f>
        <v>0.3</v>
      </c>
      <c r="I328" s="872"/>
      <c r="J328" s="252">
        <v>19</v>
      </c>
      <c r="K328" s="252">
        <f>J207</f>
        <v>70</v>
      </c>
      <c r="L328" s="252">
        <f>K207</f>
        <v>-2.6</v>
      </c>
      <c r="M328" s="252">
        <f>L207</f>
        <v>-0.7</v>
      </c>
      <c r="N328" s="252">
        <f>M207</f>
        <v>0</v>
      </c>
      <c r="O328" s="252">
        <f>N207</f>
        <v>0.95000000000000007</v>
      </c>
      <c r="Q328" s="872"/>
      <c r="R328" s="252">
        <v>19</v>
      </c>
      <c r="S328" s="252">
        <f>Q207</f>
        <v>950</v>
      </c>
      <c r="T328" s="252">
        <f>R207</f>
        <v>4.4000000000000004</v>
      </c>
      <c r="U328" s="252">
        <f>S207</f>
        <v>2.4</v>
      </c>
      <c r="V328" s="252">
        <f>T207</f>
        <v>0</v>
      </c>
      <c r="W328" s="253">
        <f>U207</f>
        <v>1.0000000000000002</v>
      </c>
      <c r="AE328" s="230"/>
    </row>
    <row r="329" spans="1:31" ht="13.8" hidden="1" thickBot="1">
      <c r="A329" s="872"/>
      <c r="B329" s="252">
        <v>20</v>
      </c>
      <c r="C329" s="252">
        <f>C218</f>
        <v>34.5</v>
      </c>
      <c r="D329" s="252">
        <f t="shared" ref="D329:F329" si="159">D218</f>
        <v>9.9999999999999995E-7</v>
      </c>
      <c r="E329" s="252" t="str">
        <f t="shared" si="159"/>
        <v>-</v>
      </c>
      <c r="F329" s="252">
        <f t="shared" si="159"/>
        <v>9.9999999999999995E-7</v>
      </c>
      <c r="G329" s="252">
        <f>G218</f>
        <v>0</v>
      </c>
      <c r="I329" s="872"/>
      <c r="J329" s="252">
        <v>20</v>
      </c>
      <c r="K329" s="252">
        <f>J218</f>
        <v>80.8</v>
      </c>
      <c r="L329" s="252">
        <f>K218</f>
        <v>9.9999999999999995E-7</v>
      </c>
      <c r="M329" s="252" t="str">
        <f>L218</f>
        <v>-</v>
      </c>
      <c r="N329" s="252">
        <f>M218</f>
        <v>0</v>
      </c>
      <c r="O329" s="252">
        <f>N218</f>
        <v>0</v>
      </c>
      <c r="Q329" s="874"/>
      <c r="R329" s="261">
        <v>20</v>
      </c>
      <c r="S329" s="261">
        <f>Q218</f>
        <v>1000</v>
      </c>
      <c r="T329" s="261">
        <f>R218</f>
        <v>9.9999999999999995E-7</v>
      </c>
      <c r="U329" s="261" t="str">
        <f>S218</f>
        <v>-</v>
      </c>
      <c r="V329" s="261">
        <f>T218</f>
        <v>9.9999999999999995E-7</v>
      </c>
      <c r="W329" s="276">
        <f>U218</f>
        <v>0</v>
      </c>
      <c r="AE329" s="265"/>
    </row>
    <row r="330" spans="1:31" hidden="1">
      <c r="A330" s="266"/>
      <c r="B330" s="266"/>
      <c r="C330" s="266"/>
      <c r="D330" s="266"/>
      <c r="E330" s="266"/>
      <c r="F330" s="246"/>
      <c r="G330" s="266"/>
      <c r="I330" s="266"/>
      <c r="J330" s="266"/>
      <c r="K330" s="266"/>
      <c r="L330" s="266"/>
      <c r="M330" s="266"/>
      <c r="N330" s="246"/>
      <c r="O330" s="266"/>
      <c r="Q330" s="277"/>
      <c r="R330" s="267"/>
      <c r="S330" s="125"/>
      <c r="T330" s="125"/>
      <c r="U330" s="125"/>
      <c r="W330" s="126"/>
      <c r="AE330" s="230"/>
    </row>
    <row r="331" spans="1:31" hidden="1">
      <c r="A331" s="872">
        <v>6</v>
      </c>
      <c r="B331" s="252">
        <v>1</v>
      </c>
      <c r="C331" s="252">
        <f>C10</f>
        <v>37</v>
      </c>
      <c r="D331" s="252">
        <f t="shared" ref="D331:F331" si="160">D10</f>
        <v>0.1</v>
      </c>
      <c r="E331" s="252">
        <f t="shared" si="160"/>
        <v>-0.3</v>
      </c>
      <c r="F331" s="252">
        <f t="shared" si="160"/>
        <v>-0.2</v>
      </c>
      <c r="G331" s="252">
        <f>G10</f>
        <v>0.2</v>
      </c>
      <c r="I331" s="872">
        <v>6</v>
      </c>
      <c r="J331" s="252">
        <v>1</v>
      </c>
      <c r="K331" s="252">
        <f>J10</f>
        <v>80</v>
      </c>
      <c r="L331" s="252">
        <f>K10</f>
        <v>-0.7</v>
      </c>
      <c r="M331" s="252">
        <f>L10</f>
        <v>-3.7</v>
      </c>
      <c r="N331" s="252">
        <f>M10</f>
        <v>-1.6</v>
      </c>
      <c r="O331" s="252">
        <f>N10</f>
        <v>1.5</v>
      </c>
      <c r="Q331" s="873">
        <v>6</v>
      </c>
      <c r="R331" s="271">
        <v>1</v>
      </c>
      <c r="S331" s="271">
        <f>Q10</f>
        <v>1005</v>
      </c>
      <c r="T331" s="271" t="str">
        <f>R10</f>
        <v>-</v>
      </c>
      <c r="U331" s="271" t="str">
        <f>S10</f>
        <v>-</v>
      </c>
      <c r="V331" s="271">
        <f>T10</f>
        <v>9.9999999999999995E-7</v>
      </c>
      <c r="W331" s="278">
        <f>U10</f>
        <v>0</v>
      </c>
      <c r="AE331" s="274"/>
    </row>
    <row r="332" spans="1:31" hidden="1">
      <c r="A332" s="872"/>
      <c r="B332" s="252">
        <v>2</v>
      </c>
      <c r="C332" s="252">
        <f>C21</f>
        <v>37</v>
      </c>
      <c r="D332" s="252">
        <f t="shared" ref="D332:F332" si="161">D21</f>
        <v>0.6</v>
      </c>
      <c r="E332" s="252">
        <f t="shared" si="161"/>
        <v>-0.2</v>
      </c>
      <c r="F332" s="252">
        <f t="shared" si="161"/>
        <v>-0.3</v>
      </c>
      <c r="G332" s="252">
        <f>G21</f>
        <v>0.44999999999999996</v>
      </c>
      <c r="I332" s="872"/>
      <c r="J332" s="252">
        <v>2</v>
      </c>
      <c r="K332" s="252">
        <f>J21</f>
        <v>80</v>
      </c>
      <c r="L332" s="252">
        <f>K21</f>
        <v>-1.1000000000000001</v>
      </c>
      <c r="M332" s="252">
        <f>L21</f>
        <v>-0.5</v>
      </c>
      <c r="N332" s="252">
        <f>M21</f>
        <v>-0.7</v>
      </c>
      <c r="O332" s="252">
        <f>N21</f>
        <v>0.30000000000000004</v>
      </c>
      <c r="Q332" s="872"/>
      <c r="R332" s="252">
        <v>2</v>
      </c>
      <c r="S332" s="252">
        <f>Q21</f>
        <v>1005</v>
      </c>
      <c r="T332" s="252" t="str">
        <f>R21</f>
        <v>-</v>
      </c>
      <c r="U332" s="252" t="str">
        <f>S21</f>
        <v>-</v>
      </c>
      <c r="V332" s="252" t="str">
        <f>T21</f>
        <v>-</v>
      </c>
      <c r="W332" s="253">
        <f>U21</f>
        <v>0</v>
      </c>
      <c r="AE332" s="230"/>
    </row>
    <row r="333" spans="1:31" hidden="1">
      <c r="A333" s="872"/>
      <c r="B333" s="252">
        <v>3</v>
      </c>
      <c r="C333" s="252">
        <f>C32</f>
        <v>37</v>
      </c>
      <c r="D333" s="252">
        <f t="shared" ref="D333:F333" si="162">D32</f>
        <v>0.3</v>
      </c>
      <c r="E333" s="252">
        <f t="shared" si="162"/>
        <v>-0.2</v>
      </c>
      <c r="F333" s="252">
        <f t="shared" si="162"/>
        <v>-0.6</v>
      </c>
      <c r="G333" s="252">
        <f>G32</f>
        <v>0.44999999999999996</v>
      </c>
      <c r="I333" s="872"/>
      <c r="J333" s="252">
        <v>3</v>
      </c>
      <c r="K333" s="252">
        <f>J32</f>
        <v>80</v>
      </c>
      <c r="L333" s="252">
        <f>K32</f>
        <v>-2.7</v>
      </c>
      <c r="M333" s="252">
        <f>L32</f>
        <v>-0.8</v>
      </c>
      <c r="N333" s="252">
        <f>M32</f>
        <v>-2.9</v>
      </c>
      <c r="O333" s="252">
        <f>N32</f>
        <v>1.0499999999999998</v>
      </c>
      <c r="Q333" s="872"/>
      <c r="R333" s="252">
        <v>3</v>
      </c>
      <c r="S333" s="252">
        <f>Q32</f>
        <v>1005</v>
      </c>
      <c r="T333" s="252" t="str">
        <f>R32</f>
        <v>-</v>
      </c>
      <c r="U333" s="252" t="str">
        <f>S32</f>
        <v>-</v>
      </c>
      <c r="V333" s="252" t="str">
        <f>T32</f>
        <v>-</v>
      </c>
      <c r="W333" s="253">
        <f>U32</f>
        <v>0</v>
      </c>
      <c r="AE333" s="230"/>
    </row>
    <row r="334" spans="1:31" hidden="1">
      <c r="A334" s="872"/>
      <c r="B334" s="252">
        <v>4</v>
      </c>
      <c r="C334" s="252">
        <f>C43</f>
        <v>37</v>
      </c>
      <c r="D334" s="252">
        <f t="shared" ref="D334:F334" si="163">D43</f>
        <v>-0.4</v>
      </c>
      <c r="E334" s="252">
        <f t="shared" si="163"/>
        <v>-0.6</v>
      </c>
      <c r="F334" s="252">
        <f t="shared" si="163"/>
        <v>0</v>
      </c>
      <c r="G334" s="252">
        <f>G43</f>
        <v>9.9999999999999978E-2</v>
      </c>
      <c r="I334" s="872"/>
      <c r="J334" s="252">
        <v>4</v>
      </c>
      <c r="K334" s="252">
        <f>J43</f>
        <v>80</v>
      </c>
      <c r="L334" s="252">
        <f>K43</f>
        <v>-3.8</v>
      </c>
      <c r="M334" s="252">
        <f>L43</f>
        <v>1.9</v>
      </c>
      <c r="N334" s="252">
        <f>M43</f>
        <v>0</v>
      </c>
      <c r="O334" s="252">
        <f>N43</f>
        <v>2.8499999999999996</v>
      </c>
      <c r="Q334" s="872"/>
      <c r="R334" s="252">
        <v>4</v>
      </c>
      <c r="S334" s="252">
        <f>Q43</f>
        <v>1005</v>
      </c>
      <c r="T334" s="252" t="str">
        <f>R43</f>
        <v>-</v>
      </c>
      <c r="U334" s="252" t="str">
        <f>S43</f>
        <v>-</v>
      </c>
      <c r="V334" s="252">
        <f>T43</f>
        <v>9.9999999999999995E-7</v>
      </c>
      <c r="W334" s="253">
        <f>U43</f>
        <v>0</v>
      </c>
      <c r="AE334" s="230"/>
    </row>
    <row r="335" spans="1:31" hidden="1">
      <c r="A335" s="872"/>
      <c r="B335" s="252">
        <v>5</v>
      </c>
      <c r="C335" s="252">
        <f>C54</f>
        <v>37</v>
      </c>
      <c r="D335" s="252">
        <f t="shared" ref="D335:F335" si="164">D54</f>
        <v>0.3</v>
      </c>
      <c r="E335" s="252">
        <f t="shared" si="164"/>
        <v>0.1</v>
      </c>
      <c r="F335" s="252">
        <f t="shared" si="164"/>
        <v>0.7</v>
      </c>
      <c r="G335" s="252">
        <f>G54</f>
        <v>0.3</v>
      </c>
      <c r="I335" s="872"/>
      <c r="J335" s="252">
        <v>5</v>
      </c>
      <c r="K335" s="252">
        <f>J54</f>
        <v>80</v>
      </c>
      <c r="L335" s="252">
        <f>K54</f>
        <v>-6.3</v>
      </c>
      <c r="M335" s="252">
        <f>L54</f>
        <v>-3.8</v>
      </c>
      <c r="N335" s="252">
        <f>M54</f>
        <v>-3</v>
      </c>
      <c r="O335" s="252">
        <f>N54</f>
        <v>1.65</v>
      </c>
      <c r="Q335" s="872"/>
      <c r="R335" s="252">
        <v>5</v>
      </c>
      <c r="S335" s="252">
        <f>Q54</f>
        <v>1005</v>
      </c>
      <c r="T335" s="252" t="str">
        <f>R54</f>
        <v>-</v>
      </c>
      <c r="U335" s="252" t="str">
        <f>S54</f>
        <v>-</v>
      </c>
      <c r="V335" s="252" t="str">
        <f>T54</f>
        <v>-</v>
      </c>
      <c r="W335" s="253">
        <f>U54</f>
        <v>0</v>
      </c>
      <c r="AE335" s="230"/>
    </row>
    <row r="336" spans="1:31" hidden="1">
      <c r="A336" s="872"/>
      <c r="B336" s="252">
        <v>6</v>
      </c>
      <c r="C336" s="252">
        <f>C65</f>
        <v>37</v>
      </c>
      <c r="D336" s="252">
        <f t="shared" ref="D336:F336" si="165">D65</f>
        <v>0.1</v>
      </c>
      <c r="E336" s="252">
        <f t="shared" si="165"/>
        <v>-1.1000000000000001</v>
      </c>
      <c r="F336" s="252">
        <f t="shared" si="165"/>
        <v>0</v>
      </c>
      <c r="G336" s="252">
        <f>G65</f>
        <v>0.60000000000000009</v>
      </c>
      <c r="I336" s="872"/>
      <c r="J336" s="252">
        <v>6</v>
      </c>
      <c r="K336" s="252">
        <f>J65</f>
        <v>80</v>
      </c>
      <c r="L336" s="252">
        <f>K65</f>
        <v>-6.3</v>
      </c>
      <c r="M336" s="252">
        <f>L65</f>
        <v>0.8</v>
      </c>
      <c r="N336" s="252">
        <f>M65</f>
        <v>0</v>
      </c>
      <c r="O336" s="252">
        <f>N65</f>
        <v>3.55</v>
      </c>
      <c r="Q336" s="872"/>
      <c r="R336" s="252">
        <v>6</v>
      </c>
      <c r="S336" s="252">
        <f>Q65</f>
        <v>1005</v>
      </c>
      <c r="T336" s="252">
        <f>R65</f>
        <v>0.9</v>
      </c>
      <c r="U336" s="252">
        <f>S65</f>
        <v>-0.3</v>
      </c>
      <c r="V336" s="252">
        <f>T65</f>
        <v>9.9999999999999995E-7</v>
      </c>
      <c r="W336" s="253">
        <f>U65</f>
        <v>0.6</v>
      </c>
      <c r="AE336" s="230"/>
    </row>
    <row r="337" spans="1:31" hidden="1">
      <c r="A337" s="872"/>
      <c r="B337" s="252">
        <v>7</v>
      </c>
      <c r="C337" s="252">
        <f>C76</f>
        <v>37</v>
      </c>
      <c r="D337" s="252">
        <f t="shared" ref="D337:F337" si="166">D76</f>
        <v>9.9999999999999995E-7</v>
      </c>
      <c r="E337" s="252">
        <f t="shared" si="166"/>
        <v>-1.4</v>
      </c>
      <c r="F337" s="252">
        <f t="shared" si="166"/>
        <v>0</v>
      </c>
      <c r="G337" s="252">
        <f>G76</f>
        <v>0.70000049999999991</v>
      </c>
      <c r="I337" s="872"/>
      <c r="J337" s="252">
        <v>7</v>
      </c>
      <c r="K337" s="252">
        <f>J76</f>
        <v>80</v>
      </c>
      <c r="L337" s="252">
        <f>K76</f>
        <v>-2.6</v>
      </c>
      <c r="M337" s="252">
        <f>L76</f>
        <v>1.2</v>
      </c>
      <c r="N337" s="252">
        <f>M76</f>
        <v>0</v>
      </c>
      <c r="O337" s="252">
        <f>N76</f>
        <v>1.9</v>
      </c>
      <c r="Q337" s="872"/>
      <c r="R337" s="252">
        <v>7</v>
      </c>
      <c r="S337" s="252">
        <f>Q76</f>
        <v>1005</v>
      </c>
      <c r="T337" s="252">
        <f>R76</f>
        <v>-3.8</v>
      </c>
      <c r="U337" s="252">
        <f>S76</f>
        <v>-0.5</v>
      </c>
      <c r="V337" s="252">
        <f>T76</f>
        <v>9.9999999999999995E-7</v>
      </c>
      <c r="W337" s="253">
        <f>U76</f>
        <v>1.9000005</v>
      </c>
      <c r="AE337" s="230"/>
    </row>
    <row r="338" spans="1:31" hidden="1">
      <c r="A338" s="872"/>
      <c r="B338" s="252">
        <v>8</v>
      </c>
      <c r="C338" s="252">
        <f>C87</f>
        <v>37</v>
      </c>
      <c r="D338" s="252">
        <f t="shared" ref="D338:F338" si="167">D87</f>
        <v>-0.1</v>
      </c>
      <c r="E338" s="252">
        <f t="shared" si="167"/>
        <v>-0.1</v>
      </c>
      <c r="F338" s="252">
        <f t="shared" si="167"/>
        <v>-0.5</v>
      </c>
      <c r="G338" s="252">
        <f>G87</f>
        <v>0.2</v>
      </c>
      <c r="I338" s="872"/>
      <c r="J338" s="252">
        <v>8</v>
      </c>
      <c r="K338" s="252">
        <f>J87</f>
        <v>80</v>
      </c>
      <c r="L338" s="252">
        <f>K87</f>
        <v>-7.6</v>
      </c>
      <c r="M338" s="252">
        <f>L87</f>
        <v>-4.5</v>
      </c>
      <c r="N338" s="252">
        <f>M87</f>
        <v>-1.2</v>
      </c>
      <c r="O338" s="252">
        <f>N87</f>
        <v>3.1999999999999997</v>
      </c>
      <c r="Q338" s="872"/>
      <c r="R338" s="252">
        <v>8</v>
      </c>
      <c r="S338" s="252">
        <f>Q87</f>
        <v>1010</v>
      </c>
      <c r="T338" s="252">
        <f>R87</f>
        <v>0.6</v>
      </c>
      <c r="U338" s="252">
        <f>S87</f>
        <v>-3.4</v>
      </c>
      <c r="V338" s="252">
        <f>T87</f>
        <v>0.2</v>
      </c>
      <c r="W338" s="253">
        <f>U87</f>
        <v>2</v>
      </c>
      <c r="AE338" s="230"/>
    </row>
    <row r="339" spans="1:31" hidden="1">
      <c r="A339" s="872"/>
      <c r="B339" s="252">
        <v>9</v>
      </c>
      <c r="C339" s="252">
        <f>C98</f>
        <v>37</v>
      </c>
      <c r="D339" s="252">
        <f t="shared" ref="D339:F339" si="168">D98</f>
        <v>-0.5</v>
      </c>
      <c r="E339" s="252" t="str">
        <f t="shared" si="168"/>
        <v>-</v>
      </c>
      <c r="F339" s="252">
        <f t="shared" si="168"/>
        <v>0</v>
      </c>
      <c r="G339" s="252">
        <f>G98</f>
        <v>0</v>
      </c>
      <c r="I339" s="872"/>
      <c r="J339" s="252">
        <v>9</v>
      </c>
      <c r="K339" s="252">
        <f>J98</f>
        <v>80</v>
      </c>
      <c r="L339" s="252">
        <f>K98</f>
        <v>-0.5</v>
      </c>
      <c r="M339" s="252" t="str">
        <f>L98</f>
        <v>-</v>
      </c>
      <c r="N339" s="252">
        <f>M98</f>
        <v>0</v>
      </c>
      <c r="O339" s="252">
        <f>N98</f>
        <v>0</v>
      </c>
      <c r="Q339" s="872"/>
      <c r="R339" s="252">
        <v>9</v>
      </c>
      <c r="S339" s="252">
        <f>Q98</f>
        <v>1005</v>
      </c>
      <c r="T339" s="252">
        <f>R98</f>
        <v>0.2</v>
      </c>
      <c r="U339" s="252" t="str">
        <f>S98</f>
        <v>-</v>
      </c>
      <c r="V339" s="252">
        <f>T98</f>
        <v>9.9999999999999995E-7</v>
      </c>
      <c r="W339" s="253">
        <f>U98</f>
        <v>9.9999500000000005E-2</v>
      </c>
      <c r="AE339" s="230"/>
    </row>
    <row r="340" spans="1:31" hidden="1">
      <c r="A340" s="872"/>
      <c r="B340" s="252">
        <v>10</v>
      </c>
      <c r="C340" s="252">
        <f>C109</f>
        <v>37</v>
      </c>
      <c r="D340" s="252">
        <f t="shared" ref="D340:F340" si="169">D109</f>
        <v>0.2</v>
      </c>
      <c r="E340" s="252">
        <f t="shared" si="169"/>
        <v>0.4</v>
      </c>
      <c r="F340" s="252">
        <f t="shared" si="169"/>
        <v>0</v>
      </c>
      <c r="G340" s="252">
        <f>G109</f>
        <v>0.1</v>
      </c>
      <c r="I340" s="872"/>
      <c r="J340" s="252">
        <v>10</v>
      </c>
      <c r="K340" s="252">
        <f>J109</f>
        <v>80</v>
      </c>
      <c r="L340" s="252">
        <f>K109</f>
        <v>2.2000000000000002</v>
      </c>
      <c r="M340" s="252">
        <f>L109</f>
        <v>-4.7</v>
      </c>
      <c r="N340" s="252">
        <f>M109</f>
        <v>0</v>
      </c>
      <c r="O340" s="252">
        <f>N109</f>
        <v>3.45</v>
      </c>
      <c r="Q340" s="872"/>
      <c r="R340" s="252">
        <v>10</v>
      </c>
      <c r="S340" s="252">
        <f>Q109</f>
        <v>1005</v>
      </c>
      <c r="T340" s="252" t="str">
        <f>R109</f>
        <v>-</v>
      </c>
      <c r="U340" s="252" t="str">
        <f>S109</f>
        <v>-</v>
      </c>
      <c r="V340" s="252">
        <f>T109</f>
        <v>9.9999999999999995E-7</v>
      </c>
      <c r="W340" s="253">
        <f>U109</f>
        <v>0</v>
      </c>
      <c r="AE340" s="230"/>
    </row>
    <row r="341" spans="1:31" hidden="1">
      <c r="A341" s="872"/>
      <c r="B341" s="252">
        <v>11</v>
      </c>
      <c r="C341" s="252">
        <f>C120</f>
        <v>37</v>
      </c>
      <c r="D341" s="252">
        <f t="shared" ref="D341:F341" si="170">D120</f>
        <v>0.5</v>
      </c>
      <c r="E341" s="252">
        <f t="shared" si="170"/>
        <v>0.5</v>
      </c>
      <c r="F341" s="252">
        <f t="shared" si="170"/>
        <v>0</v>
      </c>
      <c r="G341" s="252">
        <f>G120</f>
        <v>0</v>
      </c>
      <c r="I341" s="872"/>
      <c r="J341" s="252">
        <v>11</v>
      </c>
      <c r="K341" s="252">
        <f>J120</f>
        <v>80</v>
      </c>
      <c r="L341" s="252">
        <f>K120</f>
        <v>-1.4</v>
      </c>
      <c r="M341" s="252">
        <f>L120</f>
        <v>2.6</v>
      </c>
      <c r="N341" s="252">
        <f>M120</f>
        <v>0</v>
      </c>
      <c r="O341" s="252">
        <f>N120</f>
        <v>2</v>
      </c>
      <c r="Q341" s="872"/>
      <c r="R341" s="252">
        <v>11</v>
      </c>
      <c r="S341" s="252">
        <f>Q120</f>
        <v>1005</v>
      </c>
      <c r="T341" s="252" t="str">
        <f>R120</f>
        <v>-</v>
      </c>
      <c r="U341" s="252" t="str">
        <f>S120</f>
        <v>-</v>
      </c>
      <c r="V341" s="252">
        <f>T120</f>
        <v>9.9999999999999995E-7</v>
      </c>
      <c r="W341" s="253">
        <f>U120</f>
        <v>0</v>
      </c>
      <c r="AE341" s="230"/>
    </row>
    <row r="342" spans="1:31" hidden="1">
      <c r="A342" s="872"/>
      <c r="B342" s="252">
        <v>12</v>
      </c>
      <c r="C342" s="252">
        <f>C131</f>
        <v>37</v>
      </c>
      <c r="D342" s="252">
        <f t="shared" ref="D342:F342" si="171">D131</f>
        <v>0.7</v>
      </c>
      <c r="E342" s="252">
        <f t="shared" si="171"/>
        <v>-0.3</v>
      </c>
      <c r="F342" s="252">
        <f t="shared" si="171"/>
        <v>0</v>
      </c>
      <c r="G342" s="252">
        <f>G131</f>
        <v>0.5</v>
      </c>
      <c r="I342" s="872"/>
      <c r="J342" s="252">
        <v>12</v>
      </c>
      <c r="K342" s="252">
        <f>J131</f>
        <v>80</v>
      </c>
      <c r="L342" s="252">
        <f>K131</f>
        <v>-2.4</v>
      </c>
      <c r="M342" s="252">
        <f>L131</f>
        <v>-0.5</v>
      </c>
      <c r="N342" s="252">
        <f>M131</f>
        <v>0</v>
      </c>
      <c r="O342" s="252">
        <f>N131</f>
        <v>0.95</v>
      </c>
      <c r="Q342" s="872"/>
      <c r="R342" s="252">
        <v>12</v>
      </c>
      <c r="S342" s="252">
        <f>Q131</f>
        <v>1010</v>
      </c>
      <c r="T342" s="252">
        <f>R131</f>
        <v>4.0999999999999996</v>
      </c>
      <c r="U342" s="252">
        <f>S131</f>
        <v>-0.8</v>
      </c>
      <c r="V342" s="252">
        <f>T131</f>
        <v>0</v>
      </c>
      <c r="W342" s="253">
        <f>U131</f>
        <v>2.4499999999999997</v>
      </c>
      <c r="AE342" s="230"/>
    </row>
    <row r="343" spans="1:31" hidden="1">
      <c r="A343" s="872"/>
      <c r="B343" s="252">
        <v>13</v>
      </c>
      <c r="C343" s="252">
        <f>C142</f>
        <v>37</v>
      </c>
      <c r="D343" s="252">
        <f t="shared" ref="D343:F343" si="172">D142</f>
        <v>0.6</v>
      </c>
      <c r="E343" s="252">
        <f t="shared" si="172"/>
        <v>-0.2</v>
      </c>
      <c r="F343" s="252">
        <f t="shared" si="172"/>
        <v>0.4</v>
      </c>
      <c r="G343" s="252">
        <f>G142</f>
        <v>0.4</v>
      </c>
      <c r="I343" s="872"/>
      <c r="J343" s="252">
        <v>13</v>
      </c>
      <c r="K343" s="252">
        <f>J142</f>
        <v>80</v>
      </c>
      <c r="L343" s="252">
        <f>K142</f>
        <v>-1.5</v>
      </c>
      <c r="M343" s="252">
        <f>L142</f>
        <v>-1.2</v>
      </c>
      <c r="N343" s="252">
        <f>M142</f>
        <v>-2.5</v>
      </c>
      <c r="O343" s="252">
        <f>N142</f>
        <v>0.65</v>
      </c>
      <c r="Q343" s="872"/>
      <c r="R343" s="252">
        <v>13</v>
      </c>
      <c r="S343" s="252">
        <f>Q142</f>
        <v>1010</v>
      </c>
      <c r="T343" s="252">
        <f>R142</f>
        <v>4.3</v>
      </c>
      <c r="U343" s="252">
        <f>S142</f>
        <v>3.5</v>
      </c>
      <c r="V343" s="252">
        <f>T142</f>
        <v>1.1000000000000001</v>
      </c>
      <c r="W343" s="253">
        <f>U142</f>
        <v>1.5999999999999999</v>
      </c>
      <c r="AE343" s="230"/>
    </row>
    <row r="344" spans="1:31" hidden="1">
      <c r="A344" s="872"/>
      <c r="B344" s="252">
        <v>14</v>
      </c>
      <c r="C344" s="252">
        <f>C153</f>
        <v>37</v>
      </c>
      <c r="D344" s="252">
        <f t="shared" ref="D344:F344" si="173">D153</f>
        <v>0.4</v>
      </c>
      <c r="E344" s="252">
        <f t="shared" si="173"/>
        <v>-0.7</v>
      </c>
      <c r="F344" s="252">
        <f t="shared" si="173"/>
        <v>-0.8</v>
      </c>
      <c r="G344" s="252">
        <f>G153</f>
        <v>0.60000000000000009</v>
      </c>
      <c r="I344" s="872"/>
      <c r="J344" s="252">
        <v>14</v>
      </c>
      <c r="K344" s="252">
        <f>J153</f>
        <v>80</v>
      </c>
      <c r="L344" s="252">
        <f>K153</f>
        <v>0.6</v>
      </c>
      <c r="M344" s="252">
        <f>L153</f>
        <v>1.1000000000000001</v>
      </c>
      <c r="N344" s="252">
        <f>M153</f>
        <v>-0.9</v>
      </c>
      <c r="O344" s="252">
        <f>N153</f>
        <v>1</v>
      </c>
      <c r="Q344" s="872"/>
      <c r="R344" s="252">
        <v>14</v>
      </c>
      <c r="S344" s="252">
        <f>Q153</f>
        <v>1010</v>
      </c>
      <c r="T344" s="252">
        <f>R153</f>
        <v>4.4000000000000004</v>
      </c>
      <c r="U344" s="252">
        <f>S153</f>
        <v>3.7</v>
      </c>
      <c r="V344" s="252">
        <f>T153</f>
        <v>1.1000000000000001</v>
      </c>
      <c r="W344" s="253">
        <f>U153</f>
        <v>1.6500000000000001</v>
      </c>
      <c r="AE344" s="230"/>
    </row>
    <row r="345" spans="1:31" hidden="1">
      <c r="A345" s="872"/>
      <c r="B345" s="252">
        <v>15</v>
      </c>
      <c r="C345" s="252">
        <f>C164</f>
        <v>37</v>
      </c>
      <c r="D345" s="252">
        <f t="shared" ref="D345:F345" si="174">D164</f>
        <v>0.5</v>
      </c>
      <c r="E345" s="252">
        <f t="shared" si="174"/>
        <v>1</v>
      </c>
      <c r="F345" s="252">
        <f t="shared" si="174"/>
        <v>-0.1</v>
      </c>
      <c r="G345" s="252">
        <f>G164</f>
        <v>0.55000000000000004</v>
      </c>
      <c r="I345" s="872"/>
      <c r="J345" s="252">
        <v>15</v>
      </c>
      <c r="K345" s="252">
        <f>J164</f>
        <v>80</v>
      </c>
      <c r="L345" s="252">
        <f>K164</f>
        <v>-0.7</v>
      </c>
      <c r="M345" s="252">
        <f>L164</f>
        <v>-0.4</v>
      </c>
      <c r="N345" s="252">
        <f>M164</f>
        <v>-1.3</v>
      </c>
      <c r="O345" s="252">
        <f>N164</f>
        <v>0.45</v>
      </c>
      <c r="Q345" s="872"/>
      <c r="R345" s="252">
        <v>15</v>
      </c>
      <c r="S345" s="252">
        <f>Q164</f>
        <v>1010</v>
      </c>
      <c r="T345" s="252">
        <f>R164</f>
        <v>4.5999999999999996</v>
      </c>
      <c r="U345" s="252">
        <f>S164</f>
        <v>3.9</v>
      </c>
      <c r="V345" s="252">
        <f>T164</f>
        <v>1.1000000000000001</v>
      </c>
      <c r="W345" s="253">
        <f>U164</f>
        <v>1.7499999999999998</v>
      </c>
      <c r="AE345" s="230"/>
    </row>
    <row r="346" spans="1:31" hidden="1">
      <c r="A346" s="872"/>
      <c r="B346" s="252">
        <v>16</v>
      </c>
      <c r="C346" s="252">
        <f>C175</f>
        <v>37</v>
      </c>
      <c r="D346" s="252">
        <f t="shared" ref="D346:F346" si="175">D175</f>
        <v>0.6</v>
      </c>
      <c r="E346" s="252">
        <f t="shared" si="175"/>
        <v>9.9999999999999995E-7</v>
      </c>
      <c r="F346" s="252">
        <f t="shared" si="175"/>
        <v>0</v>
      </c>
      <c r="G346" s="252">
        <f>G175</f>
        <v>0.29999949999999997</v>
      </c>
      <c r="I346" s="872"/>
      <c r="J346" s="252">
        <v>16</v>
      </c>
      <c r="K346" s="252">
        <f>J175</f>
        <v>80</v>
      </c>
      <c r="L346" s="252">
        <f>K175</f>
        <v>-2.5</v>
      </c>
      <c r="M346" s="252">
        <f>L175</f>
        <v>-2.2999999999999998</v>
      </c>
      <c r="N346" s="252">
        <f>M175</f>
        <v>0</v>
      </c>
      <c r="O346" s="252">
        <f>N175</f>
        <v>0.10000000000000009</v>
      </c>
      <c r="Q346" s="872"/>
      <c r="R346" s="252">
        <v>16</v>
      </c>
      <c r="S346" s="252">
        <f>Q175</f>
        <v>1010</v>
      </c>
      <c r="T346" s="252">
        <f>R175</f>
        <v>4.3</v>
      </c>
      <c r="U346" s="252">
        <f>S175</f>
        <v>-0.4</v>
      </c>
      <c r="V346" s="252">
        <f>T175</f>
        <v>0</v>
      </c>
      <c r="W346" s="253">
        <f>U175</f>
        <v>2.35</v>
      </c>
      <c r="AE346" s="230"/>
    </row>
    <row r="347" spans="1:31" hidden="1">
      <c r="A347" s="872"/>
      <c r="B347" s="252">
        <v>17</v>
      </c>
      <c r="C347" s="252">
        <f>C186</f>
        <v>37</v>
      </c>
      <c r="D347" s="252">
        <f>D186</f>
        <v>0.7</v>
      </c>
      <c r="E347" s="252">
        <f>E186</f>
        <v>-0.6</v>
      </c>
      <c r="F347" s="252">
        <f t="shared" ref="F347" si="176">F186</f>
        <v>0</v>
      </c>
      <c r="G347" s="252">
        <f>G186</f>
        <v>0.64999999999999991</v>
      </c>
      <c r="I347" s="872"/>
      <c r="J347" s="252">
        <v>17</v>
      </c>
      <c r="K347" s="252">
        <f>J186</f>
        <v>80</v>
      </c>
      <c r="L347" s="252">
        <f>K186</f>
        <v>-2.2000000000000002</v>
      </c>
      <c r="M347" s="252">
        <f>L186</f>
        <v>-0.8</v>
      </c>
      <c r="N347" s="252">
        <f>M186</f>
        <v>0</v>
      </c>
      <c r="O347" s="252">
        <f>N186</f>
        <v>0.70000000000000007</v>
      </c>
      <c r="Q347" s="872"/>
      <c r="R347" s="252">
        <v>17</v>
      </c>
      <c r="S347" s="252">
        <f>Q186</f>
        <v>1010</v>
      </c>
      <c r="T347" s="252">
        <f>R186</f>
        <v>4.4000000000000004</v>
      </c>
      <c r="U347" s="252">
        <f>S186</f>
        <v>-0.6</v>
      </c>
      <c r="V347" s="252">
        <f>T186</f>
        <v>0</v>
      </c>
      <c r="W347" s="253">
        <f>U186</f>
        <v>2.5</v>
      </c>
      <c r="AE347" s="230"/>
    </row>
    <row r="348" spans="1:31" hidden="1">
      <c r="A348" s="872"/>
      <c r="B348" s="252">
        <v>18</v>
      </c>
      <c r="C348" s="252">
        <f>C197</f>
        <v>37</v>
      </c>
      <c r="D348" s="252">
        <f t="shared" ref="D348:F348" si="177">D197</f>
        <v>0.4</v>
      </c>
      <c r="E348" s="252">
        <f t="shared" si="177"/>
        <v>-0.3</v>
      </c>
      <c r="F348" s="252">
        <f t="shared" si="177"/>
        <v>0</v>
      </c>
      <c r="G348" s="252">
        <f>G197</f>
        <v>0.35</v>
      </c>
      <c r="I348" s="872"/>
      <c r="J348" s="252">
        <v>18</v>
      </c>
      <c r="K348" s="252">
        <f>J197</f>
        <v>80</v>
      </c>
      <c r="L348" s="252">
        <f>K197</f>
        <v>-2.4</v>
      </c>
      <c r="M348" s="252">
        <f>L197</f>
        <v>-0.5</v>
      </c>
      <c r="N348" s="252">
        <f>M197</f>
        <v>0</v>
      </c>
      <c r="O348" s="252">
        <f>N197</f>
        <v>0.95</v>
      </c>
      <c r="Q348" s="872"/>
      <c r="R348" s="252">
        <v>18</v>
      </c>
      <c r="S348" s="252">
        <f>Q197</f>
        <v>1010</v>
      </c>
      <c r="T348" s="252">
        <f>R197</f>
        <v>4.2</v>
      </c>
      <c r="U348" s="252">
        <f>S197</f>
        <v>-0.7</v>
      </c>
      <c r="V348" s="252">
        <f>T197</f>
        <v>0</v>
      </c>
      <c r="W348" s="253">
        <f>U197</f>
        <v>2.4500000000000002</v>
      </c>
      <c r="AE348" s="230"/>
    </row>
    <row r="349" spans="1:31" hidden="1">
      <c r="A349" s="872"/>
      <c r="B349" s="252">
        <v>19</v>
      </c>
      <c r="C349" s="252">
        <f>C208</f>
        <v>37</v>
      </c>
      <c r="D349" s="252">
        <f t="shared" ref="D349:F349" si="178">D208</f>
        <v>0.5</v>
      </c>
      <c r="E349" s="252">
        <f t="shared" si="178"/>
        <v>9.9999999999999995E-7</v>
      </c>
      <c r="F349" s="252">
        <f t="shared" si="178"/>
        <v>0</v>
      </c>
      <c r="G349" s="252">
        <f>G208</f>
        <v>0.24999950000000001</v>
      </c>
      <c r="I349" s="872"/>
      <c r="J349" s="252">
        <v>19</v>
      </c>
      <c r="K349" s="252">
        <f>J208</f>
        <v>80</v>
      </c>
      <c r="L349" s="252">
        <f>K208</f>
        <v>-2.2000000000000002</v>
      </c>
      <c r="M349" s="252">
        <f>L208</f>
        <v>-0.9</v>
      </c>
      <c r="N349" s="252">
        <f>M208</f>
        <v>0</v>
      </c>
      <c r="O349" s="252">
        <f>N208</f>
        <v>0.65000000000000013</v>
      </c>
      <c r="Q349" s="872"/>
      <c r="R349" s="252">
        <v>19</v>
      </c>
      <c r="S349" s="252">
        <f>Q208</f>
        <v>1000</v>
      </c>
      <c r="T349" s="252">
        <f>R208</f>
        <v>4.3</v>
      </c>
      <c r="U349" s="252">
        <f>S208</f>
        <v>2.2000000000000002</v>
      </c>
      <c r="V349" s="252">
        <f>T208</f>
        <v>0</v>
      </c>
      <c r="W349" s="253">
        <f>U208</f>
        <v>1.0499999999999998</v>
      </c>
      <c r="AE349" s="230"/>
    </row>
    <row r="350" spans="1:31" ht="13.8" hidden="1" thickBot="1">
      <c r="A350" s="872"/>
      <c r="B350" s="252">
        <v>20</v>
      </c>
      <c r="C350" s="252">
        <f>C219</f>
        <v>39.5</v>
      </c>
      <c r="D350" s="252">
        <f t="shared" ref="D350:F350" si="179">D219</f>
        <v>9.9999999999999995E-7</v>
      </c>
      <c r="E350" s="252" t="str">
        <f t="shared" si="179"/>
        <v>-</v>
      </c>
      <c r="F350" s="252">
        <f t="shared" si="179"/>
        <v>9.9999999999999995E-7</v>
      </c>
      <c r="G350" s="252">
        <f>G219</f>
        <v>0</v>
      </c>
      <c r="I350" s="872"/>
      <c r="J350" s="252">
        <v>20</v>
      </c>
      <c r="K350" s="252">
        <f>J219</f>
        <v>88.7</v>
      </c>
      <c r="L350" s="252">
        <f>K219</f>
        <v>9.9999999999999995E-7</v>
      </c>
      <c r="M350" s="252" t="str">
        <f>L219</f>
        <v>-</v>
      </c>
      <c r="N350" s="252">
        <f>M219</f>
        <v>0</v>
      </c>
      <c r="O350" s="252">
        <f>N219</f>
        <v>0</v>
      </c>
      <c r="Q350" s="874"/>
      <c r="R350" s="261">
        <v>20</v>
      </c>
      <c r="S350" s="261">
        <f>Q219</f>
        <v>1005</v>
      </c>
      <c r="T350" s="261">
        <f>R219</f>
        <v>9.9999999999999995E-7</v>
      </c>
      <c r="U350" s="261" t="str">
        <f>S219</f>
        <v>-</v>
      </c>
      <c r="V350" s="261">
        <f>T219</f>
        <v>9.9999999999999995E-7</v>
      </c>
      <c r="W350" s="276">
        <f>U219</f>
        <v>0</v>
      </c>
      <c r="AE350" s="265"/>
    </row>
    <row r="351" spans="1:31" hidden="1">
      <c r="A351" s="266"/>
      <c r="B351" s="266"/>
      <c r="C351" s="266"/>
      <c r="D351" s="266"/>
      <c r="E351" s="266"/>
      <c r="F351" s="246"/>
      <c r="G351" s="266"/>
      <c r="I351" s="266"/>
      <c r="J351" s="266"/>
      <c r="K351" s="266"/>
      <c r="L351" s="266"/>
      <c r="M351" s="266"/>
      <c r="N351" s="246"/>
      <c r="O351" s="266"/>
      <c r="Q351" s="280"/>
      <c r="R351" s="267"/>
      <c r="S351" s="125"/>
      <c r="T351" s="125"/>
      <c r="U351" s="125"/>
      <c r="W351" s="126"/>
      <c r="AE351" s="230"/>
    </row>
    <row r="352" spans="1:31" hidden="1">
      <c r="A352" s="872">
        <v>7</v>
      </c>
      <c r="B352" s="252">
        <v>1</v>
      </c>
      <c r="C352" s="252">
        <f>C11</f>
        <v>40</v>
      </c>
      <c r="D352" s="252">
        <f t="shared" ref="D352:F352" si="180">D11</f>
        <v>0.3</v>
      </c>
      <c r="E352" s="252">
        <f t="shared" si="180"/>
        <v>-0.4</v>
      </c>
      <c r="F352" s="252">
        <f t="shared" si="180"/>
        <v>-0.3</v>
      </c>
      <c r="G352" s="252">
        <f>G11</f>
        <v>0.35</v>
      </c>
      <c r="I352" s="872">
        <v>7</v>
      </c>
      <c r="J352" s="252">
        <v>1</v>
      </c>
      <c r="K352" s="252">
        <f>J11</f>
        <v>90</v>
      </c>
      <c r="L352" s="252">
        <f>K11</f>
        <v>4</v>
      </c>
      <c r="M352" s="252">
        <f>L11</f>
        <v>-2.7</v>
      </c>
      <c r="N352" s="252">
        <f>M11</f>
        <v>0.3</v>
      </c>
      <c r="O352" s="252">
        <f>N11</f>
        <v>3.35</v>
      </c>
      <c r="Q352" s="878">
        <v>7</v>
      </c>
      <c r="R352" s="271">
        <v>1</v>
      </c>
      <c r="S352" s="271">
        <f>Q11</f>
        <v>1020</v>
      </c>
      <c r="T352" s="271" t="str">
        <f>R11</f>
        <v>-</v>
      </c>
      <c r="U352" s="271" t="str">
        <f>S11</f>
        <v>-</v>
      </c>
      <c r="V352" s="271">
        <f>T11</f>
        <v>9.9999999999999995E-7</v>
      </c>
      <c r="W352" s="278">
        <f>U11</f>
        <v>0</v>
      </c>
      <c r="AE352" s="274"/>
    </row>
    <row r="353" spans="1:31" hidden="1">
      <c r="A353" s="872"/>
      <c r="B353" s="252">
        <v>2</v>
      </c>
      <c r="C353" s="252">
        <f>C22</f>
        <v>40</v>
      </c>
      <c r="D353" s="252">
        <f t="shared" ref="D353:F353" si="181">D22</f>
        <v>0.6</v>
      </c>
      <c r="E353" s="252">
        <f t="shared" si="181"/>
        <v>-0.1</v>
      </c>
      <c r="F353" s="252">
        <f t="shared" si="181"/>
        <v>-0.3</v>
      </c>
      <c r="G353" s="252">
        <f>G22</f>
        <v>0.44999999999999996</v>
      </c>
      <c r="I353" s="872"/>
      <c r="J353" s="252">
        <v>2</v>
      </c>
      <c r="K353" s="252">
        <f>J22</f>
        <v>90</v>
      </c>
      <c r="L353" s="252">
        <f>K22</f>
        <v>1.2</v>
      </c>
      <c r="M353" s="252">
        <f>L22</f>
        <v>1.7</v>
      </c>
      <c r="N353" s="252">
        <f>M22</f>
        <v>-0.3</v>
      </c>
      <c r="O353" s="252">
        <f>N22</f>
        <v>1</v>
      </c>
      <c r="Q353" s="876"/>
      <c r="R353" s="252">
        <v>2</v>
      </c>
      <c r="S353" s="252">
        <f>Q22</f>
        <v>1020</v>
      </c>
      <c r="T353" s="252" t="str">
        <f>R22</f>
        <v>-</v>
      </c>
      <c r="U353" s="252" t="str">
        <f>S22</f>
        <v>-</v>
      </c>
      <c r="V353" s="252" t="str">
        <f>T22</f>
        <v>-</v>
      </c>
      <c r="W353" s="253">
        <f>U22</f>
        <v>0</v>
      </c>
      <c r="AE353" s="230"/>
    </row>
    <row r="354" spans="1:31" hidden="1">
      <c r="A354" s="872"/>
      <c r="B354" s="252">
        <v>3</v>
      </c>
      <c r="C354" s="252">
        <f>C33</f>
        <v>40</v>
      </c>
      <c r="D354" s="252">
        <f t="shared" ref="D354:F354" si="182">D33</f>
        <v>0.3</v>
      </c>
      <c r="E354" s="252">
        <f t="shared" si="182"/>
        <v>0.2</v>
      </c>
      <c r="F354" s="252">
        <f t="shared" si="182"/>
        <v>-0.7</v>
      </c>
      <c r="G354" s="252">
        <f>G33</f>
        <v>0.5</v>
      </c>
      <c r="I354" s="872"/>
      <c r="J354" s="252">
        <v>3</v>
      </c>
      <c r="K354" s="252">
        <f>J33</f>
        <v>90</v>
      </c>
      <c r="L354" s="252">
        <f>K33</f>
        <v>-0.9</v>
      </c>
      <c r="M354" s="252">
        <f>L33</f>
        <v>0.3</v>
      </c>
      <c r="N354" s="252">
        <f>M33</f>
        <v>-2</v>
      </c>
      <c r="O354" s="252">
        <f>N33</f>
        <v>1.1499999999999999</v>
      </c>
      <c r="Q354" s="876"/>
      <c r="R354" s="252">
        <v>3</v>
      </c>
      <c r="S354" s="252">
        <f>Q33</f>
        <v>1020</v>
      </c>
      <c r="T354" s="252" t="str">
        <f>R33</f>
        <v>-</v>
      </c>
      <c r="U354" s="252" t="str">
        <f>S33</f>
        <v>-</v>
      </c>
      <c r="V354" s="252" t="str">
        <f>T33</f>
        <v>-</v>
      </c>
      <c r="W354" s="253">
        <f>U33</f>
        <v>0</v>
      </c>
      <c r="AE354" s="230"/>
    </row>
    <row r="355" spans="1:31" hidden="1">
      <c r="A355" s="872"/>
      <c r="B355" s="252">
        <v>4</v>
      </c>
      <c r="C355" s="252">
        <f>C44</f>
        <v>40</v>
      </c>
      <c r="D355" s="252">
        <f t="shared" ref="D355:F355" si="183">D44</f>
        <v>-0.5</v>
      </c>
      <c r="E355" s="252">
        <f t="shared" si="183"/>
        <v>-0.6</v>
      </c>
      <c r="F355" s="252">
        <f t="shared" si="183"/>
        <v>0</v>
      </c>
      <c r="G355" s="252">
        <f>G44</f>
        <v>4.9999999999999989E-2</v>
      </c>
      <c r="I355" s="872"/>
      <c r="J355" s="252">
        <v>4</v>
      </c>
      <c r="K355" s="252">
        <f>J44</f>
        <v>90</v>
      </c>
      <c r="L355" s="252">
        <f>K44</f>
        <v>-3.5</v>
      </c>
      <c r="M355" s="252">
        <f>L44</f>
        <v>3.3</v>
      </c>
      <c r="N355" s="252">
        <f>M44</f>
        <v>0</v>
      </c>
      <c r="O355" s="252">
        <f>N44</f>
        <v>3.4</v>
      </c>
      <c r="Q355" s="876"/>
      <c r="R355" s="252">
        <v>4</v>
      </c>
      <c r="S355" s="252">
        <f>Q44</f>
        <v>1020</v>
      </c>
      <c r="T355" s="252" t="str">
        <f>R44</f>
        <v>-</v>
      </c>
      <c r="U355" s="252" t="str">
        <f>S44</f>
        <v>-</v>
      </c>
      <c r="V355" s="252">
        <f>T44</f>
        <v>9.9999999999999995E-7</v>
      </c>
      <c r="W355" s="253">
        <f>U44</f>
        <v>0</v>
      </c>
      <c r="AE355" s="230"/>
    </row>
    <row r="356" spans="1:31" hidden="1">
      <c r="A356" s="872"/>
      <c r="B356" s="252">
        <v>5</v>
      </c>
      <c r="C356" s="252">
        <f>C55</f>
        <v>40</v>
      </c>
      <c r="D356" s="252">
        <f t="shared" ref="D356:F356" si="184">D55</f>
        <v>0.3</v>
      </c>
      <c r="E356" s="252">
        <f t="shared" si="184"/>
        <v>0.2</v>
      </c>
      <c r="F356" s="252">
        <f t="shared" si="184"/>
        <v>0.7</v>
      </c>
      <c r="G356" s="252">
        <f>G55</f>
        <v>0.24999999999999997</v>
      </c>
      <c r="I356" s="872"/>
      <c r="J356" s="252">
        <v>5</v>
      </c>
      <c r="K356" s="252">
        <f>J55</f>
        <v>90</v>
      </c>
      <c r="L356" s="252">
        <f>K55</f>
        <v>-5.4</v>
      </c>
      <c r="M356" s="252">
        <f>L55</f>
        <v>-0.8</v>
      </c>
      <c r="N356" s="252">
        <f>M55</f>
        <v>-1.8</v>
      </c>
      <c r="O356" s="252">
        <f>N55</f>
        <v>2.3000000000000003</v>
      </c>
      <c r="Q356" s="876"/>
      <c r="R356" s="252">
        <v>5</v>
      </c>
      <c r="S356" s="252">
        <f>Q55</f>
        <v>1020</v>
      </c>
      <c r="T356" s="252" t="str">
        <f>R55</f>
        <v>-</v>
      </c>
      <c r="U356" s="252" t="str">
        <f>S55</f>
        <v>-</v>
      </c>
      <c r="V356" s="252" t="str">
        <f>T55</f>
        <v>-</v>
      </c>
      <c r="W356" s="253">
        <f>U55</f>
        <v>0</v>
      </c>
      <c r="AE356" s="230"/>
    </row>
    <row r="357" spans="1:31" hidden="1">
      <c r="A357" s="872"/>
      <c r="B357" s="252">
        <v>6</v>
      </c>
      <c r="C357" s="252">
        <f>C66</f>
        <v>40</v>
      </c>
      <c r="D357" s="252">
        <f t="shared" ref="D357:F357" si="185">D66</f>
        <v>0.1</v>
      </c>
      <c r="E357" s="252">
        <f t="shared" si="185"/>
        <v>-1.4</v>
      </c>
      <c r="F357" s="252">
        <f t="shared" si="185"/>
        <v>0</v>
      </c>
      <c r="G357" s="252">
        <f>G66</f>
        <v>0.75</v>
      </c>
      <c r="I357" s="872"/>
      <c r="J357" s="252">
        <v>6</v>
      </c>
      <c r="K357" s="252">
        <f>J66</f>
        <v>90</v>
      </c>
      <c r="L357" s="252">
        <f>K66</f>
        <v>-5.2</v>
      </c>
      <c r="M357" s="252">
        <f>L66</f>
        <v>0.7</v>
      </c>
      <c r="N357" s="252">
        <f>M66</f>
        <v>0</v>
      </c>
      <c r="O357" s="252">
        <f>N66</f>
        <v>2.95</v>
      </c>
      <c r="Q357" s="876"/>
      <c r="R357" s="252">
        <v>6</v>
      </c>
      <c r="S357" s="252">
        <f>Q66</f>
        <v>1020</v>
      </c>
      <c r="T357" s="252">
        <f>R66</f>
        <v>0.9</v>
      </c>
      <c r="U357" s="252">
        <f>S66</f>
        <v>9.9999999999999995E-7</v>
      </c>
      <c r="V357" s="252">
        <f>T66</f>
        <v>9.9999999999999995E-7</v>
      </c>
      <c r="W357" s="253">
        <f>U66</f>
        <v>0.4499995</v>
      </c>
      <c r="AE357" s="230"/>
    </row>
    <row r="358" spans="1:31" hidden="1">
      <c r="A358" s="872"/>
      <c r="B358" s="252">
        <v>7</v>
      </c>
      <c r="C358" s="252">
        <f>C77</f>
        <v>40</v>
      </c>
      <c r="D358" s="252">
        <f t="shared" ref="D358:F358" si="186">D77</f>
        <v>0.1</v>
      </c>
      <c r="E358" s="252">
        <f t="shared" si="186"/>
        <v>-1.7</v>
      </c>
      <c r="F358" s="252">
        <f t="shared" si="186"/>
        <v>0</v>
      </c>
      <c r="G358" s="252">
        <f>G77</f>
        <v>0.9</v>
      </c>
      <c r="I358" s="872"/>
      <c r="J358" s="252">
        <v>7</v>
      </c>
      <c r="K358" s="252">
        <f>J77</f>
        <v>90</v>
      </c>
      <c r="L358" s="252">
        <f>K77</f>
        <v>-3</v>
      </c>
      <c r="M358" s="252">
        <f>L77</f>
        <v>1.8</v>
      </c>
      <c r="N358" s="252">
        <f>M77</f>
        <v>0</v>
      </c>
      <c r="O358" s="252">
        <f>N77</f>
        <v>2.4</v>
      </c>
      <c r="Q358" s="876"/>
      <c r="R358" s="252">
        <v>7</v>
      </c>
      <c r="S358" s="252">
        <f>Q77</f>
        <v>1020</v>
      </c>
      <c r="T358" s="252">
        <f>R77</f>
        <v>-3.8</v>
      </c>
      <c r="U358" s="252">
        <f>S77</f>
        <v>9.9999999999999995E-7</v>
      </c>
      <c r="V358" s="252">
        <f>T77</f>
        <v>9.9999999999999995E-7</v>
      </c>
      <c r="W358" s="253">
        <f>U77</f>
        <v>1.9000005</v>
      </c>
      <c r="AE358" s="230"/>
    </row>
    <row r="359" spans="1:31" hidden="1">
      <c r="A359" s="872"/>
      <c r="B359" s="252">
        <v>8</v>
      </c>
      <c r="C359" s="252">
        <f>C88</f>
        <v>40</v>
      </c>
      <c r="D359" s="252">
        <f t="shared" ref="D359:F359" si="187">D88</f>
        <v>-0.1</v>
      </c>
      <c r="E359" s="252">
        <f t="shared" si="187"/>
        <v>9.9999999999999995E-7</v>
      </c>
      <c r="F359" s="252">
        <f t="shared" si="187"/>
        <v>-0.4</v>
      </c>
      <c r="G359" s="252">
        <f>G88</f>
        <v>0.2000005</v>
      </c>
      <c r="I359" s="872"/>
      <c r="J359" s="252">
        <v>8</v>
      </c>
      <c r="K359" s="252">
        <f>J88</f>
        <v>90</v>
      </c>
      <c r="L359" s="252">
        <f>K88</f>
        <v>-9.1</v>
      </c>
      <c r="M359" s="252">
        <f>L88</f>
        <v>-4.9000000000000004</v>
      </c>
      <c r="N359" s="252">
        <f>M88</f>
        <v>-1.3</v>
      </c>
      <c r="O359" s="252">
        <f>N88</f>
        <v>3.9</v>
      </c>
      <c r="Q359" s="876"/>
      <c r="R359" s="252">
        <v>8</v>
      </c>
      <c r="S359" s="252">
        <f>Q88</f>
        <v>1020</v>
      </c>
      <c r="T359" s="252">
        <f>R88</f>
        <v>0</v>
      </c>
      <c r="U359" s="252">
        <f>S88</f>
        <v>0</v>
      </c>
      <c r="V359" s="252">
        <f>T88</f>
        <v>9.9999999999999995E-7</v>
      </c>
      <c r="W359" s="253">
        <f>U88</f>
        <v>4.9999999999999998E-7</v>
      </c>
      <c r="AE359" s="230"/>
    </row>
    <row r="360" spans="1:31" hidden="1">
      <c r="A360" s="872"/>
      <c r="B360" s="252">
        <v>9</v>
      </c>
      <c r="C360" s="252">
        <f>C99</f>
        <v>40</v>
      </c>
      <c r="D360" s="252">
        <f t="shared" ref="D360:F360" si="188">D99</f>
        <v>-0.4</v>
      </c>
      <c r="E360" s="252" t="str">
        <f t="shared" si="188"/>
        <v>-</v>
      </c>
      <c r="F360" s="252">
        <f t="shared" si="188"/>
        <v>0</v>
      </c>
      <c r="G360" s="252">
        <f>G99</f>
        <v>0</v>
      </c>
      <c r="I360" s="872"/>
      <c r="J360" s="252">
        <v>9</v>
      </c>
      <c r="K360" s="252">
        <f>J99</f>
        <v>90</v>
      </c>
      <c r="L360" s="252">
        <f>K99</f>
        <v>-0.2</v>
      </c>
      <c r="M360" s="252" t="str">
        <f>L99</f>
        <v>-</v>
      </c>
      <c r="N360" s="252">
        <f>M99</f>
        <v>0</v>
      </c>
      <c r="O360" s="252">
        <f>N99</f>
        <v>0</v>
      </c>
      <c r="Q360" s="876"/>
      <c r="R360" s="252">
        <v>9</v>
      </c>
      <c r="S360" s="252">
        <f>Q99</f>
        <v>1020</v>
      </c>
      <c r="T360" s="252">
        <f>R99</f>
        <v>9.9999999999999995E-7</v>
      </c>
      <c r="U360" s="252" t="str">
        <f>S99</f>
        <v>-</v>
      </c>
      <c r="V360" s="252">
        <f>T99</f>
        <v>9.9999999999999995E-7</v>
      </c>
      <c r="W360" s="253">
        <f>U99</f>
        <v>0</v>
      </c>
      <c r="AE360" s="230"/>
    </row>
    <row r="361" spans="1:31" hidden="1">
      <c r="A361" s="872"/>
      <c r="B361" s="252">
        <v>10</v>
      </c>
      <c r="C361" s="252">
        <f>C110</f>
        <v>40</v>
      </c>
      <c r="D361" s="252">
        <f t="shared" ref="D361:F361" si="189">D110</f>
        <v>0.2</v>
      </c>
      <c r="E361" s="252">
        <f t="shared" si="189"/>
        <v>9.9999999999999995E-7</v>
      </c>
      <c r="F361" s="252">
        <f t="shared" si="189"/>
        <v>0</v>
      </c>
      <c r="G361" s="252">
        <f>G110</f>
        <v>9.9999500000000005E-2</v>
      </c>
      <c r="I361" s="872"/>
      <c r="J361" s="252">
        <v>10</v>
      </c>
      <c r="K361" s="252">
        <f>J110</f>
        <v>90</v>
      </c>
      <c r="L361" s="252">
        <f>K110</f>
        <v>5.4</v>
      </c>
      <c r="M361" s="252">
        <f>L110</f>
        <v>9.9999999999999995E-7</v>
      </c>
      <c r="N361" s="252">
        <f>M110</f>
        <v>0</v>
      </c>
      <c r="O361" s="252">
        <f>N110</f>
        <v>2.6999995000000001</v>
      </c>
      <c r="Q361" s="876"/>
      <c r="R361" s="252">
        <v>10</v>
      </c>
      <c r="S361" s="252">
        <f>Q110</f>
        <v>1020</v>
      </c>
      <c r="T361" s="252" t="str">
        <f>R110</f>
        <v>-</v>
      </c>
      <c r="U361" s="252" t="str">
        <f>S110</f>
        <v>-</v>
      </c>
      <c r="V361" s="252">
        <f>T110</f>
        <v>9.9999999999999995E-7</v>
      </c>
      <c r="W361" s="253">
        <f>U110</f>
        <v>0</v>
      </c>
      <c r="AE361" s="230"/>
    </row>
    <row r="362" spans="1:31" hidden="1">
      <c r="A362" s="872"/>
      <c r="B362" s="252">
        <v>11</v>
      </c>
      <c r="C362" s="252">
        <f>C121</f>
        <v>40</v>
      </c>
      <c r="D362" s="252">
        <f t="shared" ref="D362:F362" si="190">D121</f>
        <v>0.5</v>
      </c>
      <c r="E362" s="252">
        <f t="shared" si="190"/>
        <v>9.9999999999999995E-7</v>
      </c>
      <c r="F362" s="252">
        <f t="shared" si="190"/>
        <v>0</v>
      </c>
      <c r="G362" s="252">
        <f>G121</f>
        <v>0.24999950000000001</v>
      </c>
      <c r="I362" s="872"/>
      <c r="J362" s="252">
        <v>11</v>
      </c>
      <c r="K362" s="252">
        <f>J121</f>
        <v>90</v>
      </c>
      <c r="L362" s="252">
        <f>K121</f>
        <v>1.3</v>
      </c>
      <c r="M362" s="252">
        <f>L121</f>
        <v>9.9999999999999995E-7</v>
      </c>
      <c r="N362" s="252">
        <f>M121</f>
        <v>0</v>
      </c>
      <c r="O362" s="252">
        <f>N121</f>
        <v>0.64999950000000006</v>
      </c>
      <c r="Q362" s="876"/>
      <c r="R362" s="252">
        <v>11</v>
      </c>
      <c r="S362" s="252">
        <f>Q121</f>
        <v>1020</v>
      </c>
      <c r="T362" s="252" t="str">
        <f>R121</f>
        <v>-</v>
      </c>
      <c r="U362" s="252" t="str">
        <f>S121</f>
        <v>-</v>
      </c>
      <c r="V362" s="252">
        <f>T121</f>
        <v>9.9999999999999995E-7</v>
      </c>
      <c r="W362" s="253">
        <f>U121</f>
        <v>0</v>
      </c>
      <c r="AE362" s="230"/>
    </row>
    <row r="363" spans="1:31" hidden="1">
      <c r="A363" s="872"/>
      <c r="B363" s="252">
        <v>12</v>
      </c>
      <c r="C363" s="252">
        <f>C132</f>
        <v>40</v>
      </c>
      <c r="D363" s="252">
        <f t="shared" ref="D363:F363" si="191">D132</f>
        <v>0.8</v>
      </c>
      <c r="E363" s="252">
        <f t="shared" si="191"/>
        <v>-0.4</v>
      </c>
      <c r="F363" s="252">
        <f t="shared" si="191"/>
        <v>0</v>
      </c>
      <c r="G363" s="252">
        <f>G132</f>
        <v>0.60000000000000009</v>
      </c>
      <c r="I363" s="872"/>
      <c r="J363" s="252">
        <v>12</v>
      </c>
      <c r="K363" s="252">
        <f>J132</f>
        <v>90</v>
      </c>
      <c r="L363" s="252">
        <f>K132</f>
        <v>-1.8</v>
      </c>
      <c r="M363" s="252">
        <f>L132</f>
        <v>-0.9</v>
      </c>
      <c r="N363" s="252">
        <f>M132</f>
        <v>0</v>
      </c>
      <c r="O363" s="252">
        <f>N132</f>
        <v>0.45</v>
      </c>
      <c r="Q363" s="876"/>
      <c r="R363" s="252">
        <v>12</v>
      </c>
      <c r="S363" s="252">
        <f>Q132</f>
        <v>1020</v>
      </c>
      <c r="T363" s="252">
        <f>R132</f>
        <v>0</v>
      </c>
      <c r="U363" s="252">
        <f>S132</f>
        <v>9.9999999999999995E-7</v>
      </c>
      <c r="V363" s="252">
        <f>T132</f>
        <v>0</v>
      </c>
      <c r="W363" s="253">
        <f>U132</f>
        <v>4.9999999999999998E-7</v>
      </c>
      <c r="AE363" s="230"/>
    </row>
    <row r="364" spans="1:31" hidden="1">
      <c r="A364" s="872"/>
      <c r="B364" s="252">
        <v>13</v>
      </c>
      <c r="C364" s="252">
        <f>C143</f>
        <v>40</v>
      </c>
      <c r="D364" s="252">
        <f t="shared" ref="D364:F364" si="192">D143</f>
        <v>0.7</v>
      </c>
      <c r="E364" s="252">
        <f t="shared" si="192"/>
        <v>-0.2</v>
      </c>
      <c r="F364" s="252">
        <f t="shared" si="192"/>
        <v>0.5</v>
      </c>
      <c r="G364" s="252">
        <f>G143</f>
        <v>0.44999999999999996</v>
      </c>
      <c r="I364" s="872"/>
      <c r="J364" s="252">
        <v>13</v>
      </c>
      <c r="K364" s="252">
        <f>J143</f>
        <v>90</v>
      </c>
      <c r="L364" s="252">
        <f>K143</f>
        <v>-0.4</v>
      </c>
      <c r="M364" s="252">
        <f>L143</f>
        <v>-1</v>
      </c>
      <c r="N364" s="252">
        <f>M143</f>
        <v>-3.2</v>
      </c>
      <c r="O364" s="252">
        <f>N143</f>
        <v>1.4000000000000001</v>
      </c>
      <c r="Q364" s="876"/>
      <c r="R364" s="252">
        <v>13</v>
      </c>
      <c r="S364" s="252">
        <f>Q143</f>
        <v>1020</v>
      </c>
      <c r="T364" s="252">
        <f>R143</f>
        <v>0</v>
      </c>
      <c r="U364" s="252">
        <f>S143</f>
        <v>9.9999999999999995E-7</v>
      </c>
      <c r="V364" s="252">
        <f>T143</f>
        <v>9.9999999999999995E-7</v>
      </c>
      <c r="W364" s="253">
        <f>U143</f>
        <v>0</v>
      </c>
      <c r="AE364" s="230"/>
    </row>
    <row r="365" spans="1:31" hidden="1">
      <c r="A365" s="872"/>
      <c r="B365" s="252">
        <v>14</v>
      </c>
      <c r="C365" s="252">
        <f>C154</f>
        <v>40</v>
      </c>
      <c r="D365" s="252">
        <f t="shared" ref="D365:F365" si="193">D154</f>
        <v>0.4</v>
      </c>
      <c r="E365" s="252">
        <f t="shared" si="193"/>
        <v>-0.8</v>
      </c>
      <c r="F365" s="252">
        <f t="shared" si="193"/>
        <v>-1.1000000000000001</v>
      </c>
      <c r="G365" s="252">
        <f>G154</f>
        <v>0.75</v>
      </c>
      <c r="I365" s="872"/>
      <c r="J365" s="252">
        <v>14</v>
      </c>
      <c r="K365" s="252">
        <f>J154</f>
        <v>90</v>
      </c>
      <c r="L365" s="252">
        <f>K154</f>
        <v>1.9</v>
      </c>
      <c r="M365" s="252">
        <f>L154</f>
        <v>1.5</v>
      </c>
      <c r="N365" s="252">
        <f>M154</f>
        <v>-0.8</v>
      </c>
      <c r="O365" s="252">
        <f>N154</f>
        <v>1.35</v>
      </c>
      <c r="Q365" s="876"/>
      <c r="R365" s="252">
        <v>14</v>
      </c>
      <c r="S365" s="252">
        <f>Q154</f>
        <v>1020</v>
      </c>
      <c r="T365" s="252">
        <f>R154</f>
        <v>0</v>
      </c>
      <c r="U365" s="252">
        <f>S154</f>
        <v>9.9999999999999995E-7</v>
      </c>
      <c r="V365" s="252">
        <f>T154</f>
        <v>9.9999999999999995E-7</v>
      </c>
      <c r="W365" s="253">
        <f>U154</f>
        <v>0</v>
      </c>
      <c r="AE365" s="230"/>
    </row>
    <row r="366" spans="1:31" hidden="1">
      <c r="A366" s="872"/>
      <c r="B366" s="252">
        <v>15</v>
      </c>
      <c r="C366" s="252">
        <f>C165</f>
        <v>40</v>
      </c>
      <c r="D366" s="252">
        <f t="shared" ref="D366:F366" si="194">D165</f>
        <v>0.6</v>
      </c>
      <c r="E366" s="252">
        <f t="shared" si="194"/>
        <v>1.4</v>
      </c>
      <c r="F366" s="252">
        <f t="shared" si="194"/>
        <v>9.9999999999999995E-7</v>
      </c>
      <c r="G366" s="252">
        <f>G165</f>
        <v>0.6999995</v>
      </c>
      <c r="I366" s="872"/>
      <c r="J366" s="252">
        <v>15</v>
      </c>
      <c r="K366" s="252">
        <f>J165</f>
        <v>90</v>
      </c>
      <c r="L366" s="252">
        <f>K165</f>
        <v>0.1</v>
      </c>
      <c r="M366" s="252">
        <f>L165</f>
        <v>-0.1</v>
      </c>
      <c r="N366" s="252">
        <f>M165</f>
        <v>-2</v>
      </c>
      <c r="O366" s="252">
        <f>N165</f>
        <v>1.05</v>
      </c>
      <c r="Q366" s="876"/>
      <c r="R366" s="252">
        <v>15</v>
      </c>
      <c r="S366" s="252">
        <f>Q165</f>
        <v>1020</v>
      </c>
      <c r="T366" s="252">
        <f>R165</f>
        <v>0</v>
      </c>
      <c r="U366" s="252">
        <f>S165</f>
        <v>9.9999999999999995E-7</v>
      </c>
      <c r="V366" s="252">
        <f>T165</f>
        <v>9.9999999999999995E-7</v>
      </c>
      <c r="W366" s="253">
        <f>U165</f>
        <v>0</v>
      </c>
      <c r="AE366" s="230"/>
    </row>
    <row r="367" spans="1:31" hidden="1">
      <c r="A367" s="872"/>
      <c r="B367" s="252">
        <v>16</v>
      </c>
      <c r="C367" s="252">
        <f>C176</f>
        <v>40</v>
      </c>
      <c r="D367" s="252">
        <f t="shared" ref="D367:F367" si="195">D176</f>
        <v>0.6</v>
      </c>
      <c r="E367" s="252">
        <f t="shared" si="195"/>
        <v>9.9999999999999995E-7</v>
      </c>
      <c r="F367" s="252">
        <f t="shared" si="195"/>
        <v>0</v>
      </c>
      <c r="G367" s="252">
        <f>G176</f>
        <v>0.29999949999999997</v>
      </c>
      <c r="I367" s="872"/>
      <c r="J367" s="252">
        <v>16</v>
      </c>
      <c r="K367" s="252">
        <f>J176</f>
        <v>90</v>
      </c>
      <c r="L367" s="252">
        <f>K176</f>
        <v>-3.1</v>
      </c>
      <c r="M367" s="252">
        <f>L176</f>
        <v>-3</v>
      </c>
      <c r="N367" s="252">
        <f>M176</f>
        <v>0</v>
      </c>
      <c r="O367" s="252">
        <f>N176</f>
        <v>5.0000000000000044E-2</v>
      </c>
      <c r="Q367" s="876"/>
      <c r="R367" s="252">
        <v>16</v>
      </c>
      <c r="S367" s="252">
        <f>Q176</f>
        <v>1020</v>
      </c>
      <c r="T367" s="252">
        <f>R176</f>
        <v>0</v>
      </c>
      <c r="U367" s="252">
        <f>S176</f>
        <v>9.9999999999999995E-7</v>
      </c>
      <c r="V367" s="252">
        <f>T176</f>
        <v>0</v>
      </c>
      <c r="W367" s="253">
        <f>U176</f>
        <v>4.9999999999999998E-7</v>
      </c>
      <c r="AE367" s="230"/>
    </row>
    <row r="368" spans="1:31" hidden="1">
      <c r="A368" s="872"/>
      <c r="B368" s="252">
        <v>17</v>
      </c>
      <c r="C368" s="252">
        <f>C187</f>
        <v>40</v>
      </c>
      <c r="D368" s="252">
        <f>D187</f>
        <v>0.7</v>
      </c>
      <c r="E368" s="252">
        <f>E187</f>
        <v>-0.8</v>
      </c>
      <c r="F368" s="252">
        <f t="shared" ref="F368" si="196">F187</f>
        <v>0</v>
      </c>
      <c r="G368" s="252">
        <f>G187</f>
        <v>0.75</v>
      </c>
      <c r="I368" s="872"/>
      <c r="J368" s="252">
        <v>17</v>
      </c>
      <c r="K368" s="252">
        <f>J187</f>
        <v>90</v>
      </c>
      <c r="L368" s="252">
        <f>K187</f>
        <v>-2.9</v>
      </c>
      <c r="M368" s="252">
        <f>L187</f>
        <v>-1.4</v>
      </c>
      <c r="N368" s="252">
        <f>M187</f>
        <v>0</v>
      </c>
      <c r="O368" s="252">
        <f>N187</f>
        <v>0.75</v>
      </c>
      <c r="Q368" s="876"/>
      <c r="R368" s="252">
        <v>17</v>
      </c>
      <c r="S368" s="252">
        <f>Q187</f>
        <v>1020</v>
      </c>
      <c r="T368" s="252">
        <f>R187</f>
        <v>0</v>
      </c>
      <c r="U368" s="252">
        <f>S187</f>
        <v>9.9999999999999995E-7</v>
      </c>
      <c r="V368" s="252">
        <f>T187</f>
        <v>0</v>
      </c>
      <c r="W368" s="253">
        <f>U187</f>
        <v>4.9999999999999998E-7</v>
      </c>
      <c r="AE368" s="230"/>
    </row>
    <row r="369" spans="1:31" hidden="1">
      <c r="A369" s="872"/>
      <c r="B369" s="252">
        <v>18</v>
      </c>
      <c r="C369" s="252">
        <f>C198</f>
        <v>40</v>
      </c>
      <c r="D369" s="252">
        <f t="shared" ref="D369:F369" si="197">D198</f>
        <v>0.5</v>
      </c>
      <c r="E369" s="252">
        <f t="shared" si="197"/>
        <v>-0.4</v>
      </c>
      <c r="F369" s="252">
        <f t="shared" si="197"/>
        <v>0</v>
      </c>
      <c r="G369" s="252">
        <f>G198</f>
        <v>0.45</v>
      </c>
      <c r="I369" s="872"/>
      <c r="J369" s="252">
        <v>18</v>
      </c>
      <c r="K369" s="252">
        <f>J198</f>
        <v>90</v>
      </c>
      <c r="L369" s="252">
        <f>K198</f>
        <v>-3</v>
      </c>
      <c r="M369" s="252">
        <f>L198</f>
        <v>-0.8</v>
      </c>
      <c r="N369" s="252">
        <f>M198</f>
        <v>0</v>
      </c>
      <c r="O369" s="252">
        <f>N198</f>
        <v>1.1000000000000001</v>
      </c>
      <c r="Q369" s="876"/>
      <c r="R369" s="252">
        <v>18</v>
      </c>
      <c r="S369" s="252">
        <f>Q198</f>
        <v>1020</v>
      </c>
      <c r="T369" s="252">
        <f>R198</f>
        <v>0</v>
      </c>
      <c r="U369" s="252">
        <f>S198</f>
        <v>9.9999999999999995E-7</v>
      </c>
      <c r="V369" s="252">
        <f>T198</f>
        <v>0</v>
      </c>
      <c r="W369" s="253">
        <f>U198</f>
        <v>4.9999999999999998E-7</v>
      </c>
      <c r="AE369" s="230"/>
    </row>
    <row r="370" spans="1:31" hidden="1">
      <c r="A370" s="872"/>
      <c r="B370" s="252">
        <v>19</v>
      </c>
      <c r="C370" s="252">
        <f>C209</f>
        <v>40</v>
      </c>
      <c r="D370" s="252">
        <f t="shared" ref="D370:F370" si="198">D209</f>
        <v>0.6</v>
      </c>
      <c r="E370" s="252">
        <f t="shared" si="198"/>
        <v>0.2</v>
      </c>
      <c r="F370" s="252">
        <f t="shared" si="198"/>
        <v>0</v>
      </c>
      <c r="G370" s="252">
        <f>G209</f>
        <v>0.19999999999999998</v>
      </c>
      <c r="I370" s="872"/>
      <c r="J370" s="252">
        <v>19</v>
      </c>
      <c r="K370" s="252">
        <f>J209</f>
        <v>90</v>
      </c>
      <c r="L370" s="252">
        <f>K209</f>
        <v>-1.7</v>
      </c>
      <c r="M370" s="252">
        <f>L209</f>
        <v>-0.6</v>
      </c>
      <c r="N370" s="252">
        <f>M209</f>
        <v>0</v>
      </c>
      <c r="O370" s="252">
        <f>N209</f>
        <v>0.55000000000000004</v>
      </c>
      <c r="Q370" s="876"/>
      <c r="R370" s="252">
        <v>19</v>
      </c>
      <c r="S370" s="252">
        <f>Q209</f>
        <v>1050</v>
      </c>
      <c r="T370" s="252">
        <f>R209</f>
        <v>0</v>
      </c>
      <c r="U370" s="252">
        <f>S209</f>
        <v>2.2999999999999998</v>
      </c>
      <c r="V370" s="252">
        <f>T209</f>
        <v>0</v>
      </c>
      <c r="W370" s="253">
        <f>U209</f>
        <v>1.1499999999999999</v>
      </c>
      <c r="AE370" s="230"/>
    </row>
    <row r="371" spans="1:31" ht="13.8" hidden="1" thickBot="1">
      <c r="A371" s="872"/>
      <c r="B371" s="252">
        <v>20</v>
      </c>
      <c r="C371" s="252">
        <f>C220</f>
        <v>40</v>
      </c>
      <c r="D371" s="252">
        <f t="shared" ref="D371:F371" si="199">D220</f>
        <v>9.9999999999999995E-7</v>
      </c>
      <c r="E371" s="252" t="str">
        <f t="shared" si="199"/>
        <v>-</v>
      </c>
      <c r="F371" s="252">
        <f t="shared" si="199"/>
        <v>9.9999999999999995E-7</v>
      </c>
      <c r="G371" s="252">
        <f>G220</f>
        <v>0</v>
      </c>
      <c r="I371" s="872"/>
      <c r="J371" s="252">
        <v>20</v>
      </c>
      <c r="K371" s="252">
        <f>J220</f>
        <v>90</v>
      </c>
      <c r="L371" s="252">
        <f>K220</f>
        <v>9.9999999999999995E-7</v>
      </c>
      <c r="M371" s="252" t="str">
        <f>L220</f>
        <v>-</v>
      </c>
      <c r="N371" s="252">
        <f>M220</f>
        <v>0</v>
      </c>
      <c r="O371" s="252">
        <f>N220</f>
        <v>0</v>
      </c>
      <c r="Q371" s="877"/>
      <c r="R371" s="261">
        <v>20</v>
      </c>
      <c r="S371" s="261">
        <f>Q220</f>
        <v>1020</v>
      </c>
      <c r="T371" s="261">
        <f>R220</f>
        <v>9.9999999999999995E-7</v>
      </c>
      <c r="U371" s="261" t="str">
        <f>S220</f>
        <v>-</v>
      </c>
      <c r="V371" s="261">
        <f>T220</f>
        <v>9.9999999999999995E-7</v>
      </c>
      <c r="W371" s="276">
        <f>U220</f>
        <v>0</v>
      </c>
      <c r="AE371" s="265"/>
    </row>
    <row r="372" spans="1:31" ht="13.8" thickBot="1">
      <c r="A372" s="281"/>
      <c r="B372" s="282"/>
      <c r="C372" s="270"/>
      <c r="D372" s="270"/>
      <c r="E372" s="270"/>
      <c r="F372" s="270"/>
      <c r="G372" s="270"/>
      <c r="H372" s="230"/>
      <c r="I372" s="264"/>
      <c r="J372" s="282"/>
      <c r="K372" s="270"/>
      <c r="L372" s="270"/>
      <c r="M372" s="270"/>
      <c r="N372" s="270"/>
      <c r="O372" s="270"/>
      <c r="P372" s="230"/>
    </row>
    <row r="373" spans="1:31" ht="29.25" customHeight="1">
      <c r="A373" s="283">
        <f>A410</f>
        <v>14</v>
      </c>
      <c r="B373" s="879" t="str">
        <f>A389</f>
        <v>Thermohygrolight, Merek : EXTECH, Model : SD700, SN : A.100609</v>
      </c>
      <c r="C373" s="879"/>
      <c r="D373" s="879"/>
      <c r="E373" s="879"/>
      <c r="G373" s="283">
        <f>A373</f>
        <v>14</v>
      </c>
      <c r="H373" s="879" t="str">
        <f>B373</f>
        <v>Thermohygrolight, Merek : EXTECH, Model : SD700, SN : A.100609</v>
      </c>
      <c r="I373" s="879"/>
      <c r="J373" s="879"/>
      <c r="K373" s="879"/>
      <c r="M373" s="283">
        <f>G373</f>
        <v>14</v>
      </c>
      <c r="N373" s="879" t="str">
        <f>H373</f>
        <v>Thermohygrolight, Merek : EXTECH, Model : SD700, SN : A.100609</v>
      </c>
      <c r="O373" s="879"/>
      <c r="P373" s="879"/>
      <c r="Q373" s="879"/>
      <c r="S373" s="284">
        <f>A373</f>
        <v>14</v>
      </c>
      <c r="T373" s="880" t="str">
        <f>H373</f>
        <v>Thermohygrolight, Merek : EXTECH, Model : SD700, SN : A.100609</v>
      </c>
      <c r="U373" s="880"/>
      <c r="V373" s="880"/>
      <c r="W373" s="881"/>
      <c r="Z373" s="285"/>
      <c r="AE373" s="240"/>
    </row>
    <row r="374" spans="1:31" ht="13.8">
      <c r="A374" s="286" t="s">
        <v>7</v>
      </c>
      <c r="B374" s="882" t="s">
        <v>241</v>
      </c>
      <c r="C374" s="882"/>
      <c r="D374" s="882"/>
      <c r="E374" s="882" t="s">
        <v>242</v>
      </c>
      <c r="G374" s="286" t="s">
        <v>204</v>
      </c>
      <c r="H374" s="882" t="s">
        <v>241</v>
      </c>
      <c r="I374" s="882"/>
      <c r="J374" s="882"/>
      <c r="K374" s="882" t="s">
        <v>242</v>
      </c>
      <c r="M374" s="286" t="s">
        <v>243</v>
      </c>
      <c r="N374" s="882" t="s">
        <v>241</v>
      </c>
      <c r="O374" s="882"/>
      <c r="P374" s="882"/>
      <c r="Q374" s="882" t="s">
        <v>242</v>
      </c>
      <c r="S374" s="888"/>
      <c r="T374" s="889" t="s">
        <v>267</v>
      </c>
      <c r="U374" s="889" t="s">
        <v>268</v>
      </c>
      <c r="V374" s="889" t="s">
        <v>269</v>
      </c>
      <c r="W374" s="890" t="s">
        <v>208</v>
      </c>
      <c r="Z374" s="270"/>
    </row>
    <row r="375" spans="1:31" ht="14.4">
      <c r="A375" s="287" t="s">
        <v>266</v>
      </c>
      <c r="B375" s="288">
        <f>VLOOKUP(B373,A390:L409,9,FALSE)</f>
        <v>2023</v>
      </c>
      <c r="C375" s="288">
        <f>VLOOKUP(B373,A390:L409,10,FALSE)</f>
        <v>2022</v>
      </c>
      <c r="D375" s="288">
        <f>VLOOKUP(B373,A390:L409,11,FALSE)</f>
        <v>2020</v>
      </c>
      <c r="E375" s="882"/>
      <c r="G375" s="289" t="s">
        <v>24</v>
      </c>
      <c r="H375" s="288">
        <f>B375</f>
        <v>2023</v>
      </c>
      <c r="I375" s="288">
        <f>C375</f>
        <v>2022</v>
      </c>
      <c r="J375" s="288">
        <f>D375</f>
        <v>2020</v>
      </c>
      <c r="K375" s="882"/>
      <c r="M375" s="289" t="s">
        <v>245</v>
      </c>
      <c r="N375" s="288">
        <f>H375</f>
        <v>2023</v>
      </c>
      <c r="O375" s="288">
        <f>I375</f>
        <v>2022</v>
      </c>
      <c r="P375" s="288">
        <f>J375</f>
        <v>2020</v>
      </c>
      <c r="Q375" s="882"/>
      <c r="S375" s="888"/>
      <c r="T375" s="889"/>
      <c r="U375" s="889"/>
      <c r="V375" s="889"/>
      <c r="W375" s="890"/>
      <c r="Z375" s="270"/>
    </row>
    <row r="376" spans="1:31">
      <c r="A376" s="266">
        <f>VLOOKUP($A$373,$B$226:$G$245,2,FALSE)</f>
        <v>15</v>
      </c>
      <c r="B376" s="266">
        <f>VLOOKUP($A$373,$B$226:$G$245,3,FALSE)</f>
        <v>0.1</v>
      </c>
      <c r="C376" s="266">
        <f>VLOOKUP($A$373,$B$226:$G$245,4,FALSE)</f>
        <v>0.5</v>
      </c>
      <c r="D376" s="266">
        <f>VLOOKUP($A$373,$B$226:$G$245,5,FALSE)</f>
        <v>-0.2</v>
      </c>
      <c r="E376" s="266">
        <f>VLOOKUP($A$373,$B$226:$G$245,6,FALSE)</f>
        <v>0.35</v>
      </c>
      <c r="G376" s="266">
        <f>VLOOKUP($G$373,$J$226:$O$245,2,FALSE)</f>
        <v>30</v>
      </c>
      <c r="H376" s="266">
        <f>VLOOKUP($G$373,$J$226:$O$245,3,FALSE)</f>
        <v>0</v>
      </c>
      <c r="I376" s="266">
        <f>VLOOKUP($G$373,$J$226:$O$245,4,FALSE)</f>
        <v>-0.8</v>
      </c>
      <c r="J376" s="266">
        <f>VLOOKUP($G$373,$J$226:$O$245,5,FALSE)</f>
        <v>0.6</v>
      </c>
      <c r="K376" s="266">
        <f>VLOOKUP($G$373,$J$226:$O$245,6,FALSE)</f>
        <v>0.7</v>
      </c>
      <c r="M376" s="266">
        <f>VLOOKUP($M$373,$R$226:$W$245,2,FALSE)</f>
        <v>985</v>
      </c>
      <c r="N376" s="266">
        <f>VLOOKUP($M$373,$R$226:$W$245,3,FALSE)</f>
        <v>0</v>
      </c>
      <c r="O376" s="266">
        <f>VLOOKUP($M$373,$R$226:$W$245,4,FALSE)</f>
        <v>3.9</v>
      </c>
      <c r="P376" s="266">
        <f>VLOOKUP($M$373,$R$226:$W$245,5,FALSE)</f>
        <v>0.9</v>
      </c>
      <c r="Q376" s="266">
        <f>VLOOKUP($M$373,$R$226:$W$245,6,FALSE)</f>
        <v>1.5</v>
      </c>
      <c r="S376" s="888"/>
      <c r="T376" s="889"/>
      <c r="U376" s="889"/>
      <c r="V376" s="889"/>
      <c r="W376" s="890"/>
      <c r="Z376" s="270"/>
    </row>
    <row r="377" spans="1:31">
      <c r="A377" s="266">
        <f>VLOOKUP($A$373,$B$247:$G$266,2,FALSE)</f>
        <v>20</v>
      </c>
      <c r="B377" s="266">
        <f>VLOOKUP($A$373,$B$247:$G$266,3,FALSE)</f>
        <v>0.2</v>
      </c>
      <c r="C377" s="266">
        <f>VLOOKUP($A$373,$B$247:$G$266,4,FALSE)</f>
        <v>0.2</v>
      </c>
      <c r="D377" s="266">
        <f>VLOOKUP($A$373,$B$247:$G$266,5,FALSE)</f>
        <v>-0.1</v>
      </c>
      <c r="E377" s="266">
        <f>VLOOKUP($A$373,$B$247:$G$266,6,FALSE)</f>
        <v>0.15000000000000002</v>
      </c>
      <c r="G377" s="266">
        <f>VLOOKUP($G$373,$J$247:$O$266,2,FALSE)</f>
        <v>40</v>
      </c>
      <c r="H377" s="266">
        <f>VLOOKUP($G$373,$J$247:$O$266,3,FALSE)</f>
        <v>-3.8</v>
      </c>
      <c r="I377" s="266">
        <f>VLOOKUP($G$373,$J$247:$O$266,4,FALSE)</f>
        <v>-0.4</v>
      </c>
      <c r="J377" s="266">
        <f>VLOOKUP($G$373,$J$247:$O$266,5,FALSE)</f>
        <v>0.3</v>
      </c>
      <c r="K377" s="266">
        <f>VLOOKUP($G$373,$J$247:$O$266,6,FALSE)</f>
        <v>2.0499999999999998</v>
      </c>
      <c r="M377" s="266">
        <f>VLOOKUP($M$373,$R$247:$W$266,2,FALSE)</f>
        <v>990</v>
      </c>
      <c r="N377" s="266">
        <f>VLOOKUP($M$373,$R$247:$W$266,3,FALSE)</f>
        <v>4</v>
      </c>
      <c r="O377" s="266">
        <f>VLOOKUP($M$373,$R$247:$W$266,4,FALSE)</f>
        <v>3.9</v>
      </c>
      <c r="P377" s="266">
        <f>VLOOKUP($M$373,$R$247:$W$266,5,FALSE)</f>
        <v>1</v>
      </c>
      <c r="Q377" s="266">
        <f>VLOOKUP($M$373,$R$247:$W$266,6,FALSE)</f>
        <v>1.5</v>
      </c>
      <c r="S377" s="290" t="s">
        <v>7</v>
      </c>
      <c r="T377" s="291">
        <f>ID!G16</f>
        <v>19.649999999999999</v>
      </c>
      <c r="U377" s="124">
        <f>T377+S386</f>
        <v>19.814642064372919</v>
      </c>
      <c r="V377" s="291">
        <f>STDEV(ID!E16:F16)</f>
        <v>0.21213203435596475</v>
      </c>
      <c r="W377" s="292">
        <f>VLOOKUP(S373,Y225:Z244,2,(FALSE))</f>
        <v>0.6</v>
      </c>
      <c r="Z377" s="270"/>
    </row>
    <row r="378" spans="1:31">
      <c r="A378" s="266">
        <f>VLOOKUP($A$373,$B$268:$G$287,2,FALSE)</f>
        <v>25</v>
      </c>
      <c r="B378" s="266">
        <f>VLOOKUP($A$373,$B$268:$G$287,3,FALSE)</f>
        <v>0.2</v>
      </c>
      <c r="C378" s="266">
        <f>VLOOKUP($A$373,$B$268:$G$287,4,FALSE)</f>
        <v>-0.1</v>
      </c>
      <c r="D378" s="266">
        <f>VLOOKUP($A$373,$B$268:$G$287,5,FALSE)</f>
        <v>-0.1</v>
      </c>
      <c r="E378" s="266">
        <f>VLOOKUP($A$373,$B$268:$G$287,6,FALSE)</f>
        <v>0.15000000000000002</v>
      </c>
      <c r="G378" s="266">
        <f>VLOOKUP($G$373,$J$268:$O$287,2,FALSE)</f>
        <v>60</v>
      </c>
      <c r="H378" s="266">
        <f>VLOOKUP($G$373,$J$268:$O$287,3,FALSE)</f>
        <v>-1.8</v>
      </c>
      <c r="I378" s="266">
        <f>VLOOKUP($G$373,$J$268:$O$287,4,FALSE)</f>
        <v>0.3</v>
      </c>
      <c r="J378" s="266">
        <f>VLOOKUP($G$373,$J$268:$O$287,5,FALSE)</f>
        <v>-0.6</v>
      </c>
      <c r="K378" s="266">
        <f>VLOOKUP($G$373,$J$268:$O$287,6,FALSE)</f>
        <v>1.05</v>
      </c>
      <c r="M378" s="266">
        <f>VLOOKUP($M$373,$R$268:$W$287,2,FALSE)</f>
        <v>995</v>
      </c>
      <c r="N378" s="266">
        <f>VLOOKUP($M$373,$R$268:$W$287,3,FALSE)</f>
        <v>0</v>
      </c>
      <c r="O378" s="266">
        <f>VLOOKUP($M$373,$R$268:$W$287,4,FALSE)</f>
        <v>3.8</v>
      </c>
      <c r="P378" s="266">
        <f>VLOOKUP($M$373,$R$268:$W$287,5,FALSE)</f>
        <v>1</v>
      </c>
      <c r="Q378" s="266">
        <f>VLOOKUP($M$373,$R$268:$W$287,6,FALSE)</f>
        <v>1.4</v>
      </c>
      <c r="S378" s="290" t="s">
        <v>24</v>
      </c>
      <c r="T378" s="291">
        <f>ID!G17</f>
        <v>59.400000000000006</v>
      </c>
      <c r="U378" s="124">
        <f>T378+T386</f>
        <v>57.650826086956528</v>
      </c>
      <c r="V378" s="291">
        <f>STDEV(ID!E17:F17)</f>
        <v>0.42426406871192951</v>
      </c>
      <c r="W378" s="292">
        <f>VLOOKUP(S373,Y249:Z268,2,(FALSE))</f>
        <v>2.2999999999999998</v>
      </c>
      <c r="Z378" s="270"/>
    </row>
    <row r="379" spans="1:31" ht="13.8" thickBot="1">
      <c r="A379" s="266">
        <f>VLOOKUP($A$373,$B$289:$G$308,2,FALSE)</f>
        <v>30</v>
      </c>
      <c r="B379" s="266">
        <f>VLOOKUP($A$373,$B$289:$G$308,3,FALSE)</f>
        <v>0.3</v>
      </c>
      <c r="C379" s="266">
        <f>VLOOKUP($A$373,$B$289:$G$308,4,FALSE)</f>
        <v>-0.4</v>
      </c>
      <c r="D379" s="266">
        <f>VLOOKUP($A$373,$B$289:$G$308,5,FALSE)</f>
        <v>-0.3</v>
      </c>
      <c r="E379" s="266">
        <f>VLOOKUP($A$373,$B$289:$G$308,6,FALSE)</f>
        <v>0.35</v>
      </c>
      <c r="G379" s="266">
        <f>VLOOKUP($G$373,$J$289:$O$308,2,FALSE)</f>
        <v>60</v>
      </c>
      <c r="H379" s="266">
        <f>VLOOKUP($G$373,$J$289:$O$308,3,FALSE)</f>
        <v>-1.8</v>
      </c>
      <c r="I379" s="266">
        <f>VLOOKUP($G$373,$J$289:$O$308,4,FALSE)</f>
        <v>0.3</v>
      </c>
      <c r="J379" s="266">
        <f>VLOOKUP($G$373,$J$289:$O$308,5,FALSE)</f>
        <v>-0.6</v>
      </c>
      <c r="K379" s="266">
        <f>VLOOKUP($G$373,$J$289:$O$308,6,FALSE)</f>
        <v>1.05</v>
      </c>
      <c r="M379" s="266">
        <f>VLOOKUP($M$373,$R$289:$W$308,2,FALSE)</f>
        <v>1000</v>
      </c>
      <c r="N379" s="266">
        <f>VLOOKUP($M$373,$R$289:$W$308,3,FALSE)</f>
        <v>4.2</v>
      </c>
      <c r="O379" s="266">
        <f>VLOOKUP($M$373,$R$289:$W$308,4,FALSE)</f>
        <v>3.8</v>
      </c>
      <c r="P379" s="266">
        <f>VLOOKUP($M$373,$R$289:$W$308,5,FALSE)</f>
        <v>1.1000000000000001</v>
      </c>
      <c r="Q379" s="266">
        <f>VLOOKUP($M$373,$R$289:$W$308,6,FALSE)</f>
        <v>1.55</v>
      </c>
      <c r="S379" s="293" t="s">
        <v>245</v>
      </c>
      <c r="T379" s="294">
        <v>1011.55</v>
      </c>
      <c r="U379" s="295">
        <f>T379+U386</f>
        <v>1013.2878278688524</v>
      </c>
      <c r="V379" s="294">
        <v>2.0506096654409718</v>
      </c>
      <c r="W379" s="296">
        <f>VLOOKUP(S373,Y273:Z292,2,(FALSE))</f>
        <v>2.5</v>
      </c>
      <c r="Z379" s="270"/>
      <c r="AE379" s="297"/>
    </row>
    <row r="380" spans="1:31" ht="13.8" thickBot="1">
      <c r="A380" s="266">
        <f>VLOOKUP($A$373,$B$310:$G$329,2,FALSE)</f>
        <v>35</v>
      </c>
      <c r="B380" s="266">
        <f>VLOOKUP($A$373,$B$310:$G$329,3,FALSE)</f>
        <v>0.3</v>
      </c>
      <c r="C380" s="266">
        <f>VLOOKUP($A$373,$B$310:$G$329,4,FALSE)</f>
        <v>-0.6</v>
      </c>
      <c r="D380" s="266">
        <f>VLOOKUP($A$373,$B$310:$G$329,5,FALSE)</f>
        <v>-0.6</v>
      </c>
      <c r="E380" s="266">
        <f>VLOOKUP($A$373,$B$310:$G$329,6,FALSE)</f>
        <v>0.44999999999999996</v>
      </c>
      <c r="G380" s="266">
        <f>VLOOKUP($G$373,$J$310:$O$329,2,FALSE)</f>
        <v>70</v>
      </c>
      <c r="H380" s="266">
        <f>VLOOKUP($G$373,$J$310:$O$329,3,FALSE)</f>
        <v>-0.6</v>
      </c>
      <c r="I380" s="266">
        <f>VLOOKUP($G$373,$J$310:$O$329,4,FALSE)</f>
        <v>0.7</v>
      </c>
      <c r="J380" s="266">
        <f>VLOOKUP($G$373,$J$310:$O$329,5,FALSE)</f>
        <v>-0.8</v>
      </c>
      <c r="K380" s="266">
        <f>VLOOKUP($G$373,$J$310:$O$329,6,FALSE)</f>
        <v>0.75</v>
      </c>
      <c r="M380" s="266">
        <f>VLOOKUP($M$373,$R$310:$W$329,2,FALSE)</f>
        <v>1005</v>
      </c>
      <c r="N380" s="266">
        <f>VLOOKUP($M$373,$R$310:$W$329,3,FALSE)</f>
        <v>0</v>
      </c>
      <c r="O380" s="266">
        <f>VLOOKUP($M$373,$R$310:$W$329,4,FALSE)</f>
        <v>3.8</v>
      </c>
      <c r="P380" s="266">
        <f>VLOOKUP($M$373,$R$310:$W$329,5,FALSE)</f>
        <v>1.1000000000000001</v>
      </c>
      <c r="Q380" s="266">
        <f>VLOOKUP($M$373,$R$310:$W$329,6,FALSE)</f>
        <v>1.3499999999999999</v>
      </c>
      <c r="S380" s="240"/>
      <c r="W380" s="298"/>
      <c r="Z380" s="270"/>
      <c r="AE380" s="299"/>
    </row>
    <row r="381" spans="1:31" ht="13.8">
      <c r="A381" s="266">
        <f>VLOOKUP($A$373,$B$331:$G$350,2,FALSE)</f>
        <v>37</v>
      </c>
      <c r="B381" s="266">
        <f>VLOOKUP($A$373,$B$331:$G$350,3,FALSE)</f>
        <v>0.4</v>
      </c>
      <c r="C381" s="266">
        <f>VLOOKUP($A$373,$B$331:$G$350,4,FALSE)</f>
        <v>-0.7</v>
      </c>
      <c r="D381" s="266">
        <f>VLOOKUP($A$373,$B$331:$G$350,5,FALSE)</f>
        <v>-0.8</v>
      </c>
      <c r="E381" s="266">
        <f>VLOOKUP($A$373,$B$331:$G$350,6,FALSE)</f>
        <v>0.60000000000000009</v>
      </c>
      <c r="G381" s="266">
        <f>VLOOKUP($G$373,$J$331:$O$350,2,FALSE)</f>
        <v>80</v>
      </c>
      <c r="H381" s="266">
        <f>VLOOKUP($G$373,$J$331:$O$350,3,FALSE)</f>
        <v>0.6</v>
      </c>
      <c r="I381" s="266">
        <f>VLOOKUP($G$373,$J$331:$O$350,4,FALSE)</f>
        <v>1.1000000000000001</v>
      </c>
      <c r="J381" s="266">
        <f>VLOOKUP($G$373,$J$331:$O$350,5,FALSE)</f>
        <v>-0.9</v>
      </c>
      <c r="K381" s="266">
        <f>VLOOKUP($G$373,$J$331:$O$350,6,FALSE)</f>
        <v>1</v>
      </c>
      <c r="M381" s="266">
        <f>VLOOKUP($M$373,$R$331:$W$350,2,FALSE)</f>
        <v>1010</v>
      </c>
      <c r="N381" s="266">
        <f>VLOOKUP($M$373,$R$331:$W$350,3,FALSE)</f>
        <v>4.4000000000000004</v>
      </c>
      <c r="O381" s="266">
        <f>VLOOKUP($M$373,$R$331:$W$350,4,FALSE)</f>
        <v>3.7</v>
      </c>
      <c r="P381" s="266">
        <f>VLOOKUP($M$373,$R$331:$W$350,5,FALSE)</f>
        <v>1.1000000000000001</v>
      </c>
      <c r="Q381" s="266">
        <f>VLOOKUP($M$373,$R$331:$W$350,6,FALSE)</f>
        <v>1.6500000000000001</v>
      </c>
      <c r="S381" s="891" t="s">
        <v>270</v>
      </c>
      <c r="T381" s="300" t="str">
        <f>N393&amp;N390&amp;O393&amp;O390&amp;P393&amp;P390</f>
        <v>( 19.8 ± 0.6 ) °C</v>
      </c>
      <c r="U381" s="301"/>
      <c r="W381" s="298"/>
      <c r="Z381" s="270"/>
      <c r="AE381" s="302"/>
    </row>
    <row r="382" spans="1:31" ht="13.8">
      <c r="A382" s="266">
        <f>VLOOKUP($A$373,$B$352:$G$371,2,FALSE)</f>
        <v>40</v>
      </c>
      <c r="B382" s="266">
        <f>VLOOKUP($A$373,$B$352:$G$371,3,FALSE)</f>
        <v>0.4</v>
      </c>
      <c r="C382" s="266">
        <f>VLOOKUP($A$373,$B$352:$G$371,4,FALSE)</f>
        <v>-0.8</v>
      </c>
      <c r="D382" s="266">
        <f>VLOOKUP($A$373,$B$352:$G$371,5,FALSE)</f>
        <v>-1.1000000000000001</v>
      </c>
      <c r="E382" s="266">
        <f>VLOOKUP($A$373,$B$352:$G$371,6,FALSE)</f>
        <v>0.75</v>
      </c>
      <c r="G382" s="266">
        <f>VLOOKUP($G$373,$J$352:$O$371,2,FALSE)</f>
        <v>90</v>
      </c>
      <c r="H382" s="266">
        <f>VLOOKUP($G$373,$J$352:$O$371,3,FALSE)</f>
        <v>1.9</v>
      </c>
      <c r="I382" s="266">
        <f>VLOOKUP($G$373,$J$352:$O$371,4,FALSE)</f>
        <v>1.5</v>
      </c>
      <c r="J382" s="266">
        <f>VLOOKUP($G$373,$J$352:$O$371,5,FALSE)</f>
        <v>-0.8</v>
      </c>
      <c r="K382" s="266">
        <f>VLOOKUP($G$373,$J$352:$O$371,6,FALSE)</f>
        <v>1.35</v>
      </c>
      <c r="M382" s="266">
        <f>VLOOKUP($M$373,$R$352:$W$371,2,FALSE)</f>
        <v>1020</v>
      </c>
      <c r="N382" s="266">
        <f>VLOOKUP($M$373,$R$352:$W$371,3,FALSE)</f>
        <v>0</v>
      </c>
      <c r="O382" s="266">
        <f>VLOOKUP($M$373,$R$352:$W$371,4,FALSE)</f>
        <v>9.9999999999999995E-7</v>
      </c>
      <c r="P382" s="266">
        <f>VLOOKUP($M$373,$R$352:$W$371,5,FALSE)</f>
        <v>9.9999999999999995E-7</v>
      </c>
      <c r="Q382" s="266">
        <f>VLOOKUP($M$373,$R$352:$W$371,6,FALSE)</f>
        <v>0</v>
      </c>
      <c r="S382" s="892"/>
      <c r="T382" s="231" t="str">
        <f>N393&amp;N391&amp;O393&amp;O391&amp;P393&amp;P391</f>
        <v>( 57.7 ± 2.3 ) %RH</v>
      </c>
      <c r="U382" s="303"/>
      <c r="W382" s="298"/>
      <c r="Z382" s="270"/>
      <c r="AE382" s="302"/>
    </row>
    <row r="383" spans="1:31" ht="14.4" thickBot="1">
      <c r="A383" s="304"/>
      <c r="B383" s="270"/>
      <c r="C383" s="270"/>
      <c r="D383" s="270"/>
      <c r="E383" s="270"/>
      <c r="G383" s="270"/>
      <c r="H383" s="270"/>
      <c r="I383" s="270"/>
      <c r="J383" s="270"/>
      <c r="M383" s="270"/>
      <c r="N383" s="270"/>
      <c r="O383" s="270"/>
      <c r="P383" s="270"/>
      <c r="S383" s="893"/>
      <c r="T383" s="305" t="str">
        <f>N393&amp;N392&amp;O393&amp;O392&amp;P393&amp;P392</f>
        <v>( 1013.3 ± 2.5 ) hPa</v>
      </c>
      <c r="U383" s="306"/>
      <c r="W383" s="298"/>
      <c r="Z383" s="270"/>
      <c r="AE383" s="302"/>
    </row>
    <row r="385" spans="1:21" ht="39.6">
      <c r="S385" s="307" t="s">
        <v>271</v>
      </c>
      <c r="T385" s="307" t="s">
        <v>272</v>
      </c>
      <c r="U385" s="308" t="s">
        <v>273</v>
      </c>
    </row>
    <row r="386" spans="1:21">
      <c r="S386" s="308">
        <f>FORECAST(T377,B376:B382,A376:A382)</f>
        <v>0.16464206437291892</v>
      </c>
      <c r="T386" s="308">
        <f>_xlfn.FORECAST.LINEAR(T378,H377:H382,G377:G382)</f>
        <v>-1.7491739130434771</v>
      </c>
      <c r="U386" s="308">
        <f>FORECAST(T379,N376:N382,M376:M382)</f>
        <v>1.7378278688524587</v>
      </c>
    </row>
    <row r="388" spans="1:21" ht="13.8" thickBot="1"/>
    <row r="389" spans="1:21">
      <c r="A389" s="883" t="str">
        <f>ID!B98</f>
        <v>Thermohygrolight, Merek : EXTECH, Model : SD700, SN : A.100609</v>
      </c>
      <c r="B389" s="883"/>
      <c r="C389" s="883"/>
      <c r="D389" s="883"/>
      <c r="E389" s="883"/>
      <c r="F389" s="883"/>
      <c r="G389" s="883"/>
      <c r="H389" s="883"/>
      <c r="I389" s="883"/>
      <c r="J389" s="883"/>
      <c r="K389" s="883"/>
      <c r="L389" s="883"/>
      <c r="N389" s="884" t="s">
        <v>274</v>
      </c>
      <c r="O389" s="885"/>
      <c r="P389" s="886"/>
    </row>
    <row r="390" spans="1:21" ht="15.6">
      <c r="A390" s="309" t="s">
        <v>275</v>
      </c>
      <c r="B390" s="252"/>
      <c r="C390" s="252"/>
      <c r="D390" s="309"/>
      <c r="E390" s="309"/>
      <c r="F390" s="309"/>
      <c r="G390" s="309"/>
      <c r="H390" s="309"/>
      <c r="I390" s="310">
        <f>D4</f>
        <v>2023</v>
      </c>
      <c r="J390" s="310">
        <f>E4</f>
        <v>2021</v>
      </c>
      <c r="K390" s="310">
        <f>F4</f>
        <v>2020</v>
      </c>
      <c r="L390" s="310">
        <v>1</v>
      </c>
      <c r="N390" s="311" t="str">
        <f>TEXT(U377,"0.0")</f>
        <v>19.8</v>
      </c>
      <c r="O390" s="312" t="str">
        <f>TEXT(W377,"0.0")</f>
        <v>0.6</v>
      </c>
      <c r="P390" s="313" t="s">
        <v>129</v>
      </c>
    </row>
    <row r="391" spans="1:21" ht="15.6">
      <c r="A391" s="309" t="s">
        <v>276</v>
      </c>
      <c r="B391" s="252"/>
      <c r="C391" s="252"/>
      <c r="D391" s="309"/>
      <c r="E391" s="309"/>
      <c r="F391" s="309"/>
      <c r="G391" s="309"/>
      <c r="H391" s="309"/>
      <c r="I391" s="310">
        <f>D15</f>
        <v>2023</v>
      </c>
      <c r="J391" s="310">
        <f>E15</f>
        <v>2021</v>
      </c>
      <c r="K391" s="310">
        <f>F15</f>
        <v>2018</v>
      </c>
      <c r="L391" s="310">
        <v>2</v>
      </c>
      <c r="N391" s="314" t="str">
        <f>TEXT(U378,"0.0")</f>
        <v>57.7</v>
      </c>
      <c r="O391" s="312" t="str">
        <f>TEXT(W378,"0.0")</f>
        <v>2.3</v>
      </c>
      <c r="P391" s="313" t="s">
        <v>277</v>
      </c>
    </row>
    <row r="392" spans="1:21" ht="15">
      <c r="A392" s="309" t="s">
        <v>278</v>
      </c>
      <c r="B392" s="252"/>
      <c r="C392" s="252"/>
      <c r="D392" s="309"/>
      <c r="E392" s="309"/>
      <c r="F392" s="309"/>
      <c r="G392" s="309"/>
      <c r="H392" s="309"/>
      <c r="I392" s="310">
        <f>D26</f>
        <v>2023</v>
      </c>
      <c r="J392" s="310">
        <f>E26</f>
        <v>2021</v>
      </c>
      <c r="K392" s="310">
        <f>F26</f>
        <v>2018</v>
      </c>
      <c r="L392" s="310">
        <v>3</v>
      </c>
      <c r="N392" s="314" t="str">
        <f>TEXT(U379,"0.0")</f>
        <v>1013.3</v>
      </c>
      <c r="O392" s="312" t="str">
        <f>TEXT(W379,"0.0")</f>
        <v>2.5</v>
      </c>
      <c r="P392" s="315" t="s">
        <v>279</v>
      </c>
    </row>
    <row r="393" spans="1:21" ht="16.2" thickBot="1">
      <c r="A393" s="309" t="s">
        <v>280</v>
      </c>
      <c r="B393" s="252"/>
      <c r="C393" s="252"/>
      <c r="D393" s="309"/>
      <c r="E393" s="309"/>
      <c r="F393" s="309"/>
      <c r="G393" s="309"/>
      <c r="H393" s="309"/>
      <c r="I393" s="310">
        <f>D37</f>
        <v>2019</v>
      </c>
      <c r="J393" s="310">
        <f>E37</f>
        <v>2017</v>
      </c>
      <c r="K393" s="310">
        <f>F37</f>
        <v>2016</v>
      </c>
      <c r="L393" s="310">
        <v>4</v>
      </c>
      <c r="N393" s="316" t="s">
        <v>281</v>
      </c>
      <c r="O393" s="317" t="s">
        <v>282</v>
      </c>
      <c r="P393" s="318" t="s">
        <v>283</v>
      </c>
    </row>
    <row r="394" spans="1:21">
      <c r="A394" s="309" t="s">
        <v>284</v>
      </c>
      <c r="B394" s="252"/>
      <c r="C394" s="252"/>
      <c r="D394" s="309"/>
      <c r="E394" s="309"/>
      <c r="F394" s="309"/>
      <c r="G394" s="309"/>
      <c r="H394" s="309"/>
      <c r="I394" s="310">
        <f>D48</f>
        <v>2023</v>
      </c>
      <c r="J394" s="310">
        <f>E48</f>
        <v>2021</v>
      </c>
      <c r="K394" s="310">
        <f>F48</f>
        <v>2020</v>
      </c>
      <c r="L394" s="310">
        <v>5</v>
      </c>
    </row>
    <row r="395" spans="1:21">
      <c r="A395" s="309" t="s">
        <v>285</v>
      </c>
      <c r="B395" s="252"/>
      <c r="C395" s="252"/>
      <c r="D395" s="309"/>
      <c r="E395" s="309"/>
      <c r="F395" s="309"/>
      <c r="G395" s="309"/>
      <c r="H395" s="309"/>
      <c r="I395" s="310">
        <f>D59</f>
        <v>2019</v>
      </c>
      <c r="J395" s="310">
        <f>E59</f>
        <v>2018</v>
      </c>
      <c r="K395" s="310">
        <f>F59</f>
        <v>2016</v>
      </c>
      <c r="L395" s="310">
        <v>6</v>
      </c>
    </row>
    <row r="396" spans="1:21">
      <c r="A396" s="309" t="s">
        <v>286</v>
      </c>
      <c r="B396" s="252"/>
      <c r="C396" s="252"/>
      <c r="D396" s="309"/>
      <c r="E396" s="309"/>
      <c r="F396" s="309"/>
      <c r="G396" s="309"/>
      <c r="H396" s="309"/>
      <c r="I396" s="310">
        <f>D70</f>
        <v>2021</v>
      </c>
      <c r="J396" s="310">
        <f>E70</f>
        <v>2018</v>
      </c>
      <c r="K396" s="310">
        <f>F70</f>
        <v>2016</v>
      </c>
      <c r="L396" s="310">
        <v>7</v>
      </c>
    </row>
    <row r="397" spans="1:21">
      <c r="A397" s="309" t="s">
        <v>122</v>
      </c>
      <c r="B397" s="252"/>
      <c r="C397" s="252"/>
      <c r="D397" s="309"/>
      <c r="E397" s="309"/>
      <c r="F397" s="309"/>
      <c r="G397" s="309"/>
      <c r="H397" s="309"/>
      <c r="I397" s="310">
        <f>D81</f>
        <v>2023</v>
      </c>
      <c r="J397" s="310">
        <f>E81</f>
        <v>2021</v>
      </c>
      <c r="K397" s="310">
        <f>F81</f>
        <v>2019</v>
      </c>
      <c r="L397" s="310">
        <v>8</v>
      </c>
    </row>
    <row r="398" spans="1:21">
      <c r="A398" s="309" t="s">
        <v>287</v>
      </c>
      <c r="B398" s="252"/>
      <c r="C398" s="252"/>
      <c r="D398" s="309"/>
      <c r="E398" s="309"/>
      <c r="F398" s="309"/>
      <c r="G398" s="309"/>
      <c r="H398" s="309"/>
      <c r="I398" s="310">
        <f>D92</f>
        <v>2019</v>
      </c>
      <c r="J398" s="310" t="str">
        <f>E92</f>
        <v>-</v>
      </c>
      <c r="K398" s="310">
        <f>F92</f>
        <v>2016</v>
      </c>
      <c r="L398" s="310">
        <v>9</v>
      </c>
    </row>
    <row r="399" spans="1:21">
      <c r="A399" s="309" t="s">
        <v>288</v>
      </c>
      <c r="B399" s="252"/>
      <c r="C399" s="252"/>
      <c r="D399" s="309"/>
      <c r="E399" s="309"/>
      <c r="F399" s="309"/>
      <c r="G399" s="309"/>
      <c r="H399" s="309"/>
      <c r="I399" s="310">
        <f>D103</f>
        <v>2019</v>
      </c>
      <c r="J399" s="310">
        <f>E103</f>
        <v>2016</v>
      </c>
      <c r="K399" s="310">
        <f>F103</f>
        <v>2016</v>
      </c>
      <c r="L399" s="310">
        <v>10</v>
      </c>
    </row>
    <row r="400" spans="1:21">
      <c r="A400" s="309" t="s">
        <v>289</v>
      </c>
      <c r="B400" s="252"/>
      <c r="C400" s="252"/>
      <c r="D400" s="309"/>
      <c r="E400" s="309"/>
      <c r="F400" s="309"/>
      <c r="G400" s="309"/>
      <c r="H400" s="309"/>
      <c r="I400" s="310">
        <f>D114</f>
        <v>2020</v>
      </c>
      <c r="J400" s="310">
        <f>E114</f>
        <v>2016</v>
      </c>
      <c r="K400" s="310">
        <f>F114</f>
        <v>2016</v>
      </c>
      <c r="L400" s="310">
        <v>11</v>
      </c>
    </row>
    <row r="401" spans="1:12">
      <c r="A401" s="309" t="s">
        <v>290</v>
      </c>
      <c r="B401" s="252"/>
      <c r="C401" s="252"/>
      <c r="D401" s="309"/>
      <c r="E401" s="309"/>
      <c r="F401" s="309"/>
      <c r="G401" s="309"/>
      <c r="H401" s="309"/>
      <c r="I401" s="310">
        <f>D125</f>
        <v>2023</v>
      </c>
      <c r="J401" s="310">
        <f>E125</f>
        <v>2020</v>
      </c>
      <c r="K401" s="310">
        <f>F125</f>
        <v>2016</v>
      </c>
      <c r="L401" s="310">
        <v>12</v>
      </c>
    </row>
    <row r="402" spans="1:12">
      <c r="A402" s="309" t="s">
        <v>291</v>
      </c>
      <c r="B402" s="252"/>
      <c r="C402" s="252"/>
      <c r="D402" s="309"/>
      <c r="E402" s="309"/>
      <c r="F402" s="309"/>
      <c r="G402" s="309"/>
      <c r="H402" s="309"/>
      <c r="I402" s="310">
        <f>D136</f>
        <v>2023</v>
      </c>
      <c r="J402" s="310">
        <f>E136</f>
        <v>2022</v>
      </c>
      <c r="K402" s="310">
        <f>F136</f>
        <v>2020</v>
      </c>
      <c r="L402" s="310">
        <v>13</v>
      </c>
    </row>
    <row r="403" spans="1:12">
      <c r="A403" s="309" t="s">
        <v>292</v>
      </c>
      <c r="B403" s="252"/>
      <c r="C403" s="252"/>
      <c r="D403" s="309"/>
      <c r="E403" s="309"/>
      <c r="F403" s="309"/>
      <c r="G403" s="309"/>
      <c r="H403" s="309"/>
      <c r="I403" s="310">
        <f>D147</f>
        <v>2023</v>
      </c>
      <c r="J403" s="310">
        <f>E147</f>
        <v>2022</v>
      </c>
      <c r="K403" s="310">
        <f>F147</f>
        <v>2020</v>
      </c>
      <c r="L403" s="310">
        <v>14</v>
      </c>
    </row>
    <row r="404" spans="1:12">
      <c r="A404" s="309" t="s">
        <v>293</v>
      </c>
      <c r="B404" s="252"/>
      <c r="C404" s="252"/>
      <c r="D404" s="309"/>
      <c r="E404" s="309"/>
      <c r="F404" s="309"/>
      <c r="G404" s="309"/>
      <c r="H404" s="309"/>
      <c r="I404" s="310">
        <f>D158</f>
        <v>2023</v>
      </c>
      <c r="J404" s="310">
        <f>E158</f>
        <v>2022</v>
      </c>
      <c r="K404" s="310">
        <f>F158</f>
        <v>2020</v>
      </c>
      <c r="L404" s="310">
        <v>15</v>
      </c>
    </row>
    <row r="405" spans="1:12">
      <c r="A405" s="309" t="s">
        <v>294</v>
      </c>
      <c r="B405" s="252"/>
      <c r="C405" s="252"/>
      <c r="D405" s="309"/>
      <c r="E405" s="309"/>
      <c r="F405" s="309"/>
      <c r="G405" s="309"/>
      <c r="H405" s="309"/>
      <c r="I405" s="310">
        <f>D169</f>
        <v>2023</v>
      </c>
      <c r="J405" s="310">
        <f>E169</f>
        <v>2020</v>
      </c>
      <c r="K405" s="310">
        <f>F169</f>
        <v>2016</v>
      </c>
      <c r="L405" s="310">
        <v>16</v>
      </c>
    </row>
    <row r="406" spans="1:12">
      <c r="A406" s="309" t="s">
        <v>295</v>
      </c>
      <c r="B406" s="252"/>
      <c r="C406" s="252"/>
      <c r="D406" s="309"/>
      <c r="E406" s="309"/>
      <c r="F406" s="309"/>
      <c r="G406" s="309"/>
      <c r="H406" s="309"/>
      <c r="I406" s="310">
        <f>D180</f>
        <v>2023</v>
      </c>
      <c r="J406" s="310">
        <f>E180</f>
        <v>2020</v>
      </c>
      <c r="K406" s="310">
        <f>F180</f>
        <v>2016</v>
      </c>
      <c r="L406" s="310">
        <v>17</v>
      </c>
    </row>
    <row r="407" spans="1:12">
      <c r="A407" s="309" t="s">
        <v>296</v>
      </c>
      <c r="B407" s="252"/>
      <c r="C407" s="252"/>
      <c r="D407" s="309"/>
      <c r="E407" s="309"/>
      <c r="F407" s="309"/>
      <c r="G407" s="309"/>
      <c r="H407" s="309"/>
      <c r="I407" s="310">
        <f>D191</f>
        <v>2023</v>
      </c>
      <c r="J407" s="310">
        <f>E191</f>
        <v>2020</v>
      </c>
      <c r="K407" s="310">
        <f>F191</f>
        <v>2016</v>
      </c>
      <c r="L407" s="310">
        <v>18</v>
      </c>
    </row>
    <row r="408" spans="1:12">
      <c r="A408" s="309" t="s">
        <v>297</v>
      </c>
      <c r="B408" s="252"/>
      <c r="C408" s="252"/>
      <c r="D408" s="309"/>
      <c r="E408" s="309"/>
      <c r="F408" s="309"/>
      <c r="G408" s="309"/>
      <c r="H408" s="309"/>
      <c r="I408" s="310">
        <v>2021</v>
      </c>
      <c r="J408" s="310">
        <f>E202</f>
        <v>2021</v>
      </c>
      <c r="K408" s="310">
        <f>F202</f>
        <v>2016</v>
      </c>
      <c r="L408" s="310">
        <v>19</v>
      </c>
    </row>
    <row r="409" spans="1:12">
      <c r="A409" s="319">
        <v>20</v>
      </c>
      <c r="B409" s="252"/>
      <c r="C409" s="252"/>
      <c r="D409" s="309"/>
      <c r="E409" s="309"/>
      <c r="F409" s="309"/>
      <c r="G409" s="309"/>
      <c r="H409" s="309"/>
      <c r="I409" s="310">
        <f>D213</f>
        <v>2017</v>
      </c>
      <c r="J409" s="310" t="str">
        <f>E213</f>
        <v>-</v>
      </c>
      <c r="K409" s="310">
        <f>F213</f>
        <v>2016</v>
      </c>
      <c r="L409" s="310">
        <v>20</v>
      </c>
    </row>
    <row r="410" spans="1:12">
      <c r="A410" s="887">
        <f>VLOOKUP(A389,A390:L409,12,(FALSE))</f>
        <v>14</v>
      </c>
      <c r="B410" s="887"/>
      <c r="C410" s="887"/>
      <c r="D410" s="887"/>
      <c r="E410" s="887"/>
      <c r="F410" s="887"/>
      <c r="G410" s="887"/>
      <c r="H410" s="887"/>
      <c r="I410" s="887"/>
      <c r="J410" s="887"/>
      <c r="K410" s="887"/>
      <c r="L410" s="887"/>
    </row>
  </sheetData>
  <sheetProtection algorithmName="SHA-512" hashValue="XZ2yC7oJHuMRvwsIfUk89GDU2L5OdB0Jam7bCk/4zcb1cQUB00C7K0GMpTx6vSkwx5QKmCx90EaUHhlqwZD/HA==" saltValue="jijdqf+gDPslPHtg0x63Ag==" spinCount="100000" sheet="1" objects="1" scenarios="1"/>
  <mergeCells count="403">
    <mergeCell ref="A389:L389"/>
    <mergeCell ref="N389:P389"/>
    <mergeCell ref="A410:L410"/>
    <mergeCell ref="S374:S376"/>
    <mergeCell ref="T374:T376"/>
    <mergeCell ref="U374:U376"/>
    <mergeCell ref="V374:V376"/>
    <mergeCell ref="W374:W376"/>
    <mergeCell ref="S381:S383"/>
    <mergeCell ref="B373:E373"/>
    <mergeCell ref="H373:K373"/>
    <mergeCell ref="N373:Q373"/>
    <mergeCell ref="T373:W373"/>
    <mergeCell ref="B374:D374"/>
    <mergeCell ref="E374:E375"/>
    <mergeCell ref="H374:J374"/>
    <mergeCell ref="K374:K375"/>
    <mergeCell ref="N374:P374"/>
    <mergeCell ref="Q374:Q375"/>
    <mergeCell ref="A331:A350"/>
    <mergeCell ref="I331:I350"/>
    <mergeCell ref="Q331:Q350"/>
    <mergeCell ref="A352:A371"/>
    <mergeCell ref="I352:I371"/>
    <mergeCell ref="Q352:Q371"/>
    <mergeCell ref="A289:A308"/>
    <mergeCell ref="I289:I308"/>
    <mergeCell ref="Q289:Q308"/>
    <mergeCell ref="A310:A329"/>
    <mergeCell ref="I310:I329"/>
    <mergeCell ref="Q310:Q329"/>
    <mergeCell ref="Y247:Z247"/>
    <mergeCell ref="Y248:Z248"/>
    <mergeCell ref="A268:A287"/>
    <mergeCell ref="I268:I287"/>
    <mergeCell ref="Q268:Q287"/>
    <mergeCell ref="Y271:Z271"/>
    <mergeCell ref="Y272:Z272"/>
    <mergeCell ref="A226:A245"/>
    <mergeCell ref="I226:I245"/>
    <mergeCell ref="Q226:Q245"/>
    <mergeCell ref="A247:A266"/>
    <mergeCell ref="I247:I266"/>
    <mergeCell ref="Q247:Q266"/>
    <mergeCell ref="Y223:Z223"/>
    <mergeCell ref="D224:F224"/>
    <mergeCell ref="G224:G225"/>
    <mergeCell ref="L224:N224"/>
    <mergeCell ref="O224:O225"/>
    <mergeCell ref="T224:V224"/>
    <mergeCell ref="W224:W225"/>
    <mergeCell ref="Y224:Z224"/>
    <mergeCell ref="B221:U221"/>
    <mergeCell ref="I213:J213"/>
    <mergeCell ref="P213:Q213"/>
    <mergeCell ref="A211:A220"/>
    <mergeCell ref="B211:G211"/>
    <mergeCell ref="I211:N211"/>
    <mergeCell ref="P211:U211"/>
    <mergeCell ref="A223:A225"/>
    <mergeCell ref="B223:B225"/>
    <mergeCell ref="C223:F223"/>
    <mergeCell ref="I223:I225"/>
    <mergeCell ref="J223:J225"/>
    <mergeCell ref="K223:N223"/>
    <mergeCell ref="Q223:Q225"/>
    <mergeCell ref="R223:R225"/>
    <mergeCell ref="S223:V223"/>
    <mergeCell ref="W189:X189"/>
    <mergeCell ref="B190:C190"/>
    <mergeCell ref="D190:F190"/>
    <mergeCell ref="G190:G191"/>
    <mergeCell ref="I190:J190"/>
    <mergeCell ref="K190:M190"/>
    <mergeCell ref="W211:X211"/>
    <mergeCell ref="B212:C212"/>
    <mergeCell ref="D212:F212"/>
    <mergeCell ref="G212:G213"/>
    <mergeCell ref="I212:J212"/>
    <mergeCell ref="K212:M212"/>
    <mergeCell ref="N201:N202"/>
    <mergeCell ref="P201:Q201"/>
    <mergeCell ref="R201:T201"/>
    <mergeCell ref="U201:U202"/>
    <mergeCell ref="B202:C202"/>
    <mergeCell ref="I202:J202"/>
    <mergeCell ref="P202:Q202"/>
    <mergeCell ref="N212:N213"/>
    <mergeCell ref="P212:Q212"/>
    <mergeCell ref="R212:T212"/>
    <mergeCell ref="U212:U213"/>
    <mergeCell ref="B213:C213"/>
    <mergeCell ref="A200:A209"/>
    <mergeCell ref="B200:G200"/>
    <mergeCell ref="I200:N200"/>
    <mergeCell ref="P200:U200"/>
    <mergeCell ref="W200:X200"/>
    <mergeCell ref="B201:C201"/>
    <mergeCell ref="D201:F201"/>
    <mergeCell ref="G201:G202"/>
    <mergeCell ref="I201:J201"/>
    <mergeCell ref="K201:M201"/>
    <mergeCell ref="N190:N191"/>
    <mergeCell ref="P190:Q190"/>
    <mergeCell ref="R190:T190"/>
    <mergeCell ref="U190:U191"/>
    <mergeCell ref="B191:C191"/>
    <mergeCell ref="I191:J191"/>
    <mergeCell ref="P191:Q191"/>
    <mergeCell ref="A189:A198"/>
    <mergeCell ref="B189:G189"/>
    <mergeCell ref="I189:N189"/>
    <mergeCell ref="P189:U189"/>
    <mergeCell ref="W167:X167"/>
    <mergeCell ref="B168:C168"/>
    <mergeCell ref="D168:F168"/>
    <mergeCell ref="G168:G169"/>
    <mergeCell ref="I168:J168"/>
    <mergeCell ref="K168:M168"/>
    <mergeCell ref="N179:N180"/>
    <mergeCell ref="P179:Q179"/>
    <mergeCell ref="R179:T179"/>
    <mergeCell ref="U179:U180"/>
    <mergeCell ref="B180:C180"/>
    <mergeCell ref="I180:J180"/>
    <mergeCell ref="P180:Q180"/>
    <mergeCell ref="N168:N169"/>
    <mergeCell ref="P168:Q168"/>
    <mergeCell ref="R168:T168"/>
    <mergeCell ref="U168:U169"/>
    <mergeCell ref="B169:C169"/>
    <mergeCell ref="I169:J169"/>
    <mergeCell ref="P169:Q169"/>
    <mergeCell ref="A178:A187"/>
    <mergeCell ref="B178:G178"/>
    <mergeCell ref="I178:N178"/>
    <mergeCell ref="P178:U178"/>
    <mergeCell ref="W178:X178"/>
    <mergeCell ref="B179:C179"/>
    <mergeCell ref="D179:F179"/>
    <mergeCell ref="G179:G180"/>
    <mergeCell ref="I179:J179"/>
    <mergeCell ref="K179:M179"/>
    <mergeCell ref="A167:A176"/>
    <mergeCell ref="B167:G167"/>
    <mergeCell ref="I167:N167"/>
    <mergeCell ref="P167:U167"/>
    <mergeCell ref="W145:X145"/>
    <mergeCell ref="B146:C146"/>
    <mergeCell ref="D146:F146"/>
    <mergeCell ref="G146:G147"/>
    <mergeCell ref="I146:J146"/>
    <mergeCell ref="K146:M146"/>
    <mergeCell ref="N157:N158"/>
    <mergeCell ref="P157:Q157"/>
    <mergeCell ref="R157:T157"/>
    <mergeCell ref="U157:U158"/>
    <mergeCell ref="B158:C158"/>
    <mergeCell ref="I158:J158"/>
    <mergeCell ref="P158:Q158"/>
    <mergeCell ref="A156:A165"/>
    <mergeCell ref="B156:G156"/>
    <mergeCell ref="I156:N156"/>
    <mergeCell ref="P156:U156"/>
    <mergeCell ref="W156:X156"/>
    <mergeCell ref="B157:C157"/>
    <mergeCell ref="D157:F157"/>
    <mergeCell ref="G157:G158"/>
    <mergeCell ref="I157:J157"/>
    <mergeCell ref="K157:M157"/>
    <mergeCell ref="N146:N147"/>
    <mergeCell ref="P146:Q146"/>
    <mergeCell ref="R146:T146"/>
    <mergeCell ref="U146:U147"/>
    <mergeCell ref="B147:C147"/>
    <mergeCell ref="I147:J147"/>
    <mergeCell ref="P147:Q147"/>
    <mergeCell ref="A145:A154"/>
    <mergeCell ref="B145:G145"/>
    <mergeCell ref="I145:N145"/>
    <mergeCell ref="P145:U145"/>
    <mergeCell ref="W123:X123"/>
    <mergeCell ref="B124:C124"/>
    <mergeCell ref="D124:F124"/>
    <mergeCell ref="G124:G125"/>
    <mergeCell ref="I124:J124"/>
    <mergeCell ref="K124:M124"/>
    <mergeCell ref="N135:N136"/>
    <mergeCell ref="P135:Q135"/>
    <mergeCell ref="R135:T135"/>
    <mergeCell ref="U135:U136"/>
    <mergeCell ref="B136:C136"/>
    <mergeCell ref="I136:J136"/>
    <mergeCell ref="P136:Q136"/>
    <mergeCell ref="A134:A143"/>
    <mergeCell ref="B134:G134"/>
    <mergeCell ref="I134:N134"/>
    <mergeCell ref="P134:U134"/>
    <mergeCell ref="W134:X134"/>
    <mergeCell ref="B135:C135"/>
    <mergeCell ref="D135:F135"/>
    <mergeCell ref="G135:G136"/>
    <mergeCell ref="I135:J135"/>
    <mergeCell ref="K135:M135"/>
    <mergeCell ref="N124:N125"/>
    <mergeCell ref="P124:Q124"/>
    <mergeCell ref="R124:T124"/>
    <mergeCell ref="U124:U125"/>
    <mergeCell ref="B125:C125"/>
    <mergeCell ref="I125:J125"/>
    <mergeCell ref="P125:Q125"/>
    <mergeCell ref="A123:A132"/>
    <mergeCell ref="B123:G123"/>
    <mergeCell ref="I123:N123"/>
    <mergeCell ref="P123:U123"/>
    <mergeCell ref="W101:X101"/>
    <mergeCell ref="B102:C102"/>
    <mergeCell ref="D102:F102"/>
    <mergeCell ref="G102:G103"/>
    <mergeCell ref="I102:J102"/>
    <mergeCell ref="K102:M102"/>
    <mergeCell ref="N113:N114"/>
    <mergeCell ref="P113:Q113"/>
    <mergeCell ref="R113:T113"/>
    <mergeCell ref="U113:U114"/>
    <mergeCell ref="B114:C114"/>
    <mergeCell ref="I114:J114"/>
    <mergeCell ref="P114:Q114"/>
    <mergeCell ref="A112:A121"/>
    <mergeCell ref="B112:G112"/>
    <mergeCell ref="I112:N112"/>
    <mergeCell ref="P112:U112"/>
    <mergeCell ref="W112:X112"/>
    <mergeCell ref="B113:C113"/>
    <mergeCell ref="D113:F113"/>
    <mergeCell ref="G113:G114"/>
    <mergeCell ref="I113:J113"/>
    <mergeCell ref="K113:M113"/>
    <mergeCell ref="N102:N103"/>
    <mergeCell ref="P102:Q102"/>
    <mergeCell ref="R102:T102"/>
    <mergeCell ref="U102:U103"/>
    <mergeCell ref="B103:C103"/>
    <mergeCell ref="I103:J103"/>
    <mergeCell ref="P103:Q103"/>
    <mergeCell ref="A101:A110"/>
    <mergeCell ref="B101:G101"/>
    <mergeCell ref="I101:N101"/>
    <mergeCell ref="P101:U101"/>
    <mergeCell ref="W79:X79"/>
    <mergeCell ref="B80:C80"/>
    <mergeCell ref="D80:F80"/>
    <mergeCell ref="G80:G81"/>
    <mergeCell ref="I80:J80"/>
    <mergeCell ref="K80:M80"/>
    <mergeCell ref="N91:N92"/>
    <mergeCell ref="P91:Q91"/>
    <mergeCell ref="R91:T91"/>
    <mergeCell ref="U91:U92"/>
    <mergeCell ref="B92:C92"/>
    <mergeCell ref="I92:J92"/>
    <mergeCell ref="P92:Q92"/>
    <mergeCell ref="A90:A99"/>
    <mergeCell ref="B90:G90"/>
    <mergeCell ref="I90:N90"/>
    <mergeCell ref="P90:U90"/>
    <mergeCell ref="W90:X90"/>
    <mergeCell ref="B91:C91"/>
    <mergeCell ref="D91:F91"/>
    <mergeCell ref="G91:G92"/>
    <mergeCell ref="I91:J91"/>
    <mergeCell ref="K91:M91"/>
    <mergeCell ref="N80:N81"/>
    <mergeCell ref="P80:Q80"/>
    <mergeCell ref="R80:T80"/>
    <mergeCell ref="U80:U81"/>
    <mergeCell ref="B81:C81"/>
    <mergeCell ref="I81:J81"/>
    <mergeCell ref="P81:Q81"/>
    <mergeCell ref="A79:A88"/>
    <mergeCell ref="B79:G79"/>
    <mergeCell ref="I79:N79"/>
    <mergeCell ref="P79:U79"/>
    <mergeCell ref="W57:X57"/>
    <mergeCell ref="B58:C58"/>
    <mergeCell ref="D58:F58"/>
    <mergeCell ref="G58:G59"/>
    <mergeCell ref="I58:J58"/>
    <mergeCell ref="K58:M58"/>
    <mergeCell ref="N69:N70"/>
    <mergeCell ref="P69:Q69"/>
    <mergeCell ref="R69:T69"/>
    <mergeCell ref="U69:U70"/>
    <mergeCell ref="B70:C70"/>
    <mergeCell ref="I70:J70"/>
    <mergeCell ref="P70:Q70"/>
    <mergeCell ref="A68:A77"/>
    <mergeCell ref="B68:G68"/>
    <mergeCell ref="I68:N68"/>
    <mergeCell ref="P68:U68"/>
    <mergeCell ref="W68:X68"/>
    <mergeCell ref="B69:C69"/>
    <mergeCell ref="D69:F69"/>
    <mergeCell ref="G69:G70"/>
    <mergeCell ref="I69:J69"/>
    <mergeCell ref="K69:M69"/>
    <mergeCell ref="N58:N59"/>
    <mergeCell ref="P58:Q58"/>
    <mergeCell ref="R58:T58"/>
    <mergeCell ref="U58:U59"/>
    <mergeCell ref="B59:C59"/>
    <mergeCell ref="I59:J59"/>
    <mergeCell ref="P59:Q59"/>
    <mergeCell ref="A57:A66"/>
    <mergeCell ref="B57:G57"/>
    <mergeCell ref="I57:N57"/>
    <mergeCell ref="P57:U57"/>
    <mergeCell ref="W35:X35"/>
    <mergeCell ref="B36:C36"/>
    <mergeCell ref="D36:F36"/>
    <mergeCell ref="G36:G37"/>
    <mergeCell ref="I36:J36"/>
    <mergeCell ref="K36:M36"/>
    <mergeCell ref="N47:N48"/>
    <mergeCell ref="P47:Q47"/>
    <mergeCell ref="R47:T47"/>
    <mergeCell ref="U47:U48"/>
    <mergeCell ref="B48:C48"/>
    <mergeCell ref="I48:J48"/>
    <mergeCell ref="P48:Q48"/>
    <mergeCell ref="A46:A55"/>
    <mergeCell ref="B46:G46"/>
    <mergeCell ref="I46:N46"/>
    <mergeCell ref="P46:U46"/>
    <mergeCell ref="W46:X46"/>
    <mergeCell ref="B47:C47"/>
    <mergeCell ref="D47:F47"/>
    <mergeCell ref="G47:G48"/>
    <mergeCell ref="I47:J47"/>
    <mergeCell ref="K47:M47"/>
    <mergeCell ref="N36:N37"/>
    <mergeCell ref="P36:Q36"/>
    <mergeCell ref="R36:T36"/>
    <mergeCell ref="U36:U37"/>
    <mergeCell ref="B37:C37"/>
    <mergeCell ref="I37:J37"/>
    <mergeCell ref="P37:Q37"/>
    <mergeCell ref="A35:A44"/>
    <mergeCell ref="B35:G35"/>
    <mergeCell ref="I35:N35"/>
    <mergeCell ref="P35:U35"/>
    <mergeCell ref="W13:X13"/>
    <mergeCell ref="B14:C14"/>
    <mergeCell ref="D14:F14"/>
    <mergeCell ref="G14:G15"/>
    <mergeCell ref="I14:J14"/>
    <mergeCell ref="K14:M14"/>
    <mergeCell ref="N25:N26"/>
    <mergeCell ref="P25:Q25"/>
    <mergeCell ref="R25:T25"/>
    <mergeCell ref="U25:U26"/>
    <mergeCell ref="B26:C26"/>
    <mergeCell ref="I26:J26"/>
    <mergeCell ref="P26:Q26"/>
    <mergeCell ref="A24:A33"/>
    <mergeCell ref="B24:G24"/>
    <mergeCell ref="I24:N24"/>
    <mergeCell ref="P24:U24"/>
    <mergeCell ref="W24:X24"/>
    <mergeCell ref="B25:C25"/>
    <mergeCell ref="D25:F25"/>
    <mergeCell ref="G25:G26"/>
    <mergeCell ref="I25:J25"/>
    <mergeCell ref="K25:M25"/>
    <mergeCell ref="N14:N15"/>
    <mergeCell ref="P14:Q14"/>
    <mergeCell ref="R14:T14"/>
    <mergeCell ref="U14:U15"/>
    <mergeCell ref="B15:C15"/>
    <mergeCell ref="I15:J15"/>
    <mergeCell ref="P15:Q15"/>
    <mergeCell ref="A13:A22"/>
    <mergeCell ref="B13:G13"/>
    <mergeCell ref="I13:N13"/>
    <mergeCell ref="P13:U13"/>
    <mergeCell ref="A1:U1"/>
    <mergeCell ref="A2:A11"/>
    <mergeCell ref="B2:G2"/>
    <mergeCell ref="I2:N2"/>
    <mergeCell ref="P2:U2"/>
    <mergeCell ref="W2:X2"/>
    <mergeCell ref="B3:C3"/>
    <mergeCell ref="D3:F3"/>
    <mergeCell ref="G3:G4"/>
    <mergeCell ref="I3:J3"/>
    <mergeCell ref="K3:M3"/>
    <mergeCell ref="N3:N4"/>
    <mergeCell ref="P3:Q3"/>
    <mergeCell ref="R3:T3"/>
    <mergeCell ref="U3:U4"/>
    <mergeCell ref="B4:C4"/>
    <mergeCell ref="I4:J4"/>
    <mergeCell ref="P4:Q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2:E102"/>
  <sheetViews>
    <sheetView workbookViewId="0">
      <selection activeCell="A103" sqref="A103"/>
    </sheetView>
  </sheetViews>
  <sheetFormatPr defaultRowHeight="13.2"/>
  <cols>
    <col min="2" max="2" width="19.21875" customWidth="1"/>
    <col min="3" max="3" width="39.21875" customWidth="1"/>
    <col min="4" max="4" width="56.44140625" customWidth="1"/>
  </cols>
  <sheetData>
    <row r="2" spans="1:5">
      <c r="A2" s="715" t="s">
        <v>65</v>
      </c>
      <c r="B2" s="715" t="s">
        <v>66</v>
      </c>
      <c r="C2" s="715" t="s">
        <v>67</v>
      </c>
      <c r="D2" s="715"/>
      <c r="E2" s="709" t="s">
        <v>68</v>
      </c>
    </row>
    <row r="3" spans="1:5">
      <c r="A3" s="715"/>
      <c r="B3" s="715"/>
      <c r="C3" s="120" t="s">
        <v>19</v>
      </c>
      <c r="D3" s="120" t="s">
        <v>20</v>
      </c>
      <c r="E3" s="709"/>
    </row>
    <row r="4" spans="1:5">
      <c r="A4" s="710">
        <v>1</v>
      </c>
      <c r="B4" s="102" t="s">
        <v>69</v>
      </c>
      <c r="C4" s="103" t="s">
        <v>70</v>
      </c>
      <c r="D4" s="103">
        <v>72064154</v>
      </c>
      <c r="E4" s="121" t="s">
        <v>71</v>
      </c>
    </row>
    <row r="5" spans="1:5" ht="47.25" customHeight="1">
      <c r="A5" s="711"/>
      <c r="B5" s="104" t="s">
        <v>69</v>
      </c>
      <c r="C5" s="103" t="s">
        <v>72</v>
      </c>
      <c r="D5" s="356" t="s">
        <v>73</v>
      </c>
      <c r="E5" s="122" t="s">
        <v>71</v>
      </c>
    </row>
    <row r="6" spans="1:5" ht="45" customHeight="1">
      <c r="A6" s="712"/>
      <c r="B6" s="104" t="s">
        <v>69</v>
      </c>
      <c r="C6" s="103" t="s">
        <v>74</v>
      </c>
      <c r="D6" s="356" t="s">
        <v>75</v>
      </c>
      <c r="E6" s="122" t="s">
        <v>71</v>
      </c>
    </row>
    <row r="7" spans="1:5" ht="26.4">
      <c r="A7" s="710">
        <v>2</v>
      </c>
      <c r="B7" s="713" t="s">
        <v>76</v>
      </c>
      <c r="C7" s="103" t="s">
        <v>77</v>
      </c>
      <c r="D7" s="103" t="s">
        <v>78</v>
      </c>
      <c r="E7" s="121" t="s">
        <v>79</v>
      </c>
    </row>
    <row r="8" spans="1:5">
      <c r="A8" s="712"/>
      <c r="B8" s="714"/>
      <c r="C8" s="103" t="s">
        <v>80</v>
      </c>
      <c r="D8" s="103" t="s">
        <v>81</v>
      </c>
      <c r="E8" s="121" t="s">
        <v>79</v>
      </c>
    </row>
    <row r="9" spans="1:5" ht="26.4">
      <c r="A9" s="101">
        <v>3</v>
      </c>
      <c r="B9" s="104" t="s">
        <v>82</v>
      </c>
      <c r="C9" s="63" t="s">
        <v>83</v>
      </c>
      <c r="D9" s="63" t="s">
        <v>84</v>
      </c>
      <c r="E9" s="122" t="s">
        <v>85</v>
      </c>
    </row>
    <row r="10" spans="1:5" ht="26.4">
      <c r="A10" s="101">
        <v>4</v>
      </c>
      <c r="B10" s="104" t="s">
        <v>301</v>
      </c>
      <c r="C10" s="103" t="s">
        <v>302</v>
      </c>
      <c r="D10" s="101" t="s">
        <v>84</v>
      </c>
      <c r="E10" s="122" t="s">
        <v>85</v>
      </c>
    </row>
    <row r="11" spans="1:5">
      <c r="A11" s="101">
        <v>5</v>
      </c>
      <c r="B11" s="104"/>
      <c r="C11" s="101" t="s">
        <v>303</v>
      </c>
      <c r="D11" s="355" t="s">
        <v>84</v>
      </c>
      <c r="E11" s="122" t="s">
        <v>85</v>
      </c>
    </row>
    <row r="12" spans="1:5" ht="17.55" customHeight="1">
      <c r="A12" s="692">
        <v>6</v>
      </c>
      <c r="B12" s="695" t="s">
        <v>321</v>
      </c>
      <c r="C12" s="690" t="s">
        <v>325</v>
      </c>
      <c r="D12" s="691"/>
      <c r="E12" s="698" t="s">
        <v>317</v>
      </c>
    </row>
    <row r="13" spans="1:5" ht="39.6" customHeight="1">
      <c r="A13" s="693"/>
      <c r="B13" s="696"/>
      <c r="C13" s="386" t="s">
        <v>318</v>
      </c>
      <c r="D13" s="387" t="s">
        <v>316</v>
      </c>
      <c r="E13" s="699"/>
    </row>
    <row r="14" spans="1:5">
      <c r="A14" s="694"/>
      <c r="B14" s="697"/>
      <c r="C14" s="387" t="s">
        <v>320</v>
      </c>
      <c r="D14" s="387" t="s">
        <v>319</v>
      </c>
      <c r="E14" s="700"/>
    </row>
    <row r="15" spans="1:5" s="388" customFormat="1">
      <c r="A15" s="703">
        <v>7</v>
      </c>
      <c r="B15" s="705" t="s">
        <v>321</v>
      </c>
      <c r="C15" s="701" t="s">
        <v>324</v>
      </c>
      <c r="D15" s="702"/>
      <c r="E15" s="707" t="s">
        <v>317</v>
      </c>
    </row>
    <row r="16" spans="1:5" s="388" customFormat="1" ht="42.6" customHeight="1">
      <c r="A16" s="704"/>
      <c r="B16" s="706"/>
      <c r="C16" s="389">
        <v>0</v>
      </c>
      <c r="D16" s="390" t="s">
        <v>323</v>
      </c>
      <c r="E16" s="708"/>
    </row>
    <row r="17" spans="1:5">
      <c r="A17" s="101">
        <v>8</v>
      </c>
      <c r="B17" s="104" t="s">
        <v>321</v>
      </c>
      <c r="C17" s="103" t="s">
        <v>93</v>
      </c>
      <c r="D17" s="101" t="s">
        <v>322</v>
      </c>
      <c r="E17" s="195" t="s">
        <v>317</v>
      </c>
    </row>
    <row r="18" spans="1:5">
      <c r="A18" s="101">
        <v>9</v>
      </c>
      <c r="B18" s="104" t="s">
        <v>377</v>
      </c>
      <c r="C18" s="101" t="s">
        <v>93</v>
      </c>
      <c r="D18" s="101" t="s">
        <v>378</v>
      </c>
      <c r="E18" s="122" t="s">
        <v>71</v>
      </c>
    </row>
    <row r="19" spans="1:5">
      <c r="A19" s="101"/>
      <c r="B19" s="104"/>
      <c r="C19" s="101"/>
      <c r="D19" s="101"/>
      <c r="E19" s="121"/>
    </row>
    <row r="20" spans="1:5">
      <c r="A20" s="101"/>
      <c r="B20" s="104"/>
      <c r="C20" s="103"/>
      <c r="D20" s="101"/>
      <c r="E20" s="121"/>
    </row>
    <row r="21" spans="1:5">
      <c r="A21" s="101"/>
      <c r="B21" s="104"/>
      <c r="C21" s="101"/>
      <c r="D21" s="101"/>
      <c r="E21" s="121"/>
    </row>
    <row r="102" spans="1:1">
      <c r="A102" s="117" t="s">
        <v>389</v>
      </c>
    </row>
  </sheetData>
  <sheetProtection algorithmName="SHA-512" hashValue="tvxxrRs6lG9pZhItUAqteP1/I3pfL/RhiyaGZmQAjD2uKcTitD/nnLgHSkHV9cVIOnd14YSXUijFDY+0XlhMlA==" saltValue="37PRy3vhrJ7QcEw4MdWPqA==" spinCount="100000" sheet="1" objects="1" scenarios="1"/>
  <mergeCells count="15">
    <mergeCell ref="E2:E3"/>
    <mergeCell ref="A4:A6"/>
    <mergeCell ref="A7:A8"/>
    <mergeCell ref="B7:B8"/>
    <mergeCell ref="A2:A3"/>
    <mergeCell ref="B2:B3"/>
    <mergeCell ref="C2:D2"/>
    <mergeCell ref="C12:D12"/>
    <mergeCell ref="A12:A14"/>
    <mergeCell ref="B12:B14"/>
    <mergeCell ref="E12:E14"/>
    <mergeCell ref="C15:D15"/>
    <mergeCell ref="A15:A16"/>
    <mergeCell ref="B15:B16"/>
    <mergeCell ref="E15:E16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59999389629810485"/>
  </sheetPr>
  <dimension ref="A1:IW156"/>
  <sheetViews>
    <sheetView showGridLines="0" tabSelected="1" view="pageBreakPreview" zoomScale="88" zoomScaleNormal="117" zoomScaleSheetLayoutView="88" workbookViewId="0">
      <selection activeCell="I4" sqref="I4"/>
    </sheetView>
  </sheetViews>
  <sheetFormatPr defaultColWidth="9" defaultRowHeight="15"/>
  <cols>
    <col min="1" max="1" width="4.21875" style="4" customWidth="1"/>
    <col min="2" max="2" width="11" style="68" customWidth="1"/>
    <col min="3" max="3" width="25.44140625" style="68" customWidth="1"/>
    <col min="4" max="4" width="10.5546875" style="68" customWidth="1"/>
    <col min="5" max="5" width="11.5546875" style="68" customWidth="1"/>
    <col min="6" max="10" width="9.77734375" style="68" customWidth="1"/>
    <col min="11" max="11" width="11.77734375" style="95" customWidth="1"/>
    <col min="12" max="12" width="12.21875" style="68" customWidth="1"/>
    <col min="13" max="13" width="9.77734375" style="68" customWidth="1"/>
    <col min="14" max="14" width="9.77734375" style="95" customWidth="1"/>
    <col min="15" max="16" width="9.21875" style="49" customWidth="1"/>
    <col min="17" max="17" width="9.21875" style="68" customWidth="1"/>
    <col min="18" max="18" width="10.44140625" style="68" customWidth="1"/>
    <col min="19" max="20" width="9.21875" style="68" customWidth="1"/>
    <col min="21" max="21" width="10.77734375" style="68" customWidth="1"/>
    <col min="22" max="22" width="9.21875" style="68" customWidth="1"/>
    <col min="23" max="23" width="10.21875" style="68" customWidth="1"/>
    <col min="24" max="257" width="9.21875" style="68" customWidth="1"/>
    <col min="258" max="16384" width="9" style="4"/>
  </cols>
  <sheetData>
    <row r="1" spans="1:31" ht="19.5" customHeight="1">
      <c r="A1" s="720" t="str">
        <f>IF(G7=O9,S3,S2)</f>
        <v>INPUT DATA KALIBRASI THERMOHYGROMETER ANALOG</v>
      </c>
      <c r="B1" s="720"/>
      <c r="C1" s="720"/>
      <c r="D1" s="720"/>
      <c r="E1" s="720"/>
      <c r="F1" s="720"/>
      <c r="G1" s="720"/>
      <c r="H1" s="720"/>
      <c r="I1" s="720"/>
      <c r="J1" s="720"/>
      <c r="K1" s="720"/>
      <c r="L1" s="720"/>
      <c r="M1" s="720"/>
      <c r="N1" s="580"/>
    </row>
    <row r="2" spans="1:31" ht="18.75" customHeight="1">
      <c r="A2" s="731" t="str">
        <f>IF(G7=O7,O2,O3)</f>
        <v>Nomor Sertifikat : 84 /</v>
      </c>
      <c r="B2" s="731"/>
      <c r="C2" s="731"/>
      <c r="D2" s="731"/>
      <c r="E2" s="731"/>
      <c r="F2" s="731"/>
      <c r="H2" s="6"/>
      <c r="I2" s="618" t="s">
        <v>371</v>
      </c>
      <c r="J2" s="6"/>
      <c r="K2" s="6"/>
      <c r="L2" s="6"/>
      <c r="M2" s="6"/>
      <c r="O2" s="49" t="s">
        <v>86</v>
      </c>
      <c r="S2" s="720" t="s">
        <v>411</v>
      </c>
      <c r="T2" s="720"/>
      <c r="U2" s="720"/>
      <c r="V2" s="720"/>
      <c r="W2" s="720"/>
      <c r="X2" s="720"/>
      <c r="Y2" s="720"/>
      <c r="Z2" s="720"/>
      <c r="AA2" s="720"/>
      <c r="AB2" s="720"/>
      <c r="AC2" s="720"/>
      <c r="AD2" s="720"/>
      <c r="AE2" s="720"/>
    </row>
    <row r="3" spans="1:31" ht="18.75" customHeight="1">
      <c r="A3" s="6"/>
      <c r="B3" s="205"/>
      <c r="C3" s="205"/>
      <c r="D3" s="205"/>
      <c r="E3" s="205"/>
      <c r="F3" s="205"/>
      <c r="G3" s="205"/>
      <c r="H3" s="205"/>
      <c r="I3" s="205"/>
      <c r="J3" s="205"/>
      <c r="K3" s="581"/>
      <c r="L3" s="582"/>
      <c r="M3" s="582"/>
      <c r="O3" s="49" t="s">
        <v>87</v>
      </c>
      <c r="S3" s="720" t="s">
        <v>410</v>
      </c>
      <c r="T3" s="720"/>
      <c r="U3" s="720"/>
      <c r="V3" s="720"/>
      <c r="W3" s="720"/>
      <c r="X3" s="720"/>
      <c r="Y3" s="720"/>
      <c r="Z3" s="720"/>
      <c r="AA3" s="720"/>
      <c r="AB3" s="720"/>
      <c r="AC3" s="720"/>
      <c r="AD3" s="720"/>
      <c r="AE3" s="720"/>
    </row>
    <row r="4" spans="1:31" ht="15.75" customHeight="1">
      <c r="A4" s="6"/>
      <c r="B4" s="68" t="s">
        <v>2</v>
      </c>
      <c r="D4" s="81" t="s">
        <v>3</v>
      </c>
      <c r="E4" s="583" t="s">
        <v>88</v>
      </c>
      <c r="F4" s="582"/>
      <c r="G4" s="582"/>
      <c r="H4" s="584"/>
      <c r="I4" s="582"/>
      <c r="J4" s="582"/>
      <c r="K4" s="581"/>
      <c r="L4" s="582"/>
      <c r="M4" s="582"/>
    </row>
    <row r="5" spans="1:31" ht="15.75" customHeight="1">
      <c r="A5" s="6"/>
      <c r="B5" s="4" t="s">
        <v>4</v>
      </c>
      <c r="D5" s="43" t="s">
        <v>3</v>
      </c>
      <c r="E5" s="583" t="s">
        <v>89</v>
      </c>
      <c r="F5" s="582"/>
      <c r="G5" s="582"/>
      <c r="H5" s="584"/>
      <c r="I5" s="582"/>
      <c r="J5" s="582"/>
      <c r="K5" s="581"/>
      <c r="L5" s="582"/>
      <c r="M5" s="582"/>
    </row>
    <row r="6" spans="1:31" ht="15.75" customHeight="1" thickBot="1">
      <c r="A6" s="6"/>
      <c r="B6" s="4" t="s">
        <v>5</v>
      </c>
      <c r="D6" s="43" t="s">
        <v>3</v>
      </c>
      <c r="E6" s="583" t="s">
        <v>304</v>
      </c>
      <c r="F6" s="582"/>
      <c r="G6" s="6"/>
      <c r="H6" s="585"/>
      <c r="I6" s="582"/>
      <c r="J6" s="582"/>
      <c r="K6" s="581"/>
      <c r="L6" s="582"/>
      <c r="M6" s="582"/>
    </row>
    <row r="7" spans="1:31" ht="15.75" customHeight="1" thickBot="1">
      <c r="A7" s="6"/>
      <c r="B7" s="4" t="s">
        <v>163</v>
      </c>
      <c r="D7" s="43" t="s">
        <v>3</v>
      </c>
      <c r="E7" s="619">
        <v>0.1</v>
      </c>
      <c r="F7" s="582" t="s">
        <v>96</v>
      </c>
      <c r="G7" s="586" t="s">
        <v>91</v>
      </c>
      <c r="H7" s="584"/>
      <c r="I7" s="582"/>
      <c r="J7" s="582"/>
      <c r="K7" s="581"/>
      <c r="L7" s="582"/>
      <c r="M7" s="582"/>
      <c r="O7" s="181" t="s">
        <v>90</v>
      </c>
    </row>
    <row r="8" spans="1:31" ht="15.75" customHeight="1">
      <c r="A8" s="6"/>
      <c r="B8" s="68" t="s">
        <v>372</v>
      </c>
      <c r="D8" s="43" t="s">
        <v>3</v>
      </c>
      <c r="E8" s="619">
        <v>0.1</v>
      </c>
      <c r="F8" s="587" t="s">
        <v>24</v>
      </c>
      <c r="G8" s="105"/>
      <c r="H8" s="584"/>
      <c r="I8" s="582"/>
      <c r="J8" s="582"/>
      <c r="K8" s="581"/>
      <c r="L8" s="582"/>
      <c r="M8" s="582"/>
      <c r="O8" s="181"/>
    </row>
    <row r="9" spans="1:31" ht="15.75" customHeight="1">
      <c r="A9" s="6"/>
      <c r="B9" s="4" t="s">
        <v>11</v>
      </c>
      <c r="D9" s="43" t="s">
        <v>3</v>
      </c>
      <c r="E9" s="588" t="s">
        <v>306</v>
      </c>
      <c r="F9" s="582"/>
      <c r="G9" s="6"/>
      <c r="H9" s="584"/>
      <c r="I9" s="582"/>
      <c r="J9" s="582"/>
      <c r="K9" s="581"/>
      <c r="L9" s="582"/>
      <c r="M9" s="582"/>
      <c r="O9" s="181" t="s">
        <v>91</v>
      </c>
    </row>
    <row r="10" spans="1:31" ht="15.75" customHeight="1">
      <c r="A10" s="6"/>
      <c r="B10" s="68" t="s">
        <v>12</v>
      </c>
      <c r="D10" s="43" t="s">
        <v>3</v>
      </c>
      <c r="E10" s="589" t="s">
        <v>306</v>
      </c>
      <c r="F10" s="582"/>
      <c r="G10" s="582"/>
      <c r="H10" s="584"/>
      <c r="I10" s="582"/>
      <c r="J10" s="582"/>
      <c r="K10" s="581"/>
      <c r="L10" s="582"/>
      <c r="M10" s="582"/>
    </row>
    <row r="11" spans="1:31" ht="15.75" customHeight="1">
      <c r="A11" s="6"/>
      <c r="B11" s="68" t="s">
        <v>13</v>
      </c>
      <c r="D11" s="43" t="s">
        <v>3</v>
      </c>
      <c r="E11" s="583" t="s">
        <v>92</v>
      </c>
      <c r="F11" s="582"/>
      <c r="G11" s="582"/>
      <c r="H11" s="584"/>
      <c r="I11" s="582"/>
      <c r="J11" s="582"/>
      <c r="K11" s="581"/>
      <c r="L11" s="582"/>
      <c r="M11" s="582"/>
    </row>
    <row r="12" spans="1:31" ht="15.75" customHeight="1">
      <c r="A12" s="6"/>
      <c r="B12" s="4" t="s">
        <v>14</v>
      </c>
      <c r="D12" s="43" t="s">
        <v>3</v>
      </c>
      <c r="E12" s="583" t="s">
        <v>92</v>
      </c>
      <c r="F12" s="582"/>
      <c r="G12" s="582"/>
      <c r="H12" s="584"/>
      <c r="I12" s="582"/>
      <c r="J12" s="582"/>
      <c r="K12" s="581"/>
      <c r="L12" s="582"/>
      <c r="M12" s="582"/>
    </row>
    <row r="13" spans="1:31" ht="15.75" customHeight="1">
      <c r="A13" s="6"/>
      <c r="B13" s="4" t="s">
        <v>15</v>
      </c>
      <c r="D13" s="43" t="s">
        <v>3</v>
      </c>
      <c r="E13" s="582" t="s">
        <v>94</v>
      </c>
      <c r="F13" s="582"/>
      <c r="G13" s="582"/>
      <c r="H13" s="584"/>
      <c r="I13" s="582"/>
      <c r="J13" s="582"/>
      <c r="K13" s="581"/>
      <c r="L13" s="582"/>
      <c r="M13" s="582"/>
    </row>
    <row r="14" spans="1:31" ht="14.25" customHeight="1">
      <c r="A14" s="6"/>
      <c r="D14" s="81"/>
      <c r="E14" s="582"/>
      <c r="F14" s="582"/>
      <c r="G14" s="582"/>
      <c r="H14" s="582"/>
      <c r="I14" s="582"/>
      <c r="J14" s="583"/>
      <c r="K14" s="581"/>
      <c r="L14" s="582"/>
      <c r="M14" s="582"/>
    </row>
    <row r="15" spans="1:31" ht="15.75" customHeight="1">
      <c r="A15" s="590" t="s">
        <v>17</v>
      </c>
      <c r="B15" s="91" t="s">
        <v>18</v>
      </c>
      <c r="C15" s="91"/>
      <c r="D15" s="81"/>
      <c r="E15" s="591" t="s">
        <v>19</v>
      </c>
      <c r="F15" s="591" t="s">
        <v>20</v>
      </c>
      <c r="G15" s="592" t="s">
        <v>95</v>
      </c>
      <c r="H15" s="582"/>
      <c r="I15" s="582"/>
      <c r="J15" s="105"/>
      <c r="K15" s="581"/>
      <c r="L15" s="582"/>
      <c r="M15" s="582"/>
    </row>
    <row r="16" spans="1:31" ht="18" customHeight="1">
      <c r="A16" s="590"/>
      <c r="B16" s="39" t="s">
        <v>21</v>
      </c>
      <c r="D16" s="81" t="s">
        <v>3</v>
      </c>
      <c r="E16" s="620">
        <v>19.8</v>
      </c>
      <c r="F16" s="620">
        <v>19.5</v>
      </c>
      <c r="G16" s="141">
        <f>AVERAGE(E16:F16)</f>
        <v>19.649999999999999</v>
      </c>
      <c r="H16" s="582" t="s">
        <v>96</v>
      </c>
      <c r="I16" s="582"/>
      <c r="J16" s="593">
        <f>(19.8+19.5)/2</f>
        <v>19.649999999999999</v>
      </c>
      <c r="K16" s="581"/>
      <c r="L16" s="582"/>
      <c r="M16" s="582"/>
    </row>
    <row r="17" spans="1:32" ht="16.5" customHeight="1">
      <c r="A17" s="590"/>
      <c r="B17" s="79" t="s">
        <v>23</v>
      </c>
      <c r="D17" s="81" t="s">
        <v>3</v>
      </c>
      <c r="E17" s="620">
        <v>59.7</v>
      </c>
      <c r="F17" s="620">
        <v>59.1</v>
      </c>
      <c r="G17" s="141">
        <f>AVERAGE(E17:F17)</f>
        <v>59.400000000000006</v>
      </c>
      <c r="H17" s="582" t="s">
        <v>24</v>
      </c>
      <c r="I17" s="582"/>
      <c r="J17" s="581">
        <f>(59.7+59.1)/2</f>
        <v>59.400000000000006</v>
      </c>
      <c r="K17" s="581"/>
      <c r="L17" s="582"/>
      <c r="M17" s="582"/>
      <c r="O17" s="49" t="s">
        <v>97</v>
      </c>
    </row>
    <row r="18" spans="1:32" ht="7.5" customHeight="1">
      <c r="A18" s="590"/>
      <c r="B18" s="91"/>
      <c r="C18" s="91"/>
      <c r="D18" s="91"/>
      <c r="E18" s="582"/>
      <c r="F18" s="582"/>
      <c r="G18" s="582"/>
      <c r="H18" s="582"/>
      <c r="I18" s="582"/>
      <c r="J18" s="594"/>
      <c r="K18" s="581"/>
      <c r="L18" s="582"/>
      <c r="M18" s="582"/>
      <c r="O18" s="49" t="s">
        <v>98</v>
      </c>
    </row>
    <row r="19" spans="1:32" ht="19.5" customHeight="1">
      <c r="A19" s="590" t="s">
        <v>25</v>
      </c>
      <c r="B19" s="40" t="s">
        <v>26</v>
      </c>
      <c r="E19" s="582"/>
      <c r="F19" s="582"/>
      <c r="G19" s="594"/>
      <c r="H19" s="582"/>
      <c r="I19" s="583"/>
      <c r="J19" s="582"/>
      <c r="K19" s="581"/>
      <c r="L19" s="582"/>
      <c r="M19" s="582"/>
    </row>
    <row r="20" spans="1:32" ht="21" customHeight="1">
      <c r="A20" s="590"/>
      <c r="B20" s="68" t="s">
        <v>27</v>
      </c>
      <c r="D20" s="43" t="s">
        <v>3</v>
      </c>
      <c r="E20" s="621" t="s">
        <v>97</v>
      </c>
      <c r="F20" s="582"/>
      <c r="G20" s="582"/>
      <c r="H20" s="582"/>
      <c r="I20" s="582"/>
      <c r="J20" s="582"/>
      <c r="K20" s="581"/>
      <c r="L20" s="595"/>
      <c r="M20" s="582"/>
    </row>
    <row r="21" spans="1:32" ht="15.75" customHeight="1">
      <c r="A21" s="590"/>
      <c r="B21" s="68" t="s">
        <v>29</v>
      </c>
      <c r="C21" s="4"/>
      <c r="D21" s="43" t="s">
        <v>3</v>
      </c>
      <c r="E21" s="621" t="s">
        <v>97</v>
      </c>
      <c r="F21" s="6"/>
      <c r="G21" s="6"/>
      <c r="H21" s="721"/>
      <c r="I21" s="721"/>
      <c r="J21" s="721"/>
      <c r="K21" s="721"/>
      <c r="L21" s="595"/>
      <c r="M21" s="6"/>
    </row>
    <row r="22" spans="1:32" ht="12" customHeight="1">
      <c r="A22" s="590"/>
      <c r="E22" s="582"/>
      <c r="F22" s="595"/>
      <c r="G22" s="595"/>
      <c r="H22" s="595"/>
      <c r="I22" s="595"/>
      <c r="J22" s="595"/>
      <c r="K22" s="581"/>
      <c r="L22" s="582"/>
      <c r="M22" s="582"/>
    </row>
    <row r="23" spans="1:32" ht="20.100000000000001" customHeight="1">
      <c r="A23" s="590" t="s">
        <v>31</v>
      </c>
      <c r="B23" s="40" t="s">
        <v>32</v>
      </c>
      <c r="E23" s="582"/>
      <c r="F23" s="582"/>
      <c r="G23" s="582"/>
      <c r="H23" s="582"/>
      <c r="I23" s="582"/>
      <c r="J23" s="582"/>
      <c r="K23" s="596"/>
      <c r="L23" s="597"/>
      <c r="M23" s="582"/>
    </row>
    <row r="24" spans="1:32" s="68" customFormat="1" ht="20.100000000000001" customHeight="1">
      <c r="A24" s="6"/>
      <c r="B24" s="91" t="s">
        <v>99</v>
      </c>
      <c r="E24" s="582"/>
      <c r="F24" s="582"/>
      <c r="G24" s="582"/>
      <c r="H24" s="582"/>
      <c r="I24" s="582"/>
      <c r="J24" s="582"/>
      <c r="K24" s="596"/>
      <c r="L24" s="597"/>
      <c r="M24" s="582"/>
      <c r="N24" s="95"/>
      <c r="O24" s="49"/>
      <c r="P24" s="49"/>
    </row>
    <row r="25" spans="1:32" s="68" customFormat="1" ht="20.100000000000001" customHeight="1">
      <c r="A25" s="6"/>
      <c r="B25" s="91"/>
      <c r="E25" s="582"/>
      <c r="F25" s="582"/>
      <c r="G25" s="582"/>
      <c r="H25" s="582"/>
      <c r="I25" s="582"/>
      <c r="J25" s="582"/>
      <c r="K25" s="596"/>
      <c r="L25" s="597"/>
      <c r="M25" s="582"/>
      <c r="N25" s="95"/>
      <c r="O25" s="49"/>
      <c r="P25" s="49"/>
    </row>
    <row r="26" spans="1:32" s="68" customFormat="1" ht="31.5" customHeight="1">
      <c r="A26" s="678" t="s">
        <v>34</v>
      </c>
      <c r="B26" s="680" t="s">
        <v>35</v>
      </c>
      <c r="C26" s="678" t="s">
        <v>100</v>
      </c>
      <c r="D26" s="718"/>
      <c r="E26" s="718"/>
      <c r="F26" s="718"/>
      <c r="G26" s="718"/>
      <c r="H26" s="718"/>
      <c r="I26" s="718"/>
      <c r="J26" s="723" t="s">
        <v>101</v>
      </c>
      <c r="K26" s="723" t="s">
        <v>102</v>
      </c>
      <c r="L26" s="723" t="s">
        <v>103</v>
      </c>
      <c r="M26" s="723" t="s">
        <v>104</v>
      </c>
      <c r="N26" s="724" t="s">
        <v>95</v>
      </c>
      <c r="O26" s="672" t="s">
        <v>307</v>
      </c>
      <c r="P26" s="730" t="s">
        <v>192</v>
      </c>
      <c r="Z26" s="68" t="str">
        <f>B97</f>
        <v>Thermohygrometer Reference, Merek : Rotronic, Model : HC2A - SH Hygro Clip 2, SN : 72064154</v>
      </c>
    </row>
    <row r="27" spans="1:32" s="68" customFormat="1" ht="31.5" customHeight="1">
      <c r="A27" s="679"/>
      <c r="B27" s="681"/>
      <c r="C27" s="140" t="s">
        <v>37</v>
      </c>
      <c r="D27" s="140">
        <v>1</v>
      </c>
      <c r="E27" s="106">
        <v>2</v>
      </c>
      <c r="F27" s="140">
        <v>3</v>
      </c>
      <c r="G27" s="106">
        <v>4</v>
      </c>
      <c r="H27" s="140">
        <v>5</v>
      </c>
      <c r="I27" s="140">
        <v>6</v>
      </c>
      <c r="J27" s="723"/>
      <c r="K27" s="723"/>
      <c r="L27" s="723"/>
      <c r="M27" s="723"/>
      <c r="N27" s="724"/>
      <c r="O27" s="672"/>
      <c r="P27" s="730"/>
      <c r="Z27" s="598" t="s">
        <v>105</v>
      </c>
      <c r="AA27" s="95" t="s">
        <v>106</v>
      </c>
      <c r="AB27" s="95" t="s">
        <v>107</v>
      </c>
      <c r="AC27" s="95" t="s">
        <v>108</v>
      </c>
      <c r="AD27" s="95" t="s">
        <v>109</v>
      </c>
    </row>
    <row r="28" spans="1:32" s="68" customFormat="1" ht="33" customHeight="1">
      <c r="A28" s="106">
        <v>1</v>
      </c>
      <c r="B28" s="678" t="str">
        <f>IF(B89="",20,"2*")</f>
        <v>2*</v>
      </c>
      <c r="C28" s="154" t="s">
        <v>38</v>
      </c>
      <c r="D28" s="622">
        <v>1.9</v>
      </c>
      <c r="E28" s="622">
        <v>1.9</v>
      </c>
      <c r="F28" s="622">
        <v>1.9</v>
      </c>
      <c r="G28" s="622">
        <v>1.9</v>
      </c>
      <c r="H28" s="622">
        <v>1.9</v>
      </c>
      <c r="I28" s="622">
        <v>1.9</v>
      </c>
      <c r="J28" s="152">
        <f>AVERAGE(D28:I28)</f>
        <v>1.9000000000000001</v>
      </c>
      <c r="K28" s="9">
        <f ca="1">IF($B$89="",'DB Standar'!B81,VLOOKUP(ID!$B$89,'DB Tipe K'!B297:E306,3,0))</f>
        <v>1.6684999992499998</v>
      </c>
      <c r="L28" s="599"/>
      <c r="M28" s="28">
        <f>STDEV(D28:I28)</f>
        <v>2.4323767777952469E-16</v>
      </c>
      <c r="N28" s="600">
        <f>(20.04+20.08+20.07+20.06+20.08+20.06)/6</f>
        <v>20.065000000000001</v>
      </c>
      <c r="O28" s="9">
        <f>20.065+0.0999</f>
        <v>20.164900000000003</v>
      </c>
      <c r="P28" s="49">
        <f>20.16-20.2</f>
        <v>-3.9999999999999147E-2</v>
      </c>
      <c r="Z28" s="600">
        <f>J28</f>
        <v>1.9000000000000001</v>
      </c>
      <c r="AA28" s="95">
        <f>'DB Standar'!A69</f>
        <v>20</v>
      </c>
      <c r="AB28" s="600">
        <f>'DB Standar'!B69</f>
        <v>0.1</v>
      </c>
      <c r="AC28" s="95">
        <f>'DB Standar'!A70</f>
        <v>25</v>
      </c>
      <c r="AD28" s="600">
        <f>'DB Standar'!B70</f>
        <v>0.09</v>
      </c>
      <c r="AE28" s="601">
        <f>((((AD28-AB28)*(Z28-AA28)))/(AC28-AA28))+AB28</f>
        <v>0.13620000000000004</v>
      </c>
      <c r="AF28" s="601">
        <f>AE28+Z28</f>
        <v>2.0362</v>
      </c>
    </row>
    <row r="29" spans="1:32" s="68" customFormat="1" ht="33" customHeight="1">
      <c r="A29" s="106">
        <v>2</v>
      </c>
      <c r="B29" s="679"/>
      <c r="C29" s="140" t="s">
        <v>39</v>
      </c>
      <c r="D29" s="620">
        <v>2.5</v>
      </c>
      <c r="E29" s="620">
        <v>2.5</v>
      </c>
      <c r="F29" s="620">
        <v>2.5</v>
      </c>
      <c r="G29" s="620">
        <v>2.5</v>
      </c>
      <c r="H29" s="620">
        <v>2.5</v>
      </c>
      <c r="I29" s="620">
        <v>2.5</v>
      </c>
      <c r="J29" s="153">
        <f>AVERAGE(D29:I29)</f>
        <v>2.5</v>
      </c>
      <c r="K29" s="602"/>
      <c r="L29" s="152">
        <f ca="1">K28-J29</f>
        <v>-0.83150000075000019</v>
      </c>
      <c r="M29" s="28">
        <f>STDEV(D29:I29)</f>
        <v>0</v>
      </c>
      <c r="N29" s="95">
        <f>(20.2+20.2+20.2+20.2+20.2+20.2)/6</f>
        <v>20.2</v>
      </c>
      <c r="O29" s="49"/>
      <c r="P29" s="49"/>
    </row>
    <row r="30" spans="1:32" s="68" customFormat="1" ht="20.100000000000001" customHeight="1">
      <c r="A30" s="6"/>
      <c r="B30" s="603"/>
      <c r="C30" s="582"/>
      <c r="D30" s="582"/>
      <c r="E30" s="582"/>
      <c r="F30" s="582"/>
      <c r="G30" s="582"/>
      <c r="H30" s="582"/>
      <c r="I30" s="582"/>
      <c r="K30" s="604"/>
      <c r="L30" s="94"/>
      <c r="N30" s="95"/>
      <c r="O30" s="49"/>
      <c r="P30" s="49"/>
    </row>
    <row r="31" spans="1:32" s="68" customFormat="1" ht="20.100000000000001" customHeight="1">
      <c r="A31" s="6"/>
      <c r="B31" s="603"/>
      <c r="C31" s="582"/>
      <c r="D31" s="582"/>
      <c r="E31" s="582"/>
      <c r="F31" s="582"/>
      <c r="G31" s="582"/>
      <c r="H31" s="582"/>
      <c r="I31" s="582"/>
      <c r="K31" s="604"/>
      <c r="L31" s="94"/>
      <c r="N31" s="95"/>
      <c r="O31" s="49"/>
      <c r="P31" s="49"/>
    </row>
    <row r="32" spans="1:32" s="68" customFormat="1" ht="31.5" customHeight="1">
      <c r="A32" s="678" t="s">
        <v>34</v>
      </c>
      <c r="B32" s="680" t="s">
        <v>35</v>
      </c>
      <c r="C32" s="678" t="s">
        <v>100</v>
      </c>
      <c r="D32" s="718"/>
      <c r="E32" s="718"/>
      <c r="F32" s="718"/>
      <c r="G32" s="718"/>
      <c r="H32" s="718"/>
      <c r="I32" s="718"/>
      <c r="J32" s="723" t="s">
        <v>101</v>
      </c>
      <c r="K32" s="723" t="s">
        <v>102</v>
      </c>
      <c r="L32" s="723" t="s">
        <v>103</v>
      </c>
      <c r="M32" s="723" t="s">
        <v>104</v>
      </c>
      <c r="N32" s="724" t="s">
        <v>95</v>
      </c>
      <c r="O32" s="672" t="s">
        <v>307</v>
      </c>
      <c r="P32" s="730" t="s">
        <v>192</v>
      </c>
      <c r="Z32" s="68" t="str">
        <f>Z26</f>
        <v>Thermohygrometer Reference, Merek : Rotronic, Model : HC2A - SH Hygro Clip 2, SN : 72064154</v>
      </c>
    </row>
    <row r="33" spans="1:33" s="68" customFormat="1" ht="31.5" customHeight="1">
      <c r="A33" s="679"/>
      <c r="B33" s="681"/>
      <c r="C33" s="140" t="s">
        <v>37</v>
      </c>
      <c r="D33" s="140">
        <v>1</v>
      </c>
      <c r="E33" s="106">
        <v>2</v>
      </c>
      <c r="F33" s="140">
        <v>3</v>
      </c>
      <c r="G33" s="106">
        <v>4</v>
      </c>
      <c r="H33" s="140">
        <v>5</v>
      </c>
      <c r="I33" s="140">
        <v>6</v>
      </c>
      <c r="J33" s="723"/>
      <c r="K33" s="723"/>
      <c r="L33" s="723"/>
      <c r="M33" s="723"/>
      <c r="N33" s="724"/>
      <c r="O33" s="672"/>
      <c r="P33" s="730"/>
      <c r="Z33" s="49" t="str">
        <f>Z27</f>
        <v>(x)</v>
      </c>
      <c r="AA33" s="49" t="str">
        <f t="shared" ref="AA33:AD33" si="0">AA27</f>
        <v>x1</v>
      </c>
      <c r="AB33" s="49" t="str">
        <f t="shared" si="0"/>
        <v>y1</v>
      </c>
      <c r="AC33" s="49" t="str">
        <f t="shared" si="0"/>
        <v>x2</v>
      </c>
      <c r="AD33" s="49" t="str">
        <f t="shared" si="0"/>
        <v>y2</v>
      </c>
    </row>
    <row r="34" spans="1:33" s="68" customFormat="1" ht="33" customHeight="1">
      <c r="A34" s="106">
        <v>1</v>
      </c>
      <c r="B34" s="678" t="str">
        <f>IF(B89="",25,"5*")</f>
        <v>5*</v>
      </c>
      <c r="C34" s="154" t="s">
        <v>38</v>
      </c>
      <c r="D34" s="622">
        <v>5</v>
      </c>
      <c r="E34" s="622">
        <v>5</v>
      </c>
      <c r="F34" s="622">
        <v>5</v>
      </c>
      <c r="G34" s="622">
        <v>5</v>
      </c>
      <c r="H34" s="622">
        <v>5</v>
      </c>
      <c r="I34" s="622">
        <v>5</v>
      </c>
      <c r="J34" s="152">
        <f>AVERAGE(D34:I34)</f>
        <v>5</v>
      </c>
      <c r="K34" s="152">
        <f ca="1">IF($B$89="",'DB Standar'!B82,VLOOKUP(ID!$B$89,'DB Tipe K'!B311:E320,3,0))</f>
        <v>4.7549999999999999</v>
      </c>
      <c r="L34" s="605"/>
      <c r="M34" s="28">
        <f>STDEV(D34:I34)</f>
        <v>0</v>
      </c>
      <c r="N34" s="600">
        <f>(25.05+25.05+25.05+25.04+25.04+25.04)/6</f>
        <v>25.044999999999998</v>
      </c>
      <c r="O34" s="9">
        <f>25.044+0.09</f>
        <v>25.134</v>
      </c>
      <c r="P34" s="49">
        <f>25.13-25.1</f>
        <v>2.9999999999997584E-2</v>
      </c>
      <c r="Z34" s="9">
        <f>J34</f>
        <v>5</v>
      </c>
      <c r="AA34" s="49">
        <f>'DB Standar'!A70</f>
        <v>25</v>
      </c>
      <c r="AB34" s="9">
        <f>'DB Standar'!B70</f>
        <v>0.09</v>
      </c>
      <c r="AC34" s="49">
        <f>'DB Standar'!A71</f>
        <v>30</v>
      </c>
      <c r="AD34" s="9">
        <f>'DB Standar'!B71</f>
        <v>0.08</v>
      </c>
      <c r="AE34" s="9">
        <f>((((AD34-AB34)*(Z34-AA34)))/(AC34-AA34))+AB34</f>
        <v>0.12999999999999998</v>
      </c>
      <c r="AF34" s="9">
        <f>AE34+Z34</f>
        <v>5.13</v>
      </c>
      <c r="AG34" s="49"/>
    </row>
    <row r="35" spans="1:33" s="68" customFormat="1" ht="33" customHeight="1">
      <c r="A35" s="106">
        <v>2</v>
      </c>
      <c r="B35" s="679"/>
      <c r="C35" s="140" t="s">
        <v>39</v>
      </c>
      <c r="D35" s="620">
        <v>5.0999999999999996</v>
      </c>
      <c r="E35" s="620">
        <v>5.0999999999999996</v>
      </c>
      <c r="F35" s="620">
        <v>5.0999999999999996</v>
      </c>
      <c r="G35" s="620">
        <v>5.0999999999999996</v>
      </c>
      <c r="H35" s="620">
        <v>5.0999999999999996</v>
      </c>
      <c r="I35" s="620">
        <v>5.0999999999999996</v>
      </c>
      <c r="J35" s="153">
        <f>AVERAGE(D35:I35)</f>
        <v>5.1000000000000005</v>
      </c>
      <c r="K35" s="602"/>
      <c r="L35" s="152">
        <f ca="1">K34-J35</f>
        <v>-0.34500000000000064</v>
      </c>
      <c r="M35" s="28">
        <f>IFERROR(STDEV(D35:I35),0)</f>
        <v>9.7295071111809874E-16</v>
      </c>
      <c r="N35" s="95">
        <f>(25.1+25.1+25.1+25.1+25.1+25.1)/6</f>
        <v>25.099999999999998</v>
      </c>
      <c r="O35" s="49"/>
      <c r="P35" s="49"/>
    </row>
    <row r="36" spans="1:33" s="68" customFormat="1" ht="20.100000000000001" customHeight="1">
      <c r="A36" s="105"/>
      <c r="B36" s="105"/>
      <c r="C36" s="105"/>
      <c r="D36" s="105"/>
      <c r="E36" s="105"/>
      <c r="F36" s="105"/>
      <c r="G36" s="582"/>
      <c r="H36" s="6"/>
      <c r="I36" s="6"/>
      <c r="J36" s="4"/>
      <c r="K36" s="49"/>
      <c r="L36" s="4"/>
      <c r="N36" s="95"/>
      <c r="O36" s="49"/>
      <c r="P36" s="49"/>
    </row>
    <row r="37" spans="1:33" s="68" customFormat="1" ht="31.5" customHeight="1">
      <c r="A37" s="678" t="s">
        <v>34</v>
      </c>
      <c r="B37" s="680" t="s">
        <v>35</v>
      </c>
      <c r="C37" s="678" t="s">
        <v>100</v>
      </c>
      <c r="D37" s="718"/>
      <c r="E37" s="718"/>
      <c r="F37" s="718"/>
      <c r="G37" s="718"/>
      <c r="H37" s="718"/>
      <c r="I37" s="718"/>
      <c r="J37" s="723" t="s">
        <v>101</v>
      </c>
      <c r="K37" s="723" t="s">
        <v>102</v>
      </c>
      <c r="L37" s="723" t="s">
        <v>103</v>
      </c>
      <c r="M37" s="723" t="s">
        <v>104</v>
      </c>
      <c r="N37" s="724" t="str">
        <f>N32</f>
        <v>Rata-rata</v>
      </c>
      <c r="O37" s="672" t="str">
        <f t="shared" ref="O37:P37" si="1">O32</f>
        <v>Terkoreksi</v>
      </c>
      <c r="P37" s="672" t="str">
        <f t="shared" si="1"/>
        <v>Koreksi</v>
      </c>
      <c r="Z37" s="68" t="str">
        <f>Z32</f>
        <v>Thermohygrometer Reference, Merek : Rotronic, Model : HC2A - SH Hygro Clip 2, SN : 72064154</v>
      </c>
    </row>
    <row r="38" spans="1:33" s="68" customFormat="1" ht="31.5" customHeight="1">
      <c r="A38" s="679"/>
      <c r="B38" s="681"/>
      <c r="C38" s="140" t="s">
        <v>37</v>
      </c>
      <c r="D38" s="140">
        <v>1</v>
      </c>
      <c r="E38" s="106">
        <v>2</v>
      </c>
      <c r="F38" s="140">
        <v>3</v>
      </c>
      <c r="G38" s="106">
        <v>4</v>
      </c>
      <c r="H38" s="140">
        <v>5</v>
      </c>
      <c r="I38" s="140">
        <v>6</v>
      </c>
      <c r="J38" s="723"/>
      <c r="K38" s="723"/>
      <c r="L38" s="723"/>
      <c r="M38" s="723"/>
      <c r="N38" s="724"/>
      <c r="O38" s="672"/>
      <c r="P38" s="672"/>
      <c r="Z38" s="49" t="str">
        <f>Z33</f>
        <v>(x)</v>
      </c>
      <c r="AA38" s="49" t="str">
        <f t="shared" ref="AA38:AD38" si="2">AA33</f>
        <v>x1</v>
      </c>
      <c r="AB38" s="49" t="str">
        <f t="shared" si="2"/>
        <v>y1</v>
      </c>
      <c r="AC38" s="49" t="str">
        <f t="shared" si="2"/>
        <v>x2</v>
      </c>
      <c r="AD38" s="49" t="str">
        <f t="shared" si="2"/>
        <v>y2</v>
      </c>
      <c r="AE38" s="49"/>
      <c r="AF38" s="49"/>
    </row>
    <row r="39" spans="1:33" s="68" customFormat="1" ht="33" customHeight="1">
      <c r="A39" s="106">
        <v>1</v>
      </c>
      <c r="B39" s="678" t="str">
        <f>IF($B$89="",30,"8*")</f>
        <v>8*</v>
      </c>
      <c r="C39" s="154" t="s">
        <v>38</v>
      </c>
      <c r="D39" s="622">
        <v>8</v>
      </c>
      <c r="E39" s="622">
        <v>8</v>
      </c>
      <c r="F39" s="622">
        <v>8</v>
      </c>
      <c r="G39" s="622">
        <v>8</v>
      </c>
      <c r="H39" s="622">
        <v>8</v>
      </c>
      <c r="I39" s="622">
        <v>8</v>
      </c>
      <c r="J39" s="152">
        <f>AVERAGE(D39:I39)</f>
        <v>8</v>
      </c>
      <c r="K39" s="152">
        <f ca="1">IF($B$89="",'DB Standar'!B83,VLOOKUP(ID!$B$89,'DB Tipe K'!B325:E334,3,0))</f>
        <v>7.74</v>
      </c>
      <c r="L39" s="605"/>
      <c r="M39" s="28">
        <f>STDEV(D39:I39)</f>
        <v>0</v>
      </c>
      <c r="N39" s="600">
        <f>(30+30+30+30+30.02+30.02)/6</f>
        <v>30.006666666666671</v>
      </c>
      <c r="O39" s="49">
        <f>30.01+0.08</f>
        <v>30.09</v>
      </c>
      <c r="P39" s="49">
        <f>30.09-30</f>
        <v>8.9999999999999858E-2</v>
      </c>
      <c r="Z39" s="9">
        <f>J39</f>
        <v>8</v>
      </c>
      <c r="AA39" s="49">
        <f>'DB Standar'!A71</f>
        <v>30</v>
      </c>
      <c r="AB39" s="9">
        <f>'DB Standar'!B71</f>
        <v>0.08</v>
      </c>
      <c r="AC39" s="49">
        <f>'DB Standar'!A72</f>
        <v>35</v>
      </c>
      <c r="AD39" s="9">
        <f>'DB Standar'!B72</f>
        <v>7.0000000000000007E-2</v>
      </c>
      <c r="AE39" s="9">
        <f>((((AD39-AB39)*(Z39-AA39)))/(AC39-AA39))+AB39</f>
        <v>0.12399999999999997</v>
      </c>
      <c r="AF39" s="9">
        <f>AE39+Z39</f>
        <v>8.1240000000000006</v>
      </c>
    </row>
    <row r="40" spans="1:33" s="68" customFormat="1" ht="33" customHeight="1">
      <c r="A40" s="106">
        <v>2</v>
      </c>
      <c r="B40" s="679"/>
      <c r="C40" s="140" t="s">
        <v>39</v>
      </c>
      <c r="D40" s="623">
        <v>8.1</v>
      </c>
      <c r="E40" s="623">
        <v>8.1</v>
      </c>
      <c r="F40" s="623">
        <v>8.1</v>
      </c>
      <c r="G40" s="623">
        <v>8.1</v>
      </c>
      <c r="H40" s="623">
        <v>8.1</v>
      </c>
      <c r="I40" s="623">
        <v>8.1</v>
      </c>
      <c r="J40" s="153">
        <f>AVERAGE(D40:I40)</f>
        <v>8.1</v>
      </c>
      <c r="K40" s="602"/>
      <c r="L40" s="152">
        <f ca="1">K39-J40</f>
        <v>-0.35999999999999943</v>
      </c>
      <c r="M40" s="28">
        <f>STDEV(D40:I40)</f>
        <v>0</v>
      </c>
      <c r="N40" s="606">
        <f>(30+30+30+30+30+30)/6</f>
        <v>30</v>
      </c>
      <c r="O40" s="49"/>
      <c r="P40" s="49"/>
    </row>
    <row r="41" spans="1:33" s="68" customFormat="1" ht="16.5" customHeight="1">
      <c r="A41" s="105"/>
      <c r="B41" s="105"/>
      <c r="C41" s="105"/>
      <c r="D41" s="105"/>
      <c r="E41" s="105"/>
      <c r="F41" s="105"/>
      <c r="G41" s="582"/>
      <c r="H41" s="105"/>
      <c r="I41" s="105"/>
      <c r="J41" s="49"/>
      <c r="K41" s="49"/>
      <c r="L41" s="49"/>
      <c r="N41" s="95"/>
      <c r="O41" s="49"/>
      <c r="P41" s="49"/>
    </row>
    <row r="42" spans="1:33" s="68" customFormat="1" ht="31.5" customHeight="1">
      <c r="A42" s="678" t="s">
        <v>34</v>
      </c>
      <c r="B42" s="680" t="s">
        <v>35</v>
      </c>
      <c r="C42" s="678" t="s">
        <v>100</v>
      </c>
      <c r="D42" s="718"/>
      <c r="E42" s="718"/>
      <c r="F42" s="718"/>
      <c r="G42" s="718"/>
      <c r="H42" s="718"/>
      <c r="I42" s="718"/>
      <c r="J42" s="723" t="s">
        <v>101</v>
      </c>
      <c r="K42" s="723" t="s">
        <v>102</v>
      </c>
      <c r="L42" s="723" t="s">
        <v>103</v>
      </c>
      <c r="M42" s="723" t="s">
        <v>104</v>
      </c>
      <c r="N42" s="724" t="str">
        <f>N37</f>
        <v>Rata-rata</v>
      </c>
      <c r="O42" s="672" t="str">
        <f>O37</f>
        <v>Terkoreksi</v>
      </c>
      <c r="P42" s="672" t="str">
        <f>P37</f>
        <v>Koreksi</v>
      </c>
      <c r="Z42" s="68" t="str">
        <f>Z37</f>
        <v>Thermohygrometer Reference, Merek : Rotronic, Model : HC2A - SH Hygro Clip 2, SN : 72064154</v>
      </c>
    </row>
    <row r="43" spans="1:33" s="68" customFormat="1" ht="31.5" customHeight="1">
      <c r="A43" s="679"/>
      <c r="B43" s="681"/>
      <c r="C43" s="140" t="s">
        <v>37</v>
      </c>
      <c r="D43" s="140">
        <v>1</v>
      </c>
      <c r="E43" s="106">
        <v>2</v>
      </c>
      <c r="F43" s="140">
        <v>3</v>
      </c>
      <c r="G43" s="106">
        <v>4</v>
      </c>
      <c r="H43" s="140">
        <v>5</v>
      </c>
      <c r="I43" s="140">
        <v>6</v>
      </c>
      <c r="J43" s="723"/>
      <c r="K43" s="723"/>
      <c r="L43" s="723"/>
      <c r="M43" s="723"/>
      <c r="N43" s="724"/>
      <c r="O43" s="672"/>
      <c r="P43" s="672"/>
      <c r="Z43" s="49" t="str">
        <f>Z38</f>
        <v>(x)</v>
      </c>
      <c r="AA43" s="49" t="str">
        <f t="shared" ref="AA43:AD43" si="3">AA38</f>
        <v>x1</v>
      </c>
      <c r="AB43" s="49" t="str">
        <f t="shared" si="3"/>
        <v>y1</v>
      </c>
      <c r="AC43" s="49" t="str">
        <f t="shared" si="3"/>
        <v>x2</v>
      </c>
      <c r="AD43" s="49" t="str">
        <f t="shared" si="3"/>
        <v>y2</v>
      </c>
    </row>
    <row r="44" spans="1:33" s="68" customFormat="1" ht="33" customHeight="1">
      <c r="A44" s="106">
        <v>1</v>
      </c>
      <c r="B44" s="678">
        <f>IF($B$89="",35,25)</f>
        <v>25</v>
      </c>
      <c r="C44" s="154" t="s">
        <v>38</v>
      </c>
      <c r="D44" s="622">
        <v>25</v>
      </c>
      <c r="E44" s="622">
        <v>25</v>
      </c>
      <c r="F44" s="622">
        <v>25</v>
      </c>
      <c r="G44" s="622">
        <v>25</v>
      </c>
      <c r="H44" s="622">
        <v>25</v>
      </c>
      <c r="I44" s="622">
        <v>25</v>
      </c>
      <c r="J44" s="152">
        <f>AVERAGE(D44:I44)</f>
        <v>25</v>
      </c>
      <c r="K44" s="152">
        <f ca="1">'DB Standar'!B84</f>
        <v>25.09</v>
      </c>
      <c r="L44" s="605"/>
      <c r="M44" s="28">
        <f>STDEV(D44:I44)</f>
        <v>0</v>
      </c>
      <c r="N44" s="600">
        <f>(35+34.99+34.99+35+35+35)/6</f>
        <v>34.99666666666667</v>
      </c>
      <c r="O44" s="49">
        <f>35+0.07</f>
        <v>35.07</v>
      </c>
      <c r="P44" s="49">
        <f>35.7-35</f>
        <v>0.70000000000000284</v>
      </c>
      <c r="Z44" s="9">
        <f>N44</f>
        <v>34.99666666666667</v>
      </c>
      <c r="AA44" s="49">
        <f>'DB Standar'!A72</f>
        <v>35</v>
      </c>
      <c r="AB44" s="9">
        <f>'DB Standar'!B72</f>
        <v>7.0000000000000007E-2</v>
      </c>
      <c r="AC44" s="49">
        <f>'DB Standar'!A73</f>
        <v>45</v>
      </c>
      <c r="AD44" s="9">
        <f>'DB Standar'!B73</f>
        <v>0.05</v>
      </c>
      <c r="AE44" s="9">
        <f>((((AD44-AB44)*(Z44-AA44)))/(AC44-AA44))+AB44</f>
        <v>7.0006666666666661E-2</v>
      </c>
      <c r="AF44" s="9">
        <f>AE44+Z44</f>
        <v>35.066673333333334</v>
      </c>
    </row>
    <row r="45" spans="1:33" s="68" customFormat="1" ht="33" customHeight="1">
      <c r="A45" s="106">
        <v>2</v>
      </c>
      <c r="B45" s="679"/>
      <c r="C45" s="140" t="s">
        <v>39</v>
      </c>
      <c r="D45" s="623">
        <v>25.1</v>
      </c>
      <c r="E45" s="623">
        <v>25.1</v>
      </c>
      <c r="F45" s="623">
        <v>25.1</v>
      </c>
      <c r="G45" s="623">
        <v>25.1</v>
      </c>
      <c r="H45" s="623">
        <v>25.1</v>
      </c>
      <c r="I45" s="623">
        <v>25.1</v>
      </c>
      <c r="J45" s="153">
        <f>AVERAGE(D45:I45)</f>
        <v>25.099999999999998</v>
      </c>
      <c r="K45" s="602"/>
      <c r="L45" s="152">
        <f ca="1">K44-J45</f>
        <v>-9.9999999999980105E-3</v>
      </c>
      <c r="M45" s="28">
        <f>STDEV(D45:I45)</f>
        <v>3.891802844472395E-15</v>
      </c>
      <c r="N45" s="606">
        <f>(35+35+35+35+35+35)/6</f>
        <v>35</v>
      </c>
      <c r="O45" s="49"/>
      <c r="P45" s="49"/>
    </row>
    <row r="46" spans="1:33" s="68" customFormat="1" ht="31.5" customHeight="1">
      <c r="A46" s="719"/>
      <c r="B46" s="722"/>
      <c r="C46" s="722"/>
      <c r="D46" s="722"/>
      <c r="E46" s="722"/>
      <c r="F46" s="722"/>
      <c r="G46" s="582"/>
      <c r="H46" s="607"/>
      <c r="I46" s="607"/>
      <c r="J46" s="151"/>
      <c r="K46" s="155"/>
      <c r="L46" s="151"/>
      <c r="M46" s="151"/>
      <c r="N46" s="598"/>
      <c r="O46" s="49"/>
      <c r="P46" s="49"/>
    </row>
    <row r="47" spans="1:33" s="68" customFormat="1" ht="30" customHeight="1">
      <c r="A47" s="719"/>
      <c r="B47" s="722"/>
      <c r="C47" s="722"/>
      <c r="D47" s="722"/>
      <c r="E47" s="722"/>
      <c r="F47" s="722"/>
      <c r="G47" s="582"/>
      <c r="H47" s="607"/>
      <c r="I47" s="607"/>
      <c r="J47" s="151"/>
      <c r="K47" s="155"/>
      <c r="L47" s="151"/>
      <c r="M47" s="4"/>
      <c r="N47" s="95"/>
      <c r="O47" s="49"/>
      <c r="P47" s="49"/>
    </row>
    <row r="48" spans="1:33" s="68" customFormat="1" ht="20.100000000000001" customHeight="1">
      <c r="A48" s="105"/>
      <c r="B48" s="719"/>
      <c r="C48" s="719"/>
      <c r="D48" s="719"/>
      <c r="E48" s="719"/>
      <c r="F48" s="719"/>
      <c r="G48" s="582"/>
      <c r="H48" s="6"/>
      <c r="I48" s="6"/>
      <c r="J48" s="4"/>
      <c r="K48" s="49"/>
      <c r="L48" s="4"/>
      <c r="N48" s="95"/>
      <c r="O48" s="49"/>
      <c r="P48" s="49"/>
    </row>
    <row r="49" spans="1:46" s="68" customFormat="1" ht="20.100000000000001" customHeight="1">
      <c r="A49" s="105"/>
      <c r="B49" s="719"/>
      <c r="C49" s="105"/>
      <c r="D49" s="105"/>
      <c r="E49" s="105"/>
      <c r="F49" s="105"/>
      <c r="G49" s="582"/>
      <c r="H49" s="6"/>
      <c r="I49" s="6"/>
      <c r="J49" s="4"/>
      <c r="K49" s="49"/>
      <c r="L49" s="4"/>
      <c r="N49" s="95"/>
      <c r="O49" s="49"/>
      <c r="P49" s="49"/>
    </row>
    <row r="50" spans="1:46" s="68" customFormat="1" ht="20.100000000000001" customHeight="1">
      <c r="A50" s="105"/>
      <c r="B50" s="719"/>
      <c r="C50" s="719"/>
      <c r="D50" s="719"/>
      <c r="E50" s="719"/>
      <c r="F50" s="719"/>
      <c r="G50" s="582"/>
      <c r="H50" s="6"/>
      <c r="I50" s="6"/>
      <c r="J50" s="4"/>
      <c r="K50" s="49"/>
      <c r="L50" s="4"/>
      <c r="N50" s="95"/>
      <c r="O50" s="49"/>
      <c r="P50" s="49"/>
    </row>
    <row r="51" spans="1:46" s="68" customFormat="1" ht="20.100000000000001" customHeight="1">
      <c r="A51" s="105"/>
      <c r="B51" s="719"/>
      <c r="C51" s="719"/>
      <c r="D51" s="719"/>
      <c r="E51" s="719"/>
      <c r="F51" s="719"/>
      <c r="G51" s="582"/>
      <c r="H51" s="6"/>
      <c r="I51" s="6"/>
      <c r="J51" s="4"/>
      <c r="K51" s="49"/>
      <c r="L51" s="4"/>
      <c r="N51" s="95"/>
      <c r="O51" s="49"/>
      <c r="P51" s="49"/>
    </row>
    <row r="52" spans="1:46" s="68" customFormat="1" ht="20.100000000000001" customHeight="1">
      <c r="A52" s="105"/>
      <c r="B52" s="719"/>
      <c r="C52" s="105"/>
      <c r="D52" s="105"/>
      <c r="E52" s="105"/>
      <c r="F52" s="105"/>
      <c r="G52" s="582"/>
      <c r="H52" s="6"/>
      <c r="I52" s="6"/>
      <c r="J52" s="4"/>
      <c r="K52" s="49"/>
      <c r="L52" s="4"/>
      <c r="N52" s="95"/>
      <c r="O52" s="49"/>
      <c r="P52" s="49"/>
    </row>
    <row r="53" spans="1:46" s="68" customFormat="1" ht="20.100000000000001" customHeight="1">
      <c r="A53" s="105"/>
      <c r="B53" s="719"/>
      <c r="C53" s="105"/>
      <c r="D53" s="105"/>
      <c r="E53" s="105"/>
      <c r="F53" s="105"/>
      <c r="G53" s="582"/>
      <c r="H53" s="6"/>
      <c r="I53" s="6"/>
      <c r="J53" s="4"/>
      <c r="K53" s="49"/>
      <c r="L53" s="4"/>
      <c r="N53" s="95"/>
      <c r="O53" s="49"/>
      <c r="P53" s="49"/>
    </row>
    <row r="54" spans="1:46" s="68" customFormat="1" ht="20.100000000000001" customHeight="1">
      <c r="A54" s="105"/>
      <c r="B54" s="719"/>
      <c r="C54" s="719"/>
      <c r="D54" s="719"/>
      <c r="E54" s="719"/>
      <c r="F54" s="719"/>
      <c r="G54" s="582"/>
      <c r="H54" s="6"/>
      <c r="I54" s="6"/>
      <c r="J54" s="4"/>
      <c r="K54" s="49"/>
      <c r="L54" s="4"/>
      <c r="N54" s="95"/>
      <c r="O54" s="49"/>
      <c r="P54" s="49"/>
    </row>
    <row r="55" spans="1:46" s="68" customFormat="1" ht="19.5" customHeight="1">
      <c r="B55" s="91" t="s">
        <v>40</v>
      </c>
      <c r="K55" s="604"/>
      <c r="L55" s="94"/>
      <c r="N55" s="95"/>
      <c r="O55" s="49"/>
      <c r="P55" s="49"/>
    </row>
    <row r="56" spans="1:46" s="68" customFormat="1" ht="31.5" customHeight="1">
      <c r="A56" s="678" t="s">
        <v>34</v>
      </c>
      <c r="B56" s="680" t="s">
        <v>41</v>
      </c>
      <c r="C56" s="678" t="s">
        <v>110</v>
      </c>
      <c r="D56" s="718"/>
      <c r="E56" s="718"/>
      <c r="F56" s="718"/>
      <c r="G56" s="718"/>
      <c r="H56" s="718"/>
      <c r="I56" s="718"/>
      <c r="J56" s="723" t="s">
        <v>111</v>
      </c>
      <c r="K56" s="723" t="s">
        <v>112</v>
      </c>
      <c r="L56" s="723" t="s">
        <v>113</v>
      </c>
      <c r="M56" s="723" t="s">
        <v>114</v>
      </c>
      <c r="N56" s="724" t="str">
        <f>N42</f>
        <v>Rata-rata</v>
      </c>
      <c r="O56" s="672" t="str">
        <f>O42</f>
        <v>Terkoreksi</v>
      </c>
      <c r="P56" s="672" t="str">
        <f>P42</f>
        <v>Koreksi</v>
      </c>
      <c r="Z56" s="68" t="str">
        <f>Z42</f>
        <v>Thermohygrometer Reference, Merek : Rotronic, Model : HC2A - SH Hygro Clip 2, SN : 72064154</v>
      </c>
      <c r="AL56" s="718" t="s">
        <v>115</v>
      </c>
      <c r="AM56" s="718"/>
      <c r="AO56" s="718" t="s">
        <v>116</v>
      </c>
      <c r="AP56" s="718"/>
      <c r="AR56" s="140" t="s">
        <v>117</v>
      </c>
      <c r="AT56" s="106" t="s">
        <v>118</v>
      </c>
    </row>
    <row r="57" spans="1:46" s="68" customFormat="1" ht="31.5" customHeight="1">
      <c r="A57" s="679"/>
      <c r="B57" s="681"/>
      <c r="C57" s="106" t="s">
        <v>119</v>
      </c>
      <c r="D57" s="140">
        <v>1</v>
      </c>
      <c r="E57" s="106">
        <v>2</v>
      </c>
      <c r="F57" s="140">
        <v>3</v>
      </c>
      <c r="G57" s="106">
        <v>4</v>
      </c>
      <c r="H57" s="140">
        <v>5</v>
      </c>
      <c r="I57" s="140">
        <v>6</v>
      </c>
      <c r="J57" s="723"/>
      <c r="K57" s="723"/>
      <c r="L57" s="723"/>
      <c r="M57" s="723"/>
      <c r="N57" s="724"/>
      <c r="O57" s="672"/>
      <c r="P57" s="672"/>
      <c r="Z57" s="49" t="str">
        <f>Z43</f>
        <v>(x)</v>
      </c>
      <c r="AA57" s="49" t="str">
        <f t="shared" ref="AA57:AD57" si="4">AA43</f>
        <v>x1</v>
      </c>
      <c r="AB57" s="49" t="str">
        <f t="shared" si="4"/>
        <v>y1</v>
      </c>
      <c r="AC57" s="49" t="str">
        <f t="shared" si="4"/>
        <v>x2</v>
      </c>
      <c r="AD57" s="49" t="str">
        <f t="shared" si="4"/>
        <v>y2</v>
      </c>
      <c r="AE57" s="49"/>
      <c r="AF57" s="49"/>
      <c r="AL57" s="106">
        <v>40</v>
      </c>
      <c r="AM57" s="141">
        <f>J59</f>
        <v>42.4</v>
      </c>
      <c r="AO57" s="106">
        <v>40</v>
      </c>
      <c r="AP57" s="141">
        <f>J61</f>
        <v>42.4</v>
      </c>
      <c r="AR57" s="28">
        <f>ABS(AM57-AP57)</f>
        <v>0</v>
      </c>
      <c r="AT57" s="725">
        <f>MAX(AR57:AR60)</f>
        <v>0.29999999999999716</v>
      </c>
    </row>
    <row r="58" spans="1:46" s="68" customFormat="1" ht="33" customHeight="1">
      <c r="A58" s="106">
        <v>1</v>
      </c>
      <c r="B58" s="718">
        <v>40</v>
      </c>
      <c r="C58" s="140" t="s">
        <v>43</v>
      </c>
      <c r="D58" s="622">
        <v>43.41</v>
      </c>
      <c r="E58" s="622">
        <v>43.41</v>
      </c>
      <c r="F58" s="622">
        <v>43.41</v>
      </c>
      <c r="G58" s="620">
        <v>43.41</v>
      </c>
      <c r="H58" s="622">
        <v>43.41</v>
      </c>
      <c r="I58" s="622">
        <v>43.41</v>
      </c>
      <c r="J58" s="152">
        <f>AVERAGE(D58:I58)</f>
        <v>43.41</v>
      </c>
      <c r="K58" s="152">
        <f ca="1">'DB Standar'!B87</f>
        <v>42.279809999999998</v>
      </c>
      <c r="L58" s="608"/>
      <c r="M58" s="28">
        <f>IFERROR(STDEV(D58:I58),0)</f>
        <v>0</v>
      </c>
      <c r="N58" s="600">
        <f>(43.4+43.4+43.41+43.41+43.41+43.41)/6</f>
        <v>43.406666666666659</v>
      </c>
      <c r="O58" s="49">
        <f>(43.41-1.13)</f>
        <v>42.279999999999994</v>
      </c>
      <c r="P58" s="49">
        <f>42.28-42.4</f>
        <v>-0.11999999999999744</v>
      </c>
      <c r="Z58" s="9">
        <f>N58</f>
        <v>43.406666666666659</v>
      </c>
      <c r="AA58" s="49">
        <f>'DB Standar'!D70</f>
        <v>40</v>
      </c>
      <c r="AB58" s="9">
        <f>'DB Standar'!E70</f>
        <v>-1.27</v>
      </c>
      <c r="AC58" s="49">
        <f>'DB Standar'!D71</f>
        <v>50</v>
      </c>
      <c r="AD58" s="9">
        <f>'DB Standar'!E71</f>
        <v>-0.86</v>
      </c>
      <c r="AE58" s="9">
        <f>((((AD58-AB58)*(Z58-AA58)))/(AC58-AA58))+AB58</f>
        <v>-1.1303266666666669</v>
      </c>
      <c r="AF58" s="9">
        <f>AE58+Z58</f>
        <v>42.27633999999999</v>
      </c>
      <c r="AL58" s="106">
        <v>50</v>
      </c>
      <c r="AM58" s="141">
        <f>J66</f>
        <v>51.6</v>
      </c>
      <c r="AO58" s="106">
        <v>50</v>
      </c>
      <c r="AP58" s="141">
        <f>J68</f>
        <v>51.6</v>
      </c>
      <c r="AR58" s="28">
        <f>ABS(AM58-AP58)</f>
        <v>0</v>
      </c>
      <c r="AT58" s="725"/>
    </row>
    <row r="59" spans="1:46" s="68" customFormat="1" ht="33" customHeight="1">
      <c r="A59" s="718">
        <v>2</v>
      </c>
      <c r="B59" s="718"/>
      <c r="C59" s="140" t="s">
        <v>44</v>
      </c>
      <c r="D59" s="623">
        <v>42.4</v>
      </c>
      <c r="E59" s="623">
        <v>42.4</v>
      </c>
      <c r="F59" s="623">
        <v>42.4</v>
      </c>
      <c r="G59" s="623">
        <v>42.4</v>
      </c>
      <c r="H59" s="623">
        <v>42.4</v>
      </c>
      <c r="I59" s="623">
        <v>42.4</v>
      </c>
      <c r="J59" s="153">
        <f t="shared" ref="J59:J61" si="5">AVERAGE(D59:I59)</f>
        <v>42.4</v>
      </c>
      <c r="K59" s="602"/>
      <c r="L59" s="28">
        <f ca="1">K58-J59</f>
        <v>-0.12019000000000091</v>
      </c>
      <c r="M59" s="28">
        <f t="shared" ref="M59:M61" si="6">STDEV(D59:I59)</f>
        <v>0</v>
      </c>
      <c r="N59" s="95">
        <f>(42.4+42.4+42.4+42.4+42.4+42.4)/6</f>
        <v>42.4</v>
      </c>
      <c r="O59" s="49"/>
      <c r="P59" s="49"/>
      <c r="Z59" s="9">
        <f>N60</f>
        <v>43.513333333333343</v>
      </c>
      <c r="AA59" s="49">
        <f>AA58</f>
        <v>40</v>
      </c>
      <c r="AB59" s="9">
        <f>AB58</f>
        <v>-1.27</v>
      </c>
      <c r="AC59" s="49">
        <f>AC58</f>
        <v>50</v>
      </c>
      <c r="AD59" s="9">
        <f>AD58</f>
        <v>-0.86</v>
      </c>
      <c r="AE59" s="9">
        <f>((((AD59-AB59)*(Z59-AA59)))/(AC59-AA59))+AB59</f>
        <v>-1.1259533333333329</v>
      </c>
      <c r="AF59" s="9">
        <f>AE59+Z59</f>
        <v>42.387380000000007</v>
      </c>
      <c r="AL59" s="106">
        <v>60</v>
      </c>
      <c r="AM59" s="141">
        <f>J73</f>
        <v>59.93333333333333</v>
      </c>
      <c r="AO59" s="106">
        <v>60</v>
      </c>
      <c r="AP59" s="141">
        <f>J75</f>
        <v>59.800000000000004</v>
      </c>
      <c r="AR59" s="28">
        <f t="shared" ref="AR59" si="7">ABS(AM59-AP59)</f>
        <v>0.13333333333332575</v>
      </c>
      <c r="AT59" s="725"/>
    </row>
    <row r="60" spans="1:46" s="68" customFormat="1" ht="33" customHeight="1">
      <c r="A60" s="718"/>
      <c r="B60" s="718"/>
      <c r="C60" s="140" t="s">
        <v>45</v>
      </c>
      <c r="D60" s="624">
        <v>43.52</v>
      </c>
      <c r="E60" s="624">
        <v>43.52</v>
      </c>
      <c r="F60" s="624">
        <v>43.52</v>
      </c>
      <c r="G60" s="624">
        <v>43.52</v>
      </c>
      <c r="H60" s="624">
        <v>43.5</v>
      </c>
      <c r="I60" s="624">
        <v>43.5</v>
      </c>
      <c r="J60" s="152">
        <f>AVERAGE(D60:I60)</f>
        <v>43.513333333333343</v>
      </c>
      <c r="K60" s="152">
        <f ca="1">'DB Standar'!B93</f>
        <v>42.387380000000007</v>
      </c>
      <c r="L60" s="609"/>
      <c r="M60" s="28">
        <f t="shared" si="6"/>
        <v>1.032795558988806E-2</v>
      </c>
      <c r="N60" s="600">
        <f>(43.52+43.52+43.52+43.52+43.5+43.5)/6</f>
        <v>43.513333333333343</v>
      </c>
      <c r="O60" s="49">
        <f>43.51-1.13</f>
        <v>42.379999999999995</v>
      </c>
      <c r="P60" s="49">
        <f>42.38-42.4</f>
        <v>-1.9999999999996021E-2</v>
      </c>
      <c r="AL60" s="106">
        <v>70</v>
      </c>
      <c r="AM60" s="141">
        <f>J80</f>
        <v>70.5</v>
      </c>
      <c r="AO60" s="106">
        <v>70</v>
      </c>
      <c r="AP60" s="141">
        <f>J82</f>
        <v>70.8</v>
      </c>
      <c r="AR60" s="28">
        <f>ABS(AM60-AP60)</f>
        <v>0.29999999999999716</v>
      </c>
      <c r="AT60" s="725"/>
    </row>
    <row r="61" spans="1:46" s="68" customFormat="1" ht="33" customHeight="1">
      <c r="A61" s="718"/>
      <c r="B61" s="718"/>
      <c r="C61" s="140" t="s">
        <v>46</v>
      </c>
      <c r="D61" s="623">
        <v>42.4</v>
      </c>
      <c r="E61" s="623">
        <v>42.4</v>
      </c>
      <c r="F61" s="623">
        <v>42.4</v>
      </c>
      <c r="G61" s="623">
        <v>42.4</v>
      </c>
      <c r="H61" s="623">
        <v>42.4</v>
      </c>
      <c r="I61" s="623">
        <v>42.4</v>
      </c>
      <c r="J61" s="153">
        <f t="shared" si="5"/>
        <v>42.4</v>
      </c>
      <c r="K61" s="602"/>
      <c r="L61" s="28">
        <f ca="1">K60-J61</f>
        <v>-1.2619999999991194E-2</v>
      </c>
      <c r="M61" s="28">
        <f t="shared" si="6"/>
        <v>0</v>
      </c>
      <c r="N61" s="95">
        <f>(42.4+42.4+42.4+42.4+42.4+42.4)/6</f>
        <v>42.4</v>
      </c>
      <c r="O61" s="49"/>
      <c r="P61" s="49"/>
      <c r="X61" s="9"/>
      <c r="AT61" s="725"/>
    </row>
    <row r="62" spans="1:46" s="68" customFormat="1" ht="19.5" customHeight="1">
      <c r="A62" s="603"/>
      <c r="B62" s="603"/>
      <c r="C62" s="582"/>
      <c r="D62" s="582"/>
      <c r="E62" s="582"/>
      <c r="F62" s="582"/>
      <c r="G62" s="582"/>
      <c r="H62" s="582"/>
      <c r="I62" s="582"/>
      <c r="K62" s="604"/>
      <c r="L62" s="94"/>
      <c r="N62" s="95"/>
      <c r="O62" s="49"/>
      <c r="P62" s="9"/>
    </row>
    <row r="63" spans="1:46" s="68" customFormat="1" ht="31.5" customHeight="1">
      <c r="A63" s="678" t="s">
        <v>34</v>
      </c>
      <c r="B63" s="680" t="s">
        <v>41</v>
      </c>
      <c r="C63" s="678" t="s">
        <v>110</v>
      </c>
      <c r="D63" s="718"/>
      <c r="E63" s="718"/>
      <c r="F63" s="718"/>
      <c r="G63" s="718"/>
      <c r="H63" s="718"/>
      <c r="I63" s="718"/>
      <c r="J63" s="723" t="s">
        <v>111</v>
      </c>
      <c r="K63" s="723" t="s">
        <v>112</v>
      </c>
      <c r="L63" s="723" t="s">
        <v>113</v>
      </c>
      <c r="M63" s="723" t="s">
        <v>114</v>
      </c>
      <c r="N63" s="724" t="str">
        <f>N56</f>
        <v>Rata-rata</v>
      </c>
      <c r="O63" s="672" t="str">
        <f t="shared" ref="O63:P63" si="8">O56</f>
        <v>Terkoreksi</v>
      </c>
      <c r="P63" s="672" t="str">
        <f t="shared" si="8"/>
        <v>Koreksi</v>
      </c>
      <c r="Z63" s="68" t="str">
        <f>Z56</f>
        <v>Thermohygrometer Reference, Merek : Rotronic, Model : HC2A - SH Hygro Clip 2, SN : 72064154</v>
      </c>
    </row>
    <row r="64" spans="1:46" s="68" customFormat="1" ht="31.5" customHeight="1">
      <c r="A64" s="679"/>
      <c r="B64" s="681"/>
      <c r="C64" s="106" t="s">
        <v>119</v>
      </c>
      <c r="D64" s="140">
        <v>1</v>
      </c>
      <c r="E64" s="106">
        <v>2</v>
      </c>
      <c r="F64" s="140">
        <v>3</v>
      </c>
      <c r="G64" s="106">
        <v>4</v>
      </c>
      <c r="H64" s="140">
        <v>5</v>
      </c>
      <c r="I64" s="140">
        <v>6</v>
      </c>
      <c r="J64" s="723"/>
      <c r="K64" s="723"/>
      <c r="L64" s="723"/>
      <c r="M64" s="723"/>
      <c r="N64" s="724"/>
      <c r="O64" s="672"/>
      <c r="P64" s="672"/>
      <c r="R64" s="601"/>
      <c r="Z64" s="49" t="str">
        <f>Z57</f>
        <v>(x)</v>
      </c>
      <c r="AA64" s="49" t="str">
        <f t="shared" ref="AA64:AD64" si="9">AA57</f>
        <v>x1</v>
      </c>
      <c r="AB64" s="49" t="str">
        <f t="shared" si="9"/>
        <v>y1</v>
      </c>
      <c r="AC64" s="49" t="str">
        <f t="shared" si="9"/>
        <v>x2</v>
      </c>
      <c r="AD64" s="49" t="str">
        <f t="shared" si="9"/>
        <v>y2</v>
      </c>
    </row>
    <row r="65" spans="1:32" s="68" customFormat="1" ht="33" customHeight="1">
      <c r="A65" s="106">
        <v>1</v>
      </c>
      <c r="B65" s="718">
        <v>50</v>
      </c>
      <c r="C65" s="140" t="s">
        <v>43</v>
      </c>
      <c r="D65" s="622">
        <v>52.73</v>
      </c>
      <c r="E65" s="622">
        <v>52.73</v>
      </c>
      <c r="F65" s="622">
        <v>52.73</v>
      </c>
      <c r="G65" s="620">
        <v>52.7</v>
      </c>
      <c r="H65" s="622">
        <v>52.7</v>
      </c>
      <c r="I65" s="622">
        <v>52.7</v>
      </c>
      <c r="J65" s="152">
        <f>AVERAGE(D65:I65)</f>
        <v>52.714999999999996</v>
      </c>
      <c r="K65" s="152">
        <f ca="1">'DB Standar'!B88</f>
        <v>51.947309999999995</v>
      </c>
      <c r="L65" s="605"/>
      <c r="M65" s="28">
        <f>STDEV(D65:I65)</f>
        <v>1.6431676725151716E-2</v>
      </c>
      <c r="N65" s="600">
        <f>(52.73+52.73+52.73+52.7+52.7+52.7)/6</f>
        <v>52.714999999999996</v>
      </c>
      <c r="O65" s="49">
        <f>52.72-0.77</f>
        <v>51.949999999999996</v>
      </c>
      <c r="P65" s="49">
        <f>51.95-51.6</f>
        <v>0.35000000000000142</v>
      </c>
      <c r="Z65" s="9">
        <f>N65</f>
        <v>52.714999999999996</v>
      </c>
      <c r="AA65" s="49">
        <f>'DB Standar'!D71</f>
        <v>50</v>
      </c>
      <c r="AB65" s="9">
        <f>'DB Standar'!E71</f>
        <v>-0.86</v>
      </c>
      <c r="AC65" s="49">
        <f>'DB Standar'!D72</f>
        <v>60</v>
      </c>
      <c r="AD65" s="9">
        <f>'DB Standar'!E72</f>
        <v>-0.52</v>
      </c>
      <c r="AE65" s="9">
        <f>((((AD65-AB65)*(Z65-AA65)))/(AC65-AA65))+AB65</f>
        <v>-0.76769000000000009</v>
      </c>
      <c r="AF65" s="9">
        <f>AE65+Z65</f>
        <v>51.947309999999995</v>
      </c>
    </row>
    <row r="66" spans="1:32" s="68" customFormat="1" ht="33" customHeight="1">
      <c r="A66" s="718">
        <v>2</v>
      </c>
      <c r="B66" s="718"/>
      <c r="C66" s="140" t="s">
        <v>44</v>
      </c>
      <c r="D66" s="623">
        <v>51.6</v>
      </c>
      <c r="E66" s="623">
        <v>51.6</v>
      </c>
      <c r="F66" s="623">
        <v>51.6</v>
      </c>
      <c r="G66" s="623">
        <v>51.6</v>
      </c>
      <c r="H66" s="623">
        <v>51.6</v>
      </c>
      <c r="I66" s="623">
        <v>51.6</v>
      </c>
      <c r="J66" s="153">
        <f t="shared" ref="J66:J68" si="10">AVERAGE(D66:I66)</f>
        <v>51.6</v>
      </c>
      <c r="K66" s="610"/>
      <c r="L66" s="28">
        <f ca="1">K65-J66</f>
        <v>0.34730999999999312</v>
      </c>
      <c r="M66" s="28">
        <f>IFERROR(STDEV(D66:I66),0)</f>
        <v>0</v>
      </c>
      <c r="N66" s="95">
        <f>(51.6+51.6+51.6+51.6+51.6+51.6)/6</f>
        <v>51.6</v>
      </c>
      <c r="O66" s="49"/>
      <c r="P66" s="49"/>
      <c r="Z66" s="49">
        <f>N67</f>
        <v>52.590000000000011</v>
      </c>
      <c r="AA66" s="49">
        <f>AA65</f>
        <v>50</v>
      </c>
      <c r="AB66" s="9">
        <f>AB65</f>
        <v>-0.86</v>
      </c>
      <c r="AC66" s="49">
        <f>AC65</f>
        <v>60</v>
      </c>
      <c r="AD66" s="9">
        <f>AD65</f>
        <v>-0.52</v>
      </c>
      <c r="AE66" s="9">
        <f>((((AD66-AB66)*(Z66-AA66)))/(AC66-AA66))+AB66</f>
        <v>-0.77193999999999963</v>
      </c>
      <c r="AF66" s="9">
        <f>AE66+Z66</f>
        <v>51.81806000000001</v>
      </c>
    </row>
    <row r="67" spans="1:32" s="68" customFormat="1" ht="33" customHeight="1">
      <c r="A67" s="718"/>
      <c r="B67" s="718"/>
      <c r="C67" s="140" t="s">
        <v>45</v>
      </c>
      <c r="D67" s="624">
        <v>52.59</v>
      </c>
      <c r="E67" s="624">
        <v>52.59</v>
      </c>
      <c r="F67" s="624">
        <v>52.59</v>
      </c>
      <c r="G67" s="624">
        <v>52.59</v>
      </c>
      <c r="H67" s="624">
        <v>52.59</v>
      </c>
      <c r="I67" s="624">
        <v>52.59</v>
      </c>
      <c r="J67" s="152">
        <f t="shared" si="10"/>
        <v>52.590000000000011</v>
      </c>
      <c r="K67" s="152">
        <f ca="1">'DB Standar'!B94</f>
        <v>51.81806000000001</v>
      </c>
      <c r="L67" s="605"/>
      <c r="M67" s="28">
        <f>IFERROR(STDEV(D67:I67),0)</f>
        <v>7.7836056889447899E-15</v>
      </c>
      <c r="N67" s="95">
        <f>(52.59+52.59+52.59+52.59+52.59+52.59)/6</f>
        <v>52.590000000000011</v>
      </c>
      <c r="O67" s="49">
        <f>52.59-0.77</f>
        <v>51.82</v>
      </c>
      <c r="P67" s="49">
        <f>51.82-51.6</f>
        <v>0.21999999999999886</v>
      </c>
    </row>
    <row r="68" spans="1:32" s="68" customFormat="1" ht="33" customHeight="1">
      <c r="A68" s="718"/>
      <c r="B68" s="718"/>
      <c r="C68" s="140" t="s">
        <v>46</v>
      </c>
      <c r="D68" s="623">
        <v>51.6</v>
      </c>
      <c r="E68" s="623">
        <v>51.6</v>
      </c>
      <c r="F68" s="623">
        <v>51.6</v>
      </c>
      <c r="G68" s="623">
        <v>51.6</v>
      </c>
      <c r="H68" s="623">
        <v>51.6</v>
      </c>
      <c r="I68" s="623">
        <v>51.6</v>
      </c>
      <c r="J68" s="153">
        <f t="shared" si="10"/>
        <v>51.6</v>
      </c>
      <c r="K68" s="610"/>
      <c r="L68" s="28">
        <f ca="1">K67-J68</f>
        <v>0.21806000000000836</v>
      </c>
      <c r="M68" s="28">
        <f>IFERROR(STDEV(D68:I68),0)</f>
        <v>0</v>
      </c>
      <c r="N68" s="95">
        <f>(51.6+51.6+51.6+51.6+51.6+51.6)/6</f>
        <v>51.6</v>
      </c>
      <c r="O68" s="49"/>
      <c r="P68" s="49"/>
    </row>
    <row r="69" spans="1:32" s="68" customFormat="1" ht="20.100000000000001" customHeight="1">
      <c r="A69" s="105"/>
      <c r="B69" s="105"/>
      <c r="C69" s="105"/>
      <c r="D69" s="105"/>
      <c r="E69" s="105"/>
      <c r="F69" s="105"/>
      <c r="G69" s="581"/>
      <c r="H69" s="582"/>
      <c r="I69" s="582"/>
      <c r="K69" s="95"/>
      <c r="N69" s="95"/>
      <c r="O69" s="49"/>
      <c r="P69" s="49"/>
    </row>
    <row r="70" spans="1:32" s="68" customFormat="1" ht="31.5" customHeight="1">
      <c r="A70" s="678" t="s">
        <v>34</v>
      </c>
      <c r="B70" s="680" t="s">
        <v>41</v>
      </c>
      <c r="C70" s="678" t="s">
        <v>110</v>
      </c>
      <c r="D70" s="718"/>
      <c r="E70" s="718"/>
      <c r="F70" s="718"/>
      <c r="G70" s="718"/>
      <c r="H70" s="718"/>
      <c r="I70" s="718"/>
      <c r="J70" s="723" t="s">
        <v>111</v>
      </c>
      <c r="K70" s="723" t="s">
        <v>112</v>
      </c>
      <c r="L70" s="723" t="s">
        <v>113</v>
      </c>
      <c r="M70" s="723" t="s">
        <v>114</v>
      </c>
      <c r="N70" s="729" t="str">
        <f>N63</f>
        <v>Rata-rata</v>
      </c>
      <c r="O70" s="672" t="str">
        <f>O63</f>
        <v>Terkoreksi</v>
      </c>
      <c r="P70" s="730" t="str">
        <f>P63</f>
        <v>Koreksi</v>
      </c>
      <c r="Z70" s="39" t="str">
        <f>Z63</f>
        <v>Thermohygrometer Reference, Merek : Rotronic, Model : HC2A - SH Hygro Clip 2, SN : 72064154</v>
      </c>
      <c r="AA70" s="49"/>
      <c r="AB70" s="49"/>
      <c r="AC70" s="49"/>
      <c r="AD70" s="49"/>
      <c r="AE70" s="49"/>
      <c r="AF70" s="49"/>
    </row>
    <row r="71" spans="1:32" s="68" customFormat="1" ht="31.5" customHeight="1">
      <c r="A71" s="679"/>
      <c r="B71" s="681"/>
      <c r="C71" s="106" t="s">
        <v>119</v>
      </c>
      <c r="D71" s="140">
        <v>1</v>
      </c>
      <c r="E71" s="106">
        <v>2</v>
      </c>
      <c r="F71" s="140">
        <v>3</v>
      </c>
      <c r="G71" s="106">
        <v>4</v>
      </c>
      <c r="H71" s="140">
        <v>5</v>
      </c>
      <c r="I71" s="140">
        <v>6</v>
      </c>
      <c r="J71" s="723"/>
      <c r="K71" s="723"/>
      <c r="L71" s="723"/>
      <c r="M71" s="723"/>
      <c r="N71" s="729"/>
      <c r="O71" s="672"/>
      <c r="P71" s="730"/>
      <c r="Z71" s="49" t="str">
        <f>Z64</f>
        <v>(x)</v>
      </c>
      <c r="AA71" s="49" t="str">
        <f t="shared" ref="AA71:AD71" si="11">AA64</f>
        <v>x1</v>
      </c>
      <c r="AB71" s="49" t="str">
        <f t="shared" si="11"/>
        <v>y1</v>
      </c>
      <c r="AC71" s="49" t="str">
        <f t="shared" si="11"/>
        <v>x2</v>
      </c>
      <c r="AD71" s="49" t="str">
        <f t="shared" si="11"/>
        <v>y2</v>
      </c>
      <c r="AE71" s="49"/>
      <c r="AF71" s="49"/>
    </row>
    <row r="72" spans="1:32" s="68" customFormat="1" ht="33" customHeight="1">
      <c r="A72" s="106">
        <v>1</v>
      </c>
      <c r="B72" s="718">
        <v>60</v>
      </c>
      <c r="C72" s="140" t="s">
        <v>43</v>
      </c>
      <c r="D72" s="622">
        <v>61.74</v>
      </c>
      <c r="E72" s="622">
        <v>61.75</v>
      </c>
      <c r="F72" s="622">
        <v>61.75</v>
      </c>
      <c r="G72" s="620">
        <v>61.75</v>
      </c>
      <c r="H72" s="622">
        <v>61.75</v>
      </c>
      <c r="I72" s="622">
        <v>61.75</v>
      </c>
      <c r="J72" s="152">
        <f>AVERAGE(D72:I72)</f>
        <v>61.748333333333335</v>
      </c>
      <c r="K72" s="152">
        <f ca="1">'DB Standar'!B89</f>
        <v>61.277286666666669</v>
      </c>
      <c r="L72" s="605"/>
      <c r="M72" s="28">
        <f>STDEV(D72:I72)</f>
        <v>4.082482904637817E-3</v>
      </c>
      <c r="N72" s="9">
        <f>(61.74+61.75+61.75+61.75+61.75+61.75)/6</f>
        <v>61.748333333333335</v>
      </c>
      <c r="O72" s="49">
        <f>61.75-0.47</f>
        <v>61.28</v>
      </c>
      <c r="P72" s="9">
        <f>(61.28-59.9)</f>
        <v>1.3800000000000026</v>
      </c>
      <c r="Z72" s="9">
        <f>N72</f>
        <v>61.748333333333335</v>
      </c>
      <c r="AA72" s="49">
        <f>'DB Standar'!D72</f>
        <v>60</v>
      </c>
      <c r="AB72" s="9">
        <f>'DB Standar'!E72</f>
        <v>-0.52</v>
      </c>
      <c r="AC72" s="49">
        <f>'DB Standar'!D73</f>
        <v>70</v>
      </c>
      <c r="AD72" s="9">
        <f>'DB Standar'!E73</f>
        <v>-0.24</v>
      </c>
      <c r="AE72" s="9">
        <f>((((AD72-AB72)*(Z72-AA72)))/(AC72-AA72))+AB72</f>
        <v>-0.47104666666666661</v>
      </c>
      <c r="AF72" s="9">
        <f>AE72+Z72</f>
        <v>61.277286666666669</v>
      </c>
    </row>
    <row r="73" spans="1:32" s="68" customFormat="1" ht="33" customHeight="1">
      <c r="A73" s="718">
        <v>2</v>
      </c>
      <c r="B73" s="718"/>
      <c r="C73" s="140" t="s">
        <v>44</v>
      </c>
      <c r="D73" s="623">
        <v>60.1</v>
      </c>
      <c r="E73" s="623">
        <v>59.9</v>
      </c>
      <c r="F73" s="623">
        <v>59.9</v>
      </c>
      <c r="G73" s="623">
        <v>59.9</v>
      </c>
      <c r="H73" s="623">
        <v>59.9</v>
      </c>
      <c r="I73" s="623">
        <v>59.9</v>
      </c>
      <c r="J73" s="153">
        <f t="shared" ref="J73:J75" si="12">AVERAGE(D73:I73)</f>
        <v>59.93333333333333</v>
      </c>
      <c r="K73" s="610"/>
      <c r="L73" s="28">
        <f ca="1">K72-J73</f>
        <v>1.3439533333333387</v>
      </c>
      <c r="M73" s="28">
        <f t="shared" ref="M73:M74" si="13">STDEV(D73:I73)</f>
        <v>8.1649658092773775E-2</v>
      </c>
      <c r="N73" s="611">
        <f>(60.1+59.9+59.9+59.9+59.9+59.9)/6</f>
        <v>59.93333333333333</v>
      </c>
      <c r="O73" s="49"/>
      <c r="P73" s="49"/>
      <c r="Z73" s="49">
        <f>N74</f>
        <v>61.379999999999995</v>
      </c>
      <c r="AA73" s="49">
        <f>AA72</f>
        <v>60</v>
      </c>
      <c r="AB73" s="9">
        <f>AB72</f>
        <v>-0.52</v>
      </c>
      <c r="AC73" s="49">
        <f>AC72</f>
        <v>70</v>
      </c>
      <c r="AD73" s="9">
        <f>AD72</f>
        <v>-0.24</v>
      </c>
      <c r="AE73" s="9">
        <f>((((AD73-AB73)*(Z73-AA73)))/(AC73-AA73))+AB73</f>
        <v>-0.48136000000000012</v>
      </c>
      <c r="AF73" s="9">
        <f>AE73+Z73</f>
        <v>60.898639999999993</v>
      </c>
    </row>
    <row r="74" spans="1:32" s="68" customFormat="1" ht="33" customHeight="1">
      <c r="A74" s="718"/>
      <c r="B74" s="718"/>
      <c r="C74" s="140" t="s">
        <v>45</v>
      </c>
      <c r="D74" s="624">
        <v>61.37</v>
      </c>
      <c r="E74" s="624">
        <v>61.37</v>
      </c>
      <c r="F74" s="624">
        <v>61.4</v>
      </c>
      <c r="G74" s="624">
        <v>61.4</v>
      </c>
      <c r="H74" s="624">
        <v>61.37</v>
      </c>
      <c r="I74" s="624">
        <v>61.37</v>
      </c>
      <c r="J74" s="152">
        <f t="shared" si="12"/>
        <v>61.379999999999995</v>
      </c>
      <c r="K74" s="152">
        <f ca="1">'DB Standar'!B95</f>
        <v>60.898639999999993</v>
      </c>
      <c r="L74" s="605"/>
      <c r="M74" s="28">
        <f t="shared" si="13"/>
        <v>1.5491933384830252E-2</v>
      </c>
      <c r="N74" s="49">
        <f>(61.37+61.37+61.4+61.4+61.37+61.37)/6</f>
        <v>61.379999999999995</v>
      </c>
      <c r="O74" s="9">
        <f>61.38-0.48</f>
        <v>60.900000000000006</v>
      </c>
      <c r="P74" s="9">
        <f>60.9-59.8</f>
        <v>1.1000000000000014</v>
      </c>
    </row>
    <row r="75" spans="1:32" s="68" customFormat="1" ht="33" customHeight="1">
      <c r="A75" s="718"/>
      <c r="B75" s="718"/>
      <c r="C75" s="140" t="s">
        <v>46</v>
      </c>
      <c r="D75" s="623">
        <v>59.8</v>
      </c>
      <c r="E75" s="623">
        <v>59.8</v>
      </c>
      <c r="F75" s="623">
        <v>59.8</v>
      </c>
      <c r="G75" s="623">
        <v>59.8</v>
      </c>
      <c r="H75" s="623">
        <v>59.8</v>
      </c>
      <c r="I75" s="623">
        <v>59.8</v>
      </c>
      <c r="J75" s="153">
        <f t="shared" si="12"/>
        <v>59.800000000000004</v>
      </c>
      <c r="K75" s="610"/>
      <c r="L75" s="28">
        <f ca="1">K74-J75</f>
        <v>1.098639999999989</v>
      </c>
      <c r="M75" s="28">
        <f>IFERROR(STDEV(D75:I75),0)</f>
        <v>7.7836056889447899E-15</v>
      </c>
      <c r="N75" s="49">
        <f>(59.8+59.8+59.8+59.8+59.8+59.8)/6</f>
        <v>59.800000000000004</v>
      </c>
      <c r="O75" s="49"/>
      <c r="P75" s="49"/>
    </row>
    <row r="76" spans="1:32" s="68" customFormat="1" ht="20.100000000000001" customHeight="1">
      <c r="A76" s="105"/>
      <c r="B76" s="105"/>
      <c r="C76" s="105"/>
      <c r="D76" s="105"/>
      <c r="E76" s="105"/>
      <c r="F76" s="105"/>
      <c r="G76" s="581"/>
      <c r="H76" s="582"/>
      <c r="I76" s="582"/>
      <c r="K76" s="95"/>
      <c r="N76" s="95"/>
      <c r="O76" s="49"/>
      <c r="P76" s="49"/>
    </row>
    <row r="77" spans="1:32" s="68" customFormat="1" ht="31.5" customHeight="1">
      <c r="A77" s="678" t="s">
        <v>34</v>
      </c>
      <c r="B77" s="680" t="s">
        <v>41</v>
      </c>
      <c r="C77" s="678" t="s">
        <v>110</v>
      </c>
      <c r="D77" s="718"/>
      <c r="E77" s="718"/>
      <c r="F77" s="718"/>
      <c r="G77" s="718"/>
      <c r="H77" s="718"/>
      <c r="I77" s="718"/>
      <c r="J77" s="723" t="s">
        <v>111</v>
      </c>
      <c r="K77" s="723" t="s">
        <v>112</v>
      </c>
      <c r="L77" s="723" t="s">
        <v>113</v>
      </c>
      <c r="M77" s="723" t="s">
        <v>114</v>
      </c>
      <c r="N77" s="729" t="str">
        <f>N70</f>
        <v>Rata-rata</v>
      </c>
      <c r="O77" s="672" t="str">
        <f>O70</f>
        <v>Terkoreksi</v>
      </c>
      <c r="P77" s="672" t="str">
        <f>P70</f>
        <v>Koreksi</v>
      </c>
      <c r="Z77" s="68" t="str">
        <f>Z70</f>
        <v>Thermohygrometer Reference, Merek : Rotronic, Model : HC2A - SH Hygro Clip 2, SN : 72064154</v>
      </c>
    </row>
    <row r="78" spans="1:32" s="68" customFormat="1" ht="31.5" customHeight="1">
      <c r="A78" s="679"/>
      <c r="B78" s="681"/>
      <c r="C78" s="106" t="s">
        <v>119</v>
      </c>
      <c r="D78" s="140">
        <v>1</v>
      </c>
      <c r="E78" s="106">
        <v>2</v>
      </c>
      <c r="F78" s="140">
        <v>3</v>
      </c>
      <c r="G78" s="106">
        <v>4</v>
      </c>
      <c r="H78" s="140">
        <v>5</v>
      </c>
      <c r="I78" s="140">
        <v>6</v>
      </c>
      <c r="J78" s="723"/>
      <c r="K78" s="723"/>
      <c r="L78" s="723"/>
      <c r="M78" s="723"/>
      <c r="N78" s="729"/>
      <c r="O78" s="672"/>
      <c r="P78" s="672"/>
      <c r="Z78" s="49" t="str">
        <f>Z71</f>
        <v>(x)</v>
      </c>
      <c r="AA78" s="49" t="str">
        <f t="shared" ref="AA78:AD78" si="14">AA71</f>
        <v>x1</v>
      </c>
      <c r="AB78" s="49" t="str">
        <f t="shared" si="14"/>
        <v>y1</v>
      </c>
      <c r="AC78" s="49" t="str">
        <f t="shared" si="14"/>
        <v>x2</v>
      </c>
      <c r="AD78" s="49" t="str">
        <f t="shared" si="14"/>
        <v>y2</v>
      </c>
    </row>
    <row r="79" spans="1:32" s="68" customFormat="1" ht="33" customHeight="1">
      <c r="A79" s="106">
        <v>1</v>
      </c>
      <c r="B79" s="718">
        <v>70</v>
      </c>
      <c r="C79" s="140" t="s">
        <v>43</v>
      </c>
      <c r="D79" s="622">
        <v>71.08</v>
      </c>
      <c r="E79" s="622">
        <v>71.08</v>
      </c>
      <c r="F79" s="622">
        <v>71.08</v>
      </c>
      <c r="G79" s="622">
        <v>71.08</v>
      </c>
      <c r="H79" s="622">
        <v>71.09</v>
      </c>
      <c r="I79" s="622">
        <v>71.09</v>
      </c>
      <c r="J79" s="152">
        <f>AVERAGE(D79:I79)</f>
        <v>71.083333333333329</v>
      </c>
      <c r="K79" s="152">
        <f ca="1">'DB Standar'!B90</f>
        <v>70.867166666666662</v>
      </c>
      <c r="L79" s="605"/>
      <c r="M79" s="28">
        <f>STDEV(D79:I79)</f>
        <v>5.1639777949458645E-3</v>
      </c>
      <c r="N79" s="9">
        <f>(70.39+70.37+70.35+70.35+70.33+70.36)/6</f>
        <v>70.358333333333334</v>
      </c>
      <c r="O79" s="49">
        <f>70.36-0.23</f>
        <v>70.13</v>
      </c>
      <c r="P79" s="49">
        <f>70.13-69.9</f>
        <v>0.22999999999998977</v>
      </c>
      <c r="Z79" s="9">
        <f>N79</f>
        <v>70.358333333333334</v>
      </c>
      <c r="AA79" s="49">
        <f>'DB Standar'!D73</f>
        <v>70</v>
      </c>
      <c r="AB79" s="9">
        <f>'DB Standar'!E73</f>
        <v>-0.24</v>
      </c>
      <c r="AC79" s="49">
        <f>'DB Standar'!D74</f>
        <v>80</v>
      </c>
      <c r="AD79" s="9">
        <f>'DB Standar'!E74</f>
        <v>-0.02</v>
      </c>
      <c r="AE79" s="9">
        <f>((((AD79-AB79)*(Z79-AA79)))/(AC79-AA79))+AB79</f>
        <v>-0.23211666666666664</v>
      </c>
      <c r="AF79" s="9">
        <f>AE79+Z79</f>
        <v>70.126216666666664</v>
      </c>
    </row>
    <row r="80" spans="1:32" s="68" customFormat="1" ht="33" customHeight="1">
      <c r="A80" s="718">
        <v>2</v>
      </c>
      <c r="B80" s="718"/>
      <c r="C80" s="140" t="s">
        <v>44</v>
      </c>
      <c r="D80" s="623">
        <v>70.5</v>
      </c>
      <c r="E80" s="623">
        <v>70.5</v>
      </c>
      <c r="F80" s="623">
        <v>70.5</v>
      </c>
      <c r="G80" s="623">
        <v>70.5</v>
      </c>
      <c r="H80" s="623">
        <v>70.5</v>
      </c>
      <c r="I80" s="623">
        <v>70.5</v>
      </c>
      <c r="J80" s="153">
        <f t="shared" ref="J80:J82" si="15">AVERAGE(D80:I80)</f>
        <v>70.5</v>
      </c>
      <c r="K80" s="610"/>
      <c r="L80" s="28">
        <f ca="1">K79-J80</f>
        <v>0.36716666666666242</v>
      </c>
      <c r="M80" s="28">
        <f t="shared" ref="M80:M81" si="16">STDEV(D80:I80)</f>
        <v>0</v>
      </c>
      <c r="N80" s="611">
        <f>(69.9+69.9+69.9+69.9+69.9+69.9)/6</f>
        <v>69.899999999999991</v>
      </c>
      <c r="O80" s="49"/>
      <c r="P80" s="49"/>
      <c r="Z80" s="9">
        <f>N81</f>
        <v>70.303333333333327</v>
      </c>
      <c r="AA80" s="49">
        <f>AA79</f>
        <v>70</v>
      </c>
      <c r="AB80" s="9">
        <f>AB79</f>
        <v>-0.24</v>
      </c>
      <c r="AC80" s="49">
        <f>AC79</f>
        <v>80</v>
      </c>
      <c r="AD80" s="9">
        <f>AD79</f>
        <v>-0.02</v>
      </c>
      <c r="AE80" s="9">
        <f>((((AD80-AB80)*(Z80-AA80)))/(AC80-AA80))+AB80</f>
        <v>-0.23332666666666679</v>
      </c>
      <c r="AF80" s="9">
        <f>AE80+Z80</f>
        <v>70.070006666666657</v>
      </c>
    </row>
    <row r="81" spans="1:16" s="68" customFormat="1" ht="33" customHeight="1">
      <c r="A81" s="718"/>
      <c r="B81" s="718"/>
      <c r="C81" s="140" t="s">
        <v>45</v>
      </c>
      <c r="D81" s="624">
        <v>71.56</v>
      </c>
      <c r="E81" s="624">
        <v>71.56</v>
      </c>
      <c r="F81" s="624">
        <v>71.56</v>
      </c>
      <c r="G81" s="624">
        <v>71.56</v>
      </c>
      <c r="H81" s="624">
        <v>71.56</v>
      </c>
      <c r="I81" s="624">
        <v>71.55</v>
      </c>
      <c r="J81" s="152">
        <f t="shared" si="15"/>
        <v>71.558333333333337</v>
      </c>
      <c r="K81" s="152">
        <f ca="1">'DB Standar'!B96</f>
        <v>71.352616666666677</v>
      </c>
      <c r="L81" s="605"/>
      <c r="M81" s="28">
        <f t="shared" si="16"/>
        <v>4.0824829046407184E-3</v>
      </c>
      <c r="N81" s="9">
        <f>(70.33+70.3+70.33+70.3+70.28+70.28)/6</f>
        <v>70.303333333333327</v>
      </c>
      <c r="O81" s="49">
        <f>70.3-0.23</f>
        <v>70.069999999999993</v>
      </c>
      <c r="P81" s="49">
        <f>70.07-69.9</f>
        <v>0.16999999999998749</v>
      </c>
    </row>
    <row r="82" spans="1:16" s="68" customFormat="1" ht="33" customHeight="1">
      <c r="A82" s="718"/>
      <c r="B82" s="718"/>
      <c r="C82" s="140" t="s">
        <v>46</v>
      </c>
      <c r="D82" s="623">
        <v>70.8</v>
      </c>
      <c r="E82" s="623">
        <v>70.8</v>
      </c>
      <c r="F82" s="623">
        <v>70.8</v>
      </c>
      <c r="G82" s="623">
        <v>70.8</v>
      </c>
      <c r="H82" s="623">
        <v>70.8</v>
      </c>
      <c r="I82" s="623">
        <v>70.8</v>
      </c>
      <c r="J82" s="153">
        <f t="shared" si="15"/>
        <v>70.8</v>
      </c>
      <c r="K82" s="610"/>
      <c r="L82" s="28">
        <f ca="1">K81-J82</f>
        <v>0.55261666666667963</v>
      </c>
      <c r="M82" s="28">
        <f>IFERROR(STDEV(D82:I82),0)</f>
        <v>0</v>
      </c>
      <c r="N82" s="49">
        <f>(69.9+69.9+69.9+69.9+69.9+69.9)/6</f>
        <v>69.899999999999991</v>
      </c>
      <c r="O82" s="49"/>
      <c r="P82" s="49"/>
    </row>
    <row r="83" spans="1:16" s="68" customFormat="1" ht="20.100000000000001" customHeight="1">
      <c r="A83" s="105"/>
      <c r="B83" s="105"/>
      <c r="C83" s="105"/>
      <c r="D83" s="105"/>
      <c r="E83" s="105"/>
      <c r="F83" s="105"/>
      <c r="G83" s="581"/>
      <c r="H83" s="582"/>
      <c r="I83" s="582"/>
      <c r="J83" s="582"/>
      <c r="K83" s="581"/>
      <c r="L83" s="582"/>
      <c r="M83" s="582"/>
      <c r="N83" s="95"/>
      <c r="O83" s="49"/>
      <c r="P83" s="49"/>
    </row>
    <row r="84" spans="1:16" s="68" customFormat="1" ht="15.6">
      <c r="A84" s="205" t="s">
        <v>47</v>
      </c>
      <c r="B84" s="728" t="s">
        <v>48</v>
      </c>
      <c r="C84" s="728"/>
      <c r="D84" s="582"/>
      <c r="E84" s="582"/>
      <c r="F84" s="582"/>
      <c r="G84" s="582"/>
      <c r="H84" s="582"/>
      <c r="I84" s="582"/>
      <c r="J84" s="582"/>
      <c r="K84" s="581"/>
      <c r="L84" s="582"/>
      <c r="M84" s="582"/>
      <c r="N84" s="95"/>
      <c r="O84" s="49"/>
      <c r="P84" s="49"/>
    </row>
    <row r="85" spans="1:16" s="68" customFormat="1">
      <c r="A85" s="6"/>
      <c r="B85" s="79" t="s">
        <v>49</v>
      </c>
      <c r="C85" s="4"/>
      <c r="K85" s="95"/>
      <c r="N85" s="95"/>
      <c r="O85" s="49"/>
      <c r="P85" s="49"/>
    </row>
    <row r="86" spans="1:16" s="68" customFormat="1">
      <c r="A86" s="6"/>
      <c r="B86" s="4" t="str">
        <f>'List '!B19</f>
        <v>Hasil pengujian kinerja suhu tertelusur ke Satuan SI melalui Laboratorium SNSU-BSN</v>
      </c>
      <c r="K86" s="95"/>
      <c r="N86" s="95"/>
      <c r="O86" s="49"/>
      <c r="P86" s="49"/>
    </row>
    <row r="87" spans="1:16" s="68" customFormat="1">
      <c r="A87" s="6"/>
      <c r="B87" s="68" t="str">
        <f>'List '!B26</f>
        <v>Hasil pengujian kinerja kelembaban relatif tertelusur ke Satuan SI melalui Laboratorium SNSU-BSN</v>
      </c>
      <c r="K87" s="95"/>
      <c r="N87" s="95"/>
      <c r="O87" s="49"/>
      <c r="P87" s="49"/>
    </row>
    <row r="88" spans="1:16" s="68" customFormat="1" ht="32.25" customHeight="1">
      <c r="A88" s="6"/>
      <c r="B88" s="727" t="s">
        <v>120</v>
      </c>
      <c r="C88" s="727"/>
      <c r="D88" s="727"/>
      <c r="E88" s="727"/>
      <c r="F88" s="727"/>
      <c r="G88" s="727"/>
      <c r="H88" s="727"/>
      <c r="I88" s="727"/>
      <c r="J88" s="727"/>
      <c r="K88" s="727"/>
      <c r="L88" s="727"/>
      <c r="M88" s="727"/>
      <c r="N88" s="95"/>
      <c r="O88" s="49"/>
      <c r="P88" s="49"/>
    </row>
    <row r="89" spans="1:16" s="68" customFormat="1">
      <c r="A89" s="6"/>
      <c r="B89" s="717" t="s">
        <v>358</v>
      </c>
      <c r="C89" s="717"/>
      <c r="D89" s="717"/>
      <c r="E89" s="717"/>
      <c r="F89" s="6"/>
      <c r="G89" s="6"/>
      <c r="H89" s="6"/>
      <c r="I89" s="6"/>
      <c r="J89" s="6"/>
      <c r="K89" s="6"/>
      <c r="L89" s="6"/>
      <c r="M89" s="6"/>
      <c r="N89" s="95"/>
      <c r="O89" s="49"/>
      <c r="P89" s="49"/>
    </row>
    <row r="90" spans="1:16" s="68" customFormat="1">
      <c r="A90" s="6"/>
      <c r="B90" s="583" t="str">
        <f>IF(B89="","","Titik ukur yang diberikan symbol (*) tidak termasuk dalam lingkup akreditasi")</f>
        <v>Titik ukur yang diberikan symbol (*) tidak termasuk dalam lingkup akreditasi</v>
      </c>
      <c r="C90" s="582"/>
      <c r="D90" s="582"/>
      <c r="E90" s="582"/>
      <c r="F90" s="582"/>
      <c r="G90" s="582"/>
      <c r="H90" s="582"/>
      <c r="I90" s="582"/>
      <c r="J90" s="582"/>
      <c r="K90" s="581"/>
      <c r="L90" s="582"/>
      <c r="M90" s="582"/>
      <c r="N90" s="95"/>
      <c r="O90" s="49"/>
      <c r="P90" s="49"/>
    </row>
    <row r="91" spans="1:16" s="68" customFormat="1">
      <c r="A91" s="6"/>
      <c r="B91" s="583"/>
      <c r="C91" s="582"/>
      <c r="D91" s="582"/>
      <c r="E91" s="582"/>
      <c r="F91" s="582"/>
      <c r="G91" s="582"/>
      <c r="H91" s="582"/>
      <c r="I91" s="582"/>
      <c r="J91" s="582"/>
      <c r="K91" s="581"/>
      <c r="L91" s="582"/>
      <c r="M91" s="582"/>
      <c r="N91" s="95"/>
      <c r="O91" s="49"/>
      <c r="P91" s="49"/>
    </row>
    <row r="92" spans="1:16" s="68" customFormat="1" ht="15.6">
      <c r="A92" s="205" t="s">
        <v>50</v>
      </c>
      <c r="B92" s="603" t="s">
        <v>51</v>
      </c>
      <c r="C92" s="582"/>
      <c r="D92" s="582"/>
      <c r="E92" s="582"/>
      <c r="F92" s="582"/>
      <c r="G92" s="582"/>
      <c r="H92" s="582"/>
      <c r="I92" s="582"/>
      <c r="J92" s="582"/>
      <c r="K92" s="581"/>
      <c r="L92" s="582"/>
      <c r="M92" s="582"/>
      <c r="N92" s="95"/>
      <c r="O92" s="49"/>
      <c r="P92" s="49"/>
    </row>
    <row r="93" spans="1:16" s="68" customFormat="1" ht="15.6" hidden="1" thickBot="1">
      <c r="A93" s="6"/>
      <c r="B93" s="612"/>
      <c r="C93" s="46" t="s">
        <v>52</v>
      </c>
      <c r="D93" s="582"/>
      <c r="E93" s="582"/>
      <c r="F93" s="582"/>
      <c r="G93" s="582"/>
      <c r="H93" s="582"/>
      <c r="I93" s="582"/>
      <c r="J93" s="582"/>
      <c r="K93" s="581"/>
      <c r="L93" s="582"/>
      <c r="M93" s="582"/>
      <c r="N93" s="95"/>
      <c r="O93" s="49"/>
      <c r="P93" s="49"/>
    </row>
    <row r="94" spans="1:16" s="68" customFormat="1" ht="15.6" hidden="1" thickBot="1">
      <c r="A94" s="6"/>
      <c r="B94" s="613"/>
      <c r="C94" s="46" t="s">
        <v>53</v>
      </c>
      <c r="D94" s="582"/>
      <c r="E94" s="582"/>
      <c r="F94" s="582"/>
      <c r="G94" s="582"/>
      <c r="H94" s="582"/>
      <c r="I94" s="582"/>
      <c r="J94" s="582"/>
      <c r="K94" s="581"/>
      <c r="L94" s="582"/>
      <c r="M94" s="582"/>
      <c r="N94" s="95"/>
      <c r="O94" s="49"/>
      <c r="P94" s="49"/>
    </row>
    <row r="95" spans="1:16" s="68" customFormat="1">
      <c r="A95" s="6"/>
      <c r="B95" s="716" t="s">
        <v>54</v>
      </c>
      <c r="C95" s="716"/>
      <c r="D95" s="716"/>
      <c r="E95" s="716"/>
      <c r="F95" s="716"/>
      <c r="G95" s="716"/>
      <c r="H95" s="716"/>
      <c r="I95" s="716"/>
      <c r="J95" s="716"/>
      <c r="K95" s="716"/>
      <c r="L95" s="582"/>
      <c r="M95" s="582"/>
      <c r="N95" s="95"/>
      <c r="O95" s="49"/>
      <c r="P95" s="49"/>
    </row>
    <row r="96" spans="1:16" s="68" customFormat="1">
      <c r="A96" s="6"/>
      <c r="B96" s="716" t="s">
        <v>330</v>
      </c>
      <c r="C96" s="716"/>
      <c r="D96" s="716"/>
      <c r="E96" s="716"/>
      <c r="F96" s="716"/>
      <c r="G96" s="716"/>
      <c r="H96" s="716"/>
      <c r="I96" s="716"/>
      <c r="J96" s="716"/>
      <c r="K96" s="716"/>
      <c r="L96" s="582"/>
      <c r="M96" s="582"/>
      <c r="N96" s="95"/>
      <c r="O96" s="49"/>
      <c r="P96" s="49"/>
    </row>
    <row r="97" spans="1:16" s="68" customFormat="1">
      <c r="A97" s="6"/>
      <c r="B97" s="717" t="s">
        <v>121</v>
      </c>
      <c r="C97" s="717"/>
      <c r="D97" s="717"/>
      <c r="E97" s="717"/>
      <c r="F97" s="717"/>
      <c r="G97" s="717"/>
      <c r="H97" s="717"/>
      <c r="I97" s="717"/>
      <c r="J97" s="717"/>
      <c r="K97" s="717"/>
      <c r="L97" s="582"/>
      <c r="M97" s="582"/>
      <c r="N97" s="95"/>
      <c r="O97" s="49"/>
      <c r="P97" s="49"/>
    </row>
    <row r="98" spans="1:16" s="68" customFormat="1">
      <c r="A98" s="6"/>
      <c r="B98" s="717" t="s">
        <v>292</v>
      </c>
      <c r="C98" s="717"/>
      <c r="D98" s="717"/>
      <c r="E98" s="717"/>
      <c r="F98" s="717"/>
      <c r="G98" s="717"/>
      <c r="H98" s="717"/>
      <c r="I98" s="717"/>
      <c r="J98" s="717"/>
      <c r="K98" s="717"/>
      <c r="L98" s="582"/>
      <c r="M98" s="582"/>
      <c r="N98" s="95"/>
      <c r="O98" s="49"/>
      <c r="P98" s="49"/>
    </row>
    <row r="99" spans="1:16" s="68" customFormat="1">
      <c r="A99" s="6"/>
      <c r="B99" s="59"/>
      <c r="C99" s="59"/>
      <c r="D99" s="59"/>
      <c r="E99" s="59"/>
      <c r="F99" s="59"/>
      <c r="G99" s="59"/>
      <c r="H99" s="59"/>
      <c r="I99" s="59"/>
      <c r="J99" s="59"/>
      <c r="K99" s="59"/>
      <c r="L99" s="582"/>
      <c r="M99" s="582"/>
      <c r="N99" s="95"/>
      <c r="O99" s="49"/>
      <c r="P99" s="49"/>
    </row>
    <row r="100" spans="1:16" s="68" customFormat="1" ht="15.6">
      <c r="A100" s="205" t="s">
        <v>62</v>
      </c>
      <c r="B100" s="614" t="s">
        <v>63</v>
      </c>
      <c r="C100" s="615"/>
      <c r="D100" s="582"/>
      <c r="E100" s="582"/>
      <c r="F100" s="582"/>
      <c r="G100" s="582"/>
      <c r="H100" s="582"/>
      <c r="I100" s="582"/>
      <c r="J100" s="582"/>
      <c r="K100" s="581"/>
      <c r="L100" s="582"/>
      <c r="M100" s="582"/>
      <c r="N100" s="95"/>
      <c r="O100" s="49"/>
      <c r="P100" s="49"/>
    </row>
    <row r="101" spans="1:16" s="68" customFormat="1" ht="15.6">
      <c r="A101" s="590"/>
      <c r="B101" s="717" t="s">
        <v>229</v>
      </c>
      <c r="C101" s="717"/>
      <c r="D101" s="717"/>
      <c r="E101" s="717"/>
      <c r="F101" s="582"/>
      <c r="G101" s="582"/>
      <c r="H101" s="582"/>
      <c r="I101" s="582"/>
      <c r="J101" s="582"/>
      <c r="K101" s="581"/>
      <c r="L101" s="582"/>
      <c r="M101" s="582"/>
      <c r="N101" s="95"/>
      <c r="O101" s="49"/>
      <c r="P101" s="49"/>
    </row>
    <row r="102" spans="1:16" ht="15.6">
      <c r="A102" s="590"/>
      <c r="B102" s="582"/>
      <c r="C102" s="582"/>
      <c r="D102" s="582"/>
      <c r="E102" s="582"/>
      <c r="F102" s="582"/>
      <c r="G102" s="582"/>
      <c r="H102" s="582"/>
      <c r="I102" s="582"/>
      <c r="J102" s="582"/>
      <c r="K102" s="581"/>
      <c r="L102" s="582"/>
      <c r="M102" s="582"/>
    </row>
    <row r="103" spans="1:16" s="68" customFormat="1" ht="15.6">
      <c r="A103" s="205" t="s">
        <v>124</v>
      </c>
      <c r="B103" s="189" t="s">
        <v>125</v>
      </c>
      <c r="C103" s="581"/>
      <c r="D103" s="582"/>
      <c r="E103" s="582"/>
      <c r="F103" s="582"/>
      <c r="G103" s="582"/>
      <c r="H103" s="582"/>
      <c r="I103" s="582"/>
      <c r="J103" s="582"/>
      <c r="K103" s="581"/>
      <c r="L103" s="582"/>
      <c r="M103" s="582"/>
      <c r="N103" s="95"/>
      <c r="O103" s="49"/>
      <c r="P103" s="49"/>
    </row>
    <row r="104" spans="1:16" s="68" customFormat="1">
      <c r="A104" s="6"/>
      <c r="B104" s="726" t="s">
        <v>420</v>
      </c>
      <c r="C104" s="726"/>
      <c r="D104" s="582"/>
      <c r="E104" s="582"/>
      <c r="F104" s="582"/>
      <c r="G104" s="582"/>
      <c r="H104" s="582"/>
      <c r="I104" s="582"/>
      <c r="J104" s="582"/>
      <c r="K104" s="581"/>
      <c r="L104" s="582"/>
      <c r="M104" s="582"/>
      <c r="N104" s="95"/>
      <c r="O104" s="49"/>
      <c r="P104" s="49"/>
    </row>
    <row r="105" spans="1:16" s="68" customFormat="1">
      <c r="A105" s="4"/>
      <c r="B105" s="3"/>
      <c r="C105" s="95"/>
      <c r="K105" s="95"/>
      <c r="N105" s="95"/>
      <c r="O105" s="49"/>
      <c r="P105" s="49"/>
    </row>
    <row r="106" spans="1:16" s="68" customFormat="1">
      <c r="A106" s="4"/>
      <c r="B106" s="3"/>
      <c r="C106" s="95"/>
      <c r="K106" s="95"/>
      <c r="N106" s="95"/>
      <c r="O106" s="49"/>
      <c r="P106" s="49"/>
    </row>
    <row r="107" spans="1:16" s="68" customFormat="1">
      <c r="A107" s="4"/>
      <c r="B107" s="3"/>
      <c r="C107" s="95"/>
      <c r="K107" s="95"/>
      <c r="N107" s="95"/>
      <c r="O107" s="49"/>
      <c r="P107" s="49"/>
    </row>
    <row r="108" spans="1:16" s="68" customFormat="1">
      <c r="A108" s="4"/>
      <c r="B108" s="3"/>
      <c r="C108" s="95"/>
      <c r="K108" s="95"/>
      <c r="N108" s="95"/>
      <c r="O108" s="49"/>
      <c r="P108" s="49"/>
    </row>
    <row r="109" spans="1:16" s="68" customFormat="1">
      <c r="A109" s="4"/>
      <c r="B109" s="3"/>
      <c r="C109" s="95"/>
      <c r="K109" s="95"/>
      <c r="N109" s="95"/>
      <c r="O109" s="49"/>
      <c r="P109" s="49"/>
    </row>
    <row r="110" spans="1:16" s="68" customFormat="1">
      <c r="A110" s="4"/>
      <c r="B110" s="3"/>
      <c r="C110" s="95"/>
      <c r="K110" s="95"/>
      <c r="N110" s="95"/>
      <c r="O110" s="49"/>
      <c r="P110" s="49"/>
    </row>
    <row r="111" spans="1:16" s="68" customFormat="1">
      <c r="A111" s="4"/>
      <c r="B111" s="3"/>
      <c r="C111" s="95"/>
      <c r="K111" s="95"/>
      <c r="N111" s="95"/>
      <c r="O111" s="49"/>
      <c r="P111" s="49"/>
    </row>
    <row r="112" spans="1:16" s="68" customFormat="1">
      <c r="A112" s="4"/>
      <c r="B112" s="3"/>
      <c r="C112" s="95"/>
      <c r="K112" s="95"/>
      <c r="N112" s="95"/>
      <c r="O112" s="49"/>
      <c r="P112" s="49"/>
    </row>
    <row r="113" spans="1:16" s="68" customFormat="1">
      <c r="A113" s="4"/>
      <c r="B113" s="3"/>
      <c r="C113" s="95"/>
      <c r="K113" s="95"/>
      <c r="N113" s="95"/>
      <c r="O113" s="49"/>
      <c r="P113" s="49"/>
    </row>
    <row r="114" spans="1:16" s="68" customFormat="1">
      <c r="A114" s="4"/>
      <c r="B114" s="98"/>
      <c r="C114" s="98"/>
      <c r="K114" s="95"/>
      <c r="N114" s="95"/>
      <c r="O114" s="49"/>
      <c r="P114" s="49"/>
    </row>
    <row r="115" spans="1:16" s="68" customFormat="1">
      <c r="A115" s="4"/>
      <c r="B115" s="98"/>
      <c r="C115" s="98"/>
      <c r="K115" s="95"/>
      <c r="N115" s="95"/>
      <c r="O115" s="49"/>
      <c r="P115" s="49"/>
    </row>
    <row r="117" spans="1:16" s="68" customFormat="1">
      <c r="A117" s="4"/>
      <c r="E117" s="616"/>
      <c r="K117" s="95"/>
      <c r="N117" s="95"/>
      <c r="O117" s="49"/>
      <c r="P117" s="49"/>
    </row>
    <row r="119" spans="1:16" s="68" customFormat="1">
      <c r="A119" s="4"/>
      <c r="D119" s="616"/>
      <c r="K119" s="95"/>
      <c r="N119" s="95"/>
      <c r="O119" s="49"/>
      <c r="P119" s="49"/>
    </row>
    <row r="120" spans="1:16" s="68" customFormat="1">
      <c r="A120" s="4"/>
      <c r="D120" s="616"/>
      <c r="K120" s="95"/>
      <c r="N120" s="95"/>
      <c r="O120" s="49"/>
      <c r="P120" s="49"/>
    </row>
    <row r="121" spans="1:16" s="68" customFormat="1">
      <c r="A121" s="4"/>
      <c r="B121" s="4"/>
      <c r="D121" s="616"/>
      <c r="K121" s="95"/>
      <c r="N121" s="95"/>
      <c r="O121" s="49"/>
      <c r="P121" s="49"/>
    </row>
    <row r="122" spans="1:16" s="68" customFormat="1">
      <c r="A122" s="4"/>
      <c r="B122" s="4"/>
      <c r="K122" s="95"/>
      <c r="N122" s="95"/>
      <c r="O122" s="49"/>
      <c r="P122" s="49"/>
    </row>
    <row r="123" spans="1:16" s="68" customFormat="1">
      <c r="A123" s="4"/>
      <c r="B123" s="4"/>
      <c r="K123" s="95"/>
      <c r="N123" s="95"/>
      <c r="O123" s="49"/>
      <c r="P123" s="49"/>
    </row>
    <row r="124" spans="1:16" s="68" customFormat="1">
      <c r="A124" s="4"/>
      <c r="K124" s="95"/>
      <c r="N124" s="95"/>
      <c r="O124" s="49"/>
      <c r="P124" s="49"/>
    </row>
    <row r="125" spans="1:16" s="68" customFormat="1">
      <c r="A125" s="4"/>
      <c r="K125" s="95"/>
      <c r="M125" s="4"/>
      <c r="N125" s="95"/>
      <c r="O125" s="49"/>
      <c r="P125" s="49"/>
    </row>
    <row r="128" spans="1:16" s="68" customFormat="1">
      <c r="A128" s="4"/>
      <c r="B128" s="100"/>
      <c r="K128" s="95"/>
      <c r="N128" s="95"/>
      <c r="O128" s="49"/>
      <c r="P128" s="49"/>
    </row>
    <row r="129" spans="1:16" s="68" customFormat="1">
      <c r="A129" s="4"/>
      <c r="B129" s="100"/>
      <c r="K129" s="95"/>
      <c r="N129" s="95"/>
      <c r="O129" s="49"/>
      <c r="P129" s="49"/>
    </row>
    <row r="130" spans="1:16" s="68" customFormat="1">
      <c r="A130" s="4"/>
      <c r="B130" s="100"/>
      <c r="K130" s="95"/>
      <c r="N130" s="95"/>
      <c r="O130" s="49"/>
      <c r="P130" s="49"/>
    </row>
    <row r="155" spans="1:16" s="68" customFormat="1" ht="15.6" thickBot="1">
      <c r="A155" s="4"/>
      <c r="K155" s="95"/>
      <c r="N155" s="95"/>
      <c r="O155" s="49"/>
      <c r="P155" s="49"/>
    </row>
    <row r="156" spans="1:16" s="68" customFormat="1" ht="15.6" thickBot="1">
      <c r="A156" s="4"/>
      <c r="K156" s="95"/>
      <c r="N156" s="617"/>
      <c r="O156" s="49"/>
      <c r="P156" s="49"/>
    </row>
  </sheetData>
  <sheetProtection algorithmName="SHA-512" hashValue="jv5v7jIdARRZoxXvbenWKKFoJQ975Yv2H2mWS3UzeRLoizBDGKoWY3j8H02YXirBW99EQDrxD8akMg96GSBpPA==" saltValue="qlg+kO1Oc16IPU9NfJJn9A==" spinCount="100000" sheet="1" objects="1" scenarios="1"/>
  <mergeCells count="122">
    <mergeCell ref="O77:O78"/>
    <mergeCell ref="P77:P78"/>
    <mergeCell ref="A2:F2"/>
    <mergeCell ref="N42:N43"/>
    <mergeCell ref="O42:O43"/>
    <mergeCell ref="P42:P43"/>
    <mergeCell ref="N26:N27"/>
    <mergeCell ref="O26:O27"/>
    <mergeCell ref="P26:P27"/>
    <mergeCell ref="N32:N33"/>
    <mergeCell ref="O32:O33"/>
    <mergeCell ref="P32:P33"/>
    <mergeCell ref="A32:A33"/>
    <mergeCell ref="B32:B33"/>
    <mergeCell ref="B34:B35"/>
    <mergeCell ref="C32:I32"/>
    <mergeCell ref="A42:A43"/>
    <mergeCell ref="C42:I42"/>
    <mergeCell ref="B39:B40"/>
    <mergeCell ref="B44:B45"/>
    <mergeCell ref="A77:A78"/>
    <mergeCell ref="A66:A68"/>
    <mergeCell ref="B48:B54"/>
    <mergeCell ref="S2:AE2"/>
    <mergeCell ref="S3:AE3"/>
    <mergeCell ref="L26:L27"/>
    <mergeCell ref="M26:M27"/>
    <mergeCell ref="K26:K27"/>
    <mergeCell ref="K32:K33"/>
    <mergeCell ref="M77:M78"/>
    <mergeCell ref="M70:M71"/>
    <mergeCell ref="B72:B75"/>
    <mergeCell ref="B70:B71"/>
    <mergeCell ref="C70:I70"/>
    <mergeCell ref="J70:J71"/>
    <mergeCell ref="K70:K71"/>
    <mergeCell ref="N63:N64"/>
    <mergeCell ref="O63:O64"/>
    <mergeCell ref="P63:P64"/>
    <mergeCell ref="N70:N71"/>
    <mergeCell ref="O70:O71"/>
    <mergeCell ref="P70:P71"/>
    <mergeCell ref="N37:N38"/>
    <mergeCell ref="O37:O38"/>
    <mergeCell ref="P37:P38"/>
    <mergeCell ref="B77:B78"/>
    <mergeCell ref="N77:N78"/>
    <mergeCell ref="B104:C104"/>
    <mergeCell ref="B101:E101"/>
    <mergeCell ref="B97:K97"/>
    <mergeCell ref="E48:F48"/>
    <mergeCell ref="J37:J38"/>
    <mergeCell ref="K37:K38"/>
    <mergeCell ref="C50:D50"/>
    <mergeCell ref="B98:K98"/>
    <mergeCell ref="B58:B61"/>
    <mergeCell ref="B88:M88"/>
    <mergeCell ref="M63:M64"/>
    <mergeCell ref="B65:B68"/>
    <mergeCell ref="C77:I77"/>
    <mergeCell ref="J77:J78"/>
    <mergeCell ref="K77:K78"/>
    <mergeCell ref="L77:L78"/>
    <mergeCell ref="L70:L71"/>
    <mergeCell ref="K63:K64"/>
    <mergeCell ref="L63:L64"/>
    <mergeCell ref="B84:C84"/>
    <mergeCell ref="B79:B82"/>
    <mergeCell ref="J63:J64"/>
    <mergeCell ref="J56:J57"/>
    <mergeCell ref="B42:B43"/>
    <mergeCell ref="AL56:AM56"/>
    <mergeCell ref="AO56:AP56"/>
    <mergeCell ref="N56:N57"/>
    <mergeCell ref="O56:O57"/>
    <mergeCell ref="P56:P57"/>
    <mergeCell ref="AT57:AT61"/>
    <mergeCell ref="K56:K57"/>
    <mergeCell ref="L56:L57"/>
    <mergeCell ref="M56:M57"/>
    <mergeCell ref="A1:M1"/>
    <mergeCell ref="H21:K21"/>
    <mergeCell ref="A46:A47"/>
    <mergeCell ref="B46:B47"/>
    <mergeCell ref="C46:D47"/>
    <mergeCell ref="E46:F47"/>
    <mergeCell ref="L32:L33"/>
    <mergeCell ref="M32:M33"/>
    <mergeCell ref="A37:A38"/>
    <mergeCell ref="B37:B38"/>
    <mergeCell ref="C37:I37"/>
    <mergeCell ref="B28:B29"/>
    <mergeCell ref="A26:A27"/>
    <mergeCell ref="B26:B27"/>
    <mergeCell ref="C26:I26"/>
    <mergeCell ref="M42:M43"/>
    <mergeCell ref="M37:M38"/>
    <mergeCell ref="L37:L38"/>
    <mergeCell ref="J32:J33"/>
    <mergeCell ref="J26:J27"/>
    <mergeCell ref="L42:L43"/>
    <mergeCell ref="J42:J43"/>
    <mergeCell ref="K42:K43"/>
    <mergeCell ref="B95:K95"/>
    <mergeCell ref="B96:K96"/>
    <mergeCell ref="B89:E89"/>
    <mergeCell ref="A80:A82"/>
    <mergeCell ref="C48:D48"/>
    <mergeCell ref="E50:F50"/>
    <mergeCell ref="E51:F51"/>
    <mergeCell ref="C51:D51"/>
    <mergeCell ref="A73:A75"/>
    <mergeCell ref="A56:A57"/>
    <mergeCell ref="A70:A71"/>
    <mergeCell ref="A59:A61"/>
    <mergeCell ref="A63:A64"/>
    <mergeCell ref="B63:B64"/>
    <mergeCell ref="C56:I56"/>
    <mergeCell ref="E54:F54"/>
    <mergeCell ref="B56:B57"/>
    <mergeCell ref="C63:I63"/>
    <mergeCell ref="C54:D54"/>
  </mergeCells>
  <dataValidations count="3">
    <dataValidation type="list" allowBlank="1" showInputMessage="1" showErrorMessage="1" sqref="E20:E21" xr:uid="{00000000-0002-0000-0200-000000000000}">
      <formula1>$O$17:$O$18</formula1>
    </dataValidation>
    <dataValidation type="list" allowBlank="1" showInputMessage="1" showErrorMessage="1" sqref="G7:G9" xr:uid="{00000000-0002-0000-0200-000001000000}">
      <formula1>$O$7:$O$9</formula1>
    </dataValidation>
    <dataValidation type="list" allowBlank="1" showInputMessage="1" showErrorMessage="1" sqref="B99" xr:uid="{00000000-0002-0000-0200-000002000000}">
      <formula1>#REF!</formula1>
    </dataValidation>
  </dataValidations>
  <printOptions horizontalCentered="1"/>
  <pageMargins left="0.511811023622047" right="0.23622047244094499" top="0.62" bottom="0.23622047244094499" header="0.23622047244094499" footer="0.23622047244094499"/>
  <pageSetup paperSize="9" scale="59" orientation="portrait" r:id="rId1"/>
  <headerFooter>
    <oddHeader>&amp;R&amp;"-,Regular"&amp;8SH.ID - 049-18 / Rev : 0</oddHeader>
  </headerFooter>
  <rowBreaks count="1" manualBreakCount="1">
    <brk id="49" min="1" max="12" man="1"/>
  </rowBreaks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200-000003000000}">
          <x14:formula1>
            <xm:f>'List '!$B$8:$B$10</xm:f>
          </x14:formula1>
          <xm:sqref>B97:K97</xm:sqref>
        </x14:dataValidation>
        <x14:dataValidation type="list" allowBlank="1" showInputMessage="1" showErrorMessage="1" xr:uid="{00000000-0002-0000-0200-000004000000}">
          <x14:formula1>
            <xm:f>'List '!$B$6:$B$7</xm:f>
          </x14:formula1>
          <xm:sqref>B95</xm:sqref>
        </x14:dataValidation>
        <x14:dataValidation type="list" allowBlank="1" showInputMessage="1" showErrorMessage="1" xr:uid="{7CCE44E6-0ABC-4FC3-BB65-3EF47F55B527}">
          <x14:formula1>
            <xm:f>'List '!$B$33:$B$57</xm:f>
          </x14:formula1>
          <xm:sqref>B101</xm:sqref>
        </x14:dataValidation>
        <x14:dataValidation type="list" allowBlank="1" showInputMessage="1" showErrorMessage="1" xr:uid="{96DC333C-E069-47E5-B85F-3AF1C02697A8}">
          <x14:formula1>
            <xm:f>'Db Thermohygro'!$A$390:$A$408</xm:f>
          </x14:formula1>
          <xm:sqref>B98:K98</xm:sqref>
        </x14:dataValidation>
        <x14:dataValidation type="list" allowBlank="1" showInputMessage="1" showErrorMessage="1" xr:uid="{A73C4E14-D169-46E5-ADEE-CA7A7092A130}">
          <x14:formula1>
            <xm:f>'DB Tipe K'!$C$156:$S$156</xm:f>
          </x14:formula1>
          <xm:sqref>B96 L96:M96</xm:sqref>
        </x14:dataValidation>
        <x14:dataValidation type="list" allowBlank="1" showInputMessage="1" showErrorMessage="1" xr:uid="{0941780E-71B1-4A74-B00C-56832EFAE83E}">
          <x14:formula1>
            <xm:f>'DB Tipe K'!$B$297:$B$308</xm:f>
          </x14:formula1>
          <xm:sqref>B89 F89:M89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theme="9" tint="0.39997558519241921"/>
  </sheetPr>
  <dimension ref="A2:IN251"/>
  <sheetViews>
    <sheetView showGridLines="0" view="pageBreakPreview" topLeftCell="A31" zoomScale="80" zoomScaleNormal="80" zoomScaleSheetLayoutView="80" workbookViewId="0">
      <selection activeCell="F41" sqref="F41"/>
    </sheetView>
  </sheetViews>
  <sheetFormatPr defaultColWidth="9" defaultRowHeight="13.8"/>
  <cols>
    <col min="1" max="1" width="14.77734375" style="11" customWidth="1"/>
    <col min="2" max="2" width="14.21875" style="11" customWidth="1"/>
    <col min="3" max="3" width="4" style="11" customWidth="1"/>
    <col min="4" max="4" width="6.5546875" style="11" customWidth="1"/>
    <col min="5" max="5" width="10.5546875" style="11" customWidth="1"/>
    <col min="6" max="6" width="8.44140625" style="11" customWidth="1"/>
    <col min="7" max="7" width="9.44140625" style="11" customWidth="1"/>
    <col min="8" max="8" width="11.44140625" style="11" customWidth="1"/>
    <col min="9" max="9" width="8.21875" style="11" customWidth="1"/>
    <col min="10" max="10" width="12.5546875" style="11" customWidth="1"/>
    <col min="11" max="11" width="8.5546875" style="11" customWidth="1"/>
    <col min="12" max="12" width="19.5546875" style="11" customWidth="1"/>
    <col min="13" max="13" width="20.44140625" style="11" customWidth="1"/>
    <col min="14" max="20" width="9.21875" style="11" customWidth="1"/>
    <col min="21" max="21" width="17.5546875" style="11" customWidth="1"/>
    <col min="22" max="25" width="9.21875" style="11" customWidth="1"/>
    <col min="26" max="26" width="11.5546875" style="11" bestFit="1" customWidth="1"/>
    <col min="27" max="27" width="24" style="11" customWidth="1"/>
    <col min="28" max="248" width="9.21875" style="11" customWidth="1"/>
  </cols>
  <sheetData>
    <row r="2" spans="1:27" ht="18">
      <c r="A2" s="741" t="s">
        <v>126</v>
      </c>
      <c r="B2" s="741"/>
      <c r="C2" s="741"/>
      <c r="D2" s="741"/>
      <c r="E2" s="741"/>
      <c r="F2" s="741"/>
      <c r="G2" s="741"/>
      <c r="H2" s="741"/>
      <c r="I2" s="741"/>
      <c r="J2" s="741"/>
      <c r="K2" s="741"/>
      <c r="L2" s="741"/>
      <c r="M2" s="741"/>
    </row>
    <row r="3" spans="1:27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</row>
    <row r="4" spans="1:27">
      <c r="A4" s="742" t="s">
        <v>127</v>
      </c>
      <c r="B4" s="742"/>
      <c r="C4" s="742"/>
      <c r="D4" s="742"/>
      <c r="E4" s="742"/>
      <c r="F4" s="742"/>
      <c r="G4" s="742"/>
      <c r="H4" s="742"/>
      <c r="I4" s="742"/>
      <c r="J4" s="742"/>
      <c r="K4" s="742"/>
      <c r="L4" s="742"/>
      <c r="M4" s="742"/>
      <c r="O4" s="755" t="s">
        <v>308</v>
      </c>
      <c r="P4" s="755"/>
      <c r="Q4" s="755"/>
      <c r="R4" s="755"/>
      <c r="S4" s="755"/>
      <c r="T4" s="755"/>
      <c r="U4" s="755"/>
      <c r="V4" s="755"/>
      <c r="W4" s="755"/>
      <c r="X4" s="755"/>
      <c r="Y4" s="755"/>
      <c r="Z4" s="755"/>
      <c r="AA4" s="755"/>
    </row>
    <row r="5" spans="1:27" ht="18" customHeight="1">
      <c r="A5" s="13" t="s">
        <v>128</v>
      </c>
      <c r="B5" s="14">
        <f>ID!E7</f>
        <v>0.1</v>
      </c>
      <c r="C5" s="13" t="s">
        <v>129</v>
      </c>
      <c r="D5" s="14"/>
      <c r="E5" s="13"/>
      <c r="F5" s="13"/>
      <c r="G5" s="13"/>
      <c r="H5" s="13"/>
      <c r="I5" s="13"/>
      <c r="J5" s="13"/>
      <c r="K5" s="13"/>
      <c r="L5" s="13"/>
      <c r="M5" s="13"/>
    </row>
    <row r="6" spans="1:27" ht="18" customHeight="1">
      <c r="A6" s="13" t="s">
        <v>130</v>
      </c>
      <c r="B6" s="14" t="str">
        <f>ID!B28</f>
        <v>2*</v>
      </c>
      <c r="C6" s="13" t="s">
        <v>129</v>
      </c>
      <c r="D6" s="13"/>
      <c r="E6" s="13"/>
      <c r="F6" s="13"/>
      <c r="G6" s="13"/>
      <c r="H6" s="13"/>
      <c r="I6" s="18"/>
      <c r="J6" s="13"/>
      <c r="K6" s="13"/>
      <c r="L6" s="13"/>
      <c r="M6" s="13"/>
    </row>
    <row r="7" spans="1:27" ht="18" customHeight="1">
      <c r="A7" s="734" t="s">
        <v>131</v>
      </c>
      <c r="B7" s="734"/>
      <c r="C7" s="734"/>
      <c r="D7" s="734" t="s">
        <v>132</v>
      </c>
      <c r="E7" s="734" t="s">
        <v>133</v>
      </c>
      <c r="F7" s="734" t="s">
        <v>134</v>
      </c>
      <c r="G7" s="734" t="s">
        <v>135</v>
      </c>
      <c r="H7" s="734" t="s">
        <v>136</v>
      </c>
      <c r="I7" s="734" t="s">
        <v>137</v>
      </c>
      <c r="J7" s="734" t="s">
        <v>138</v>
      </c>
      <c r="K7" s="734" t="s">
        <v>139</v>
      </c>
      <c r="L7" s="734" t="s">
        <v>140</v>
      </c>
      <c r="M7" s="734" t="s">
        <v>141</v>
      </c>
      <c r="O7" s="756" t="s">
        <v>131</v>
      </c>
      <c r="P7" s="756"/>
      <c r="Q7" s="756"/>
      <c r="R7" s="756" t="s">
        <v>132</v>
      </c>
      <c r="S7" s="756" t="s">
        <v>133</v>
      </c>
      <c r="T7" s="756" t="s">
        <v>134</v>
      </c>
      <c r="U7" s="756" t="s">
        <v>135</v>
      </c>
      <c r="V7" s="756" t="s">
        <v>309</v>
      </c>
      <c r="W7" s="756" t="s">
        <v>310</v>
      </c>
      <c r="X7" s="756" t="s">
        <v>311</v>
      </c>
      <c r="Y7" s="756" t="s">
        <v>312</v>
      </c>
      <c r="Z7" s="756" t="s">
        <v>313</v>
      </c>
      <c r="AA7" s="756" t="s">
        <v>314</v>
      </c>
    </row>
    <row r="8" spans="1:27" ht="18" customHeight="1">
      <c r="A8" s="734"/>
      <c r="B8" s="734"/>
      <c r="C8" s="734"/>
      <c r="D8" s="734"/>
      <c r="E8" s="734"/>
      <c r="F8" s="734"/>
      <c r="G8" s="734"/>
      <c r="H8" s="734"/>
      <c r="I8" s="734"/>
      <c r="J8" s="734"/>
      <c r="K8" s="734"/>
      <c r="L8" s="734"/>
      <c r="M8" s="734"/>
      <c r="O8" s="756"/>
      <c r="P8" s="756"/>
      <c r="Q8" s="756"/>
      <c r="R8" s="756"/>
      <c r="S8" s="756"/>
      <c r="T8" s="756"/>
      <c r="U8" s="756"/>
      <c r="V8" s="756"/>
      <c r="W8" s="756"/>
      <c r="X8" s="756"/>
      <c r="Y8" s="756"/>
      <c r="Z8" s="756"/>
      <c r="AA8" s="756"/>
    </row>
    <row r="9" spans="1:27" ht="18" customHeight="1">
      <c r="A9" s="31" t="s">
        <v>142</v>
      </c>
      <c r="B9" s="32"/>
      <c r="C9" s="33"/>
      <c r="D9" s="16" t="s">
        <v>143</v>
      </c>
      <c r="E9" s="15" t="s">
        <v>144</v>
      </c>
      <c r="F9" s="30">
        <f>ID!M28</f>
        <v>2.4323767777952469E-16</v>
      </c>
      <c r="G9" s="30">
        <f>SQRT(6)</f>
        <v>2.4494897427831779</v>
      </c>
      <c r="H9" s="30">
        <f>F9/G9</f>
        <v>9.9301366129890917E-17</v>
      </c>
      <c r="I9" s="15">
        <v>1</v>
      </c>
      <c r="J9" s="30">
        <f>H9*I9</f>
        <v>9.9301366129890917E-17</v>
      </c>
      <c r="K9" s="15">
        <f>6-1</f>
        <v>5</v>
      </c>
      <c r="L9" s="20">
        <f>J9^2</f>
        <v>9.8607613152626467E-33</v>
      </c>
      <c r="M9" s="371">
        <f t="shared" ref="M9:M14" si="0">(J9)^4/K9</f>
        <v>1.9446922743316064E-65</v>
      </c>
      <c r="O9" s="376" t="s">
        <v>142</v>
      </c>
      <c r="P9" s="377"/>
      <c r="Q9" s="378"/>
      <c r="R9" s="379" t="s">
        <v>315</v>
      </c>
      <c r="S9" s="380" t="s">
        <v>144</v>
      </c>
      <c r="T9" s="381">
        <v>1.52E-2</v>
      </c>
      <c r="U9" s="381">
        <f>SQRT(6)</f>
        <v>2.4494897427831779</v>
      </c>
      <c r="V9" s="381">
        <f>0.0152/2.4495</f>
        <v>6.2053480302102469E-3</v>
      </c>
      <c r="W9" s="380">
        <v>1</v>
      </c>
      <c r="X9" s="381">
        <f>0.0062*1</f>
        <v>6.1999999999999998E-3</v>
      </c>
      <c r="Y9" s="380">
        <f>6-1</f>
        <v>5</v>
      </c>
      <c r="Z9" s="382">
        <f>(0.0062*1)^2</f>
        <v>3.8439999999999998E-5</v>
      </c>
      <c r="AA9" s="383">
        <f>((0.0062*1)^4)/5</f>
        <v>2.9552671999999998E-10</v>
      </c>
    </row>
    <row r="10" spans="1:27" ht="18" customHeight="1">
      <c r="A10" s="735" t="s">
        <v>145</v>
      </c>
      <c r="B10" s="736"/>
      <c r="C10" s="737"/>
      <c r="D10" s="16" t="s">
        <v>143</v>
      </c>
      <c r="E10" s="15" t="s">
        <v>144</v>
      </c>
      <c r="F10" s="30">
        <f>IF(B6="2*",'DB Tipe K'!$C$291,'DB Standar'!$B$75)</f>
        <v>0.56000000000000005</v>
      </c>
      <c r="G10" s="30">
        <v>2</v>
      </c>
      <c r="H10" s="30">
        <f t="shared" ref="H10" si="1">F10/G10</f>
        <v>0.28000000000000003</v>
      </c>
      <c r="I10" s="15">
        <v>1</v>
      </c>
      <c r="J10" s="30">
        <f t="shared" ref="J10:J14" si="2">H10*I10</f>
        <v>0.28000000000000003</v>
      </c>
      <c r="K10" s="19">
        <v>50</v>
      </c>
      <c r="L10" s="20">
        <f>(H10*I10)^2</f>
        <v>7.8400000000000011E-2</v>
      </c>
      <c r="M10" s="371">
        <f t="shared" si="0"/>
        <v>1.2293120000000002E-4</v>
      </c>
      <c r="O10" s="757" t="s">
        <v>145</v>
      </c>
      <c r="P10" s="758"/>
      <c r="Q10" s="759"/>
      <c r="R10" s="379" t="s">
        <v>315</v>
      </c>
      <c r="S10" s="380" t="s">
        <v>144</v>
      </c>
      <c r="T10" s="381">
        <v>7.0000000000000007E-2</v>
      </c>
      <c r="U10" s="381">
        <v>2</v>
      </c>
      <c r="V10" s="381">
        <f>0.07/2</f>
        <v>3.5000000000000003E-2</v>
      </c>
      <c r="W10" s="380">
        <v>1</v>
      </c>
      <c r="X10" s="381">
        <f>0.035*1</f>
        <v>3.5000000000000003E-2</v>
      </c>
      <c r="Y10" s="384">
        <v>50</v>
      </c>
      <c r="Z10" s="382">
        <f>(0.035)^2</f>
        <v>1.2250000000000002E-3</v>
      </c>
      <c r="AA10" s="383">
        <f>((0.035)^4)/50</f>
        <v>3.0012500000000005E-8</v>
      </c>
    </row>
    <row r="11" spans="1:27" ht="18" customHeight="1">
      <c r="A11" s="735" t="s">
        <v>146</v>
      </c>
      <c r="B11" s="736"/>
      <c r="C11" s="737"/>
      <c r="D11" s="16" t="s">
        <v>143</v>
      </c>
      <c r="E11" s="15" t="s">
        <v>147</v>
      </c>
      <c r="F11" s="645">
        <f>IF(B6="2*",'DB Tipe K'!$N$273,$F$10/3)</f>
        <v>0.29509789789724122</v>
      </c>
      <c r="G11" s="30">
        <f>SQRT(3)</f>
        <v>1.7320508075688772</v>
      </c>
      <c r="H11" s="645">
        <f>F11/G11</f>
        <v>0.17037485078826492</v>
      </c>
      <c r="I11" s="19">
        <v>1</v>
      </c>
      <c r="J11" s="645">
        <f t="shared" si="2"/>
        <v>0.17037485078826492</v>
      </c>
      <c r="K11" s="19">
        <v>50</v>
      </c>
      <c r="L11" s="637">
        <f>(H11*I11)^2</f>
        <v>2.9027589781123537E-2</v>
      </c>
      <c r="M11" s="639">
        <f t="shared" si="0"/>
        <v>1.685201937002375E-5</v>
      </c>
      <c r="O11" s="757" t="s">
        <v>146</v>
      </c>
      <c r="P11" s="758"/>
      <c r="Q11" s="759"/>
      <c r="R11" s="379" t="s">
        <v>315</v>
      </c>
      <c r="S11" s="380" t="s">
        <v>147</v>
      </c>
      <c r="T11" s="381">
        <f>0.07/3</f>
        <v>2.3333333333333334E-2</v>
      </c>
      <c r="U11" s="381">
        <f>SQRT(3)</f>
        <v>1.7320508075688772</v>
      </c>
      <c r="V11" s="381">
        <f>0.0233/1.7321</f>
        <v>1.3451879221753942E-2</v>
      </c>
      <c r="W11" s="384">
        <v>1</v>
      </c>
      <c r="X11" s="381">
        <f>(0.0135*1)</f>
        <v>1.35E-2</v>
      </c>
      <c r="Y11" s="384">
        <v>50</v>
      </c>
      <c r="Z11" s="382">
        <f>(0.0135)^2</f>
        <v>1.8224999999999998E-4</v>
      </c>
      <c r="AA11" s="383">
        <f>((0.0135)^4)/50</f>
        <v>6.6430124999999985E-10</v>
      </c>
    </row>
    <row r="12" spans="1:27" ht="18" customHeight="1">
      <c r="A12" s="732" t="s">
        <v>148</v>
      </c>
      <c r="B12" s="732"/>
      <c r="C12" s="732"/>
      <c r="D12" s="16" t="s">
        <v>143</v>
      </c>
      <c r="E12" s="15" t="str">
        <f>IF(ID!G7="Analog","Triang","Rect")</f>
        <v>Triang</v>
      </c>
      <c r="F12" s="30">
        <f>IF(ID!G7="Analog",B5*1,B5*0.5)</f>
        <v>0.1</v>
      </c>
      <c r="G12" s="30">
        <f>IF(ID!G7="Analog",SQRT(6),SQRT(3))</f>
        <v>2.4494897427831779</v>
      </c>
      <c r="H12" s="30">
        <f>F12/G12</f>
        <v>4.0824829046386304E-2</v>
      </c>
      <c r="I12" s="15">
        <v>1</v>
      </c>
      <c r="J12" s="30">
        <f t="shared" si="2"/>
        <v>4.0824829046386304E-2</v>
      </c>
      <c r="K12" s="19">
        <v>50</v>
      </c>
      <c r="L12" s="20">
        <f>(H12*I12)^2</f>
        <v>1.666666666666667E-3</v>
      </c>
      <c r="M12" s="371">
        <f t="shared" si="0"/>
        <v>5.5555555555555574E-8</v>
      </c>
      <c r="O12" s="760" t="s">
        <v>148</v>
      </c>
      <c r="P12" s="760"/>
      <c r="Q12" s="760"/>
      <c r="R12" s="379" t="s">
        <v>315</v>
      </c>
      <c r="S12" s="380" t="s">
        <v>147</v>
      </c>
      <c r="T12" s="381">
        <f>0.1/2</f>
        <v>0.05</v>
      </c>
      <c r="U12" s="381">
        <f>SQRT(3)</f>
        <v>1.7320508075688772</v>
      </c>
      <c r="V12" s="381">
        <f>0.05/1.7321</f>
        <v>2.8866693608914036E-2</v>
      </c>
      <c r="W12" s="380">
        <v>1</v>
      </c>
      <c r="X12" s="381">
        <f t="shared" ref="X12:X13" si="3">V12*W12</f>
        <v>2.8866693608914036E-2</v>
      </c>
      <c r="Y12" s="384">
        <v>50</v>
      </c>
      <c r="Z12" s="382">
        <f>(0.0289)^2</f>
        <v>8.3520999999999997E-4</v>
      </c>
      <c r="AA12" s="383">
        <f>((0.0289)^4)/50</f>
        <v>1.3951514882E-8</v>
      </c>
    </row>
    <row r="13" spans="1:27" ht="18" customHeight="1">
      <c r="A13" s="732" t="s">
        <v>149</v>
      </c>
      <c r="B13" s="732"/>
      <c r="C13" s="732"/>
      <c r="D13" s="16" t="s">
        <v>143</v>
      </c>
      <c r="E13" s="15" t="s">
        <v>147</v>
      </c>
      <c r="F13" s="30">
        <f>'DB Standar'!Q46</f>
        <v>-6.4799999999999996E-2</v>
      </c>
      <c r="G13" s="30">
        <f>SQRT(3)</f>
        <v>1.7320508075688772</v>
      </c>
      <c r="H13" s="30">
        <f t="shared" ref="H13:H14" si="4">F13/G13</f>
        <v>-3.7412297443487751E-2</v>
      </c>
      <c r="I13" s="15">
        <v>1</v>
      </c>
      <c r="J13" s="30">
        <f t="shared" si="2"/>
        <v>-3.7412297443487751E-2</v>
      </c>
      <c r="K13" s="19">
        <v>50</v>
      </c>
      <c r="L13" s="20">
        <f>(H13*I13)^2</f>
        <v>1.3996800000000002E-3</v>
      </c>
      <c r="M13" s="371">
        <f t="shared" si="0"/>
        <v>3.9182082048000013E-8</v>
      </c>
      <c r="O13" s="760" t="s">
        <v>149</v>
      </c>
      <c r="P13" s="760"/>
      <c r="Q13" s="760"/>
      <c r="R13" s="379" t="s">
        <v>315</v>
      </c>
      <c r="S13" s="380" t="s">
        <v>147</v>
      </c>
      <c r="T13" s="381">
        <v>0.1</v>
      </c>
      <c r="U13" s="381">
        <f>SQRT(3)</f>
        <v>1.7320508075688772</v>
      </c>
      <c r="V13" s="381">
        <f>0.1/1.7321</f>
        <v>5.7733387217828072E-2</v>
      </c>
      <c r="W13" s="380">
        <v>1</v>
      </c>
      <c r="X13" s="381">
        <f t="shared" si="3"/>
        <v>5.7733387217828072E-2</v>
      </c>
      <c r="Y13" s="384">
        <v>50</v>
      </c>
      <c r="Z13" s="382">
        <f>(0.0577)^2</f>
        <v>3.3292899999999999E-3</v>
      </c>
      <c r="AA13" s="383">
        <f>((0.0577)^4)/50</f>
        <v>2.21683438082E-7</v>
      </c>
    </row>
    <row r="14" spans="1:27" ht="18" customHeight="1">
      <c r="A14" s="735" t="s">
        <v>150</v>
      </c>
      <c r="B14" s="736"/>
      <c r="C14" s="737"/>
      <c r="D14" s="16" t="s">
        <v>143</v>
      </c>
      <c r="E14" s="15" t="s">
        <v>147</v>
      </c>
      <c r="F14" s="30">
        <f>'DB Standar'!P46</f>
        <v>2.7600000000000003E-2</v>
      </c>
      <c r="G14" s="30">
        <f>SQRT(3)</f>
        <v>1.7320508075688772</v>
      </c>
      <c r="H14" s="30">
        <f t="shared" si="4"/>
        <v>1.5934867429633674E-2</v>
      </c>
      <c r="I14" s="15">
        <v>1</v>
      </c>
      <c r="J14" s="30">
        <f t="shared" si="2"/>
        <v>1.5934867429633674E-2</v>
      </c>
      <c r="K14" s="19">
        <v>50</v>
      </c>
      <c r="L14" s="20">
        <f>(H14*I14)^2</f>
        <v>2.5392000000000009E-4</v>
      </c>
      <c r="M14" s="371">
        <f t="shared" si="0"/>
        <v>1.2895073280000011E-9</v>
      </c>
      <c r="O14" s="757" t="s">
        <v>150</v>
      </c>
      <c r="P14" s="758"/>
      <c r="Q14" s="759"/>
      <c r="R14" s="379" t="s">
        <v>315</v>
      </c>
      <c r="S14" s="380" t="s">
        <v>147</v>
      </c>
      <c r="T14" s="381">
        <v>0.1</v>
      </c>
      <c r="U14" s="381">
        <f>SQRT(3)</f>
        <v>1.7320508075688772</v>
      </c>
      <c r="V14" s="381">
        <f>(0.1/1.7321)</f>
        <v>5.7733387217828072E-2</v>
      </c>
      <c r="W14" s="380">
        <v>1</v>
      </c>
      <c r="X14" s="381">
        <f>0.0577*1</f>
        <v>5.7700000000000001E-2</v>
      </c>
      <c r="Y14" s="384">
        <v>50</v>
      </c>
      <c r="Z14" s="382">
        <f>(0.0577)^2</f>
        <v>3.3292899999999999E-3</v>
      </c>
      <c r="AA14" s="383">
        <f>((0.0577)^4)/50</f>
        <v>2.21683438082E-7</v>
      </c>
    </row>
    <row r="15" spans="1:27" ht="18" customHeight="1">
      <c r="A15" s="13"/>
      <c r="B15" s="13"/>
      <c r="C15" s="13"/>
      <c r="D15" s="13"/>
      <c r="E15" s="14"/>
      <c r="F15" s="13"/>
      <c r="G15" s="13"/>
      <c r="H15" s="732" t="s">
        <v>151</v>
      </c>
      <c r="I15" s="732"/>
      <c r="J15" s="732"/>
      <c r="K15" s="732"/>
      <c r="L15" s="638">
        <f>SQRT(SUM(L9:L14))</f>
        <v>0.33278800526429769</v>
      </c>
      <c r="M15" s="640">
        <f>SUM(M9:M14)</f>
        <v>1.3987924651495532E-4</v>
      </c>
      <c r="O15" s="13"/>
      <c r="P15" s="13"/>
      <c r="Q15" s="13"/>
      <c r="R15" s="13"/>
      <c r="S15" s="14"/>
      <c r="T15" s="13"/>
      <c r="U15" s="13"/>
      <c r="V15" s="732" t="s">
        <v>151</v>
      </c>
      <c r="W15" s="732"/>
      <c r="X15" s="732"/>
      <c r="Y15" s="732"/>
      <c r="Z15" s="21">
        <f>SQRT(0.00004+0.00123+0.00018+0.00084+0.00333+0.00333)</f>
        <v>9.4604439642122506E-2</v>
      </c>
      <c r="AA15" s="35">
        <f>AA9+AA10+AA11+AA12+AA13+AA14</f>
        <v>4.8829071901599998E-7</v>
      </c>
    </row>
    <row r="16" spans="1:27" ht="18" customHeight="1">
      <c r="A16" s="13"/>
      <c r="B16" s="13"/>
      <c r="C16" s="13"/>
      <c r="D16" s="13"/>
      <c r="E16" s="13"/>
      <c r="F16" s="13"/>
      <c r="G16" s="13"/>
      <c r="H16" s="732" t="s">
        <v>152</v>
      </c>
      <c r="I16" s="732"/>
      <c r="J16" s="732"/>
      <c r="K16" s="732"/>
      <c r="L16" s="22"/>
      <c r="M16" s="638">
        <f>L15^4/M15</f>
        <v>87.6833984551741</v>
      </c>
      <c r="O16" s="13"/>
      <c r="P16" s="13"/>
      <c r="Q16" s="13"/>
      <c r="R16" s="13"/>
      <c r="S16" s="13"/>
      <c r="T16" s="13"/>
      <c r="U16" s="13"/>
      <c r="V16" s="732" t="s">
        <v>152</v>
      </c>
      <c r="W16" s="732"/>
      <c r="X16" s="732"/>
      <c r="Y16" s="732"/>
      <c r="Z16" s="22"/>
      <c r="AA16" s="21">
        <f>((0.0946)^4)/0.00000049</f>
        <v>163.4438055216327</v>
      </c>
    </row>
    <row r="17" spans="1:27" ht="18" customHeight="1">
      <c r="A17" s="13"/>
      <c r="B17" s="13"/>
      <c r="C17" s="13"/>
      <c r="D17" s="13"/>
      <c r="E17" s="13"/>
      <c r="F17" s="13"/>
      <c r="G17" s="13"/>
      <c r="H17" s="732" t="s">
        <v>153</v>
      </c>
      <c r="I17" s="732"/>
      <c r="J17" s="732"/>
      <c r="K17" s="732"/>
      <c r="L17" s="23"/>
      <c r="M17" s="641">
        <f>1.95996+(2.37356/M16)+(2.818745/M16^2)+(2.546662/M16^3)+(1.761829/M16^4)+(0.245458/M16^5)+(1.000764/M16^6)</f>
        <v>1.9874000940745022</v>
      </c>
      <c r="O17" s="13"/>
      <c r="P17" s="13"/>
      <c r="Q17" s="13"/>
      <c r="R17" s="13"/>
      <c r="S17" s="13"/>
      <c r="T17" s="13"/>
      <c r="U17" s="13"/>
      <c r="V17" s="732" t="s">
        <v>153</v>
      </c>
      <c r="W17" s="732"/>
      <c r="X17" s="732"/>
      <c r="Y17" s="732"/>
      <c r="Z17" s="23"/>
      <c r="AA17" s="367">
        <f>1.95996+(2.37356/AA16)+(2.818745/AA16^2)+(2.546662/AA16^3)+(1.761829/AA16^4)+(0.245458/AA16^5)+(1.000764/AA16^6)</f>
        <v>1.9745882796417573</v>
      </c>
    </row>
    <row r="18" spans="1:27" ht="18" customHeight="1">
      <c r="A18" s="13"/>
      <c r="B18" s="13"/>
      <c r="C18" s="13"/>
      <c r="D18" s="13"/>
      <c r="E18" s="13"/>
      <c r="F18" s="13"/>
      <c r="G18" s="13"/>
      <c r="H18" s="733" t="s">
        <v>154</v>
      </c>
      <c r="I18" s="733"/>
      <c r="J18" s="733"/>
      <c r="K18" s="733"/>
      <c r="L18" s="24"/>
      <c r="M18" s="642">
        <f>L15*M17</f>
        <v>0.66138291296913121</v>
      </c>
      <c r="O18" s="13"/>
      <c r="P18" s="13"/>
      <c r="Q18" s="13"/>
      <c r="R18" s="13"/>
      <c r="S18" s="13"/>
      <c r="T18" s="13"/>
      <c r="U18" s="13"/>
      <c r="V18" s="733" t="s">
        <v>154</v>
      </c>
      <c r="W18" s="733"/>
      <c r="X18" s="733"/>
      <c r="Y18" s="733"/>
      <c r="Z18" s="24"/>
      <c r="AA18" s="200">
        <f>1.97*0.0946</f>
        <v>0.186362</v>
      </c>
    </row>
    <row r="19" spans="1:27" ht="18" customHeight="1">
      <c r="A19" s="13"/>
      <c r="B19" s="13"/>
      <c r="C19" s="13"/>
      <c r="D19" s="13"/>
      <c r="E19" s="13"/>
      <c r="F19" s="13"/>
      <c r="G19" s="13"/>
      <c r="H19" s="182"/>
      <c r="I19" s="182"/>
      <c r="J19" s="182"/>
      <c r="K19" s="182"/>
      <c r="L19" s="183"/>
      <c r="M19" s="184"/>
      <c r="P19" s="10"/>
      <c r="Q19" s="10"/>
      <c r="R19" s="10"/>
      <c r="S19" s="10"/>
      <c r="T19" s="10"/>
      <c r="U19" s="10"/>
    </row>
    <row r="20" spans="1:27" ht="18" customHeight="1">
      <c r="A20" s="13" t="s">
        <v>128</v>
      </c>
      <c r="B20" s="14">
        <f>B5</f>
        <v>0.1</v>
      </c>
      <c r="C20" s="13" t="s">
        <v>129</v>
      </c>
      <c r="D20" s="14"/>
      <c r="E20" s="13"/>
      <c r="F20" s="13"/>
      <c r="G20" s="13"/>
      <c r="H20" s="13"/>
      <c r="I20" s="13"/>
      <c r="J20" s="13"/>
      <c r="K20" s="13"/>
      <c r="L20" s="13"/>
      <c r="M20" s="13"/>
    </row>
    <row r="21" spans="1:27" ht="18" customHeight="1">
      <c r="A21" s="13" t="s">
        <v>130</v>
      </c>
      <c r="B21" s="14" t="str">
        <f>ID!B34</f>
        <v>5*</v>
      </c>
      <c r="C21" s="13" t="s">
        <v>129</v>
      </c>
      <c r="D21" s="13"/>
      <c r="E21" s="13"/>
      <c r="F21" s="13"/>
      <c r="G21" s="13"/>
      <c r="H21" s="13"/>
      <c r="I21" s="18"/>
      <c r="J21" s="13"/>
      <c r="K21" s="13"/>
      <c r="L21" s="13"/>
      <c r="M21" s="13"/>
    </row>
    <row r="22" spans="1:27" ht="18" customHeight="1">
      <c r="A22" s="734" t="s">
        <v>131</v>
      </c>
      <c r="B22" s="734"/>
      <c r="C22" s="734"/>
      <c r="D22" s="734" t="s">
        <v>132</v>
      </c>
      <c r="E22" s="734" t="s">
        <v>133</v>
      </c>
      <c r="F22" s="734" t="s">
        <v>134</v>
      </c>
      <c r="G22" s="734" t="s">
        <v>135</v>
      </c>
      <c r="H22" s="734" t="s">
        <v>136</v>
      </c>
      <c r="I22" s="734" t="s">
        <v>137</v>
      </c>
      <c r="J22" s="734" t="s">
        <v>138</v>
      </c>
      <c r="K22" s="734" t="s">
        <v>139</v>
      </c>
      <c r="L22" s="734" t="s">
        <v>140</v>
      </c>
      <c r="M22" s="734" t="s">
        <v>141</v>
      </c>
      <c r="O22" s="734" t="s">
        <v>131</v>
      </c>
      <c r="P22" s="734"/>
      <c r="Q22" s="734"/>
      <c r="R22" s="734" t="s">
        <v>132</v>
      </c>
      <c r="S22" s="734" t="s">
        <v>133</v>
      </c>
      <c r="T22" s="734" t="s">
        <v>134</v>
      </c>
      <c r="U22" s="734" t="s">
        <v>135</v>
      </c>
      <c r="V22" s="734" t="s">
        <v>136</v>
      </c>
      <c r="W22" s="734" t="s">
        <v>137</v>
      </c>
      <c r="X22" s="734" t="s">
        <v>138</v>
      </c>
      <c r="Y22" s="734" t="s">
        <v>139</v>
      </c>
      <c r="Z22" s="734" t="s">
        <v>140</v>
      </c>
      <c r="AA22" s="734" t="s">
        <v>141</v>
      </c>
    </row>
    <row r="23" spans="1:27" ht="18" customHeight="1">
      <c r="A23" s="734"/>
      <c r="B23" s="734"/>
      <c r="C23" s="734"/>
      <c r="D23" s="734"/>
      <c r="E23" s="734"/>
      <c r="F23" s="734"/>
      <c r="G23" s="734"/>
      <c r="H23" s="734"/>
      <c r="I23" s="734"/>
      <c r="J23" s="734"/>
      <c r="K23" s="734"/>
      <c r="L23" s="734"/>
      <c r="M23" s="734"/>
      <c r="O23" s="734"/>
      <c r="P23" s="734"/>
      <c r="Q23" s="734"/>
      <c r="R23" s="734"/>
      <c r="S23" s="734"/>
      <c r="T23" s="734"/>
      <c r="U23" s="734"/>
      <c r="V23" s="734"/>
      <c r="W23" s="734"/>
      <c r="X23" s="734"/>
      <c r="Y23" s="734"/>
      <c r="Z23" s="734"/>
      <c r="AA23" s="734"/>
    </row>
    <row r="24" spans="1:27" ht="18" customHeight="1">
      <c r="A24" s="31" t="s">
        <v>142</v>
      </c>
      <c r="B24" s="32"/>
      <c r="C24" s="33"/>
      <c r="D24" s="16" t="s">
        <v>143</v>
      </c>
      <c r="E24" s="15" t="s">
        <v>144</v>
      </c>
      <c r="F24" s="30">
        <f>ID!M34</f>
        <v>0</v>
      </c>
      <c r="G24" s="370">
        <f>SQRT(6)</f>
        <v>2.4494897427831779</v>
      </c>
      <c r="H24" s="370">
        <f>F24/G24</f>
        <v>0</v>
      </c>
      <c r="I24" s="15">
        <v>1</v>
      </c>
      <c r="J24" s="30">
        <f t="shared" ref="J24:J29" si="5">H24*I24</f>
        <v>0</v>
      </c>
      <c r="K24" s="15">
        <f>6-1</f>
        <v>5</v>
      </c>
      <c r="L24" s="372">
        <f>J24^2</f>
        <v>0</v>
      </c>
      <c r="M24" s="374">
        <f t="shared" ref="M24:M29" si="6">(J24)^4/K24</f>
        <v>0</v>
      </c>
      <c r="O24" s="369" t="s">
        <v>142</v>
      </c>
      <c r="P24" s="32"/>
      <c r="Q24" s="33"/>
      <c r="R24" s="16" t="s">
        <v>143</v>
      </c>
      <c r="S24" s="15" t="s">
        <v>144</v>
      </c>
      <c r="T24" s="30">
        <v>5.4999999999999997E-3</v>
      </c>
      <c r="U24" s="30">
        <f>SQRT(6)</f>
        <v>2.4494897427831779</v>
      </c>
      <c r="V24" s="30">
        <f>0.0055/2.4495</f>
        <v>2.2453561951418653E-3</v>
      </c>
      <c r="W24" s="15">
        <v>1</v>
      </c>
      <c r="X24" s="30">
        <f>V24*1</f>
        <v>2.2453561951418653E-3</v>
      </c>
      <c r="Y24" s="15">
        <f>6-1</f>
        <v>5</v>
      </c>
      <c r="Z24" s="372">
        <f>(0.0022)^2</f>
        <v>4.8400000000000002E-6</v>
      </c>
      <c r="AA24" s="374">
        <f>((0.0022)^4)/5</f>
        <v>4.6851200000000009E-12</v>
      </c>
    </row>
    <row r="25" spans="1:27" ht="18" customHeight="1">
      <c r="A25" s="735" t="s">
        <v>145</v>
      </c>
      <c r="B25" s="736"/>
      <c r="C25" s="737"/>
      <c r="D25" s="16" t="s">
        <v>143</v>
      </c>
      <c r="E25" s="15" t="s">
        <v>144</v>
      </c>
      <c r="F25" s="30">
        <f>IF(B21="5*",'DB Tipe K'!$C$291,'DB Standar'!$B$75)</f>
        <v>0.56000000000000005</v>
      </c>
      <c r="G25" s="370">
        <v>2</v>
      </c>
      <c r="H25" s="370">
        <f t="shared" ref="H25:H29" si="7">F25/G25</f>
        <v>0.28000000000000003</v>
      </c>
      <c r="I25" s="15">
        <v>1</v>
      </c>
      <c r="J25" s="30">
        <f t="shared" si="5"/>
        <v>0.28000000000000003</v>
      </c>
      <c r="K25" s="19">
        <v>50</v>
      </c>
      <c r="L25" s="372">
        <f>(H25*I25)^2</f>
        <v>7.8400000000000011E-2</v>
      </c>
      <c r="M25" s="374">
        <f t="shared" si="6"/>
        <v>1.2293120000000002E-4</v>
      </c>
      <c r="O25" s="735" t="s">
        <v>145</v>
      </c>
      <c r="P25" s="736"/>
      <c r="Q25" s="737"/>
      <c r="R25" s="16" t="s">
        <v>143</v>
      </c>
      <c r="S25" s="15" t="s">
        <v>144</v>
      </c>
      <c r="T25" s="30">
        <v>7.0000000000000007E-2</v>
      </c>
      <c r="U25" s="30">
        <v>2</v>
      </c>
      <c r="V25" s="30">
        <f>0.07/2</f>
        <v>3.5000000000000003E-2</v>
      </c>
      <c r="W25" s="15">
        <v>1</v>
      </c>
      <c r="X25" s="30">
        <f t="shared" ref="X25:X29" si="8">V25*1</f>
        <v>3.5000000000000003E-2</v>
      </c>
      <c r="Y25" s="19">
        <v>50</v>
      </c>
      <c r="Z25" s="372">
        <f>(0.035)^2</f>
        <v>1.2250000000000002E-3</v>
      </c>
      <c r="AA25" s="374">
        <f>((0.035)^4)/50</f>
        <v>3.0012500000000005E-8</v>
      </c>
    </row>
    <row r="26" spans="1:27" ht="18" customHeight="1">
      <c r="A26" s="735" t="s">
        <v>146</v>
      </c>
      <c r="B26" s="736"/>
      <c r="C26" s="737"/>
      <c r="D26" s="16" t="s">
        <v>143</v>
      </c>
      <c r="E26" s="15" t="s">
        <v>147</v>
      </c>
      <c r="F26" s="645">
        <f>IF(B21="5*",'DB Tipe K'!$N$274,$F$10/3)</f>
        <v>0.2963352092446902</v>
      </c>
      <c r="G26" s="370">
        <f>SQRT(3)</f>
        <v>1.7320508075688772</v>
      </c>
      <c r="H26" s="646">
        <f>F26/G26</f>
        <v>0.17108921282778597</v>
      </c>
      <c r="I26" s="19">
        <v>1</v>
      </c>
      <c r="J26" s="645">
        <f t="shared" si="5"/>
        <v>0.17108921282778597</v>
      </c>
      <c r="K26" s="19">
        <v>50</v>
      </c>
      <c r="L26" s="647">
        <f>(H26*I26)^2</f>
        <v>2.9271518746031441E-2</v>
      </c>
      <c r="M26" s="643">
        <f t="shared" si="6"/>
        <v>1.7136436193985401E-5</v>
      </c>
      <c r="O26" s="735" t="s">
        <v>146</v>
      </c>
      <c r="P26" s="736"/>
      <c r="Q26" s="737"/>
      <c r="R26" s="16" t="s">
        <v>143</v>
      </c>
      <c r="S26" s="15" t="s">
        <v>147</v>
      </c>
      <c r="T26" s="30">
        <v>2.3300000000000001E-2</v>
      </c>
      <c r="U26" s="30">
        <f>SQRT(3)</f>
        <v>1.7320508075688772</v>
      </c>
      <c r="V26" s="30">
        <f>0.0233/1.7321</f>
        <v>1.3451879221753942E-2</v>
      </c>
      <c r="W26" s="19">
        <v>1</v>
      </c>
      <c r="X26" s="30">
        <f t="shared" si="8"/>
        <v>1.3451879221753942E-2</v>
      </c>
      <c r="Y26" s="19">
        <v>50</v>
      </c>
      <c r="Z26" s="372">
        <f>(0.0135)^2</f>
        <v>1.8224999999999998E-4</v>
      </c>
      <c r="AA26" s="374">
        <f>((0.0135)^4)/50</f>
        <v>6.6430124999999985E-10</v>
      </c>
    </row>
    <row r="27" spans="1:27" ht="18" customHeight="1">
      <c r="A27" s="732" t="s">
        <v>148</v>
      </c>
      <c r="B27" s="732"/>
      <c r="C27" s="732"/>
      <c r="D27" s="16" t="s">
        <v>143</v>
      </c>
      <c r="E27" s="15" t="str">
        <f>E12</f>
        <v>Triang</v>
      </c>
      <c r="F27" s="30">
        <f>F12</f>
        <v>0.1</v>
      </c>
      <c r="G27" s="370">
        <f>G12</f>
        <v>2.4494897427831779</v>
      </c>
      <c r="H27" s="370">
        <f t="shared" si="7"/>
        <v>4.0824829046386304E-2</v>
      </c>
      <c r="I27" s="15">
        <v>1</v>
      </c>
      <c r="J27" s="30">
        <f t="shared" si="5"/>
        <v>4.0824829046386304E-2</v>
      </c>
      <c r="K27" s="19">
        <v>50</v>
      </c>
      <c r="L27" s="372">
        <f>(H27*I27)^2</f>
        <v>1.666666666666667E-3</v>
      </c>
      <c r="M27" s="374">
        <f t="shared" si="6"/>
        <v>5.5555555555555574E-8</v>
      </c>
      <c r="O27" s="732" t="s">
        <v>148</v>
      </c>
      <c r="P27" s="732"/>
      <c r="Q27" s="732"/>
      <c r="R27" s="16" t="s">
        <v>143</v>
      </c>
      <c r="S27" s="15" t="s">
        <v>147</v>
      </c>
      <c r="T27" s="30">
        <v>0.05</v>
      </c>
      <c r="U27" s="30">
        <f>SQRT(3)</f>
        <v>1.7320508075688772</v>
      </c>
      <c r="V27" s="30">
        <f>0.05/1.7321</f>
        <v>2.8866693608914036E-2</v>
      </c>
      <c r="W27" s="15">
        <v>1</v>
      </c>
      <c r="X27" s="30">
        <f t="shared" si="8"/>
        <v>2.8866693608914036E-2</v>
      </c>
      <c r="Y27" s="19">
        <v>50</v>
      </c>
      <c r="Z27" s="372">
        <f>(0.0289)^2</f>
        <v>8.3520999999999997E-4</v>
      </c>
      <c r="AA27" s="374">
        <f>((0.0289)^4)/50</f>
        <v>1.3951514882E-8</v>
      </c>
    </row>
    <row r="28" spans="1:27" ht="18" customHeight="1">
      <c r="A28" s="732" t="s">
        <v>149</v>
      </c>
      <c r="B28" s="732"/>
      <c r="C28" s="732"/>
      <c r="D28" s="16" t="s">
        <v>143</v>
      </c>
      <c r="E28" s="15" t="s">
        <v>147</v>
      </c>
      <c r="F28" s="30">
        <f>'DB Standar'!Q47</f>
        <v>-0.04</v>
      </c>
      <c r="G28" s="370">
        <f>SQRT(3)</f>
        <v>1.7320508075688772</v>
      </c>
      <c r="H28" s="370">
        <f t="shared" si="7"/>
        <v>-2.3094010767585032E-2</v>
      </c>
      <c r="I28" s="15">
        <v>1</v>
      </c>
      <c r="J28" s="30">
        <f t="shared" si="5"/>
        <v>-2.3094010767585032E-2</v>
      </c>
      <c r="K28" s="19">
        <v>50</v>
      </c>
      <c r="L28" s="372">
        <f>(H28*I28)^2</f>
        <v>5.3333333333333336E-4</v>
      </c>
      <c r="M28" s="374">
        <f t="shared" si="6"/>
        <v>5.6888888888888896E-9</v>
      </c>
      <c r="O28" s="732" t="s">
        <v>149</v>
      </c>
      <c r="P28" s="732"/>
      <c r="Q28" s="732"/>
      <c r="R28" s="16" t="s">
        <v>143</v>
      </c>
      <c r="S28" s="15" t="s">
        <v>147</v>
      </c>
      <c r="T28" s="30">
        <v>0.1</v>
      </c>
      <c r="U28" s="30">
        <f>SQRT(3)</f>
        <v>1.7320508075688772</v>
      </c>
      <c r="V28" s="30">
        <f>0.1/1.7321</f>
        <v>5.7733387217828072E-2</v>
      </c>
      <c r="W28" s="15">
        <v>1</v>
      </c>
      <c r="X28" s="30">
        <f t="shared" si="8"/>
        <v>5.7733387217828072E-2</v>
      </c>
      <c r="Y28" s="19">
        <v>50</v>
      </c>
      <c r="Z28" s="372">
        <f>(0.0577)^2</f>
        <v>3.3292899999999999E-3</v>
      </c>
      <c r="AA28" s="374">
        <f>((0.0577)^4)/50</f>
        <v>2.21683438082E-7</v>
      </c>
    </row>
    <row r="29" spans="1:27" ht="18" customHeight="1">
      <c r="A29" s="735" t="s">
        <v>150</v>
      </c>
      <c r="B29" s="736"/>
      <c r="C29" s="737"/>
      <c r="D29" s="16" t="s">
        <v>143</v>
      </c>
      <c r="E29" s="15" t="s">
        <v>147</v>
      </c>
      <c r="F29" s="30">
        <f>'DB Standar'!P47</f>
        <v>0.04</v>
      </c>
      <c r="G29" s="370">
        <f>SQRT(3)</f>
        <v>1.7320508075688772</v>
      </c>
      <c r="H29" s="370">
        <f t="shared" si="7"/>
        <v>2.3094010767585032E-2</v>
      </c>
      <c r="I29" s="15">
        <v>1</v>
      </c>
      <c r="J29" s="30">
        <f t="shared" si="5"/>
        <v>2.3094010767585032E-2</v>
      </c>
      <c r="K29" s="19">
        <v>50</v>
      </c>
      <c r="L29" s="372">
        <f>(H29*I29)^2</f>
        <v>5.3333333333333336E-4</v>
      </c>
      <c r="M29" s="374">
        <f t="shared" si="6"/>
        <v>5.6888888888888896E-9</v>
      </c>
      <c r="O29" s="735" t="s">
        <v>150</v>
      </c>
      <c r="P29" s="736"/>
      <c r="Q29" s="737"/>
      <c r="R29" s="16" t="s">
        <v>143</v>
      </c>
      <c r="S29" s="15" t="s">
        <v>147</v>
      </c>
      <c r="T29" s="30">
        <v>0.1</v>
      </c>
      <c r="U29" s="30">
        <f>SQRT(3)</f>
        <v>1.7320508075688772</v>
      </c>
      <c r="V29" s="30">
        <f>0.1/1.7321</f>
        <v>5.7733387217828072E-2</v>
      </c>
      <c r="W29" s="15">
        <v>1</v>
      </c>
      <c r="X29" s="30">
        <f t="shared" si="8"/>
        <v>5.7733387217828072E-2</v>
      </c>
      <c r="Y29" s="19">
        <v>50</v>
      </c>
      <c r="Z29" s="372">
        <f>(0.0577)^2</f>
        <v>3.3292899999999999E-3</v>
      </c>
      <c r="AA29" s="374">
        <f>((0.0577)^4)/50</f>
        <v>2.21683438082E-7</v>
      </c>
    </row>
    <row r="30" spans="1:27" ht="18" customHeight="1">
      <c r="A30" s="13"/>
      <c r="B30" s="13"/>
      <c r="C30" s="13"/>
      <c r="D30" s="13"/>
      <c r="E30" s="14"/>
      <c r="F30" s="13"/>
      <c r="G30" s="13"/>
      <c r="H30" s="732" t="s">
        <v>151</v>
      </c>
      <c r="I30" s="732"/>
      <c r="J30" s="732"/>
      <c r="K30" s="732"/>
      <c r="L30" s="638">
        <f>SQRT(SUM(L24:L29))</f>
        <v>0.33227225595791893</v>
      </c>
      <c r="M30" s="640">
        <f>SUM(M24:M29)</f>
        <v>1.4013456952731874E-4</v>
      </c>
      <c r="O30" s="13"/>
      <c r="P30" s="13"/>
      <c r="Q30" s="13"/>
      <c r="R30" s="13"/>
      <c r="S30" s="14"/>
      <c r="T30" s="13"/>
      <c r="U30" s="13"/>
      <c r="V30" s="732" t="s">
        <v>151</v>
      </c>
      <c r="W30" s="732"/>
      <c r="X30" s="732"/>
      <c r="Y30" s="732"/>
      <c r="Z30" s="21">
        <f>SQRT(0.0000048+0.001225+0.0001823+0.0008352+0.0033293+0.0033293)</f>
        <v>9.4371076077365987E-2</v>
      </c>
      <c r="AA30" s="35">
        <f>AA24+AA25+AA26+AA27+AA28+AA29</f>
        <v>4.8799987741600002E-7</v>
      </c>
    </row>
    <row r="31" spans="1:27" ht="18" customHeight="1">
      <c r="A31" s="13"/>
      <c r="B31" s="13"/>
      <c r="C31" s="13"/>
      <c r="D31" s="13"/>
      <c r="E31" s="13"/>
      <c r="F31" s="13"/>
      <c r="G31" s="13"/>
      <c r="H31" s="732" t="s">
        <v>152</v>
      </c>
      <c r="I31" s="732"/>
      <c r="J31" s="732"/>
      <c r="K31" s="732"/>
      <c r="L31" s="22"/>
      <c r="M31" s="638">
        <f>L30^4/M30</f>
        <v>86.982329940294804</v>
      </c>
      <c r="O31" s="13"/>
      <c r="P31" s="13"/>
      <c r="Q31" s="13"/>
      <c r="R31" s="13"/>
      <c r="S31" s="13"/>
      <c r="T31" s="13"/>
      <c r="U31" s="13"/>
      <c r="V31" s="732" t="s">
        <v>152</v>
      </c>
      <c r="W31" s="732"/>
      <c r="X31" s="732"/>
      <c r="Y31" s="732"/>
      <c r="Z31" s="22"/>
      <c r="AA31" s="21">
        <f>((0.0944)^4)/0.00000049</f>
        <v>162.06599397877551</v>
      </c>
    </row>
    <row r="32" spans="1:27" ht="18" customHeight="1">
      <c r="A32" s="13"/>
      <c r="B32" s="13"/>
      <c r="C32" s="13"/>
      <c r="D32" s="13"/>
      <c r="E32" s="13"/>
      <c r="F32" s="13"/>
      <c r="G32" s="13"/>
      <c r="H32" s="732" t="s">
        <v>153</v>
      </c>
      <c r="I32" s="732"/>
      <c r="J32" s="732"/>
      <c r="K32" s="732"/>
      <c r="L32" s="23"/>
      <c r="M32" s="641">
        <f>1.95996+(2.37356/M31)+(2.818745/M31^2)+(2.546662/M31^3)+(1.761829/M31^4)+(0.245458/M31^5)+(1.000764/M31^6)</f>
        <v>1.9876242995088378</v>
      </c>
      <c r="O32" s="13"/>
      <c r="P32" s="13"/>
      <c r="Q32" s="13"/>
      <c r="R32" s="13"/>
      <c r="S32" s="13"/>
      <c r="T32" s="13"/>
      <c r="U32" s="13"/>
      <c r="V32" s="732" t="s">
        <v>153</v>
      </c>
      <c r="W32" s="732"/>
      <c r="X32" s="732"/>
      <c r="Y32" s="732"/>
      <c r="Z32" s="23"/>
      <c r="AA32" s="367">
        <f>1.95996+(2.37356/AA31)+(2.818745/AA31^2)+(2.546662/AA31^3)+(1.761829/AA31^4)+(0.245458/AA31^5)+(1.000764/AA31^6)</f>
        <v>1.9747135574224786</v>
      </c>
    </row>
    <row r="33" spans="1:27" ht="18" customHeight="1">
      <c r="A33" s="13"/>
      <c r="B33" s="13"/>
      <c r="C33" s="13"/>
      <c r="D33" s="13"/>
      <c r="E33" s="13"/>
      <c r="F33" s="13"/>
      <c r="G33" s="13"/>
      <c r="H33" s="733" t="s">
        <v>154</v>
      </c>
      <c r="I33" s="733"/>
      <c r="J33" s="733"/>
      <c r="K33" s="733"/>
      <c r="L33" s="24"/>
      <c r="M33" s="642">
        <f>L30*M32</f>
        <v>0.66043240999457986</v>
      </c>
      <c r="N33" s="11" t="s">
        <v>305</v>
      </c>
      <c r="O33" s="13"/>
      <c r="P33" s="13"/>
      <c r="Q33" s="13"/>
      <c r="R33" s="13"/>
      <c r="S33" s="13"/>
      <c r="T33" s="13"/>
      <c r="U33" s="13"/>
      <c r="V33" s="733" t="s">
        <v>154</v>
      </c>
      <c r="W33" s="733"/>
      <c r="X33" s="733"/>
      <c r="Y33" s="733"/>
      <c r="Z33" s="24"/>
      <c r="AA33" s="365">
        <f>0.0944*1.97</f>
        <v>0.18596799999999999</v>
      </c>
    </row>
    <row r="34" spans="1:27" ht="18" customHeight="1">
      <c r="E34" s="17"/>
      <c r="M34" s="64"/>
      <c r="P34" s="10"/>
      <c r="Q34" s="10"/>
      <c r="R34" s="10"/>
      <c r="S34" s="10"/>
      <c r="T34" s="10"/>
      <c r="U34" s="10"/>
    </row>
    <row r="35" spans="1:27" ht="18" customHeight="1">
      <c r="A35" s="13" t="s">
        <v>128</v>
      </c>
      <c r="B35" s="14">
        <f>B20</f>
        <v>0.1</v>
      </c>
      <c r="C35" s="13" t="s">
        <v>129</v>
      </c>
      <c r="D35" s="14"/>
      <c r="E35" s="13"/>
      <c r="F35" s="13"/>
      <c r="G35" s="13"/>
      <c r="H35" s="13"/>
      <c r="I35" s="13"/>
      <c r="J35" s="13"/>
      <c r="K35" s="13"/>
      <c r="L35" s="13"/>
      <c r="M35" s="13"/>
    </row>
    <row r="36" spans="1:27" ht="18" customHeight="1">
      <c r="A36" s="13" t="s">
        <v>130</v>
      </c>
      <c r="B36" s="14" t="str">
        <f>ID!B39</f>
        <v>8*</v>
      </c>
      <c r="C36" s="13" t="s">
        <v>129</v>
      </c>
      <c r="D36" s="13"/>
      <c r="E36" s="13"/>
      <c r="F36" s="13"/>
      <c r="G36" s="13"/>
      <c r="H36" s="13"/>
      <c r="I36" s="18"/>
      <c r="J36" s="13"/>
      <c r="K36" s="13"/>
      <c r="L36" s="13"/>
      <c r="M36" s="13"/>
    </row>
    <row r="37" spans="1:27" ht="18" customHeight="1">
      <c r="A37" s="734" t="s">
        <v>131</v>
      </c>
      <c r="B37" s="734"/>
      <c r="C37" s="734"/>
      <c r="D37" s="734" t="s">
        <v>132</v>
      </c>
      <c r="E37" s="734" t="s">
        <v>133</v>
      </c>
      <c r="F37" s="734" t="s">
        <v>134</v>
      </c>
      <c r="G37" s="734" t="s">
        <v>135</v>
      </c>
      <c r="H37" s="734" t="s">
        <v>136</v>
      </c>
      <c r="I37" s="734" t="s">
        <v>137</v>
      </c>
      <c r="J37" s="734" t="s">
        <v>138</v>
      </c>
      <c r="K37" s="734" t="s">
        <v>139</v>
      </c>
      <c r="L37" s="734" t="s">
        <v>140</v>
      </c>
      <c r="M37" s="734" t="s">
        <v>141</v>
      </c>
      <c r="O37" s="734" t="s">
        <v>131</v>
      </c>
      <c r="P37" s="734"/>
      <c r="Q37" s="734"/>
      <c r="R37" s="734" t="s">
        <v>132</v>
      </c>
      <c r="S37" s="734" t="s">
        <v>133</v>
      </c>
      <c r="T37" s="734" t="s">
        <v>134</v>
      </c>
      <c r="U37" s="734" t="s">
        <v>135</v>
      </c>
      <c r="V37" s="734" t="s">
        <v>136</v>
      </c>
      <c r="W37" s="734" t="s">
        <v>137</v>
      </c>
      <c r="X37" s="734" t="s">
        <v>138</v>
      </c>
      <c r="Y37" s="734" t="s">
        <v>139</v>
      </c>
      <c r="Z37" s="734" t="s">
        <v>140</v>
      </c>
      <c r="AA37" s="734" t="s">
        <v>141</v>
      </c>
    </row>
    <row r="38" spans="1:27" ht="18" customHeight="1">
      <c r="A38" s="734"/>
      <c r="B38" s="734"/>
      <c r="C38" s="734"/>
      <c r="D38" s="734"/>
      <c r="E38" s="734"/>
      <c r="F38" s="734"/>
      <c r="G38" s="734"/>
      <c r="H38" s="734"/>
      <c r="I38" s="734"/>
      <c r="J38" s="734"/>
      <c r="K38" s="734"/>
      <c r="L38" s="734"/>
      <c r="M38" s="734"/>
      <c r="O38" s="734"/>
      <c r="P38" s="734"/>
      <c r="Q38" s="734"/>
      <c r="R38" s="734"/>
      <c r="S38" s="734"/>
      <c r="T38" s="734"/>
      <c r="U38" s="734"/>
      <c r="V38" s="734"/>
      <c r="W38" s="734"/>
      <c r="X38" s="734"/>
      <c r="Y38" s="734"/>
      <c r="Z38" s="734"/>
      <c r="AA38" s="734"/>
    </row>
    <row r="39" spans="1:27" ht="18" customHeight="1">
      <c r="A39" s="31" t="s">
        <v>142</v>
      </c>
      <c r="B39" s="32"/>
      <c r="C39" s="33"/>
      <c r="D39" s="16" t="s">
        <v>143</v>
      </c>
      <c r="E39" s="15" t="s">
        <v>144</v>
      </c>
      <c r="F39" s="30">
        <f>ID!M39</f>
        <v>0</v>
      </c>
      <c r="G39" s="15">
        <f>G24</f>
        <v>2.4494897427831779</v>
      </c>
      <c r="H39" s="30">
        <f>F39/G39</f>
        <v>0</v>
      </c>
      <c r="I39" s="15">
        <v>1</v>
      </c>
      <c r="J39" s="30">
        <f t="shared" ref="J39:J44" si="9">H39*I39</f>
        <v>0</v>
      </c>
      <c r="K39" s="15">
        <f>K24</f>
        <v>5</v>
      </c>
      <c r="L39" s="20">
        <f>J39^2</f>
        <v>0</v>
      </c>
      <c r="M39" s="375">
        <f t="shared" ref="M39:M44" si="10">(J39)^4/K39</f>
        <v>0</v>
      </c>
      <c r="O39" s="369" t="s">
        <v>142</v>
      </c>
      <c r="P39" s="32"/>
      <c r="Q39" s="33"/>
      <c r="R39" s="16" t="s">
        <v>143</v>
      </c>
      <c r="S39" s="15" t="s">
        <v>144</v>
      </c>
      <c r="T39" s="30">
        <v>0.01</v>
      </c>
      <c r="U39" s="30">
        <f>U24</f>
        <v>2.4494897427831779</v>
      </c>
      <c r="V39" s="30">
        <f>0.01/2.4495</f>
        <v>4.082465809348847E-3</v>
      </c>
      <c r="W39" s="15">
        <v>1</v>
      </c>
      <c r="X39" s="30">
        <f>V39*1</f>
        <v>4.082465809348847E-3</v>
      </c>
      <c r="Y39" s="15">
        <f>Y24</f>
        <v>5</v>
      </c>
      <c r="Z39" s="20">
        <f>(0.0041)^2</f>
        <v>1.6810000000000003E-5</v>
      </c>
      <c r="AA39" s="375">
        <f>((0.0041)^4)/5</f>
        <v>5.6515220000000022E-11</v>
      </c>
    </row>
    <row r="40" spans="1:27" ht="18" customHeight="1">
      <c r="A40" s="735" t="s">
        <v>145</v>
      </c>
      <c r="B40" s="736"/>
      <c r="C40" s="737"/>
      <c r="D40" s="16" t="s">
        <v>143</v>
      </c>
      <c r="E40" s="15" t="s">
        <v>144</v>
      </c>
      <c r="F40" s="30">
        <f>IF(B36="8*",'DB Tipe K'!$C$291,'DB Standar'!$B$75)</f>
        <v>0.56000000000000005</v>
      </c>
      <c r="G40" s="30">
        <v>2</v>
      </c>
      <c r="H40" s="30">
        <f t="shared" ref="H40" si="11">F40/G40</f>
        <v>0.28000000000000003</v>
      </c>
      <c r="I40" s="15">
        <v>1</v>
      </c>
      <c r="J40" s="30">
        <f t="shared" si="9"/>
        <v>0.28000000000000003</v>
      </c>
      <c r="K40" s="19">
        <v>50</v>
      </c>
      <c r="L40" s="20">
        <f>(H40*I40)^2</f>
        <v>7.8400000000000011E-2</v>
      </c>
      <c r="M40" s="375">
        <f t="shared" si="10"/>
        <v>1.2293120000000002E-4</v>
      </c>
      <c r="O40" s="735" t="s">
        <v>145</v>
      </c>
      <c r="P40" s="736"/>
      <c r="Q40" s="737"/>
      <c r="R40" s="16" t="s">
        <v>143</v>
      </c>
      <c r="S40" s="15" t="s">
        <v>144</v>
      </c>
      <c r="T40" s="30">
        <v>7.0000000000000007E-2</v>
      </c>
      <c r="U40" s="30">
        <v>2</v>
      </c>
      <c r="V40" s="30">
        <f>0.07/2</f>
        <v>3.5000000000000003E-2</v>
      </c>
      <c r="W40" s="15">
        <v>1</v>
      </c>
      <c r="X40" s="30">
        <f t="shared" ref="X40:X44" si="12">V40*1</f>
        <v>3.5000000000000003E-2</v>
      </c>
      <c r="Y40" s="19">
        <v>50</v>
      </c>
      <c r="Z40" s="20">
        <f>0.035^2</f>
        <v>1.2250000000000002E-3</v>
      </c>
      <c r="AA40" s="375">
        <f>((0.035)^4/50)</f>
        <v>3.0012500000000005E-8</v>
      </c>
    </row>
    <row r="41" spans="1:27" ht="18" customHeight="1">
      <c r="A41" s="735" t="s">
        <v>146</v>
      </c>
      <c r="B41" s="736"/>
      <c r="C41" s="737"/>
      <c r="D41" s="16" t="s">
        <v>143</v>
      </c>
      <c r="E41" s="15" t="s">
        <v>147</v>
      </c>
      <c r="F41" s="645">
        <f>IF(B36="8*",'DB Tipe K'!$N$275,$F$10/3)</f>
        <v>0.29753260732286668</v>
      </c>
      <c r="G41" s="20">
        <f>SQRT(3)</f>
        <v>1.7320508075688772</v>
      </c>
      <c r="H41" s="645">
        <f>F41/G41</f>
        <v>0.17178053093054832</v>
      </c>
      <c r="I41" s="19">
        <v>1</v>
      </c>
      <c r="J41" s="645">
        <f t="shared" si="9"/>
        <v>0.17178053093054832</v>
      </c>
      <c r="K41" s="19">
        <v>50</v>
      </c>
      <c r="L41" s="637">
        <f>(H41*I41)^2</f>
        <v>2.9508550806781067E-2</v>
      </c>
      <c r="M41" s="644">
        <f t="shared" si="10"/>
        <v>1.7415091414327593E-5</v>
      </c>
      <c r="O41" s="735" t="s">
        <v>146</v>
      </c>
      <c r="P41" s="736"/>
      <c r="Q41" s="737"/>
      <c r="R41" s="16" t="s">
        <v>143</v>
      </c>
      <c r="S41" s="15" t="s">
        <v>147</v>
      </c>
      <c r="T41" s="30">
        <v>0.02</v>
      </c>
      <c r="U41" s="30">
        <f>SQRT(3)</f>
        <v>1.7320508075688772</v>
      </c>
      <c r="V41" s="30">
        <f>0.02/1.7321</f>
        <v>1.1546677443565615E-2</v>
      </c>
      <c r="W41" s="19">
        <v>1</v>
      </c>
      <c r="X41" s="30">
        <f t="shared" si="12"/>
        <v>1.1546677443565615E-2</v>
      </c>
      <c r="Y41" s="19">
        <v>50</v>
      </c>
      <c r="Z41" s="20">
        <f>0.0115^2</f>
        <v>1.3224999999999999E-4</v>
      </c>
      <c r="AA41" s="375">
        <f>((0.0115)^4)/50</f>
        <v>3.4980124999999996E-10</v>
      </c>
    </row>
    <row r="42" spans="1:27" ht="18" customHeight="1">
      <c r="A42" s="732" t="s">
        <v>148</v>
      </c>
      <c r="B42" s="732"/>
      <c r="C42" s="732"/>
      <c r="D42" s="16" t="s">
        <v>143</v>
      </c>
      <c r="E42" s="15" t="str">
        <f>E27</f>
        <v>Triang</v>
      </c>
      <c r="F42" s="30">
        <f>F27</f>
        <v>0.1</v>
      </c>
      <c r="G42" s="30">
        <f>G27</f>
        <v>2.4494897427831779</v>
      </c>
      <c r="H42" s="30">
        <f t="shared" ref="H42:H44" si="13">F42/G42</f>
        <v>4.0824829046386304E-2</v>
      </c>
      <c r="I42" s="15">
        <v>1</v>
      </c>
      <c r="J42" s="30">
        <f t="shared" si="9"/>
        <v>4.0824829046386304E-2</v>
      </c>
      <c r="K42" s="19">
        <v>50</v>
      </c>
      <c r="L42" s="20">
        <f>(H42*I42)^2</f>
        <v>1.666666666666667E-3</v>
      </c>
      <c r="M42" s="375">
        <f t="shared" si="10"/>
        <v>5.5555555555555574E-8</v>
      </c>
      <c r="O42" s="732" t="s">
        <v>148</v>
      </c>
      <c r="P42" s="732"/>
      <c r="Q42" s="732"/>
      <c r="R42" s="16" t="s">
        <v>143</v>
      </c>
      <c r="S42" s="15" t="s">
        <v>147</v>
      </c>
      <c r="T42" s="30">
        <v>0.05</v>
      </c>
      <c r="U42" s="30">
        <f>SQRT(3)</f>
        <v>1.7320508075688772</v>
      </c>
      <c r="V42" s="30">
        <f>0.05/1.7321</f>
        <v>2.8866693608914036E-2</v>
      </c>
      <c r="W42" s="15">
        <v>1</v>
      </c>
      <c r="X42" s="30">
        <f t="shared" si="12"/>
        <v>2.8866693608914036E-2</v>
      </c>
      <c r="Y42" s="19">
        <v>50</v>
      </c>
      <c r="Z42" s="20">
        <f>0.0289^2</f>
        <v>8.3520999999999997E-4</v>
      </c>
      <c r="AA42" s="375">
        <f>((0.0289)^4)/50</f>
        <v>1.3951514882E-8</v>
      </c>
    </row>
    <row r="43" spans="1:27" ht="18" customHeight="1">
      <c r="A43" s="732" t="s">
        <v>149</v>
      </c>
      <c r="B43" s="732"/>
      <c r="C43" s="732"/>
      <c r="D43" s="16" t="s">
        <v>143</v>
      </c>
      <c r="E43" s="15" t="s">
        <v>147</v>
      </c>
      <c r="F43" s="30">
        <f>'DB Standar'!Q48</f>
        <v>-1.6E-2</v>
      </c>
      <c r="G43" s="30">
        <f>SQRT(3)</f>
        <v>1.7320508075688772</v>
      </c>
      <c r="H43" s="30">
        <f>F43/G43</f>
        <v>-9.2376043070340128E-3</v>
      </c>
      <c r="I43" s="15">
        <v>1</v>
      </c>
      <c r="J43" s="30">
        <f t="shared" si="9"/>
        <v>-9.2376043070340128E-3</v>
      </c>
      <c r="K43" s="19">
        <v>50</v>
      </c>
      <c r="L43" s="20">
        <f>(H43*I43)^2</f>
        <v>8.5333333333333339E-5</v>
      </c>
      <c r="M43" s="375">
        <f t="shared" si="10"/>
        <v>1.4563555555555557E-10</v>
      </c>
      <c r="O43" s="732" t="s">
        <v>149</v>
      </c>
      <c r="P43" s="732"/>
      <c r="Q43" s="732"/>
      <c r="R43" s="16" t="s">
        <v>143</v>
      </c>
      <c r="S43" s="15" t="s">
        <v>147</v>
      </c>
      <c r="T43" s="30">
        <v>0.1003</v>
      </c>
      <c r="U43" s="30">
        <f>SQRT(3)</f>
        <v>1.7320508075688772</v>
      </c>
      <c r="V43" s="30">
        <f>0.1003/1.7321</f>
        <v>5.7906587379481553E-2</v>
      </c>
      <c r="W43" s="15">
        <v>1</v>
      </c>
      <c r="X43" s="30">
        <f t="shared" si="12"/>
        <v>5.7906587379481553E-2</v>
      </c>
      <c r="Y43" s="19">
        <v>50</v>
      </c>
      <c r="Z43" s="20">
        <f>0.0579^2</f>
        <v>3.3524100000000001E-3</v>
      </c>
      <c r="AA43" s="375">
        <f>((0.0579)^4)/50</f>
        <v>2.2477305616200002E-7</v>
      </c>
    </row>
    <row r="44" spans="1:27" ht="18" customHeight="1">
      <c r="A44" s="735" t="s">
        <v>150</v>
      </c>
      <c r="B44" s="736"/>
      <c r="C44" s="737"/>
      <c r="D44" s="16" t="s">
        <v>143</v>
      </c>
      <c r="E44" s="15" t="s">
        <v>147</v>
      </c>
      <c r="F44" s="30">
        <f>'DB Standar'!P48</f>
        <v>5.1999999999999998E-2</v>
      </c>
      <c r="G44" s="30">
        <f>SQRT(3)</f>
        <v>1.7320508075688772</v>
      </c>
      <c r="H44" s="30">
        <f t="shared" si="13"/>
        <v>3.002221399786054E-2</v>
      </c>
      <c r="I44" s="15">
        <v>1</v>
      </c>
      <c r="J44" s="30">
        <f t="shared" si="9"/>
        <v>3.002221399786054E-2</v>
      </c>
      <c r="K44" s="19">
        <v>50</v>
      </c>
      <c r="L44" s="20">
        <f>(H44*I44)^2</f>
        <v>9.013333333333333E-4</v>
      </c>
      <c r="M44" s="375">
        <f t="shared" si="10"/>
        <v>1.6248035555555555E-8</v>
      </c>
      <c r="O44" s="735" t="s">
        <v>150</v>
      </c>
      <c r="P44" s="736"/>
      <c r="Q44" s="737"/>
      <c r="R44" s="16" t="s">
        <v>143</v>
      </c>
      <c r="S44" s="15" t="s">
        <v>147</v>
      </c>
      <c r="T44" s="30">
        <v>0.1003</v>
      </c>
      <c r="U44" s="30">
        <f>SQRT(3)</f>
        <v>1.7320508075688772</v>
      </c>
      <c r="V44" s="30">
        <f>0.1003/1.7321</f>
        <v>5.7906587379481553E-2</v>
      </c>
      <c r="W44" s="15">
        <v>1</v>
      </c>
      <c r="X44" s="30">
        <f t="shared" si="12"/>
        <v>5.7906587379481553E-2</v>
      </c>
      <c r="Y44" s="19">
        <v>50</v>
      </c>
      <c r="Z44" s="20">
        <f>0.0579^2</f>
        <v>3.3524100000000001E-3</v>
      </c>
      <c r="AA44" s="375">
        <f>((0.0579)^4)/50</f>
        <v>2.2477305616200002E-7</v>
      </c>
    </row>
    <row r="45" spans="1:27" ht="18" customHeight="1">
      <c r="A45" s="13"/>
      <c r="B45" s="13"/>
      <c r="C45" s="13"/>
      <c r="D45" s="13"/>
      <c r="E45" s="14"/>
      <c r="F45" s="13"/>
      <c r="G45" s="13"/>
      <c r="H45" s="732" t="s">
        <v>151</v>
      </c>
      <c r="I45" s="732"/>
      <c r="J45" s="732"/>
      <c r="K45" s="732"/>
      <c r="L45" s="638">
        <f>SQRT(SUM(L39:L44))</f>
        <v>0.33250847228321029</v>
      </c>
      <c r="M45" s="640">
        <f>SUM(M39:M44)</f>
        <v>1.4041824064099428E-4</v>
      </c>
      <c r="O45" s="13"/>
      <c r="P45" s="13"/>
      <c r="Q45" s="13"/>
      <c r="R45" s="13"/>
      <c r="S45" s="14"/>
      <c r="T45" s="13"/>
      <c r="U45" s="13"/>
      <c r="V45" s="732" t="s">
        <v>151</v>
      </c>
      <c r="W45" s="732"/>
      <c r="X45" s="732"/>
      <c r="Y45" s="732"/>
      <c r="Z45" s="21">
        <f>SQRT(Z39+Z40+Z41+Z42+Z43+Z44)</f>
        <v>9.4414458638494556E-2</v>
      </c>
      <c r="AA45" s="35">
        <f>AA39+AA40+AA41+AA42+AA43+AA44</f>
        <v>4.9391644367600003E-7</v>
      </c>
    </row>
    <row r="46" spans="1:27" ht="18" customHeight="1">
      <c r="A46" s="13"/>
      <c r="B46" s="13"/>
      <c r="C46" s="13"/>
      <c r="D46" s="13"/>
      <c r="E46" s="13"/>
      <c r="F46" s="13"/>
      <c r="G46" s="13"/>
      <c r="H46" s="732" t="s">
        <v>152</v>
      </c>
      <c r="I46" s="732"/>
      <c r="J46" s="732"/>
      <c r="K46" s="732"/>
      <c r="L46" s="22"/>
      <c r="M46" s="638">
        <f>L45^4/M45</f>
        <v>87.053720149256591</v>
      </c>
      <c r="O46" s="13"/>
      <c r="P46" s="13"/>
      <c r="Q46" s="13"/>
      <c r="R46" s="13"/>
      <c r="S46" s="13"/>
      <c r="T46" s="13"/>
      <c r="U46" s="13"/>
      <c r="V46" s="732" t="s">
        <v>152</v>
      </c>
      <c r="W46" s="732"/>
      <c r="X46" s="732"/>
      <c r="Y46" s="732"/>
      <c r="Z46" s="22"/>
      <c r="AA46" s="21">
        <f>((0.0944)^4)/0.00000049</f>
        <v>162.06599397877551</v>
      </c>
    </row>
    <row r="47" spans="1:27" ht="18" customHeight="1">
      <c r="A47" s="13"/>
      <c r="B47" s="13"/>
      <c r="C47" s="13"/>
      <c r="D47" s="13"/>
      <c r="E47" s="13"/>
      <c r="F47" s="13"/>
      <c r="G47" s="13"/>
      <c r="H47" s="732" t="s">
        <v>153</v>
      </c>
      <c r="I47" s="732"/>
      <c r="J47" s="732"/>
      <c r="K47" s="732"/>
      <c r="L47" s="23"/>
      <c r="M47" s="641">
        <f>1.95996+(2.37356/M46)+(2.818745/M46^2)+(2.546662/M46^3)+(1.761829/M46^4)+(0.245458/M46^5)+(1.000764/M46^6)</f>
        <v>1.9876013011381157</v>
      </c>
      <c r="O47" s="13"/>
      <c r="P47" s="13"/>
      <c r="Q47" s="13"/>
      <c r="R47" s="13"/>
      <c r="S47" s="13"/>
      <c r="T47" s="13"/>
      <c r="U47" s="13"/>
      <c r="V47" s="732" t="s">
        <v>153</v>
      </c>
      <c r="W47" s="732"/>
      <c r="X47" s="732"/>
      <c r="Y47" s="732"/>
      <c r="Z47" s="23"/>
      <c r="AA47" s="367">
        <f>1.95996+(2.37356/AA46)+(2.818745/AA46^2)+(2.546662/AA46^3)+(1.761829/AA46^4)+(0.245458/AA46^5)+(1.000764/AA46^6)</f>
        <v>1.9747135574224786</v>
      </c>
    </row>
    <row r="48" spans="1:27" ht="18" customHeight="1">
      <c r="A48" s="13"/>
      <c r="B48" s="13"/>
      <c r="C48" s="13"/>
      <c r="D48" s="13"/>
      <c r="E48" s="13"/>
      <c r="F48" s="13"/>
      <c r="G48" s="13"/>
      <c r="H48" s="733" t="s">
        <v>154</v>
      </c>
      <c r="I48" s="733"/>
      <c r="J48" s="733"/>
      <c r="K48" s="733"/>
      <c r="L48" s="24"/>
      <c r="M48" s="642">
        <f>L45*M47</f>
        <v>0.66089427214955587</v>
      </c>
      <c r="O48" s="13"/>
      <c r="P48" s="13"/>
      <c r="Q48" s="13"/>
      <c r="R48" s="13"/>
      <c r="S48" s="13"/>
      <c r="T48" s="13"/>
      <c r="U48" s="13"/>
      <c r="V48" s="733" t="s">
        <v>154</v>
      </c>
      <c r="W48" s="733"/>
      <c r="X48" s="733"/>
      <c r="Y48" s="733"/>
      <c r="Z48" s="24"/>
      <c r="AA48" s="200">
        <f>0.0944*1.97</f>
        <v>0.18596799999999999</v>
      </c>
    </row>
    <row r="49" spans="1:27" s="10" customFormat="1" ht="16.05" customHeight="1"/>
    <row r="50" spans="1:27" ht="18" customHeight="1">
      <c r="A50" s="13" t="s">
        <v>128</v>
      </c>
      <c r="B50" s="14">
        <f>B35</f>
        <v>0.1</v>
      </c>
      <c r="C50" s="13" t="s">
        <v>129</v>
      </c>
      <c r="D50" s="14"/>
      <c r="E50" s="13"/>
      <c r="F50" s="13"/>
      <c r="G50" s="13"/>
      <c r="H50" s="13"/>
      <c r="I50" s="13"/>
      <c r="J50" s="13"/>
      <c r="K50" s="13"/>
      <c r="L50" s="13"/>
      <c r="M50" s="13"/>
    </row>
    <row r="51" spans="1:27" ht="18" customHeight="1">
      <c r="A51" s="13" t="s">
        <v>130</v>
      </c>
      <c r="B51" s="14">
        <f>ID!B44</f>
        <v>25</v>
      </c>
      <c r="C51" s="13" t="s">
        <v>129</v>
      </c>
      <c r="D51" s="13"/>
      <c r="E51" s="13"/>
      <c r="F51" s="13"/>
      <c r="G51" s="13"/>
      <c r="H51" s="13"/>
      <c r="I51" s="18"/>
      <c r="J51" s="13"/>
      <c r="K51" s="13"/>
      <c r="L51" s="13"/>
      <c r="M51" s="13"/>
    </row>
    <row r="52" spans="1:27" ht="18" customHeight="1">
      <c r="A52" s="734" t="s">
        <v>131</v>
      </c>
      <c r="B52" s="734"/>
      <c r="C52" s="734"/>
      <c r="D52" s="734" t="s">
        <v>132</v>
      </c>
      <c r="E52" s="734" t="s">
        <v>133</v>
      </c>
      <c r="F52" s="734" t="s">
        <v>134</v>
      </c>
      <c r="G52" s="734" t="s">
        <v>135</v>
      </c>
      <c r="H52" s="734" t="s">
        <v>136</v>
      </c>
      <c r="I52" s="734" t="s">
        <v>137</v>
      </c>
      <c r="J52" s="734" t="s">
        <v>138</v>
      </c>
      <c r="K52" s="734" t="s">
        <v>139</v>
      </c>
      <c r="L52" s="734" t="s">
        <v>140</v>
      </c>
      <c r="M52" s="734" t="s">
        <v>141</v>
      </c>
      <c r="O52" s="734" t="s">
        <v>131</v>
      </c>
      <c r="P52" s="734"/>
      <c r="Q52" s="734"/>
      <c r="R52" s="734" t="s">
        <v>132</v>
      </c>
      <c r="S52" s="734" t="s">
        <v>133</v>
      </c>
      <c r="T52" s="734" t="s">
        <v>134</v>
      </c>
      <c r="U52" s="734" t="s">
        <v>135</v>
      </c>
      <c r="V52" s="734" t="s">
        <v>136</v>
      </c>
      <c r="W52" s="734" t="s">
        <v>137</v>
      </c>
      <c r="X52" s="734" t="s">
        <v>138</v>
      </c>
      <c r="Y52" s="734" t="s">
        <v>139</v>
      </c>
      <c r="Z52" s="734" t="s">
        <v>140</v>
      </c>
      <c r="AA52" s="734" t="s">
        <v>141</v>
      </c>
    </row>
    <row r="53" spans="1:27" ht="18" customHeight="1">
      <c r="A53" s="734"/>
      <c r="B53" s="734"/>
      <c r="C53" s="734"/>
      <c r="D53" s="734"/>
      <c r="E53" s="734"/>
      <c r="F53" s="734"/>
      <c r="G53" s="734"/>
      <c r="H53" s="734"/>
      <c r="I53" s="734"/>
      <c r="J53" s="734"/>
      <c r="K53" s="734"/>
      <c r="L53" s="734"/>
      <c r="M53" s="734"/>
      <c r="O53" s="734"/>
      <c r="P53" s="734"/>
      <c r="Q53" s="734"/>
      <c r="R53" s="734"/>
      <c r="S53" s="734"/>
      <c r="T53" s="734"/>
      <c r="U53" s="734"/>
      <c r="V53" s="734"/>
      <c r="W53" s="734"/>
      <c r="X53" s="734"/>
      <c r="Y53" s="734"/>
      <c r="Z53" s="734"/>
      <c r="AA53" s="734"/>
    </row>
    <row r="54" spans="1:27" ht="18" customHeight="1">
      <c r="A54" s="31" t="s">
        <v>142</v>
      </c>
      <c r="B54" s="32"/>
      <c r="C54" s="33"/>
      <c r="D54" s="16" t="s">
        <v>143</v>
      </c>
      <c r="E54" s="15" t="s">
        <v>144</v>
      </c>
      <c r="F54" s="30">
        <f>ID!M44</f>
        <v>0</v>
      </c>
      <c r="G54" s="30">
        <f>G39</f>
        <v>2.4494897427831779</v>
      </c>
      <c r="H54" s="30">
        <f>F54/G54</f>
        <v>0</v>
      </c>
      <c r="I54" s="15">
        <v>1</v>
      </c>
      <c r="J54" s="30">
        <f t="shared" ref="J54:J59" si="14">H54*I54</f>
        <v>0</v>
      </c>
      <c r="K54" s="15">
        <f>K39</f>
        <v>5</v>
      </c>
      <c r="L54" s="373">
        <f>J54^2</f>
        <v>0</v>
      </c>
      <c r="M54" s="374">
        <f t="shared" ref="M54:M59" si="15">(J54)^4/K54</f>
        <v>0</v>
      </c>
      <c r="O54" s="369" t="s">
        <v>142</v>
      </c>
      <c r="P54" s="32"/>
      <c r="Q54" s="33"/>
      <c r="R54" s="16" t="s">
        <v>143</v>
      </c>
      <c r="S54" s="15" t="s">
        <v>144</v>
      </c>
      <c r="T54" s="30">
        <v>5.1999999999999998E-3</v>
      </c>
      <c r="U54" s="30">
        <f>U39</f>
        <v>2.4494897427831779</v>
      </c>
      <c r="V54" s="30">
        <f>0.0052/2.4495</f>
        <v>2.1228822208614003E-3</v>
      </c>
      <c r="W54" s="15">
        <v>1</v>
      </c>
      <c r="X54" s="30">
        <f>V54*1</f>
        <v>2.1228822208614003E-3</v>
      </c>
      <c r="Y54" s="15">
        <f>Y39</f>
        <v>5</v>
      </c>
      <c r="Z54" s="373">
        <f>((0.0021)^2)</f>
        <v>4.4099999999999993E-6</v>
      </c>
      <c r="AA54" s="374">
        <f>((0.0021)^4)/5</f>
        <v>3.8896199999999985E-12</v>
      </c>
    </row>
    <row r="55" spans="1:27" ht="18" customHeight="1">
      <c r="A55" s="735" t="s">
        <v>145</v>
      </c>
      <c r="B55" s="736"/>
      <c r="C55" s="737"/>
      <c r="D55" s="16" t="s">
        <v>143</v>
      </c>
      <c r="E55" s="15" t="s">
        <v>144</v>
      </c>
      <c r="F55" s="30">
        <f>F40</f>
        <v>0.56000000000000005</v>
      </c>
      <c r="G55" s="30">
        <v>2</v>
      </c>
      <c r="H55" s="30">
        <f t="shared" ref="H55" si="16">F55/G55</f>
        <v>0.28000000000000003</v>
      </c>
      <c r="I55" s="15">
        <v>1</v>
      </c>
      <c r="J55" s="30">
        <f t="shared" si="14"/>
        <v>0.28000000000000003</v>
      </c>
      <c r="K55" s="19">
        <v>50</v>
      </c>
      <c r="L55" s="373">
        <f>(H55*I55)^2</f>
        <v>7.8400000000000011E-2</v>
      </c>
      <c r="M55" s="374">
        <f t="shared" si="15"/>
        <v>1.2293120000000002E-4</v>
      </c>
      <c r="O55" s="735" t="s">
        <v>145</v>
      </c>
      <c r="P55" s="736"/>
      <c r="Q55" s="737"/>
      <c r="R55" s="16" t="s">
        <v>143</v>
      </c>
      <c r="S55" s="15" t="s">
        <v>144</v>
      </c>
      <c r="T55" s="30">
        <v>7.0000000000000007E-2</v>
      </c>
      <c r="U55" s="30">
        <v>2</v>
      </c>
      <c r="V55" s="30">
        <f>0.07/2</f>
        <v>3.5000000000000003E-2</v>
      </c>
      <c r="W55" s="15">
        <v>1</v>
      </c>
      <c r="X55" s="30">
        <f t="shared" ref="X55:X59" si="17">V55*1</f>
        <v>3.5000000000000003E-2</v>
      </c>
      <c r="Y55" s="19">
        <v>50</v>
      </c>
      <c r="Z55" s="373">
        <f>(0.035)^2</f>
        <v>1.2250000000000002E-3</v>
      </c>
      <c r="AA55" s="374">
        <f>((0.035)^4)/50</f>
        <v>3.0012500000000005E-8</v>
      </c>
    </row>
    <row r="56" spans="1:27" ht="18" customHeight="1">
      <c r="A56" s="735" t="s">
        <v>146</v>
      </c>
      <c r="B56" s="736"/>
      <c r="C56" s="737"/>
      <c r="D56" s="16" t="s">
        <v>143</v>
      </c>
      <c r="E56" s="15" t="s">
        <v>147</v>
      </c>
      <c r="F56" s="645">
        <f>F41</f>
        <v>0.29753260732286668</v>
      </c>
      <c r="G56" s="30">
        <f>SQRT(3)</f>
        <v>1.7320508075688772</v>
      </c>
      <c r="H56" s="645">
        <f>F56/G56</f>
        <v>0.17178053093054832</v>
      </c>
      <c r="I56" s="19">
        <v>1</v>
      </c>
      <c r="J56" s="645">
        <f t="shared" si="14"/>
        <v>0.17178053093054832</v>
      </c>
      <c r="K56" s="19">
        <v>50</v>
      </c>
      <c r="L56" s="654">
        <f>(H56*I56)^2</f>
        <v>2.9508550806781067E-2</v>
      </c>
      <c r="M56" s="643">
        <f t="shared" si="15"/>
        <v>1.7415091414327593E-5</v>
      </c>
      <c r="O56" s="735" t="s">
        <v>146</v>
      </c>
      <c r="P56" s="736"/>
      <c r="Q56" s="737"/>
      <c r="R56" s="16" t="s">
        <v>143</v>
      </c>
      <c r="S56" s="15" t="s">
        <v>147</v>
      </c>
      <c r="T56" s="30">
        <v>2.3300000000000001E-2</v>
      </c>
      <c r="U56" s="30">
        <f>SQRT(3)</f>
        <v>1.7320508075688772</v>
      </c>
      <c r="V56" s="30">
        <f>0.0233/1.7321</f>
        <v>1.3451879221753942E-2</v>
      </c>
      <c r="W56" s="19">
        <v>1</v>
      </c>
      <c r="X56" s="30">
        <f t="shared" si="17"/>
        <v>1.3451879221753942E-2</v>
      </c>
      <c r="Y56" s="19">
        <v>50</v>
      </c>
      <c r="Z56" s="373">
        <f>(0.0135)^2</f>
        <v>1.8224999999999998E-4</v>
      </c>
      <c r="AA56" s="374">
        <f>((0.0135)^4)/50</f>
        <v>6.6430124999999985E-10</v>
      </c>
    </row>
    <row r="57" spans="1:27" ht="18" customHeight="1">
      <c r="A57" s="732" t="s">
        <v>148</v>
      </c>
      <c r="B57" s="732"/>
      <c r="C57" s="732"/>
      <c r="D57" s="16" t="s">
        <v>143</v>
      </c>
      <c r="E57" s="15" t="str">
        <f>E42</f>
        <v>Triang</v>
      </c>
      <c r="F57" s="30">
        <f>F42</f>
        <v>0.1</v>
      </c>
      <c r="G57" s="30">
        <f>G42</f>
        <v>2.4494897427831779</v>
      </c>
      <c r="H57" s="30">
        <f t="shared" ref="H57:H59" si="18">F57/G57</f>
        <v>4.0824829046386304E-2</v>
      </c>
      <c r="I57" s="15">
        <v>1</v>
      </c>
      <c r="J57" s="30">
        <f t="shared" si="14"/>
        <v>4.0824829046386304E-2</v>
      </c>
      <c r="K57" s="19">
        <v>50</v>
      </c>
      <c r="L57" s="373">
        <f>(H57*I57)^2</f>
        <v>1.666666666666667E-3</v>
      </c>
      <c r="M57" s="374">
        <f t="shared" si="15"/>
        <v>5.5555555555555574E-8</v>
      </c>
      <c r="O57" s="732" t="s">
        <v>148</v>
      </c>
      <c r="P57" s="732"/>
      <c r="Q57" s="732"/>
      <c r="R57" s="16" t="s">
        <v>143</v>
      </c>
      <c r="S57" s="15" t="s">
        <v>147</v>
      </c>
      <c r="T57" s="30">
        <v>0.05</v>
      </c>
      <c r="U57" s="30">
        <f>SQRT(3)</f>
        <v>1.7320508075688772</v>
      </c>
      <c r="V57" s="30">
        <f>0.05/1.7321</f>
        <v>2.8866693608914036E-2</v>
      </c>
      <c r="W57" s="15">
        <v>1</v>
      </c>
      <c r="X57" s="30">
        <f t="shared" si="17"/>
        <v>2.8866693608914036E-2</v>
      </c>
      <c r="Y57" s="19">
        <v>50</v>
      </c>
      <c r="Z57" s="20">
        <f>(0.0289)^2</f>
        <v>8.3520999999999997E-4</v>
      </c>
      <c r="AA57" s="374">
        <f>((0.0289)^4)/50</f>
        <v>1.3951514882E-8</v>
      </c>
    </row>
    <row r="58" spans="1:27" ht="18" customHeight="1">
      <c r="A58" s="732" t="s">
        <v>149</v>
      </c>
      <c r="B58" s="732"/>
      <c r="C58" s="732"/>
      <c r="D58" s="16" t="s">
        <v>143</v>
      </c>
      <c r="E58" s="15" t="s">
        <v>147</v>
      </c>
      <c r="F58" s="30">
        <f>'DB Standar'!Q49</f>
        <v>-7.9039999999999985E-2</v>
      </c>
      <c r="G58" s="30">
        <f>SQRT(3)</f>
        <v>1.7320508075688772</v>
      </c>
      <c r="H58" s="30">
        <f t="shared" si="18"/>
        <v>-4.5633765276748013E-2</v>
      </c>
      <c r="I58" s="15">
        <v>1</v>
      </c>
      <c r="J58" s="30">
        <f t="shared" si="14"/>
        <v>-4.5633765276748013E-2</v>
      </c>
      <c r="K58" s="19">
        <v>50</v>
      </c>
      <c r="L58" s="373">
        <f>(H58*I58)^2</f>
        <v>2.0824405333333329E-3</v>
      </c>
      <c r="M58" s="374">
        <f t="shared" si="15"/>
        <v>8.6731171497392314E-8</v>
      </c>
      <c r="O58" s="732" t="s">
        <v>149</v>
      </c>
      <c r="P58" s="732"/>
      <c r="Q58" s="732"/>
      <c r="R58" s="16" t="s">
        <v>143</v>
      </c>
      <c r="S58" s="15" t="s">
        <v>147</v>
      </c>
      <c r="T58" s="30">
        <v>0.2999</v>
      </c>
      <c r="U58" s="30">
        <f>SQRT(3)</f>
        <v>1.7320508075688772</v>
      </c>
      <c r="V58" s="30">
        <f>0.2999/1.7321</f>
        <v>0.17314242826626638</v>
      </c>
      <c r="W58" s="15">
        <v>1</v>
      </c>
      <c r="X58" s="30">
        <f t="shared" si="17"/>
        <v>0.17314242826626638</v>
      </c>
      <c r="Y58" s="19">
        <v>50</v>
      </c>
      <c r="Z58" s="20">
        <f>(0.1731^2)</f>
        <v>2.9963610000000002E-2</v>
      </c>
      <c r="AA58" s="374">
        <f>((0.1731)^4)/50</f>
        <v>1.7956358484642001E-5</v>
      </c>
    </row>
    <row r="59" spans="1:27" ht="18" customHeight="1">
      <c r="A59" s="735" t="s">
        <v>150</v>
      </c>
      <c r="B59" s="736"/>
      <c r="C59" s="737"/>
      <c r="D59" s="16" t="s">
        <v>143</v>
      </c>
      <c r="E59" s="15" t="s">
        <v>147</v>
      </c>
      <c r="F59" s="30">
        <f>'DB Standar'!P49</f>
        <v>0.12000000000000001</v>
      </c>
      <c r="G59" s="30">
        <f>SQRT(3)</f>
        <v>1.7320508075688772</v>
      </c>
      <c r="H59" s="30">
        <f t="shared" si="18"/>
        <v>6.9282032302755106E-2</v>
      </c>
      <c r="I59" s="15">
        <v>1</v>
      </c>
      <c r="J59" s="30">
        <f t="shared" si="14"/>
        <v>6.9282032302755106E-2</v>
      </c>
      <c r="K59" s="19">
        <v>50</v>
      </c>
      <c r="L59" s="373">
        <f>(H59*I59)^2</f>
        <v>4.8000000000000022E-3</v>
      </c>
      <c r="M59" s="374">
        <f t="shared" si="15"/>
        <v>4.6080000000000042E-7</v>
      </c>
      <c r="O59" s="735" t="s">
        <v>150</v>
      </c>
      <c r="P59" s="736"/>
      <c r="Q59" s="737"/>
      <c r="R59" s="16" t="s">
        <v>143</v>
      </c>
      <c r="S59" s="15" t="s">
        <v>147</v>
      </c>
      <c r="T59" s="30">
        <v>0.2999</v>
      </c>
      <c r="U59" s="30">
        <f>SQRT(3)</f>
        <v>1.7320508075688772</v>
      </c>
      <c r="V59" s="30">
        <f>0.2999/1.7321</f>
        <v>0.17314242826626638</v>
      </c>
      <c r="W59" s="15">
        <v>1</v>
      </c>
      <c r="X59" s="30">
        <f t="shared" si="17"/>
        <v>0.17314242826626638</v>
      </c>
      <c r="Y59" s="19">
        <v>50</v>
      </c>
      <c r="Z59" s="20">
        <f>(0.1731^2)</f>
        <v>2.9963610000000002E-2</v>
      </c>
      <c r="AA59" s="374">
        <f>((0.1731)^4)/50</f>
        <v>1.7956358484642001E-5</v>
      </c>
    </row>
    <row r="60" spans="1:27" ht="18" customHeight="1">
      <c r="A60" s="13"/>
      <c r="B60" s="13"/>
      <c r="C60" s="13"/>
      <c r="D60" s="13"/>
      <c r="E60" s="14"/>
      <c r="F60" s="13"/>
      <c r="G60" s="13"/>
      <c r="H60" s="732" t="s">
        <v>151</v>
      </c>
      <c r="I60" s="732"/>
      <c r="J60" s="732"/>
      <c r="K60" s="732"/>
      <c r="L60" s="638">
        <f>SQRT(SUM(L54:L59))</f>
        <v>0.3412589310285975</v>
      </c>
      <c r="M60" s="640">
        <f>SUM(M54:M59)</f>
        <v>1.4094937814138056E-4</v>
      </c>
      <c r="O60" s="13"/>
      <c r="P60" s="13"/>
      <c r="Q60" s="13"/>
      <c r="R60" s="13"/>
      <c r="S60" s="14"/>
      <c r="T60" s="13"/>
      <c r="U60" s="13"/>
      <c r="V60" s="732" t="s">
        <v>151</v>
      </c>
      <c r="W60" s="732"/>
      <c r="X60" s="732"/>
      <c r="Y60" s="732"/>
      <c r="Z60" s="21">
        <f>SQRT(Z54+Z55+Z56+Z57+Z58+Z59)</f>
        <v>0.24934732803862167</v>
      </c>
      <c r="AA60" s="35">
        <f>AA54+AA55+AA56+AA57+AA58+AA59</f>
        <v>3.5957349175036007E-5</v>
      </c>
    </row>
    <row r="61" spans="1:27" ht="18" customHeight="1">
      <c r="A61" s="13"/>
      <c r="B61" s="13"/>
      <c r="C61" s="13"/>
      <c r="D61" s="13"/>
      <c r="E61" s="13"/>
      <c r="F61" s="13"/>
      <c r="G61" s="13"/>
      <c r="H61" s="732" t="s">
        <v>152</v>
      </c>
      <c r="I61" s="732"/>
      <c r="J61" s="732"/>
      <c r="K61" s="732"/>
      <c r="L61" s="22"/>
      <c r="M61" s="638">
        <f>L60^4/M60</f>
        <v>96.221681055027446</v>
      </c>
      <c r="O61" s="13"/>
      <c r="P61" s="13"/>
      <c r="Q61" s="13"/>
      <c r="R61" s="13"/>
      <c r="S61" s="13"/>
      <c r="T61" s="13"/>
      <c r="U61" s="13"/>
      <c r="V61" s="732" t="s">
        <v>152</v>
      </c>
      <c r="W61" s="732"/>
      <c r="X61" s="732"/>
      <c r="Y61" s="732"/>
      <c r="Z61" s="22"/>
      <c r="AA61" s="21">
        <f>((0.2493)^4)/0.00003596</f>
        <v>107.41611254838985</v>
      </c>
    </row>
    <row r="62" spans="1:27" ht="18" customHeight="1">
      <c r="A62" s="13"/>
      <c r="B62" s="13"/>
      <c r="C62" s="13"/>
      <c r="D62" s="13"/>
      <c r="E62" s="13"/>
      <c r="F62" s="13"/>
      <c r="G62" s="13"/>
      <c r="H62" s="732" t="s">
        <v>153</v>
      </c>
      <c r="I62" s="732"/>
      <c r="J62" s="732"/>
      <c r="K62" s="732"/>
      <c r="L62" s="23"/>
      <c r="M62" s="641">
        <f>1.95996+(2.37356/M61)+(2.818745/M61^2)+(2.546662/M61^3)+(1.761829/M61^4)+(0.245458/M61^5)+(1.000764/M61^6)</f>
        <v>1.9849349463361565</v>
      </c>
      <c r="O62" s="13"/>
      <c r="P62" s="13"/>
      <c r="Q62" s="13"/>
      <c r="R62" s="13"/>
      <c r="S62" s="13"/>
      <c r="T62" s="13"/>
      <c r="U62" s="13"/>
      <c r="V62" s="732" t="s">
        <v>153</v>
      </c>
      <c r="W62" s="732"/>
      <c r="X62" s="732"/>
      <c r="Y62" s="732"/>
      <c r="Z62" s="23"/>
      <c r="AA62" s="367">
        <f>1.95996+(2.37356/AA61)+(2.818745/AA61^2)+(2.546662/AA61^3)+(1.761829/AA61^4)+(0.245458/AA61^5)+(1.000764/AA61^6)</f>
        <v>1.9823032355065799</v>
      </c>
    </row>
    <row r="63" spans="1:27" ht="18" customHeight="1">
      <c r="A63" s="13"/>
      <c r="B63" s="13"/>
      <c r="C63" s="13"/>
      <c r="D63" s="13"/>
      <c r="E63" s="13"/>
      <c r="F63" s="13"/>
      <c r="G63" s="13"/>
      <c r="H63" s="733" t="s">
        <v>154</v>
      </c>
      <c r="I63" s="733"/>
      <c r="J63" s="733"/>
      <c r="K63" s="733"/>
      <c r="L63" s="24"/>
      <c r="M63" s="642">
        <f>L60*M62</f>
        <v>0.67737677794798334</v>
      </c>
      <c r="O63" s="13"/>
      <c r="P63" s="13"/>
      <c r="Q63" s="13"/>
      <c r="R63" s="13"/>
      <c r="S63" s="13"/>
      <c r="T63" s="13"/>
      <c r="U63" s="13"/>
      <c r="V63" s="733" t="s">
        <v>154</v>
      </c>
      <c r="W63" s="733"/>
      <c r="X63" s="733"/>
      <c r="Y63" s="733"/>
      <c r="Z63" s="24"/>
      <c r="AA63" s="200">
        <f>0.2493*1.98</f>
        <v>0.493614</v>
      </c>
    </row>
    <row r="64" spans="1:27" ht="18" customHeight="1">
      <c r="A64" s="13"/>
      <c r="B64" s="13"/>
      <c r="C64" s="13"/>
      <c r="D64" s="13"/>
      <c r="E64" s="13"/>
      <c r="F64" s="13"/>
      <c r="G64" s="13"/>
      <c r="H64" s="182"/>
      <c r="I64" s="182"/>
      <c r="J64" s="182"/>
      <c r="K64" s="182"/>
      <c r="L64" s="183"/>
      <c r="M64" s="184"/>
      <c r="P64" s="10"/>
      <c r="Q64" s="10"/>
      <c r="R64" s="10"/>
      <c r="S64" s="10"/>
      <c r="T64" s="10"/>
      <c r="U64" s="10"/>
    </row>
    <row r="65" spans="1:27" ht="18" customHeight="1">
      <c r="A65" s="13"/>
      <c r="B65" s="13"/>
      <c r="C65" s="13"/>
      <c r="D65" s="13"/>
      <c r="E65" s="13"/>
      <c r="F65" s="13"/>
      <c r="G65" s="13"/>
      <c r="H65" s="182"/>
      <c r="I65" s="182"/>
      <c r="J65" s="182"/>
      <c r="K65" s="182"/>
      <c r="L65" s="183"/>
      <c r="M65" s="184"/>
      <c r="P65" s="10"/>
      <c r="Q65" s="10"/>
      <c r="R65" s="10"/>
      <c r="S65" s="10"/>
      <c r="T65" s="10"/>
      <c r="U65" s="10"/>
    </row>
    <row r="66" spans="1:27" ht="18" customHeight="1">
      <c r="A66" s="13"/>
      <c r="B66" s="13"/>
      <c r="C66" s="13"/>
      <c r="D66" s="13"/>
      <c r="E66" s="13"/>
      <c r="F66" s="13"/>
      <c r="G66" s="13"/>
      <c r="H66" s="182"/>
      <c r="I66" s="182"/>
      <c r="J66" s="182"/>
      <c r="K66" s="182"/>
      <c r="L66" s="183"/>
      <c r="M66" s="184"/>
      <c r="P66" s="10"/>
      <c r="Q66" s="10"/>
      <c r="R66" s="10"/>
      <c r="S66" s="10"/>
      <c r="T66" s="10"/>
      <c r="U66" s="10"/>
    </row>
    <row r="67" spans="1:27" ht="18" customHeight="1">
      <c r="A67" s="13"/>
      <c r="B67" s="13"/>
      <c r="C67" s="13"/>
      <c r="D67" s="13"/>
      <c r="E67" s="13"/>
      <c r="F67" s="13"/>
      <c r="G67" s="13"/>
      <c r="H67" s="182"/>
      <c r="I67" s="182"/>
      <c r="J67" s="182"/>
      <c r="K67" s="182"/>
      <c r="L67" s="183"/>
      <c r="M67" s="184"/>
      <c r="P67" s="10"/>
      <c r="Q67" s="10"/>
      <c r="R67" s="10"/>
      <c r="S67" s="10"/>
      <c r="T67" s="10"/>
      <c r="U67" s="10"/>
    </row>
    <row r="68" spans="1:27" ht="18" customHeight="1">
      <c r="A68" s="13"/>
      <c r="B68" s="13"/>
      <c r="C68" s="13"/>
      <c r="D68" s="13"/>
      <c r="E68" s="13"/>
      <c r="F68" s="13"/>
      <c r="G68" s="13"/>
      <c r="H68" s="182"/>
      <c r="I68" s="182"/>
      <c r="J68" s="182"/>
      <c r="K68" s="182"/>
      <c r="L68" s="183"/>
      <c r="M68" s="184"/>
      <c r="P68" s="10"/>
      <c r="Q68" s="10"/>
      <c r="R68" s="10"/>
      <c r="S68" s="10"/>
      <c r="T68" s="10"/>
      <c r="U68" s="10"/>
    </row>
    <row r="69" spans="1:27" ht="18" customHeight="1">
      <c r="A69" s="13"/>
      <c r="B69" s="13"/>
      <c r="C69" s="13"/>
      <c r="D69" s="13"/>
      <c r="E69" s="13"/>
      <c r="F69" s="13"/>
      <c r="G69" s="13"/>
      <c r="H69" s="182"/>
      <c r="I69" s="182"/>
      <c r="J69" s="182"/>
      <c r="K69" s="182"/>
      <c r="L69" s="183"/>
      <c r="M69" s="184"/>
      <c r="P69" s="10"/>
      <c r="Q69" s="10"/>
      <c r="R69" s="10"/>
      <c r="S69" s="10"/>
      <c r="T69" s="10"/>
      <c r="U69" s="10"/>
    </row>
    <row r="70" spans="1:27" ht="18" customHeight="1">
      <c r="A70" s="13"/>
      <c r="B70" s="13"/>
      <c r="C70" s="13"/>
      <c r="D70" s="13"/>
      <c r="E70" s="13"/>
      <c r="F70" s="13"/>
      <c r="G70" s="13"/>
      <c r="H70" s="182"/>
      <c r="I70" s="182"/>
      <c r="J70" s="182"/>
      <c r="K70" s="182"/>
      <c r="L70" s="183"/>
      <c r="M70" s="184"/>
      <c r="P70" s="10"/>
      <c r="Q70" s="10"/>
      <c r="R70" s="10"/>
      <c r="S70" s="10"/>
      <c r="T70" s="10"/>
      <c r="U70" s="10"/>
    </row>
    <row r="71" spans="1:27" ht="18" customHeight="1">
      <c r="A71" s="13"/>
      <c r="B71" s="13"/>
      <c r="C71" s="13"/>
      <c r="D71" s="13"/>
      <c r="E71" s="13"/>
      <c r="F71" s="13"/>
      <c r="G71" s="13"/>
      <c r="H71" s="182"/>
      <c r="I71" s="182"/>
      <c r="J71" s="182"/>
      <c r="K71" s="182"/>
      <c r="L71" s="183"/>
      <c r="M71" s="184"/>
      <c r="P71" s="10"/>
      <c r="Q71" s="10"/>
      <c r="R71" s="10"/>
      <c r="S71" s="10"/>
      <c r="T71" s="10"/>
      <c r="U71" s="10"/>
    </row>
    <row r="72" spans="1:27" ht="18" customHeight="1">
      <c r="A72" s="13"/>
      <c r="B72" s="13"/>
      <c r="C72" s="13"/>
      <c r="D72" s="13"/>
      <c r="E72" s="13"/>
      <c r="F72" s="13"/>
      <c r="G72" s="13"/>
      <c r="H72" s="182"/>
      <c r="I72" s="182"/>
      <c r="J72" s="182"/>
      <c r="K72" s="182"/>
      <c r="L72" s="183"/>
      <c r="M72" s="184"/>
      <c r="P72" s="10"/>
      <c r="Q72" s="10"/>
      <c r="R72" s="10"/>
      <c r="S72" s="10"/>
      <c r="T72" s="10"/>
      <c r="U72" s="10"/>
    </row>
    <row r="73" spans="1:27" s="169" customFormat="1" ht="16.05" customHeight="1">
      <c r="A73" s="745" t="s">
        <v>155</v>
      </c>
      <c r="B73" s="745"/>
      <c r="C73" s="745"/>
      <c r="D73" s="745"/>
      <c r="E73" s="745"/>
      <c r="F73" s="745"/>
      <c r="G73" s="745"/>
      <c r="H73" s="745"/>
      <c r="I73" s="745"/>
      <c r="J73" s="745"/>
      <c r="K73" s="745"/>
      <c r="L73" s="745"/>
      <c r="M73" s="745"/>
    </row>
    <row r="74" spans="1:27" s="10" customFormat="1" ht="16.05" customHeight="1">
      <c r="A74" s="740"/>
      <c r="B74" s="740"/>
      <c r="C74" s="12"/>
      <c r="D74" s="12"/>
      <c r="E74" s="12"/>
      <c r="F74" s="12"/>
      <c r="G74" s="12"/>
      <c r="H74" s="12"/>
      <c r="I74" s="12"/>
      <c r="J74" s="12"/>
      <c r="L74" s="12"/>
      <c r="M74" s="12"/>
      <c r="N74" s="12"/>
    </row>
    <row r="75" spans="1:27" ht="18" customHeight="1">
      <c r="A75" s="13" t="s">
        <v>128</v>
      </c>
      <c r="B75" s="14">
        <f>ID!E8</f>
        <v>0.1</v>
      </c>
      <c r="C75" s="13" t="s">
        <v>24</v>
      </c>
      <c r="D75" s="14"/>
      <c r="E75" s="13"/>
      <c r="F75" s="13"/>
      <c r="G75" s="13"/>
      <c r="H75" s="13"/>
      <c r="I75" s="13"/>
      <c r="J75" s="13"/>
      <c r="K75" s="13"/>
      <c r="L75" s="13"/>
      <c r="M75" s="13"/>
    </row>
    <row r="76" spans="1:27" ht="18" customHeight="1">
      <c r="A76" s="13" t="s">
        <v>130</v>
      </c>
      <c r="B76" s="14">
        <f>ID!B58</f>
        <v>40</v>
      </c>
      <c r="C76" s="13" t="s">
        <v>24</v>
      </c>
      <c r="D76" s="13"/>
      <c r="E76" s="13"/>
      <c r="F76" s="13"/>
      <c r="G76" s="13"/>
      <c r="H76" s="13"/>
      <c r="I76" s="18"/>
      <c r="J76" s="13"/>
      <c r="K76" s="13"/>
      <c r="L76" s="13"/>
      <c r="M76" s="13"/>
    </row>
    <row r="77" spans="1:27" ht="18" customHeight="1">
      <c r="A77" s="749" t="s">
        <v>131</v>
      </c>
      <c r="B77" s="750"/>
      <c r="C77" s="751"/>
      <c r="D77" s="743" t="s">
        <v>132</v>
      </c>
      <c r="E77" s="743" t="s">
        <v>133</v>
      </c>
      <c r="F77" s="743" t="s">
        <v>134</v>
      </c>
      <c r="G77" s="743" t="s">
        <v>135</v>
      </c>
      <c r="H77" s="743" t="s">
        <v>136</v>
      </c>
      <c r="I77" s="749" t="s">
        <v>137</v>
      </c>
      <c r="J77" s="743" t="s">
        <v>138</v>
      </c>
      <c r="K77" s="743" t="s">
        <v>139</v>
      </c>
      <c r="L77" s="743" t="s">
        <v>140</v>
      </c>
      <c r="M77" s="743" t="s">
        <v>141</v>
      </c>
      <c r="O77" s="749" t="s">
        <v>131</v>
      </c>
      <c r="P77" s="750"/>
      <c r="Q77" s="751"/>
      <c r="R77" s="743" t="s">
        <v>132</v>
      </c>
      <c r="S77" s="743" t="s">
        <v>133</v>
      </c>
      <c r="T77" s="743" t="s">
        <v>134</v>
      </c>
      <c r="U77" s="743" t="s">
        <v>135</v>
      </c>
      <c r="V77" s="743" t="s">
        <v>136</v>
      </c>
      <c r="W77" s="749" t="s">
        <v>137</v>
      </c>
      <c r="X77" s="743" t="s">
        <v>138</v>
      </c>
      <c r="Y77" s="743" t="s">
        <v>139</v>
      </c>
      <c r="Z77" s="743" t="s">
        <v>140</v>
      </c>
      <c r="AA77" s="743" t="s">
        <v>141</v>
      </c>
    </row>
    <row r="78" spans="1:27" ht="18" customHeight="1">
      <c r="A78" s="752"/>
      <c r="B78" s="753"/>
      <c r="C78" s="754"/>
      <c r="D78" s="744"/>
      <c r="E78" s="744"/>
      <c r="F78" s="744"/>
      <c r="G78" s="744"/>
      <c r="H78" s="744"/>
      <c r="I78" s="752"/>
      <c r="J78" s="744"/>
      <c r="K78" s="744"/>
      <c r="L78" s="744"/>
      <c r="M78" s="744"/>
      <c r="O78" s="752"/>
      <c r="P78" s="753"/>
      <c r="Q78" s="754"/>
      <c r="R78" s="744"/>
      <c r="S78" s="744"/>
      <c r="T78" s="744"/>
      <c r="U78" s="744"/>
      <c r="V78" s="744"/>
      <c r="W78" s="752"/>
      <c r="X78" s="744"/>
      <c r="Y78" s="744"/>
      <c r="Z78" s="744"/>
      <c r="AA78" s="744"/>
    </row>
    <row r="79" spans="1:27" ht="18" customHeight="1">
      <c r="A79" s="31" t="s">
        <v>142</v>
      </c>
      <c r="B79" s="32"/>
      <c r="C79" s="33"/>
      <c r="D79" s="15" t="s">
        <v>24</v>
      </c>
      <c r="E79" s="15" t="s">
        <v>144</v>
      </c>
      <c r="F79" s="30">
        <f>ID!M58</f>
        <v>0</v>
      </c>
      <c r="G79" s="30">
        <f>SQRT(12)</f>
        <v>3.4641016151377544</v>
      </c>
      <c r="H79" s="30">
        <f>F79/G79</f>
        <v>0</v>
      </c>
      <c r="I79" s="15">
        <v>1</v>
      </c>
      <c r="J79" s="30">
        <f t="shared" ref="J79:J85" si="19">H79*I79</f>
        <v>0</v>
      </c>
      <c r="K79" s="15">
        <f>12-1</f>
        <v>11</v>
      </c>
      <c r="L79" s="373">
        <f>J79^2</f>
        <v>0</v>
      </c>
      <c r="M79" s="34">
        <f t="shared" ref="M79:M84" si="20">(J79)^4/K79</f>
        <v>0</v>
      </c>
      <c r="O79" s="369" t="s">
        <v>142</v>
      </c>
      <c r="P79" s="32"/>
      <c r="Q79" s="33"/>
      <c r="R79" s="15" t="s">
        <v>24</v>
      </c>
      <c r="S79" s="15" t="s">
        <v>144</v>
      </c>
      <c r="T79" s="30">
        <v>5.1999999999999998E-3</v>
      </c>
      <c r="U79" s="30">
        <f>SQRT(12)</f>
        <v>3.4641016151377544</v>
      </c>
      <c r="V79" s="30">
        <f>0.0052/3.4641</f>
        <v>1.5011113997863801E-3</v>
      </c>
      <c r="W79" s="15">
        <v>1</v>
      </c>
      <c r="X79" s="30">
        <f>V79*1</f>
        <v>1.5011113997863801E-3</v>
      </c>
      <c r="Y79" s="15">
        <f>12-1</f>
        <v>11</v>
      </c>
      <c r="Z79" s="373">
        <f>(0.0015^2)</f>
        <v>2.2500000000000001E-6</v>
      </c>
      <c r="AA79" s="34">
        <f>((0.0015)^4)/11</f>
        <v>4.6022727272727279E-13</v>
      </c>
    </row>
    <row r="80" spans="1:27" ht="18" customHeight="1">
      <c r="A80" s="735" t="s">
        <v>145</v>
      </c>
      <c r="B80" s="736"/>
      <c r="C80" s="737"/>
      <c r="D80" s="15" t="s">
        <v>24</v>
      </c>
      <c r="E80" s="15" t="s">
        <v>144</v>
      </c>
      <c r="F80" s="30">
        <f>'DB Standar'!E77</f>
        <v>0.95</v>
      </c>
      <c r="G80" s="30">
        <v>2</v>
      </c>
      <c r="H80" s="30">
        <f t="shared" ref="H80" si="21">F80/G80</f>
        <v>0.47499999999999998</v>
      </c>
      <c r="I80" s="15">
        <v>1</v>
      </c>
      <c r="J80" s="30">
        <f t="shared" si="19"/>
        <v>0.47499999999999998</v>
      </c>
      <c r="K80" s="19">
        <v>50</v>
      </c>
      <c r="L80" s="20">
        <f t="shared" ref="L80:L85" si="22">(H80*I80)^2</f>
        <v>0.22562499999999999</v>
      </c>
      <c r="M80" s="34">
        <f t="shared" si="20"/>
        <v>1.0181328124999999E-3</v>
      </c>
      <c r="O80" s="735" t="s">
        <v>145</v>
      </c>
      <c r="P80" s="736"/>
      <c r="Q80" s="737"/>
      <c r="R80" s="15" t="s">
        <v>24</v>
      </c>
      <c r="S80" s="15" t="s">
        <v>144</v>
      </c>
      <c r="T80" s="30">
        <v>0.95</v>
      </c>
      <c r="U80" s="30">
        <v>2</v>
      </c>
      <c r="V80" s="30">
        <f>0.95/2</f>
        <v>0.47499999999999998</v>
      </c>
      <c r="W80" s="15">
        <v>1</v>
      </c>
      <c r="X80" s="30">
        <f t="shared" ref="X80:X85" si="23">V80*1</f>
        <v>0.47499999999999998</v>
      </c>
      <c r="Y80" s="19">
        <v>50</v>
      </c>
      <c r="Z80" s="373">
        <f>(0.475^2)</f>
        <v>0.22562499999999999</v>
      </c>
      <c r="AA80" s="34">
        <f>((0.475)^4)/50</f>
        <v>1.0181328124999999E-3</v>
      </c>
    </row>
    <row r="81" spans="1:27" ht="18" customHeight="1">
      <c r="A81" s="735" t="s">
        <v>146</v>
      </c>
      <c r="B81" s="736"/>
      <c r="C81" s="737"/>
      <c r="D81" s="15" t="s">
        <v>24</v>
      </c>
      <c r="E81" s="15" t="s">
        <v>147</v>
      </c>
      <c r="F81" s="30">
        <f>F80/3</f>
        <v>0.31666666666666665</v>
      </c>
      <c r="G81" s="30">
        <f>SQRT(3)</f>
        <v>1.7320508075688772</v>
      </c>
      <c r="H81" s="30">
        <f>F81/G81</f>
        <v>0.1828275852433815</v>
      </c>
      <c r="I81" s="19">
        <v>1</v>
      </c>
      <c r="J81" s="30">
        <f t="shared" si="19"/>
        <v>0.1828275852433815</v>
      </c>
      <c r="K81" s="19">
        <v>50</v>
      </c>
      <c r="L81" s="20">
        <f t="shared" si="22"/>
        <v>3.3425925925925928E-2</v>
      </c>
      <c r="M81" s="34">
        <f t="shared" si="20"/>
        <v>2.2345850480109746E-5</v>
      </c>
      <c r="O81" s="735" t="s">
        <v>146</v>
      </c>
      <c r="P81" s="736"/>
      <c r="Q81" s="737"/>
      <c r="R81" s="15" t="s">
        <v>24</v>
      </c>
      <c r="S81" s="15" t="s">
        <v>147</v>
      </c>
      <c r="T81" s="30">
        <v>0.31669999999999998</v>
      </c>
      <c r="U81" s="30">
        <f>SQRT(3)</f>
        <v>1.7320508075688772</v>
      </c>
      <c r="V81" s="30">
        <f>0.3167/1.7321</f>
        <v>0.18284163731886149</v>
      </c>
      <c r="W81" s="19">
        <v>1</v>
      </c>
      <c r="X81" s="30">
        <f t="shared" si="23"/>
        <v>0.18284163731886149</v>
      </c>
      <c r="Y81" s="19">
        <v>50</v>
      </c>
      <c r="Z81" s="373">
        <f>(0.1828^2)</f>
        <v>3.3415839999999995E-2</v>
      </c>
      <c r="AA81" s="34">
        <f>((0.1828^4)/50)</f>
        <v>2.2332367258111992E-5</v>
      </c>
    </row>
    <row r="82" spans="1:27" ht="18" customHeight="1">
      <c r="A82" s="735" t="s">
        <v>148</v>
      </c>
      <c r="B82" s="736"/>
      <c r="C82" s="737"/>
      <c r="D82" s="15" t="s">
        <v>24</v>
      </c>
      <c r="E82" s="15" t="str">
        <f>IF(ID!G7="Analog","Triang","Rect")</f>
        <v>Triang</v>
      </c>
      <c r="F82" s="30">
        <f>IF(ID!G7="Analog",B75*1,B75*0.5)</f>
        <v>0.1</v>
      </c>
      <c r="G82" s="30">
        <f>IF(ID!G7="Analog",SQRT(6),SQRT(3))</f>
        <v>2.4494897427831779</v>
      </c>
      <c r="H82" s="30">
        <f t="shared" ref="H82:H83" si="24">F82/G82</f>
        <v>4.0824829046386304E-2</v>
      </c>
      <c r="I82" s="15">
        <v>1</v>
      </c>
      <c r="J82" s="30">
        <f t="shared" si="19"/>
        <v>4.0824829046386304E-2</v>
      </c>
      <c r="K82" s="19">
        <v>50</v>
      </c>
      <c r="L82" s="20">
        <f t="shared" si="22"/>
        <v>1.666666666666667E-3</v>
      </c>
      <c r="M82" s="34">
        <f t="shared" si="20"/>
        <v>5.5555555555555574E-8</v>
      </c>
      <c r="O82" s="735" t="s">
        <v>148</v>
      </c>
      <c r="P82" s="736"/>
      <c r="Q82" s="737"/>
      <c r="R82" s="15" t="s">
        <v>24</v>
      </c>
      <c r="S82" s="15" t="s">
        <v>147</v>
      </c>
      <c r="T82" s="30">
        <v>0.05</v>
      </c>
      <c r="U82" s="30">
        <f>SQRT(3)</f>
        <v>1.7320508075688772</v>
      </c>
      <c r="V82" s="30">
        <f>0.05/1.7321</f>
        <v>2.8866693608914036E-2</v>
      </c>
      <c r="W82" s="15">
        <v>1</v>
      </c>
      <c r="X82" s="30">
        <f t="shared" si="23"/>
        <v>2.8866693608914036E-2</v>
      </c>
      <c r="Y82" s="19">
        <v>50</v>
      </c>
      <c r="Z82" s="373">
        <f>(0.0289^2)</f>
        <v>8.3520999999999997E-4</v>
      </c>
      <c r="AA82" s="34">
        <f>((0.0289^4)/50)</f>
        <v>1.3951514882E-8</v>
      </c>
    </row>
    <row r="83" spans="1:27" ht="18" customHeight="1">
      <c r="A83" s="735" t="s">
        <v>149</v>
      </c>
      <c r="B83" s="736"/>
      <c r="C83" s="737"/>
      <c r="D83" s="15" t="s">
        <v>24</v>
      </c>
      <c r="E83" s="15" t="s">
        <v>147</v>
      </c>
      <c r="F83" s="30">
        <f ca="1">'DB Standar'!H46</f>
        <v>0.53410000000000002</v>
      </c>
      <c r="G83" s="30">
        <f>SQRT(3)</f>
        <v>1.7320508075688772</v>
      </c>
      <c r="H83" s="30">
        <f t="shared" ca="1" si="24"/>
        <v>0.30836277877417917</v>
      </c>
      <c r="I83" s="15">
        <v>1</v>
      </c>
      <c r="J83" s="30">
        <f t="shared" ca="1" si="19"/>
        <v>0.30836277877417917</v>
      </c>
      <c r="K83" s="19">
        <v>50</v>
      </c>
      <c r="L83" s="20">
        <f t="shared" ca="1" si="22"/>
        <v>9.5087603333333368E-2</v>
      </c>
      <c r="M83" s="34">
        <f t="shared" ca="1" si="20"/>
        <v>1.8083304615354703E-4</v>
      </c>
      <c r="O83" s="735" t="s">
        <v>149</v>
      </c>
      <c r="P83" s="736"/>
      <c r="Q83" s="737"/>
      <c r="R83" s="15" t="s">
        <v>24</v>
      </c>
      <c r="S83" s="15" t="s">
        <v>147</v>
      </c>
      <c r="T83" s="30">
        <v>0.53410000000000002</v>
      </c>
      <c r="U83" s="30">
        <f>SQRT(3)</f>
        <v>1.7320508075688772</v>
      </c>
      <c r="V83" s="30">
        <f>0.5341/1.7321</f>
        <v>0.30835402113041976</v>
      </c>
      <c r="W83" s="15">
        <v>1</v>
      </c>
      <c r="X83" s="30">
        <f t="shared" si="23"/>
        <v>0.30835402113041976</v>
      </c>
      <c r="Y83" s="19">
        <v>50</v>
      </c>
      <c r="Z83" s="373">
        <f>(0.3084^2)</f>
        <v>9.5110560000000011E-2</v>
      </c>
      <c r="AA83" s="34">
        <f>(0.3084^4)/50</f>
        <v>1.8092037247027201E-4</v>
      </c>
    </row>
    <row r="84" spans="1:27" ht="18" customHeight="1">
      <c r="A84" s="735" t="s">
        <v>150</v>
      </c>
      <c r="B84" s="736"/>
      <c r="C84" s="737"/>
      <c r="D84" s="15" t="s">
        <v>24</v>
      </c>
      <c r="E84" s="15" t="s">
        <v>147</v>
      </c>
      <c r="F84" s="30">
        <f>'DB Standar'!G46</f>
        <v>0.24138000000000004</v>
      </c>
      <c r="G84" s="30">
        <f>SQRT(3)</f>
        <v>1.7320508075688772</v>
      </c>
      <c r="H84" s="30">
        <f>F84/G84</f>
        <v>0.13936080797699191</v>
      </c>
      <c r="I84" s="15">
        <v>1</v>
      </c>
      <c r="J84" s="30">
        <f t="shared" si="19"/>
        <v>0.13936080797699191</v>
      </c>
      <c r="K84" s="19">
        <v>50</v>
      </c>
      <c r="L84" s="20">
        <f>(H84*I84)^2</f>
        <v>1.9421434800000012E-2</v>
      </c>
      <c r="M84" s="34">
        <f t="shared" si="20"/>
        <v>7.54384259381303E-6</v>
      </c>
      <c r="O84" s="735" t="s">
        <v>150</v>
      </c>
      <c r="P84" s="736"/>
      <c r="Q84" s="737"/>
      <c r="R84" s="15" t="s">
        <v>24</v>
      </c>
      <c r="S84" s="15" t="s">
        <v>147</v>
      </c>
      <c r="T84" s="30">
        <v>0.3</v>
      </c>
      <c r="U84" s="30">
        <f>SQRT(3)</f>
        <v>1.7320508075688772</v>
      </c>
      <c r="V84" s="30">
        <f>0.3/1.7321</f>
        <v>0.1732001616534842</v>
      </c>
      <c r="W84" s="15">
        <v>1</v>
      </c>
      <c r="X84" s="30">
        <f t="shared" si="23"/>
        <v>0.1732001616534842</v>
      </c>
      <c r="Y84" s="19">
        <v>50</v>
      </c>
      <c r="Z84" s="373">
        <f>(0.1732^2)</f>
        <v>2.9998239999999999E-2</v>
      </c>
      <c r="AA84" s="34">
        <f>(0.1732^4)/50</f>
        <v>1.7997888061952E-5</v>
      </c>
    </row>
    <row r="85" spans="1:27" ht="18" customHeight="1">
      <c r="A85" s="735" t="s">
        <v>156</v>
      </c>
      <c r="B85" s="736"/>
      <c r="C85" s="737"/>
      <c r="D85" s="15" t="s">
        <v>24</v>
      </c>
      <c r="E85" s="15" t="s">
        <v>147</v>
      </c>
      <c r="F85" s="30">
        <f>ID!AT57/2</f>
        <v>0.14999999999999858</v>
      </c>
      <c r="G85" s="30">
        <f>SQRT(3)</f>
        <v>1.7320508075688772</v>
      </c>
      <c r="H85" s="30">
        <f>F85/G85</f>
        <v>8.6602540378443046E-2</v>
      </c>
      <c r="I85" s="15">
        <v>1</v>
      </c>
      <c r="J85" s="30">
        <f t="shared" si="19"/>
        <v>8.6602540378443046E-2</v>
      </c>
      <c r="K85" s="19">
        <v>50</v>
      </c>
      <c r="L85" s="20">
        <f t="shared" si="22"/>
        <v>7.4999999999998583E-3</v>
      </c>
      <c r="M85" s="34">
        <f>(J85)^4/K85</f>
        <v>1.1249999999999575E-6</v>
      </c>
      <c r="O85" s="735" t="s">
        <v>156</v>
      </c>
      <c r="P85" s="736"/>
      <c r="Q85" s="737"/>
      <c r="R85" s="15" t="s">
        <v>24</v>
      </c>
      <c r="S85" s="15" t="s">
        <v>147</v>
      </c>
      <c r="T85" s="30">
        <v>6.6699999999999995E-2</v>
      </c>
      <c r="U85" s="30">
        <f>SQRT(3)</f>
        <v>1.7320508075688772</v>
      </c>
      <c r="V85" s="30">
        <f>0.0667/1.7321</f>
        <v>3.8508169274291321E-2</v>
      </c>
      <c r="W85" s="15">
        <v>1</v>
      </c>
      <c r="X85" s="30">
        <f t="shared" si="23"/>
        <v>3.8508169274291321E-2</v>
      </c>
      <c r="Y85" s="19">
        <v>50</v>
      </c>
      <c r="Z85" s="373">
        <f>(0.0385^2)</f>
        <v>1.4822500000000001E-3</v>
      </c>
      <c r="AA85" s="34">
        <f>(0.0385^4)/50</f>
        <v>4.394130125000001E-8</v>
      </c>
    </row>
    <row r="86" spans="1:27" ht="18" customHeight="1">
      <c r="A86" s="13"/>
      <c r="B86" s="13"/>
      <c r="C86" s="13"/>
      <c r="D86" s="13"/>
      <c r="E86" s="14"/>
      <c r="F86" s="13"/>
      <c r="G86" s="13"/>
      <c r="H86" s="735" t="s">
        <v>151</v>
      </c>
      <c r="I86" s="736"/>
      <c r="J86" s="736"/>
      <c r="K86" s="737"/>
      <c r="L86" s="185">
        <f ca="1">SQRT(SUM(L79:L85))</f>
        <v>0.61864903679382366</v>
      </c>
      <c r="M86" s="186">
        <f ca="1">SUM(M79:M85)</f>
        <v>1.2300361072830255E-3</v>
      </c>
      <c r="O86" s="13"/>
      <c r="P86" s="13"/>
      <c r="Q86" s="13"/>
      <c r="R86" s="13"/>
      <c r="S86" s="14"/>
      <c r="T86" s="13"/>
      <c r="U86" s="13"/>
      <c r="V86" s="735" t="s">
        <v>151</v>
      </c>
      <c r="W86" s="736"/>
      <c r="X86" s="736"/>
      <c r="Y86" s="737"/>
      <c r="Z86" s="185">
        <f>SQRT(Z79+Z80+Z81+Z82+Z83+Z84+Z85)</f>
        <v>0.62166659070598285</v>
      </c>
      <c r="AA86" s="186">
        <f>AA79+AA80+AA81+AA82+AA83+AA84+AA85</f>
        <v>1.2394413335666953E-3</v>
      </c>
    </row>
    <row r="87" spans="1:27" ht="18" customHeight="1">
      <c r="A87" s="13"/>
      <c r="B87" s="13"/>
      <c r="C87" s="13"/>
      <c r="D87" s="13"/>
      <c r="E87" s="13"/>
      <c r="F87" s="13"/>
      <c r="G87" s="13"/>
      <c r="H87" s="735" t="s">
        <v>152</v>
      </c>
      <c r="I87" s="736"/>
      <c r="J87" s="736"/>
      <c r="K87" s="737"/>
      <c r="L87" s="22"/>
      <c r="M87" s="21">
        <f ca="1">L86^4/M86</f>
        <v>119.08566992425278</v>
      </c>
      <c r="O87" s="13"/>
      <c r="P87" s="13"/>
      <c r="Q87" s="13"/>
      <c r="R87" s="13"/>
      <c r="S87" s="13"/>
      <c r="T87" s="13"/>
      <c r="U87" s="13"/>
      <c r="V87" s="735" t="s">
        <v>152</v>
      </c>
      <c r="W87" s="736"/>
      <c r="X87" s="736"/>
      <c r="Y87" s="737"/>
      <c r="Z87" s="22"/>
      <c r="AA87" s="21">
        <f>0.6217^4/0.00123944</f>
        <v>120.53077848753641</v>
      </c>
    </row>
    <row r="88" spans="1:27" ht="18" customHeight="1">
      <c r="A88" s="13"/>
      <c r="B88" s="13"/>
      <c r="C88" s="13"/>
      <c r="D88" s="13"/>
      <c r="E88" s="13"/>
      <c r="F88" s="13"/>
      <c r="G88" s="13"/>
      <c r="H88" s="735" t="s">
        <v>153</v>
      </c>
      <c r="I88" s="736"/>
      <c r="J88" s="736"/>
      <c r="K88" s="737"/>
      <c r="L88" s="23"/>
      <c r="M88" s="367">
        <f ca="1">1.95996+(2.37356/M87)+(2.818745/M87^2)+(2.546662/M87^3)+(1.761829/M87^4)+(0.245458/M87^5)+(1.000764/M87^6)</f>
        <v>1.9800918136442514</v>
      </c>
      <c r="O88" s="13"/>
      <c r="P88" s="13"/>
      <c r="Q88" s="13"/>
      <c r="R88" s="13"/>
      <c r="S88" s="13"/>
      <c r="T88" s="13"/>
      <c r="U88" s="13"/>
      <c r="V88" s="735" t="s">
        <v>153</v>
      </c>
      <c r="W88" s="736"/>
      <c r="X88" s="736"/>
      <c r="Y88" s="737"/>
      <c r="Z88" s="23"/>
      <c r="AA88" s="367">
        <f>1.95996+(2.37356/AA87)+(2.818745/AA87^2)+(2.546662/AA87^3)+(1.761829/AA87^4)+(0.245458/AA87^5)+(1.000764/AA87^6)</f>
        <v>1.9798480521319954</v>
      </c>
    </row>
    <row r="89" spans="1:27" ht="18" customHeight="1">
      <c r="A89" s="13"/>
      <c r="B89" s="13"/>
      <c r="C89" s="13"/>
      <c r="D89" s="13"/>
      <c r="E89" s="13"/>
      <c r="F89" s="13"/>
      <c r="G89" s="13"/>
      <c r="H89" s="746" t="s">
        <v>154</v>
      </c>
      <c r="I89" s="747"/>
      <c r="J89" s="747"/>
      <c r="K89" s="748"/>
      <c r="L89" s="24"/>
      <c r="M89" s="653">
        <f ca="1">L86*M88</f>
        <v>1.2249818932743515</v>
      </c>
      <c r="N89" s="11" t="s">
        <v>305</v>
      </c>
      <c r="O89" s="13"/>
      <c r="P89" s="13"/>
      <c r="Q89" s="13"/>
      <c r="R89" s="13"/>
      <c r="S89" s="13"/>
      <c r="T89" s="13"/>
      <c r="U89" s="13"/>
      <c r="V89" s="746" t="s">
        <v>154</v>
      </c>
      <c r="W89" s="747"/>
      <c r="X89" s="747"/>
      <c r="Y89" s="748"/>
      <c r="Z89" s="24"/>
      <c r="AA89" s="366">
        <f>0.6217*1.98</f>
        <v>1.230966</v>
      </c>
    </row>
    <row r="90" spans="1:27" s="10" customFormat="1" ht="16.05" customHeight="1">
      <c r="A90" s="739"/>
      <c r="B90" s="739"/>
      <c r="C90" s="180"/>
      <c r="D90" s="180"/>
      <c r="E90" s="180"/>
      <c r="F90" s="180"/>
      <c r="G90" s="180"/>
      <c r="H90" s="180"/>
      <c r="I90" s="180"/>
      <c r="J90" s="180"/>
      <c r="L90" s="25"/>
      <c r="M90" s="12"/>
      <c r="N90" s="25"/>
    </row>
    <row r="91" spans="1:27" s="10" customFormat="1" ht="16.05" customHeight="1">
      <c r="A91" s="739"/>
      <c r="B91" s="739"/>
      <c r="C91" s="180"/>
      <c r="D91" s="180"/>
      <c r="E91" s="180"/>
      <c r="F91" s="180"/>
      <c r="G91" s="180"/>
      <c r="H91" s="180"/>
      <c r="I91" s="180"/>
      <c r="J91" s="180"/>
      <c r="L91" s="12"/>
      <c r="M91" s="12"/>
      <c r="N91" s="12"/>
    </row>
    <row r="92" spans="1:27" s="10" customFormat="1" ht="16.05" customHeight="1">
      <c r="A92" s="739"/>
      <c r="B92" s="739"/>
      <c r="C92" s="180"/>
      <c r="D92" s="180"/>
      <c r="E92" s="180"/>
      <c r="F92" s="180"/>
      <c r="G92" s="180"/>
      <c r="H92" s="180"/>
      <c r="I92" s="180"/>
      <c r="J92" s="180"/>
    </row>
    <row r="93" spans="1:27" s="10" customFormat="1" ht="16.05" customHeight="1">
      <c r="A93" s="739"/>
      <c r="B93" s="739"/>
      <c r="C93" s="180"/>
      <c r="D93" s="180"/>
      <c r="E93" s="180"/>
      <c r="F93" s="180"/>
      <c r="G93" s="180"/>
      <c r="H93" s="180"/>
      <c r="I93" s="180"/>
      <c r="J93" s="180"/>
    </row>
    <row r="94" spans="1:27" s="10" customFormat="1" ht="16.05" customHeight="1">
      <c r="A94" s="25"/>
      <c r="B94" s="25"/>
      <c r="C94" s="180"/>
      <c r="D94" s="180"/>
      <c r="E94" s="180"/>
      <c r="F94" s="180"/>
      <c r="G94" s="180"/>
      <c r="H94" s="180"/>
      <c r="I94" s="180"/>
      <c r="J94" s="180"/>
    </row>
    <row r="95" spans="1:27" s="10" customFormat="1" ht="16.05" customHeight="1">
      <c r="A95" s="739"/>
      <c r="B95" s="739"/>
      <c r="C95" s="180"/>
      <c r="D95" s="180"/>
      <c r="E95" s="180"/>
      <c r="F95" s="180"/>
      <c r="G95" s="180"/>
      <c r="H95" s="180"/>
      <c r="I95" s="180"/>
      <c r="J95" s="180"/>
    </row>
    <row r="96" spans="1:27" s="10" customFormat="1" ht="16.05" customHeight="1">
      <c r="A96" s="739"/>
      <c r="B96" s="739"/>
      <c r="C96" s="181"/>
      <c r="D96" s="181"/>
      <c r="E96" s="180"/>
      <c r="F96" s="180"/>
      <c r="G96" s="180"/>
      <c r="H96" s="180"/>
      <c r="I96" s="180"/>
      <c r="J96" s="180"/>
    </row>
    <row r="97" spans="1:27" ht="18" customHeight="1">
      <c r="A97" s="13" t="s">
        <v>128</v>
      </c>
      <c r="B97" s="14">
        <f>B75</f>
        <v>0.1</v>
      </c>
      <c r="C97" s="13" t="s">
        <v>24</v>
      </c>
      <c r="D97" s="14"/>
      <c r="E97" s="13"/>
      <c r="F97" s="13"/>
      <c r="G97" s="13"/>
      <c r="H97" s="13"/>
      <c r="I97" s="13"/>
      <c r="J97" s="13"/>
      <c r="K97" s="13"/>
      <c r="L97" s="13"/>
      <c r="M97" s="13"/>
    </row>
    <row r="98" spans="1:27" ht="18" customHeight="1">
      <c r="A98" s="13" t="s">
        <v>130</v>
      </c>
      <c r="B98" s="14">
        <f>ID!B65</f>
        <v>50</v>
      </c>
      <c r="C98" s="13" t="s">
        <v>24</v>
      </c>
      <c r="D98" s="13"/>
      <c r="E98" s="13"/>
      <c r="F98" s="13"/>
      <c r="G98" s="13"/>
      <c r="H98" s="13"/>
      <c r="I98" s="18"/>
      <c r="J98" s="13"/>
      <c r="K98" s="13"/>
      <c r="L98" s="13"/>
      <c r="M98" s="13"/>
    </row>
    <row r="99" spans="1:27" ht="18" customHeight="1">
      <c r="A99" s="734" t="s">
        <v>131</v>
      </c>
      <c r="B99" s="734"/>
      <c r="C99" s="734"/>
      <c r="D99" s="734" t="s">
        <v>132</v>
      </c>
      <c r="E99" s="734" t="s">
        <v>133</v>
      </c>
      <c r="F99" s="734" t="s">
        <v>134</v>
      </c>
      <c r="G99" s="734" t="s">
        <v>135</v>
      </c>
      <c r="H99" s="734" t="s">
        <v>136</v>
      </c>
      <c r="I99" s="734" t="s">
        <v>137</v>
      </c>
      <c r="J99" s="734" t="s">
        <v>138</v>
      </c>
      <c r="K99" s="734" t="s">
        <v>139</v>
      </c>
      <c r="L99" s="734" t="s">
        <v>140</v>
      </c>
      <c r="M99" s="734" t="s">
        <v>141</v>
      </c>
      <c r="O99" s="734" t="s">
        <v>131</v>
      </c>
      <c r="P99" s="734"/>
      <c r="Q99" s="734"/>
      <c r="R99" s="734" t="s">
        <v>132</v>
      </c>
      <c r="S99" s="734" t="s">
        <v>133</v>
      </c>
      <c r="T99" s="734" t="s">
        <v>134</v>
      </c>
      <c r="U99" s="734" t="s">
        <v>135</v>
      </c>
      <c r="V99" s="734" t="s">
        <v>136</v>
      </c>
      <c r="W99" s="734" t="s">
        <v>137</v>
      </c>
      <c r="X99" s="734" t="s">
        <v>138</v>
      </c>
      <c r="Y99" s="734" t="s">
        <v>139</v>
      </c>
      <c r="Z99" s="734" t="s">
        <v>140</v>
      </c>
      <c r="AA99" s="734" t="s">
        <v>141</v>
      </c>
    </row>
    <row r="100" spans="1:27" ht="18" customHeight="1">
      <c r="A100" s="734"/>
      <c r="B100" s="734"/>
      <c r="C100" s="734"/>
      <c r="D100" s="734"/>
      <c r="E100" s="734"/>
      <c r="F100" s="734"/>
      <c r="G100" s="734"/>
      <c r="H100" s="734"/>
      <c r="I100" s="734"/>
      <c r="J100" s="734"/>
      <c r="K100" s="734"/>
      <c r="L100" s="734"/>
      <c r="M100" s="734"/>
      <c r="O100" s="734"/>
      <c r="P100" s="734"/>
      <c r="Q100" s="734"/>
      <c r="R100" s="734"/>
      <c r="S100" s="734"/>
      <c r="T100" s="734"/>
      <c r="U100" s="734"/>
      <c r="V100" s="734"/>
      <c r="W100" s="734"/>
      <c r="X100" s="734"/>
      <c r="Y100" s="734"/>
      <c r="Z100" s="734"/>
      <c r="AA100" s="734"/>
    </row>
    <row r="101" spans="1:27" ht="18" customHeight="1">
      <c r="A101" s="31" t="s">
        <v>142</v>
      </c>
      <c r="B101" s="32"/>
      <c r="C101" s="33"/>
      <c r="D101" s="15" t="s">
        <v>24</v>
      </c>
      <c r="E101" s="15" t="s">
        <v>144</v>
      </c>
      <c r="F101" s="30">
        <f>ID!M65</f>
        <v>1.6431676725151716E-2</v>
      </c>
      <c r="G101" s="30">
        <f>SQRT(12)</f>
        <v>3.4641016151377544</v>
      </c>
      <c r="H101" s="30">
        <f>F101/G101</f>
        <v>4.7434164902516261E-3</v>
      </c>
      <c r="I101" s="15">
        <v>1</v>
      </c>
      <c r="J101" s="30">
        <f t="shared" ref="J101:J107" si="25">H101*I101</f>
        <v>4.7434164902516261E-3</v>
      </c>
      <c r="K101" s="15">
        <f>12-1</f>
        <v>11</v>
      </c>
      <c r="L101" s="20">
        <f>J101^2</f>
        <v>2.2499999999991053E-5</v>
      </c>
      <c r="M101" s="34">
        <f t="shared" ref="M101:M106" si="26">(J101)^4/K101</f>
        <v>4.6022727272690671E-11</v>
      </c>
      <c r="O101" s="369" t="s">
        <v>142</v>
      </c>
      <c r="P101" s="32"/>
      <c r="Q101" s="33"/>
      <c r="R101" s="15" t="s">
        <v>24</v>
      </c>
      <c r="S101" s="15" t="s">
        <v>144</v>
      </c>
      <c r="T101" s="30">
        <v>1.6400000000000001E-2</v>
      </c>
      <c r="U101" s="30">
        <f>SQRT(12)</f>
        <v>3.4641016151377544</v>
      </c>
      <c r="V101" s="30">
        <f>0.0164/3.4641</f>
        <v>4.7342744147108916E-3</v>
      </c>
      <c r="W101" s="15">
        <v>1</v>
      </c>
      <c r="X101" s="30">
        <f>V101*1</f>
        <v>4.7342744147108916E-3</v>
      </c>
      <c r="Y101" s="15">
        <f>12-1</f>
        <v>11</v>
      </c>
      <c r="Z101" s="20">
        <f>0.0047^2</f>
        <v>2.209E-5</v>
      </c>
      <c r="AA101" s="375">
        <f>(0.0047^4)/11</f>
        <v>4.4360736363636366E-11</v>
      </c>
    </row>
    <row r="102" spans="1:27" ht="18" customHeight="1">
      <c r="A102" s="735" t="s">
        <v>145</v>
      </c>
      <c r="B102" s="736"/>
      <c r="C102" s="737"/>
      <c r="D102" s="15" t="s">
        <v>24</v>
      </c>
      <c r="E102" s="15" t="s">
        <v>144</v>
      </c>
      <c r="F102" s="30">
        <f>F80</f>
        <v>0.95</v>
      </c>
      <c r="G102" s="30">
        <v>2</v>
      </c>
      <c r="H102" s="30">
        <f t="shared" ref="H102" si="27">F102/G102</f>
        <v>0.47499999999999998</v>
      </c>
      <c r="I102" s="15">
        <v>1</v>
      </c>
      <c r="J102" s="30">
        <f t="shared" si="25"/>
        <v>0.47499999999999998</v>
      </c>
      <c r="K102" s="19">
        <v>50</v>
      </c>
      <c r="L102" s="20">
        <f t="shared" ref="L102:L107" si="28">(H102*I102)^2</f>
        <v>0.22562499999999999</v>
      </c>
      <c r="M102" s="34">
        <f t="shared" si="26"/>
        <v>1.0181328124999999E-3</v>
      </c>
      <c r="O102" s="735" t="s">
        <v>145</v>
      </c>
      <c r="P102" s="736"/>
      <c r="Q102" s="737"/>
      <c r="R102" s="15" t="s">
        <v>24</v>
      </c>
      <c r="S102" s="15" t="s">
        <v>144</v>
      </c>
      <c r="T102" s="30">
        <v>0.95</v>
      </c>
      <c r="U102" s="30">
        <v>2</v>
      </c>
      <c r="V102" s="30">
        <f>0.95/2</f>
        <v>0.47499999999999998</v>
      </c>
      <c r="W102" s="15">
        <v>1</v>
      </c>
      <c r="X102" s="30">
        <f t="shared" ref="X102:X107" si="29">V102*1</f>
        <v>0.47499999999999998</v>
      </c>
      <c r="Y102" s="19">
        <v>50</v>
      </c>
      <c r="Z102" s="20">
        <f>0.475^2</f>
        <v>0.22562499999999999</v>
      </c>
      <c r="AA102" s="375">
        <f>(0.475^4)/50</f>
        <v>1.0181328124999999E-3</v>
      </c>
    </row>
    <row r="103" spans="1:27" ht="18" customHeight="1">
      <c r="A103" s="735" t="s">
        <v>146</v>
      </c>
      <c r="B103" s="736"/>
      <c r="C103" s="737"/>
      <c r="D103" s="15" t="s">
        <v>24</v>
      </c>
      <c r="E103" s="15" t="s">
        <v>147</v>
      </c>
      <c r="F103" s="30">
        <f>F102/3</f>
        <v>0.31666666666666665</v>
      </c>
      <c r="G103" s="30">
        <f>SQRT(3)</f>
        <v>1.7320508075688772</v>
      </c>
      <c r="H103" s="30">
        <f>F103/G103</f>
        <v>0.1828275852433815</v>
      </c>
      <c r="I103" s="19">
        <v>1</v>
      </c>
      <c r="J103" s="30">
        <f t="shared" si="25"/>
        <v>0.1828275852433815</v>
      </c>
      <c r="K103" s="19">
        <v>50</v>
      </c>
      <c r="L103" s="20">
        <f t="shared" si="28"/>
        <v>3.3425925925925928E-2</v>
      </c>
      <c r="M103" s="34">
        <f t="shared" si="26"/>
        <v>2.2345850480109746E-5</v>
      </c>
      <c r="O103" s="735" t="s">
        <v>146</v>
      </c>
      <c r="P103" s="736"/>
      <c r="Q103" s="737"/>
      <c r="R103" s="15" t="s">
        <v>24</v>
      </c>
      <c r="S103" s="15" t="s">
        <v>147</v>
      </c>
      <c r="T103" s="30">
        <v>0.31669999999999998</v>
      </c>
      <c r="U103" s="30">
        <f>SQRT(3)</f>
        <v>1.7320508075688772</v>
      </c>
      <c r="V103" s="30">
        <f>0.3167/1.7321</f>
        <v>0.18284163731886149</v>
      </c>
      <c r="W103" s="19">
        <v>1</v>
      </c>
      <c r="X103" s="30">
        <f t="shared" si="29"/>
        <v>0.18284163731886149</v>
      </c>
      <c r="Y103" s="19">
        <v>50</v>
      </c>
      <c r="Z103" s="20">
        <f>0.1828^2</f>
        <v>3.3415839999999995E-2</v>
      </c>
      <c r="AA103" s="375">
        <f>(0.1828^4)/50</f>
        <v>2.2332367258111992E-5</v>
      </c>
    </row>
    <row r="104" spans="1:27" ht="18" customHeight="1">
      <c r="A104" s="732" t="s">
        <v>148</v>
      </c>
      <c r="B104" s="732"/>
      <c r="C104" s="732"/>
      <c r="D104" s="15" t="s">
        <v>24</v>
      </c>
      <c r="E104" s="15" t="str">
        <f>E82</f>
        <v>Triang</v>
      </c>
      <c r="F104" s="30">
        <f>F82</f>
        <v>0.1</v>
      </c>
      <c r="G104" s="30">
        <f>G82</f>
        <v>2.4494897427831779</v>
      </c>
      <c r="H104" s="30">
        <f t="shared" ref="H104:H106" si="30">F104/G104</f>
        <v>4.0824829046386304E-2</v>
      </c>
      <c r="I104" s="15">
        <v>1</v>
      </c>
      <c r="J104" s="30">
        <f t="shared" si="25"/>
        <v>4.0824829046386304E-2</v>
      </c>
      <c r="K104" s="19">
        <v>50</v>
      </c>
      <c r="L104" s="20">
        <f t="shared" si="28"/>
        <v>1.666666666666667E-3</v>
      </c>
      <c r="M104" s="34">
        <f t="shared" si="26"/>
        <v>5.5555555555555574E-8</v>
      </c>
      <c r="O104" s="732" t="s">
        <v>148</v>
      </c>
      <c r="P104" s="732"/>
      <c r="Q104" s="732"/>
      <c r="R104" s="15" t="s">
        <v>24</v>
      </c>
      <c r="S104" s="15" t="s">
        <v>147</v>
      </c>
      <c r="T104" s="30">
        <v>0.05</v>
      </c>
      <c r="U104" s="30">
        <f>SQRT(3)</f>
        <v>1.7320508075688772</v>
      </c>
      <c r="V104" s="30">
        <f>0.05/1.7321</f>
        <v>2.8866693608914036E-2</v>
      </c>
      <c r="W104" s="15">
        <v>1</v>
      </c>
      <c r="X104" s="30">
        <f t="shared" si="29"/>
        <v>2.8866693608914036E-2</v>
      </c>
      <c r="Y104" s="19">
        <v>50</v>
      </c>
      <c r="Z104" s="20">
        <f>0.0289^2</f>
        <v>8.3520999999999997E-4</v>
      </c>
      <c r="AA104" s="375">
        <f>(0.0289^4)/50</f>
        <v>1.3951514882E-8</v>
      </c>
    </row>
    <row r="105" spans="1:27" ht="18" customHeight="1">
      <c r="A105" s="732" t="s">
        <v>149</v>
      </c>
      <c r="B105" s="732"/>
      <c r="C105" s="732"/>
      <c r="D105" s="15" t="s">
        <v>24</v>
      </c>
      <c r="E105" s="15" t="s">
        <v>147</v>
      </c>
      <c r="F105" s="30">
        <f ca="1">'DB Standar'!H47</f>
        <v>0.62714999999999987</v>
      </c>
      <c r="G105" s="30">
        <f>SQRT(3)</f>
        <v>1.7320508075688772</v>
      </c>
      <c r="H105" s="30">
        <f t="shared" ca="1" si="30"/>
        <v>0.36208522132227372</v>
      </c>
      <c r="I105" s="15">
        <v>1</v>
      </c>
      <c r="J105" s="30">
        <f t="shared" ca="1" si="25"/>
        <v>0.36208522132227372</v>
      </c>
      <c r="K105" s="19">
        <v>50</v>
      </c>
      <c r="L105" s="20">
        <f t="shared" ca="1" si="28"/>
        <v>0.13110570749999995</v>
      </c>
      <c r="M105" s="34">
        <f t="shared" ca="1" si="26"/>
        <v>3.4377413078151087E-4</v>
      </c>
      <c r="O105" s="732" t="s">
        <v>149</v>
      </c>
      <c r="P105" s="732"/>
      <c r="Q105" s="732"/>
      <c r="R105" s="15" t="s">
        <v>24</v>
      </c>
      <c r="S105" s="15" t="s">
        <v>147</v>
      </c>
      <c r="T105" s="30">
        <v>0.62719999999999998</v>
      </c>
      <c r="U105" s="30">
        <f>SQRT(3)</f>
        <v>1.7320508075688772</v>
      </c>
      <c r="V105" s="30">
        <f>0.6272/1.7321</f>
        <v>0.36210380463021763</v>
      </c>
      <c r="W105" s="15">
        <v>1</v>
      </c>
      <c r="X105" s="30">
        <f t="shared" si="29"/>
        <v>0.36210380463021763</v>
      </c>
      <c r="Y105" s="19">
        <v>50</v>
      </c>
      <c r="Z105" s="20">
        <f>0.3621^2</f>
        <v>0.13111640999999999</v>
      </c>
      <c r="AA105" s="375">
        <f>(0.3621^4)/50</f>
        <v>3.4383025942576195E-4</v>
      </c>
    </row>
    <row r="106" spans="1:27" ht="18" customHeight="1">
      <c r="A106" s="735" t="s">
        <v>150</v>
      </c>
      <c r="B106" s="736"/>
      <c r="C106" s="737"/>
      <c r="D106" s="15" t="s">
        <v>24</v>
      </c>
      <c r="E106" s="15" t="s">
        <v>147</v>
      </c>
      <c r="F106" s="30">
        <f ca="1">'DB Standar'!G47</f>
        <v>0.32714999999999994</v>
      </c>
      <c r="G106" s="30">
        <f>SQRT(3)</f>
        <v>1.7320508075688772</v>
      </c>
      <c r="H106" s="30">
        <f t="shared" ca="1" si="30"/>
        <v>0.18888014056538605</v>
      </c>
      <c r="I106" s="15">
        <v>1</v>
      </c>
      <c r="J106" s="30">
        <f t="shared" ca="1" si="25"/>
        <v>0.18888014056538605</v>
      </c>
      <c r="K106" s="19">
        <v>50</v>
      </c>
      <c r="L106" s="20">
        <f t="shared" ca="1" si="28"/>
        <v>3.5675707499999994E-2</v>
      </c>
      <c r="M106" s="34">
        <f t="shared" ca="1" si="26"/>
        <v>2.5455122112511115E-5</v>
      </c>
      <c r="O106" s="735" t="s">
        <v>150</v>
      </c>
      <c r="P106" s="736"/>
      <c r="Q106" s="737"/>
      <c r="R106" s="15" t="s">
        <v>24</v>
      </c>
      <c r="S106" s="15" t="s">
        <v>147</v>
      </c>
      <c r="T106" s="30">
        <v>0.32719999999999999</v>
      </c>
      <c r="U106" s="30">
        <f>SQRT(3)</f>
        <v>1.7320508075688772</v>
      </c>
      <c r="V106" s="30">
        <f>0.3272/1.7321</f>
        <v>0.18890364297673345</v>
      </c>
      <c r="W106" s="15">
        <v>1</v>
      </c>
      <c r="X106" s="30">
        <f t="shared" si="29"/>
        <v>0.18890364297673345</v>
      </c>
      <c r="Y106" s="19">
        <v>50</v>
      </c>
      <c r="Z106" s="20">
        <f>0.1889^2</f>
        <v>3.5683210000000007E-2</v>
      </c>
      <c r="AA106" s="375">
        <f>(0.1889^4)/50</f>
        <v>2.5465829518082012E-5</v>
      </c>
    </row>
    <row r="107" spans="1:27" ht="18" customHeight="1">
      <c r="A107" s="732" t="s">
        <v>156</v>
      </c>
      <c r="B107" s="732"/>
      <c r="C107" s="732"/>
      <c r="D107" s="15" t="s">
        <v>24</v>
      </c>
      <c r="E107" s="15" t="s">
        <v>147</v>
      </c>
      <c r="F107" s="30">
        <f>F85</f>
        <v>0.14999999999999858</v>
      </c>
      <c r="G107" s="30">
        <f>SQRT(3)</f>
        <v>1.7320508075688772</v>
      </c>
      <c r="H107" s="30">
        <f>F107/G107</f>
        <v>8.6602540378443046E-2</v>
      </c>
      <c r="I107" s="15">
        <v>1</v>
      </c>
      <c r="J107" s="30">
        <f t="shared" si="25"/>
        <v>8.6602540378443046E-2</v>
      </c>
      <c r="K107" s="19">
        <v>50</v>
      </c>
      <c r="L107" s="20">
        <f t="shared" si="28"/>
        <v>7.4999999999998583E-3</v>
      </c>
      <c r="M107" s="34">
        <f>(J107)^4/K107</f>
        <v>1.1249999999999575E-6</v>
      </c>
      <c r="O107" s="732" t="s">
        <v>156</v>
      </c>
      <c r="P107" s="732"/>
      <c r="Q107" s="732"/>
      <c r="R107" s="15" t="s">
        <v>24</v>
      </c>
      <c r="S107" s="15" t="s">
        <v>147</v>
      </c>
      <c r="T107" s="30">
        <v>6.6699999999999995E-2</v>
      </c>
      <c r="U107" s="30">
        <f>SQRT(3)</f>
        <v>1.7320508075688772</v>
      </c>
      <c r="V107" s="30">
        <f>0.0667/1.7321</f>
        <v>3.8508169274291321E-2</v>
      </c>
      <c r="W107" s="15">
        <v>1</v>
      </c>
      <c r="X107" s="30">
        <f t="shared" si="29"/>
        <v>3.8508169274291321E-2</v>
      </c>
      <c r="Y107" s="19">
        <v>50</v>
      </c>
      <c r="Z107" s="20">
        <f>0.0385^2</f>
        <v>1.4822500000000001E-3</v>
      </c>
      <c r="AA107" s="375">
        <f>(0.0385^4)/50</f>
        <v>4.394130125000001E-8</v>
      </c>
    </row>
    <row r="108" spans="1:27" ht="18" customHeight="1">
      <c r="A108" s="13"/>
      <c r="B108" s="13"/>
      <c r="C108" s="13"/>
      <c r="D108" s="13"/>
      <c r="E108" s="14"/>
      <c r="F108" s="13"/>
      <c r="G108" s="13"/>
      <c r="H108" s="738" t="s">
        <v>151</v>
      </c>
      <c r="I108" s="738"/>
      <c r="J108" s="738"/>
      <c r="K108" s="738"/>
      <c r="L108" s="185">
        <f ca="1">SQRT(SUM(L101:L107))</f>
        <v>0.65956160257597796</v>
      </c>
      <c r="M108" s="186">
        <f ca="1">SUM(M101:M107)</f>
        <v>1.4108885174524146E-3</v>
      </c>
      <c r="O108" s="13"/>
      <c r="P108" s="13"/>
      <c r="Q108" s="13"/>
      <c r="R108" s="13"/>
      <c r="S108" s="14"/>
      <c r="T108" s="13"/>
      <c r="U108" s="13"/>
      <c r="V108" s="738" t="s">
        <v>151</v>
      </c>
      <c r="W108" s="738"/>
      <c r="X108" s="738"/>
      <c r="Y108" s="738"/>
      <c r="Z108" s="185">
        <f>SQRT(Z101+Z102+Z103+Z104+Z105+Z106+Z107)</f>
        <v>0.6543546515460863</v>
      </c>
      <c r="AA108" s="186">
        <f>AA101+AA102+AA103+AA104+AA105+AA106+AA107</f>
        <v>1.4098192058788243E-3</v>
      </c>
    </row>
    <row r="109" spans="1:27" ht="18" customHeight="1">
      <c r="A109" s="13"/>
      <c r="B109" s="13"/>
      <c r="C109" s="13"/>
      <c r="D109" s="13"/>
      <c r="E109" s="13"/>
      <c r="F109" s="13"/>
      <c r="G109" s="13"/>
      <c r="H109" s="732" t="s">
        <v>152</v>
      </c>
      <c r="I109" s="732"/>
      <c r="J109" s="732"/>
      <c r="K109" s="732"/>
      <c r="L109" s="22"/>
      <c r="M109" s="21">
        <f ca="1">L108^4/M108</f>
        <v>134.13087549244619</v>
      </c>
      <c r="O109" s="13"/>
      <c r="P109" s="13"/>
      <c r="Q109" s="13"/>
      <c r="R109" s="13"/>
      <c r="S109" s="13"/>
      <c r="T109" s="13"/>
      <c r="U109" s="13"/>
      <c r="V109" s="732" t="s">
        <v>152</v>
      </c>
      <c r="W109" s="732"/>
      <c r="X109" s="732"/>
      <c r="Y109" s="732"/>
      <c r="Z109" s="22"/>
      <c r="AA109" s="21">
        <f>(0.6544^4)/0.00140982</f>
        <v>130.07969063654195</v>
      </c>
    </row>
    <row r="110" spans="1:27" ht="18" customHeight="1">
      <c r="A110" s="13"/>
      <c r="B110" s="13"/>
      <c r="C110" s="13"/>
      <c r="D110" s="13"/>
      <c r="E110" s="13"/>
      <c r="F110" s="13"/>
      <c r="G110" s="13"/>
      <c r="H110" s="732" t="s">
        <v>153</v>
      </c>
      <c r="I110" s="732"/>
      <c r="J110" s="732"/>
      <c r="K110" s="732"/>
      <c r="L110" s="23"/>
      <c r="M110" s="367">
        <f ca="1">1.95996+(2.37356/M109)+(2.818745/M109^2)+(2.546662/M109^3)+(1.761829/M109^4)+(0.245458/M109^5)+(1.000764/M109^6)</f>
        <v>1.9778135863493655</v>
      </c>
      <c r="O110" s="13"/>
      <c r="P110" s="13"/>
      <c r="Q110" s="13"/>
      <c r="R110" s="13"/>
      <c r="S110" s="13"/>
      <c r="T110" s="13"/>
      <c r="U110" s="13"/>
      <c r="V110" s="732" t="s">
        <v>153</v>
      </c>
      <c r="W110" s="732"/>
      <c r="X110" s="732"/>
      <c r="Y110" s="732"/>
      <c r="Z110" s="23"/>
      <c r="AA110" s="367">
        <f>1.95996+(2.37356/AA109)+(2.818745/AA109^2)+(2.546662/AA109^3)+(1.761829/AA109^4)+(0.245458/AA109^5)+(1.000764/AA109^6)</f>
        <v>1.9783747168978632</v>
      </c>
    </row>
    <row r="111" spans="1:27" ht="18" customHeight="1">
      <c r="A111" s="13"/>
      <c r="B111" s="13"/>
      <c r="C111" s="13"/>
      <c r="D111" s="13"/>
      <c r="E111" s="13"/>
      <c r="F111" s="13"/>
      <c r="G111" s="13"/>
      <c r="H111" s="733" t="s">
        <v>154</v>
      </c>
      <c r="I111" s="733"/>
      <c r="J111" s="733"/>
      <c r="K111" s="733"/>
      <c r="L111" s="24"/>
      <c r="M111" s="65">
        <f ca="1">L108*M110</f>
        <v>1.30448989860913</v>
      </c>
      <c r="O111" s="13"/>
      <c r="P111" s="13"/>
      <c r="Q111" s="13"/>
      <c r="R111" s="13"/>
      <c r="S111" s="13"/>
      <c r="T111" s="13"/>
      <c r="U111" s="13"/>
      <c r="V111" s="733" t="s">
        <v>154</v>
      </c>
      <c r="W111" s="733"/>
      <c r="X111" s="733"/>
      <c r="Y111" s="733"/>
      <c r="Z111" s="24"/>
      <c r="AA111" s="65">
        <f>0.6544*1.98</f>
        <v>1.295712</v>
      </c>
    </row>
    <row r="112" spans="1:27" s="10" customFormat="1" ht="16.05" customHeight="1">
      <c r="A112" s="739"/>
      <c r="B112" s="739"/>
      <c r="C112" s="181"/>
      <c r="D112" s="181"/>
      <c r="E112" s="180"/>
      <c r="F112" s="180"/>
      <c r="G112" s="180"/>
      <c r="H112" s="180"/>
      <c r="I112" s="180"/>
      <c r="J112" s="180"/>
    </row>
    <row r="113" spans="1:27" ht="18" customHeight="1">
      <c r="A113" s="13" t="s">
        <v>128</v>
      </c>
      <c r="B113" s="14">
        <f>B97</f>
        <v>0.1</v>
      </c>
      <c r="C113" s="13" t="s">
        <v>24</v>
      </c>
      <c r="D113" s="14"/>
      <c r="E113" s="13"/>
      <c r="F113" s="13"/>
      <c r="G113" s="13"/>
      <c r="H113" s="13"/>
      <c r="I113" s="13"/>
      <c r="J113" s="13"/>
      <c r="K113" s="13"/>
      <c r="L113" s="13"/>
      <c r="M113" s="13"/>
    </row>
    <row r="114" spans="1:27" ht="18" customHeight="1">
      <c r="A114" s="13" t="s">
        <v>130</v>
      </c>
      <c r="B114" s="14">
        <f>ID!B72</f>
        <v>60</v>
      </c>
      <c r="C114" s="13" t="s">
        <v>24</v>
      </c>
      <c r="D114" s="13"/>
      <c r="E114" s="13"/>
      <c r="F114" s="13"/>
      <c r="G114" s="13"/>
      <c r="H114" s="13"/>
      <c r="I114" s="18"/>
      <c r="J114" s="13"/>
      <c r="K114" s="13"/>
      <c r="L114" s="13"/>
      <c r="M114" s="13"/>
    </row>
    <row r="115" spans="1:27" ht="18" customHeight="1">
      <c r="A115" s="734" t="s">
        <v>131</v>
      </c>
      <c r="B115" s="734"/>
      <c r="C115" s="734"/>
      <c r="D115" s="734" t="s">
        <v>132</v>
      </c>
      <c r="E115" s="734" t="s">
        <v>133</v>
      </c>
      <c r="F115" s="734" t="s">
        <v>134</v>
      </c>
      <c r="G115" s="734" t="s">
        <v>135</v>
      </c>
      <c r="H115" s="734" t="s">
        <v>136</v>
      </c>
      <c r="I115" s="734" t="s">
        <v>137</v>
      </c>
      <c r="J115" s="734" t="s">
        <v>138</v>
      </c>
      <c r="K115" s="734" t="s">
        <v>139</v>
      </c>
      <c r="L115" s="734" t="s">
        <v>140</v>
      </c>
      <c r="M115" s="734" t="s">
        <v>141</v>
      </c>
      <c r="O115" s="734" t="s">
        <v>131</v>
      </c>
      <c r="P115" s="734"/>
      <c r="Q115" s="734"/>
      <c r="R115" s="734" t="s">
        <v>132</v>
      </c>
      <c r="S115" s="734" t="s">
        <v>133</v>
      </c>
      <c r="T115" s="734" t="s">
        <v>134</v>
      </c>
      <c r="U115" s="734" t="s">
        <v>135</v>
      </c>
      <c r="V115" s="734" t="s">
        <v>136</v>
      </c>
      <c r="W115" s="734" t="s">
        <v>137</v>
      </c>
      <c r="X115" s="734" t="s">
        <v>138</v>
      </c>
      <c r="Y115" s="734" t="s">
        <v>139</v>
      </c>
      <c r="Z115" s="734" t="s">
        <v>140</v>
      </c>
      <c r="AA115" s="734" t="s">
        <v>141</v>
      </c>
    </row>
    <row r="116" spans="1:27" ht="18" customHeight="1">
      <c r="A116" s="734"/>
      <c r="B116" s="734"/>
      <c r="C116" s="734"/>
      <c r="D116" s="734"/>
      <c r="E116" s="734"/>
      <c r="F116" s="734"/>
      <c r="G116" s="734"/>
      <c r="H116" s="734"/>
      <c r="I116" s="734"/>
      <c r="J116" s="734"/>
      <c r="K116" s="734"/>
      <c r="L116" s="734"/>
      <c r="M116" s="734"/>
      <c r="O116" s="734"/>
      <c r="P116" s="734"/>
      <c r="Q116" s="734"/>
      <c r="R116" s="734"/>
      <c r="S116" s="734"/>
      <c r="T116" s="734"/>
      <c r="U116" s="734"/>
      <c r="V116" s="734"/>
      <c r="W116" s="734"/>
      <c r="X116" s="734"/>
      <c r="Y116" s="734"/>
      <c r="Z116" s="734"/>
      <c r="AA116" s="734"/>
    </row>
    <row r="117" spans="1:27" ht="18" customHeight="1">
      <c r="A117" s="31" t="s">
        <v>142</v>
      </c>
      <c r="B117" s="32"/>
      <c r="C117" s="33"/>
      <c r="D117" s="15" t="s">
        <v>24</v>
      </c>
      <c r="E117" s="15" t="s">
        <v>144</v>
      </c>
      <c r="F117" s="30">
        <f>ID!M72</f>
        <v>4.082482904637817E-3</v>
      </c>
      <c r="G117" s="30">
        <f>SQRT(12)</f>
        <v>3.4641016151377544</v>
      </c>
      <c r="H117" s="30">
        <f>F117/G117</f>
        <v>1.1785113019773445E-3</v>
      </c>
      <c r="I117" s="15">
        <v>1</v>
      </c>
      <c r="J117" s="30">
        <f t="shared" ref="J117:J123" si="31">H117*I117</f>
        <v>1.1785113019773445E-3</v>
      </c>
      <c r="K117" s="15">
        <f>12-1</f>
        <v>11</v>
      </c>
      <c r="L117" s="373">
        <f>J117^2</f>
        <v>1.3888888888883358E-6</v>
      </c>
      <c r="M117" s="34">
        <f t="shared" ref="M117:M122" si="32">(J117)^4/K117</f>
        <v>1.7536475869795238E-13</v>
      </c>
      <c r="O117" s="369" t="s">
        <v>142</v>
      </c>
      <c r="P117" s="32"/>
      <c r="Q117" s="33"/>
      <c r="R117" s="15" t="s">
        <v>24</v>
      </c>
      <c r="S117" s="15" t="s">
        <v>144</v>
      </c>
      <c r="T117" s="30">
        <v>4.1000000000000003E-3</v>
      </c>
      <c r="U117" s="30">
        <f>SQRT(12)</f>
        <v>3.4641016151377544</v>
      </c>
      <c r="V117" s="30">
        <f>0.0041/3.4641</f>
        <v>1.1835686036777229E-3</v>
      </c>
      <c r="W117" s="15">
        <v>1</v>
      </c>
      <c r="X117" s="30">
        <f>V117*1</f>
        <v>1.1835686036777229E-3</v>
      </c>
      <c r="Y117" s="15">
        <f>12-1</f>
        <v>11</v>
      </c>
      <c r="Z117" s="373">
        <f>0.0012^2</f>
        <v>1.4399999999999998E-6</v>
      </c>
      <c r="AA117" s="34">
        <f>(0.0012^4)/11</f>
        <v>1.8850909090909083E-13</v>
      </c>
    </row>
    <row r="118" spans="1:27" ht="18" customHeight="1">
      <c r="A118" s="735" t="s">
        <v>145</v>
      </c>
      <c r="B118" s="736"/>
      <c r="C118" s="737"/>
      <c r="D118" s="15" t="s">
        <v>24</v>
      </c>
      <c r="E118" s="15" t="s">
        <v>144</v>
      </c>
      <c r="F118" s="30">
        <f>F102</f>
        <v>0.95</v>
      </c>
      <c r="G118" s="30">
        <v>2</v>
      </c>
      <c r="H118" s="30">
        <f t="shared" ref="H118" si="33">F118/G118</f>
        <v>0.47499999999999998</v>
      </c>
      <c r="I118" s="15">
        <v>1</v>
      </c>
      <c r="J118" s="30">
        <f t="shared" si="31"/>
        <v>0.47499999999999998</v>
      </c>
      <c r="K118" s="19">
        <v>50</v>
      </c>
      <c r="L118" s="20">
        <f t="shared" ref="L118:L123" si="34">(H118*I118)^2</f>
        <v>0.22562499999999999</v>
      </c>
      <c r="M118" s="34">
        <f t="shared" si="32"/>
        <v>1.0181328124999999E-3</v>
      </c>
      <c r="O118" s="735" t="s">
        <v>145</v>
      </c>
      <c r="P118" s="736"/>
      <c r="Q118" s="737"/>
      <c r="R118" s="15" t="s">
        <v>24</v>
      </c>
      <c r="S118" s="15" t="s">
        <v>144</v>
      </c>
      <c r="T118" s="30">
        <v>0.95</v>
      </c>
      <c r="U118" s="30">
        <v>2</v>
      </c>
      <c r="V118" s="30">
        <f>0.95/2</f>
        <v>0.47499999999999998</v>
      </c>
      <c r="W118" s="15">
        <v>1</v>
      </c>
      <c r="X118" s="30">
        <f t="shared" ref="X118:X123" si="35">V118*1</f>
        <v>0.47499999999999998</v>
      </c>
      <c r="Y118" s="19">
        <v>50</v>
      </c>
      <c r="Z118" s="20">
        <f>0.475^2</f>
        <v>0.22562499999999999</v>
      </c>
      <c r="AA118" s="374">
        <f>(0.475^4)/50</f>
        <v>1.0181328124999999E-3</v>
      </c>
    </row>
    <row r="119" spans="1:27" ht="18" customHeight="1">
      <c r="A119" s="735" t="s">
        <v>146</v>
      </c>
      <c r="B119" s="736"/>
      <c r="C119" s="737"/>
      <c r="D119" s="15" t="s">
        <v>24</v>
      </c>
      <c r="E119" s="15" t="s">
        <v>147</v>
      </c>
      <c r="F119" s="30">
        <f>F118/3</f>
        <v>0.31666666666666665</v>
      </c>
      <c r="G119" s="30">
        <f>SQRT(3)</f>
        <v>1.7320508075688772</v>
      </c>
      <c r="H119" s="30">
        <f>F119/G119</f>
        <v>0.1828275852433815</v>
      </c>
      <c r="I119" s="19">
        <v>1</v>
      </c>
      <c r="J119" s="30">
        <f t="shared" si="31"/>
        <v>0.1828275852433815</v>
      </c>
      <c r="K119" s="19">
        <v>50</v>
      </c>
      <c r="L119" s="20">
        <f t="shared" si="34"/>
        <v>3.3425925925925928E-2</v>
      </c>
      <c r="M119" s="34">
        <f t="shared" si="32"/>
        <v>2.2345850480109746E-5</v>
      </c>
      <c r="O119" s="735" t="s">
        <v>146</v>
      </c>
      <c r="P119" s="736"/>
      <c r="Q119" s="737"/>
      <c r="R119" s="15" t="s">
        <v>24</v>
      </c>
      <c r="S119" s="15" t="s">
        <v>147</v>
      </c>
      <c r="T119" s="30">
        <v>0.31669999999999998</v>
      </c>
      <c r="U119" s="30">
        <f>SQRT(3)</f>
        <v>1.7320508075688772</v>
      </c>
      <c r="V119" s="30">
        <f>0.3167/1.7321</f>
        <v>0.18284163731886149</v>
      </c>
      <c r="W119" s="19">
        <v>1</v>
      </c>
      <c r="X119" s="30">
        <f t="shared" si="35"/>
        <v>0.18284163731886149</v>
      </c>
      <c r="Y119" s="19">
        <v>50</v>
      </c>
      <c r="Z119" s="20">
        <f>0.1828^2</f>
        <v>3.3415839999999995E-2</v>
      </c>
      <c r="AA119" s="374">
        <f>(0.1828^4)/50</f>
        <v>2.2332367258111992E-5</v>
      </c>
    </row>
    <row r="120" spans="1:27" ht="18" customHeight="1">
      <c r="A120" s="732" t="s">
        <v>148</v>
      </c>
      <c r="B120" s="732"/>
      <c r="C120" s="732"/>
      <c r="D120" s="15" t="s">
        <v>24</v>
      </c>
      <c r="E120" s="15" t="str">
        <f>E104</f>
        <v>Triang</v>
      </c>
      <c r="F120" s="30">
        <f>F104</f>
        <v>0.1</v>
      </c>
      <c r="G120" s="30">
        <f>G104</f>
        <v>2.4494897427831779</v>
      </c>
      <c r="H120" s="30">
        <f t="shared" ref="H120:H122" si="36">F120/G120</f>
        <v>4.0824829046386304E-2</v>
      </c>
      <c r="I120" s="15">
        <v>1</v>
      </c>
      <c r="J120" s="30">
        <f t="shared" si="31"/>
        <v>4.0824829046386304E-2</v>
      </c>
      <c r="K120" s="19">
        <v>50</v>
      </c>
      <c r="L120" s="20">
        <f t="shared" si="34"/>
        <v>1.666666666666667E-3</v>
      </c>
      <c r="M120" s="34">
        <f t="shared" si="32"/>
        <v>5.5555555555555574E-8</v>
      </c>
      <c r="O120" s="732" t="s">
        <v>148</v>
      </c>
      <c r="P120" s="732"/>
      <c r="Q120" s="732"/>
      <c r="R120" s="15" t="s">
        <v>24</v>
      </c>
      <c r="S120" s="15" t="s">
        <v>147</v>
      </c>
      <c r="T120" s="30">
        <v>0.05</v>
      </c>
      <c r="U120" s="30">
        <f>SQRT(3)</f>
        <v>1.7320508075688772</v>
      </c>
      <c r="V120" s="30">
        <f>0.05/1.7321</f>
        <v>2.8866693608914036E-2</v>
      </c>
      <c r="W120" s="15">
        <v>1</v>
      </c>
      <c r="X120" s="30">
        <f t="shared" si="35"/>
        <v>2.8866693608914036E-2</v>
      </c>
      <c r="Y120" s="19">
        <v>50</v>
      </c>
      <c r="Z120" s="20">
        <f>0.0289^2</f>
        <v>8.3520999999999997E-4</v>
      </c>
      <c r="AA120" s="375">
        <f>(0.0289^4)/50</f>
        <v>1.3951514882E-8</v>
      </c>
    </row>
    <row r="121" spans="1:27" ht="18" customHeight="1">
      <c r="A121" s="732" t="s">
        <v>149</v>
      </c>
      <c r="B121" s="732"/>
      <c r="C121" s="732"/>
      <c r="D121" s="15" t="s">
        <v>24</v>
      </c>
      <c r="E121" s="15" t="s">
        <v>147</v>
      </c>
      <c r="F121" s="30">
        <f ca="1">'DB Standar'!H48</f>
        <v>0.73496666666666677</v>
      </c>
      <c r="G121" s="30">
        <f>SQRT(3)</f>
        <v>1.7320508075688772</v>
      </c>
      <c r="H121" s="30">
        <f t="shared" ca="1" si="36"/>
        <v>0.42433320284540205</v>
      </c>
      <c r="I121" s="15">
        <v>1</v>
      </c>
      <c r="J121" s="30">
        <f t="shared" ca="1" si="31"/>
        <v>0.42433320284540205</v>
      </c>
      <c r="K121" s="19">
        <v>50</v>
      </c>
      <c r="L121" s="20">
        <f t="shared" ca="1" si="34"/>
        <v>0.18005866703703713</v>
      </c>
      <c r="M121" s="34">
        <f t="shared" ca="1" si="32"/>
        <v>6.4842247150309206E-4</v>
      </c>
      <c r="O121" s="732" t="s">
        <v>149</v>
      </c>
      <c r="P121" s="732"/>
      <c r="Q121" s="732"/>
      <c r="R121" s="15" t="s">
        <v>24</v>
      </c>
      <c r="S121" s="15" t="s">
        <v>147</v>
      </c>
      <c r="T121" s="30">
        <v>0.73499999999999999</v>
      </c>
      <c r="U121" s="30">
        <f>SQRT(3)</f>
        <v>1.7320508075688772</v>
      </c>
      <c r="V121" s="30">
        <f>0.735/1.7321</f>
        <v>0.42434039605103629</v>
      </c>
      <c r="W121" s="15">
        <v>1</v>
      </c>
      <c r="X121" s="30">
        <f t="shared" si="35"/>
        <v>0.42434039605103629</v>
      </c>
      <c r="Y121" s="19">
        <v>50</v>
      </c>
      <c r="Z121" s="20">
        <f>0.4243^2</f>
        <v>0.18003049000000002</v>
      </c>
      <c r="AA121" s="375">
        <f>(0.4243^4)/50</f>
        <v>6.4821954659280217E-4</v>
      </c>
    </row>
    <row r="122" spans="1:27" ht="18" customHeight="1">
      <c r="A122" s="735" t="s">
        <v>150</v>
      </c>
      <c r="B122" s="736"/>
      <c r="C122" s="737"/>
      <c r="D122" s="15" t="s">
        <v>24</v>
      </c>
      <c r="E122" s="15" t="s">
        <v>147</v>
      </c>
      <c r="F122" s="30">
        <f ca="1">'DB Standar'!G48</f>
        <v>0.45245000000000002</v>
      </c>
      <c r="G122" s="30">
        <f>SQRT(3)</f>
        <v>1.7320508075688772</v>
      </c>
      <c r="H122" s="30">
        <f t="shared" ca="1" si="36"/>
        <v>0.26122212929484623</v>
      </c>
      <c r="I122" s="15">
        <v>1</v>
      </c>
      <c r="J122" s="30">
        <f t="shared" ca="1" si="31"/>
        <v>0.26122212929484623</v>
      </c>
      <c r="K122" s="19">
        <v>50</v>
      </c>
      <c r="L122" s="20">
        <f t="shared" ca="1" si="34"/>
        <v>6.8237000833333367E-2</v>
      </c>
      <c r="M122" s="34">
        <f t="shared" ca="1" si="32"/>
        <v>9.312576565456678E-5</v>
      </c>
      <c r="O122" s="735" t="s">
        <v>150</v>
      </c>
      <c r="P122" s="736"/>
      <c r="Q122" s="737"/>
      <c r="R122" s="15" t="s">
        <v>24</v>
      </c>
      <c r="S122" s="15" t="s">
        <v>147</v>
      </c>
      <c r="T122" s="30">
        <v>0.45250000000000001</v>
      </c>
      <c r="U122" s="30">
        <f>SQRT(3)</f>
        <v>1.7320508075688772</v>
      </c>
      <c r="V122" s="30">
        <f>0.4525/1.7321</f>
        <v>0.26124357716067204</v>
      </c>
      <c r="W122" s="15">
        <v>1</v>
      </c>
      <c r="X122" s="30">
        <f t="shared" si="35"/>
        <v>0.26124357716067204</v>
      </c>
      <c r="Y122" s="19">
        <v>50</v>
      </c>
      <c r="Z122" s="20">
        <f>0.2612^2</f>
        <v>6.8225439999999998E-2</v>
      </c>
      <c r="AA122" s="375">
        <f>(0.0612^4)/50</f>
        <v>2.8056641587199993E-7</v>
      </c>
    </row>
    <row r="123" spans="1:27" ht="18" customHeight="1">
      <c r="A123" s="732" t="s">
        <v>156</v>
      </c>
      <c r="B123" s="732"/>
      <c r="C123" s="732"/>
      <c r="D123" s="15" t="s">
        <v>24</v>
      </c>
      <c r="E123" s="15" t="s">
        <v>147</v>
      </c>
      <c r="F123" s="30">
        <f>F107</f>
        <v>0.14999999999999858</v>
      </c>
      <c r="G123" s="30">
        <f>SQRT(3)</f>
        <v>1.7320508075688772</v>
      </c>
      <c r="H123" s="30">
        <f>F123/G123</f>
        <v>8.6602540378443046E-2</v>
      </c>
      <c r="I123" s="15">
        <v>1</v>
      </c>
      <c r="J123" s="30">
        <f t="shared" si="31"/>
        <v>8.6602540378443046E-2</v>
      </c>
      <c r="K123" s="19">
        <v>50</v>
      </c>
      <c r="L123" s="20">
        <f t="shared" si="34"/>
        <v>7.4999999999998583E-3</v>
      </c>
      <c r="M123" s="34">
        <f>(J123)^4/K123</f>
        <v>1.1249999999999575E-6</v>
      </c>
      <c r="O123" s="732" t="s">
        <v>156</v>
      </c>
      <c r="P123" s="732"/>
      <c r="Q123" s="732"/>
      <c r="R123" s="15" t="s">
        <v>24</v>
      </c>
      <c r="S123" s="15" t="s">
        <v>147</v>
      </c>
      <c r="T123" s="30">
        <v>6.6699999999999995E-2</v>
      </c>
      <c r="U123" s="30">
        <f>SQRT(3)</f>
        <v>1.7320508075688772</v>
      </c>
      <c r="V123" s="30">
        <f>0.0667/1.7321</f>
        <v>3.8508169274291321E-2</v>
      </c>
      <c r="W123" s="15">
        <v>1</v>
      </c>
      <c r="X123" s="30">
        <f t="shared" si="35"/>
        <v>3.8508169274291321E-2</v>
      </c>
      <c r="Y123" s="19">
        <v>50</v>
      </c>
      <c r="Z123" s="20">
        <f>0.0385^2</f>
        <v>1.4822500000000001E-3</v>
      </c>
      <c r="AA123" s="375">
        <f>(0.0385^4)/50</f>
        <v>4.394130125000001E-8</v>
      </c>
    </row>
    <row r="124" spans="1:27" ht="18" customHeight="1">
      <c r="A124" s="13"/>
      <c r="B124" s="13"/>
      <c r="C124" s="13"/>
      <c r="D124" s="13"/>
      <c r="E124" s="14"/>
      <c r="F124" s="13"/>
      <c r="G124" s="13"/>
      <c r="H124" s="738" t="s">
        <v>151</v>
      </c>
      <c r="I124" s="738"/>
      <c r="J124" s="738"/>
      <c r="K124" s="738"/>
      <c r="L124" s="185">
        <f ca="1">SQRT(SUM(L117:L123))</f>
        <v>0.71868953613632913</v>
      </c>
      <c r="M124" s="186">
        <f ca="1">SUM(M117:M123)</f>
        <v>1.7832074558686889E-3</v>
      </c>
      <c r="O124" s="13"/>
      <c r="P124" s="13"/>
      <c r="Q124" s="13"/>
      <c r="R124" s="13"/>
      <c r="S124" s="14"/>
      <c r="T124" s="13"/>
      <c r="U124" s="13"/>
      <c r="V124" s="738" t="s">
        <v>151</v>
      </c>
      <c r="W124" s="738"/>
      <c r="X124" s="738"/>
      <c r="Y124" s="738"/>
      <c r="Z124" s="185">
        <f>SQRT(Z117+Z118+Z119+Z120+Z121+Z122+Z123)</f>
        <v>0.71387370731803812</v>
      </c>
      <c r="AA124" s="186">
        <f>AA117+AA118+AA119+AA120+AA121+AA122+AA123</f>
        <v>1.6890231857714271E-3</v>
      </c>
    </row>
    <row r="125" spans="1:27" ht="18" customHeight="1">
      <c r="A125" s="13"/>
      <c r="B125" s="13"/>
      <c r="C125" s="13"/>
      <c r="D125" s="13"/>
      <c r="E125" s="13"/>
      <c r="F125" s="13"/>
      <c r="G125" s="13"/>
      <c r="H125" s="732" t="s">
        <v>152</v>
      </c>
      <c r="I125" s="732"/>
      <c r="J125" s="732"/>
      <c r="K125" s="732"/>
      <c r="L125" s="22"/>
      <c r="M125" s="21">
        <f ca="1">L124^4/M124</f>
        <v>149.61096204316914</v>
      </c>
      <c r="O125" s="13"/>
      <c r="P125" s="13"/>
      <c r="Q125" s="13"/>
      <c r="R125" s="13"/>
      <c r="S125" s="13"/>
      <c r="T125" s="13"/>
      <c r="U125" s="13"/>
      <c r="V125" s="732" t="s">
        <v>152</v>
      </c>
      <c r="W125" s="732"/>
      <c r="X125" s="732"/>
      <c r="Y125" s="732"/>
      <c r="Z125" s="22"/>
      <c r="AA125" s="21">
        <f>(0.7139^4)/0.00168902</f>
        <v>153.78526865478446</v>
      </c>
    </row>
    <row r="126" spans="1:27" ht="18" customHeight="1">
      <c r="A126" s="13"/>
      <c r="B126" s="13"/>
      <c r="C126" s="13"/>
      <c r="D126" s="13"/>
      <c r="E126" s="13"/>
      <c r="F126" s="13"/>
      <c r="G126" s="13"/>
      <c r="H126" s="732" t="s">
        <v>153</v>
      </c>
      <c r="I126" s="732"/>
      <c r="J126" s="732"/>
      <c r="K126" s="732"/>
      <c r="L126" s="23"/>
      <c r="M126" s="367">
        <f ca="1">1.95996+(2.37356/M125)+(2.818745/M125^2)+(2.546662/M125^3)+(1.761829/M125^4)+(0.245458/M125^5)+(1.000764/M125^6)</f>
        <v>1.9759515741875309</v>
      </c>
      <c r="O126" s="13"/>
      <c r="P126" s="13"/>
      <c r="Q126" s="13"/>
      <c r="R126" s="13"/>
      <c r="S126" s="13"/>
      <c r="T126" s="13"/>
      <c r="U126" s="13"/>
      <c r="V126" s="732" t="s">
        <v>153</v>
      </c>
      <c r="W126" s="732"/>
      <c r="X126" s="732"/>
      <c r="Y126" s="732"/>
      <c r="Z126" s="23"/>
      <c r="AA126" s="367">
        <f>1.95996+(2.37356/AA125)+(2.818745/AA125^2)+(2.546662/AA125^3)+(1.761829/AA125^4)+(0.245458/AA125^5)+(1.000764/AA125^6)</f>
        <v>1.9755141378168619</v>
      </c>
    </row>
    <row r="127" spans="1:27" ht="18" customHeight="1">
      <c r="A127" s="13"/>
      <c r="B127" s="13"/>
      <c r="C127" s="13"/>
      <c r="D127" s="13"/>
      <c r="E127" s="13"/>
      <c r="F127" s="13"/>
      <c r="G127" s="13"/>
      <c r="H127" s="733" t="s">
        <v>154</v>
      </c>
      <c r="I127" s="733"/>
      <c r="J127" s="733"/>
      <c r="K127" s="733"/>
      <c r="L127" s="24"/>
      <c r="M127" s="65">
        <f ca="1">L124*M126</f>
        <v>1.4200957202806859</v>
      </c>
      <c r="O127" s="13"/>
      <c r="P127" s="13"/>
      <c r="Q127" s="13"/>
      <c r="R127" s="13"/>
      <c r="S127" s="13"/>
      <c r="T127" s="13"/>
      <c r="U127" s="13"/>
      <c r="V127" s="733" t="s">
        <v>154</v>
      </c>
      <c r="W127" s="733"/>
      <c r="X127" s="733"/>
      <c r="Y127" s="733"/>
      <c r="Z127" s="24"/>
      <c r="AA127" s="65">
        <f>0.7139*1.98</f>
        <v>1.4135219999999999</v>
      </c>
    </row>
    <row r="128" spans="1:27" s="10" customFormat="1" ht="16.05" customHeight="1">
      <c r="A128" s="739"/>
      <c r="B128" s="739"/>
      <c r="C128" s="181"/>
      <c r="D128" s="181"/>
      <c r="E128" s="180"/>
      <c r="F128" s="180"/>
      <c r="G128" s="180"/>
      <c r="H128" s="180"/>
      <c r="I128" s="180"/>
      <c r="J128" s="180"/>
    </row>
    <row r="129" spans="1:27" ht="18" customHeight="1">
      <c r="A129" s="13" t="s">
        <v>128</v>
      </c>
      <c r="B129" s="14">
        <f>B113</f>
        <v>0.1</v>
      </c>
      <c r="C129" s="13" t="s">
        <v>24</v>
      </c>
      <c r="D129" s="14"/>
      <c r="E129" s="13"/>
      <c r="F129" s="13"/>
      <c r="G129" s="13"/>
      <c r="H129" s="13"/>
      <c r="I129" s="13"/>
      <c r="J129" s="13"/>
      <c r="K129" s="13"/>
      <c r="L129" s="13"/>
      <c r="M129" s="13"/>
    </row>
    <row r="130" spans="1:27" ht="18" customHeight="1">
      <c r="A130" s="13" t="s">
        <v>130</v>
      </c>
      <c r="B130" s="14">
        <f>ID!B79</f>
        <v>70</v>
      </c>
      <c r="C130" s="13" t="s">
        <v>24</v>
      </c>
      <c r="D130" s="13"/>
      <c r="E130" s="13"/>
      <c r="F130" s="13"/>
      <c r="G130" s="13"/>
      <c r="H130" s="13"/>
      <c r="I130" s="18"/>
      <c r="J130" s="13"/>
      <c r="K130" s="13"/>
      <c r="L130" s="13"/>
      <c r="M130" s="13"/>
    </row>
    <row r="131" spans="1:27" ht="18" customHeight="1">
      <c r="A131" s="734" t="s">
        <v>131</v>
      </c>
      <c r="B131" s="734"/>
      <c r="C131" s="734"/>
      <c r="D131" s="734" t="s">
        <v>132</v>
      </c>
      <c r="E131" s="734" t="s">
        <v>133</v>
      </c>
      <c r="F131" s="734" t="s">
        <v>134</v>
      </c>
      <c r="G131" s="734" t="s">
        <v>135</v>
      </c>
      <c r="H131" s="734" t="s">
        <v>136</v>
      </c>
      <c r="I131" s="734" t="s">
        <v>137</v>
      </c>
      <c r="J131" s="734" t="s">
        <v>138</v>
      </c>
      <c r="K131" s="734" t="s">
        <v>139</v>
      </c>
      <c r="L131" s="734" t="s">
        <v>140</v>
      </c>
      <c r="M131" s="734" t="s">
        <v>141</v>
      </c>
      <c r="O131" s="734" t="s">
        <v>131</v>
      </c>
      <c r="P131" s="734"/>
      <c r="Q131" s="734"/>
      <c r="R131" s="734" t="s">
        <v>132</v>
      </c>
      <c r="S131" s="734" t="s">
        <v>133</v>
      </c>
      <c r="T131" s="734" t="s">
        <v>134</v>
      </c>
      <c r="U131" s="734" t="s">
        <v>135</v>
      </c>
      <c r="V131" s="734" t="s">
        <v>136</v>
      </c>
      <c r="W131" s="734" t="s">
        <v>137</v>
      </c>
      <c r="X131" s="734" t="s">
        <v>138</v>
      </c>
      <c r="Y131" s="734" t="s">
        <v>139</v>
      </c>
      <c r="Z131" s="734" t="s">
        <v>140</v>
      </c>
      <c r="AA131" s="734" t="s">
        <v>141</v>
      </c>
    </row>
    <row r="132" spans="1:27" ht="18" customHeight="1">
      <c r="A132" s="734"/>
      <c r="B132" s="734"/>
      <c r="C132" s="734"/>
      <c r="D132" s="734"/>
      <c r="E132" s="734"/>
      <c r="F132" s="734"/>
      <c r="G132" s="734"/>
      <c r="H132" s="734"/>
      <c r="I132" s="734"/>
      <c r="J132" s="734"/>
      <c r="K132" s="734"/>
      <c r="L132" s="734"/>
      <c r="M132" s="734"/>
      <c r="O132" s="734"/>
      <c r="P132" s="734"/>
      <c r="Q132" s="734"/>
      <c r="R132" s="734"/>
      <c r="S132" s="734"/>
      <c r="T132" s="734"/>
      <c r="U132" s="734"/>
      <c r="V132" s="734"/>
      <c r="W132" s="734"/>
      <c r="X132" s="734"/>
      <c r="Y132" s="734"/>
      <c r="Z132" s="734"/>
      <c r="AA132" s="734"/>
    </row>
    <row r="133" spans="1:27" ht="18" customHeight="1">
      <c r="A133" s="31" t="s">
        <v>142</v>
      </c>
      <c r="B133" s="32"/>
      <c r="C133" s="33"/>
      <c r="D133" s="15" t="s">
        <v>24</v>
      </c>
      <c r="E133" s="15" t="s">
        <v>144</v>
      </c>
      <c r="F133" s="30">
        <f>ID!M79</f>
        <v>5.1639777949458645E-3</v>
      </c>
      <c r="G133" s="30">
        <f>SQRT(12)</f>
        <v>3.4641016151377544</v>
      </c>
      <c r="H133" s="30">
        <f>F133/G133</f>
        <v>1.4907119850006225E-3</v>
      </c>
      <c r="I133" s="15">
        <v>1</v>
      </c>
      <c r="J133" s="30">
        <f t="shared" ref="J133:J139" si="37">H133*I133</f>
        <v>1.4907119850006225E-3</v>
      </c>
      <c r="K133" s="15">
        <f>12-1</f>
        <v>11</v>
      </c>
      <c r="L133" s="20">
        <f>J133^2</f>
        <v>2.2222222222244964E-6</v>
      </c>
      <c r="M133" s="371">
        <f t="shared" ref="M133:M138" si="38">(J133)^4/K133</f>
        <v>4.4893378226803446E-13</v>
      </c>
      <c r="O133" s="369" t="s">
        <v>142</v>
      </c>
      <c r="P133" s="32"/>
      <c r="Q133" s="33"/>
      <c r="R133" s="15" t="s">
        <v>24</v>
      </c>
      <c r="S133" s="15" t="s">
        <v>144</v>
      </c>
      <c r="T133" s="30">
        <v>2.0400000000000001E-2</v>
      </c>
      <c r="U133" s="30">
        <f>SQRT(12)</f>
        <v>3.4641016151377544</v>
      </c>
      <c r="V133" s="30">
        <f>0.0204/3.4641</f>
        <v>5.8889754914696456E-3</v>
      </c>
      <c r="W133" s="15">
        <v>1</v>
      </c>
      <c r="X133" s="30">
        <f>V133*1</f>
        <v>5.8889754914696456E-3</v>
      </c>
      <c r="Y133" s="15">
        <f>12-1</f>
        <v>11</v>
      </c>
      <c r="Z133" s="20">
        <f>0.0059^2</f>
        <v>3.481E-5</v>
      </c>
      <c r="AA133" s="371">
        <f>(0.0059^4)/11</f>
        <v>1.1015782727272727E-10</v>
      </c>
    </row>
    <row r="134" spans="1:27" ht="18" customHeight="1">
      <c r="A134" s="735" t="s">
        <v>145</v>
      </c>
      <c r="B134" s="736"/>
      <c r="C134" s="737"/>
      <c r="D134" s="15" t="s">
        <v>24</v>
      </c>
      <c r="E134" s="15" t="s">
        <v>144</v>
      </c>
      <c r="F134" s="30">
        <f>F118</f>
        <v>0.95</v>
      </c>
      <c r="G134" s="30">
        <v>2</v>
      </c>
      <c r="H134" s="30">
        <f t="shared" ref="H134" si="39">F134/G134</f>
        <v>0.47499999999999998</v>
      </c>
      <c r="I134" s="15">
        <v>1</v>
      </c>
      <c r="J134" s="30">
        <f t="shared" si="37"/>
        <v>0.47499999999999998</v>
      </c>
      <c r="K134" s="19">
        <v>50</v>
      </c>
      <c r="L134" s="20">
        <f t="shared" ref="L134:L139" si="40">(H134*I134)^2</f>
        <v>0.22562499999999999</v>
      </c>
      <c r="M134" s="371">
        <f t="shared" si="38"/>
        <v>1.0181328124999999E-3</v>
      </c>
      <c r="O134" s="735" t="s">
        <v>145</v>
      </c>
      <c r="P134" s="736"/>
      <c r="Q134" s="737"/>
      <c r="R134" s="15" t="s">
        <v>24</v>
      </c>
      <c r="S134" s="15" t="s">
        <v>144</v>
      </c>
      <c r="T134" s="30">
        <v>0.95</v>
      </c>
      <c r="U134" s="30">
        <v>2</v>
      </c>
      <c r="V134" s="30">
        <f>0.95/2</f>
        <v>0.47499999999999998</v>
      </c>
      <c r="W134" s="15">
        <v>1</v>
      </c>
      <c r="X134" s="30">
        <f t="shared" ref="X134:X139" si="41">V134*1</f>
        <v>0.47499999999999998</v>
      </c>
      <c r="Y134" s="19">
        <v>50</v>
      </c>
      <c r="Z134" s="20">
        <f>0.475^2</f>
        <v>0.22562499999999999</v>
      </c>
      <c r="AA134" s="374">
        <f>(0.475^4)/50</f>
        <v>1.0181328124999999E-3</v>
      </c>
    </row>
    <row r="135" spans="1:27" ht="18" customHeight="1">
      <c r="A135" s="735" t="s">
        <v>146</v>
      </c>
      <c r="B135" s="736"/>
      <c r="C135" s="737"/>
      <c r="D135" s="15" t="s">
        <v>24</v>
      </c>
      <c r="E135" s="15" t="s">
        <v>147</v>
      </c>
      <c r="F135" s="30">
        <f>F134/3</f>
        <v>0.31666666666666665</v>
      </c>
      <c r="G135" s="30">
        <f>SQRT(3)</f>
        <v>1.7320508075688772</v>
      </c>
      <c r="H135" s="30">
        <f>F135/G135</f>
        <v>0.1828275852433815</v>
      </c>
      <c r="I135" s="19">
        <v>1</v>
      </c>
      <c r="J135" s="30">
        <f t="shared" si="37"/>
        <v>0.1828275852433815</v>
      </c>
      <c r="K135" s="19">
        <v>50</v>
      </c>
      <c r="L135" s="20">
        <f t="shared" si="40"/>
        <v>3.3425925925925928E-2</v>
      </c>
      <c r="M135" s="371">
        <f t="shared" si="38"/>
        <v>2.2345850480109746E-5</v>
      </c>
      <c r="O135" s="735" t="s">
        <v>146</v>
      </c>
      <c r="P135" s="736"/>
      <c r="Q135" s="737"/>
      <c r="R135" s="15" t="s">
        <v>24</v>
      </c>
      <c r="S135" s="15" t="s">
        <v>147</v>
      </c>
      <c r="T135" s="30">
        <v>0.31669999999999998</v>
      </c>
      <c r="U135" s="30">
        <f>SQRT(3)</f>
        <v>1.7320508075688772</v>
      </c>
      <c r="V135" s="30">
        <f>0.3167/1.7321</f>
        <v>0.18284163731886149</v>
      </c>
      <c r="W135" s="19">
        <v>1</v>
      </c>
      <c r="X135" s="30">
        <f t="shared" si="41"/>
        <v>0.18284163731886149</v>
      </c>
      <c r="Y135" s="19">
        <v>50</v>
      </c>
      <c r="Z135" s="20">
        <f>0.1828^2</f>
        <v>3.3415839999999995E-2</v>
      </c>
      <c r="AA135" s="374">
        <f>(0.1828^4)/50</f>
        <v>2.2332367258111992E-5</v>
      </c>
    </row>
    <row r="136" spans="1:27" ht="18" customHeight="1">
      <c r="A136" s="732" t="s">
        <v>148</v>
      </c>
      <c r="B136" s="732"/>
      <c r="C136" s="732"/>
      <c r="D136" s="15" t="s">
        <v>24</v>
      </c>
      <c r="E136" s="15" t="str">
        <f>E120</f>
        <v>Triang</v>
      </c>
      <c r="F136" s="30">
        <f>F120</f>
        <v>0.1</v>
      </c>
      <c r="G136" s="30">
        <f>G120</f>
        <v>2.4494897427831779</v>
      </c>
      <c r="H136" s="30">
        <f t="shared" ref="H136:H138" si="42">F136/G136</f>
        <v>4.0824829046386304E-2</v>
      </c>
      <c r="I136" s="15">
        <v>1</v>
      </c>
      <c r="J136" s="30">
        <f t="shared" si="37"/>
        <v>4.0824829046386304E-2</v>
      </c>
      <c r="K136" s="19">
        <v>50</v>
      </c>
      <c r="L136" s="20">
        <f t="shared" si="40"/>
        <v>1.666666666666667E-3</v>
      </c>
      <c r="M136" s="371">
        <f t="shared" si="38"/>
        <v>5.5555555555555574E-8</v>
      </c>
      <c r="O136" s="732" t="s">
        <v>148</v>
      </c>
      <c r="P136" s="732"/>
      <c r="Q136" s="732"/>
      <c r="R136" s="15" t="s">
        <v>24</v>
      </c>
      <c r="S136" s="15" t="s">
        <v>147</v>
      </c>
      <c r="T136" s="30">
        <v>0.05</v>
      </c>
      <c r="U136" s="30">
        <f>SQRT(3)</f>
        <v>1.7320508075688772</v>
      </c>
      <c r="V136" s="30">
        <f>0.05/1.7321</f>
        <v>2.8866693608914036E-2</v>
      </c>
      <c r="W136" s="15">
        <v>1</v>
      </c>
      <c r="X136" s="30">
        <f t="shared" si="41"/>
        <v>2.8866693608914036E-2</v>
      </c>
      <c r="Y136" s="19">
        <v>50</v>
      </c>
      <c r="Z136" s="20">
        <f>0.0289^2</f>
        <v>8.3520999999999997E-4</v>
      </c>
      <c r="AA136" s="375">
        <f>(0.0289^4)/50</f>
        <v>1.3951514882E-8</v>
      </c>
    </row>
    <row r="137" spans="1:27" ht="18" customHeight="1">
      <c r="A137" s="732" t="s">
        <v>149</v>
      </c>
      <c r="B137" s="732"/>
      <c r="C137" s="732"/>
      <c r="D137" s="15" t="s">
        <v>24</v>
      </c>
      <c r="E137" s="15" t="s">
        <v>147</v>
      </c>
      <c r="F137" s="30">
        <f ca="1">'DB Standar'!H49</f>
        <v>0.92166666666666663</v>
      </c>
      <c r="G137" s="30">
        <f>SQRT(3)</f>
        <v>1.7320508075688772</v>
      </c>
      <c r="H137" s="30">
        <f t="shared" ca="1" si="42"/>
        <v>0.53212449810310514</v>
      </c>
      <c r="I137" s="15">
        <v>1</v>
      </c>
      <c r="J137" s="30">
        <f t="shared" ca="1" si="37"/>
        <v>0.53212449810310514</v>
      </c>
      <c r="K137" s="19">
        <v>50</v>
      </c>
      <c r="L137" s="20">
        <f t="shared" ca="1" si="40"/>
        <v>0.28315648148148154</v>
      </c>
      <c r="M137" s="371">
        <f t="shared" ca="1" si="38"/>
        <v>1.6035518600994519E-3</v>
      </c>
      <c r="O137" s="732" t="s">
        <v>149</v>
      </c>
      <c r="P137" s="732"/>
      <c r="Q137" s="732"/>
      <c r="R137" s="15" t="s">
        <v>24</v>
      </c>
      <c r="S137" s="15" t="s">
        <v>147</v>
      </c>
      <c r="T137" s="30">
        <v>0.86780000000000002</v>
      </c>
      <c r="U137" s="30">
        <f>SQRT(3)</f>
        <v>1.7320508075688772</v>
      </c>
      <c r="V137" s="30">
        <f>0.8678/1.7321</f>
        <v>0.50101033427631203</v>
      </c>
      <c r="W137" s="15">
        <v>1</v>
      </c>
      <c r="X137" s="30">
        <f t="shared" si="41"/>
        <v>0.50101033427631203</v>
      </c>
      <c r="Y137" s="19">
        <v>50</v>
      </c>
      <c r="Z137" s="20">
        <f>0.501^2</f>
        <v>0.25100099999999997</v>
      </c>
      <c r="AA137" s="375">
        <f>(0.501^4)/50</f>
        <v>1.2600300400199998E-3</v>
      </c>
    </row>
    <row r="138" spans="1:27" ht="18" customHeight="1">
      <c r="A138" s="735" t="s">
        <v>150</v>
      </c>
      <c r="B138" s="736"/>
      <c r="C138" s="737"/>
      <c r="D138" s="15" t="s">
        <v>24</v>
      </c>
      <c r="E138" s="15" t="s">
        <v>147</v>
      </c>
      <c r="F138" s="30">
        <f ca="1">'DB Standar'!G49</f>
        <v>0.73249999999999993</v>
      </c>
      <c r="G138" s="30">
        <f>SQRT(3)</f>
        <v>1.7320508075688772</v>
      </c>
      <c r="H138" s="30">
        <f t="shared" ca="1" si="42"/>
        <v>0.42290907218140084</v>
      </c>
      <c r="I138" s="15">
        <v>1</v>
      </c>
      <c r="J138" s="30">
        <f t="shared" ca="1" si="37"/>
        <v>0.42290907218140084</v>
      </c>
      <c r="K138" s="19">
        <v>50</v>
      </c>
      <c r="L138" s="20">
        <f t="shared" ca="1" si="40"/>
        <v>0.1788520833333333</v>
      </c>
      <c r="M138" s="371">
        <f t="shared" ca="1" si="38"/>
        <v>6.3976135425347202E-4</v>
      </c>
      <c r="O138" s="735" t="s">
        <v>150</v>
      </c>
      <c r="P138" s="736"/>
      <c r="Q138" s="737"/>
      <c r="R138" s="15" t="s">
        <v>24</v>
      </c>
      <c r="S138" s="15" t="s">
        <v>147</v>
      </c>
      <c r="T138" s="30">
        <v>0.67490000000000006</v>
      </c>
      <c r="U138" s="30">
        <f>SQRT(3)</f>
        <v>1.7320508075688772</v>
      </c>
      <c r="V138" s="30">
        <f>0.6749/1.7321</f>
        <v>0.38964263033312169</v>
      </c>
      <c r="W138" s="15">
        <v>1</v>
      </c>
      <c r="X138" s="30">
        <f t="shared" si="41"/>
        <v>0.38964263033312169</v>
      </c>
      <c r="Y138" s="19">
        <v>50</v>
      </c>
      <c r="Z138" s="20">
        <f>0.3896^2</f>
        <v>0.15178816000000001</v>
      </c>
      <c r="AA138" s="375">
        <f>(0.3986^4)/50</f>
        <v>5.0486954426883206E-4</v>
      </c>
    </row>
    <row r="139" spans="1:27" ht="18" customHeight="1">
      <c r="A139" s="732" t="s">
        <v>156</v>
      </c>
      <c r="B139" s="732"/>
      <c r="C139" s="732"/>
      <c r="D139" s="15" t="s">
        <v>24</v>
      </c>
      <c r="E139" s="15" t="s">
        <v>147</v>
      </c>
      <c r="F139" s="30">
        <f>F123</f>
        <v>0.14999999999999858</v>
      </c>
      <c r="G139" s="30">
        <f>SQRT(3)</f>
        <v>1.7320508075688772</v>
      </c>
      <c r="H139" s="30">
        <f>F139/G139</f>
        <v>8.6602540378443046E-2</v>
      </c>
      <c r="I139" s="15">
        <v>1</v>
      </c>
      <c r="J139" s="30">
        <f t="shared" si="37"/>
        <v>8.6602540378443046E-2</v>
      </c>
      <c r="K139" s="19">
        <v>50</v>
      </c>
      <c r="L139" s="20">
        <f t="shared" si="40"/>
        <v>7.4999999999998583E-3</v>
      </c>
      <c r="M139" s="371">
        <f>(J139)^4/K139</f>
        <v>1.1249999999999575E-6</v>
      </c>
      <c r="O139" s="732" t="s">
        <v>156</v>
      </c>
      <c r="P139" s="732"/>
      <c r="Q139" s="732"/>
      <c r="R139" s="15" t="s">
        <v>24</v>
      </c>
      <c r="S139" s="15" t="s">
        <v>147</v>
      </c>
      <c r="T139" s="30">
        <v>6.6699999999999995E-2</v>
      </c>
      <c r="U139" s="30">
        <f>SQRT(3)</f>
        <v>1.7320508075688772</v>
      </c>
      <c r="V139" s="30">
        <f>0.0667/1.7321</f>
        <v>3.8508169274291321E-2</v>
      </c>
      <c r="W139" s="15">
        <v>1</v>
      </c>
      <c r="X139" s="30">
        <f t="shared" si="41"/>
        <v>3.8508169274291321E-2</v>
      </c>
      <c r="Y139" s="19">
        <v>50</v>
      </c>
      <c r="Z139" s="20">
        <f>0.0385^2</f>
        <v>1.4822500000000001E-3</v>
      </c>
      <c r="AA139" s="375">
        <f>(0.0385^4)/50</f>
        <v>4.394130125000001E-8</v>
      </c>
    </row>
    <row r="140" spans="1:27" ht="18" customHeight="1">
      <c r="A140" s="13"/>
      <c r="B140" s="13"/>
      <c r="C140" s="13"/>
      <c r="D140" s="13"/>
      <c r="E140" s="14"/>
      <c r="F140" s="13"/>
      <c r="G140" s="13"/>
      <c r="H140" s="738" t="s">
        <v>151</v>
      </c>
      <c r="I140" s="738"/>
      <c r="J140" s="738"/>
      <c r="K140" s="738"/>
      <c r="L140" s="185">
        <f ca="1">SQRT(SUM(L133:L139))</f>
        <v>0.85453401314964028</v>
      </c>
      <c r="M140" s="186">
        <f ca="1">SUM(M133:M139)</f>
        <v>3.2849724333375231E-3</v>
      </c>
      <c r="O140" s="13"/>
      <c r="P140" s="13"/>
      <c r="Q140" s="13"/>
      <c r="R140" s="13"/>
      <c r="S140" s="14"/>
      <c r="T140" s="13"/>
      <c r="U140" s="13"/>
      <c r="V140" s="738" t="s">
        <v>151</v>
      </c>
      <c r="W140" s="738"/>
      <c r="X140" s="738"/>
      <c r="Y140" s="738"/>
      <c r="Z140" s="185">
        <f>SQRT(Z133+Z134+Z135+Z136+Z137+Z138+Z139)</f>
        <v>0.81497378485445771</v>
      </c>
      <c r="AA140" s="186">
        <f>AA139+AA138+AA137+AA136+AA135+AA134+AA133</f>
        <v>2.8054227670209031E-3</v>
      </c>
    </row>
    <row r="141" spans="1:27" ht="18" customHeight="1">
      <c r="A141" s="13"/>
      <c r="B141" s="13"/>
      <c r="C141" s="13"/>
      <c r="D141" s="13"/>
      <c r="E141" s="13"/>
      <c r="F141" s="13"/>
      <c r="G141" s="13"/>
      <c r="H141" s="732" t="s">
        <v>152</v>
      </c>
      <c r="I141" s="732"/>
      <c r="J141" s="732"/>
      <c r="K141" s="732"/>
      <c r="L141" s="22"/>
      <c r="M141" s="21">
        <f ca="1">L140^4/M140</f>
        <v>162.32510233723656</v>
      </c>
      <c r="O141" s="13"/>
      <c r="P141" s="13"/>
      <c r="Q141" s="13"/>
      <c r="R141" s="13"/>
      <c r="S141" s="13"/>
      <c r="T141" s="13"/>
      <c r="U141" s="13"/>
      <c r="V141" s="732" t="s">
        <v>152</v>
      </c>
      <c r="W141" s="732"/>
      <c r="X141" s="732"/>
      <c r="Y141" s="732"/>
      <c r="Z141" s="22"/>
      <c r="AA141" s="21">
        <f>(0.815^4)/0.00280542</f>
        <v>157.26516907450576</v>
      </c>
    </row>
    <row r="142" spans="1:27" ht="18" customHeight="1">
      <c r="A142" s="13"/>
      <c r="B142" s="13"/>
      <c r="C142" s="13"/>
      <c r="D142" s="13"/>
      <c r="E142" s="13"/>
      <c r="F142" s="13"/>
      <c r="G142" s="13"/>
      <c r="H142" s="732" t="s">
        <v>153</v>
      </c>
      <c r="I142" s="732"/>
      <c r="J142" s="732"/>
      <c r="K142" s="732"/>
      <c r="L142" s="23"/>
      <c r="M142" s="367">
        <f ca="1">1.95996+(2.37356/M141)+(2.818745/M141^2)+(2.546662/M141^3)+(1.761829/M141^4)+(0.245458/M141^5)+(1.000764/M141^6)</f>
        <v>1.9746898343887087</v>
      </c>
      <c r="O142" s="13"/>
      <c r="P142" s="13"/>
      <c r="Q142" s="13"/>
      <c r="R142" s="13"/>
      <c r="S142" s="13"/>
      <c r="T142" s="13"/>
      <c r="U142" s="13"/>
      <c r="V142" s="732" t="s">
        <v>153</v>
      </c>
      <c r="W142" s="732"/>
      <c r="X142" s="732"/>
      <c r="Y142" s="732"/>
      <c r="Z142" s="23"/>
      <c r="AA142" s="367">
        <f>1.95996+(2.37356/AA141)+(2.818745/AA141^2)+(2.546662/AA141^3)+(1.761829/AA141^4)+(0.245458/AA141^5)+(1.000764/AA141^6)</f>
        <v>1.9751673529938154</v>
      </c>
    </row>
    <row r="143" spans="1:27" ht="18" customHeight="1">
      <c r="A143" s="13"/>
      <c r="B143" s="13"/>
      <c r="C143" s="13"/>
      <c r="D143" s="13"/>
      <c r="E143" s="13"/>
      <c r="F143" s="13"/>
      <c r="G143" s="13"/>
      <c r="H143" s="733" t="s">
        <v>154</v>
      </c>
      <c r="I143" s="733"/>
      <c r="J143" s="733"/>
      <c r="K143" s="733"/>
      <c r="L143" s="24"/>
      <c r="M143" s="65">
        <f ca="1">L140*M142</f>
        <v>1.6874396289059819</v>
      </c>
      <c r="O143" s="13"/>
      <c r="P143" s="13"/>
      <c r="Q143" s="13"/>
      <c r="R143" s="13"/>
      <c r="S143" s="13"/>
      <c r="T143" s="13"/>
      <c r="U143" s="13"/>
      <c r="V143" s="733" t="s">
        <v>154</v>
      </c>
      <c r="W143" s="733"/>
      <c r="X143" s="733"/>
      <c r="Y143" s="733"/>
      <c r="Z143" s="24"/>
      <c r="AA143" s="65">
        <f>0.815*1.998</f>
        <v>1.6283699999999999</v>
      </c>
    </row>
    <row r="144" spans="1:27" s="10" customFormat="1" ht="16.05" customHeight="1">
      <c r="A144" s="739"/>
      <c r="B144" s="739"/>
      <c r="C144" s="181"/>
      <c r="D144" s="181"/>
      <c r="E144" s="180"/>
      <c r="F144" s="180"/>
      <c r="G144" s="180"/>
      <c r="H144" s="180"/>
      <c r="I144" s="180"/>
      <c r="J144" s="180"/>
    </row>
    <row r="145" spans="1:27" s="10" customFormat="1" ht="16.05" customHeight="1">
      <c r="A145" s="739"/>
      <c r="B145" s="739"/>
      <c r="C145" s="181"/>
      <c r="D145" s="181"/>
      <c r="E145" s="180"/>
      <c r="F145" s="180"/>
      <c r="G145" s="180"/>
      <c r="H145" s="180"/>
      <c r="I145" s="180"/>
      <c r="J145" s="180"/>
    </row>
    <row r="146" spans="1:27" s="169" customFormat="1" ht="16.05" customHeight="1">
      <c r="A146" s="745" t="s">
        <v>157</v>
      </c>
      <c r="B146" s="745"/>
      <c r="C146" s="745"/>
      <c r="D146" s="745"/>
      <c r="E146" s="745"/>
      <c r="F146" s="745"/>
      <c r="G146" s="745"/>
      <c r="H146" s="745"/>
      <c r="I146" s="745"/>
      <c r="J146" s="745"/>
      <c r="K146" s="745"/>
      <c r="L146" s="745"/>
      <c r="M146" s="745"/>
    </row>
    <row r="147" spans="1:27" s="10" customFormat="1" ht="16.05" customHeight="1">
      <c r="A147" s="740"/>
      <c r="B147" s="740"/>
      <c r="C147" s="12"/>
      <c r="D147" s="12"/>
      <c r="E147" s="12"/>
      <c r="F147" s="12"/>
      <c r="G147" s="12"/>
      <c r="H147" s="12"/>
      <c r="I147" s="12"/>
      <c r="J147" s="12"/>
      <c r="L147" s="12"/>
      <c r="M147" s="12"/>
      <c r="N147" s="12"/>
    </row>
    <row r="148" spans="1:27" ht="18" customHeight="1">
      <c r="A148" s="13" t="s">
        <v>128</v>
      </c>
      <c r="B148" s="14">
        <f>B129</f>
        <v>0.1</v>
      </c>
      <c r="C148" s="13" t="s">
        <v>24</v>
      </c>
      <c r="D148" s="14"/>
      <c r="E148" s="13"/>
      <c r="F148" s="13"/>
      <c r="G148" s="13"/>
      <c r="H148" s="13"/>
      <c r="I148" s="13"/>
      <c r="J148" s="13"/>
      <c r="K148" s="13"/>
      <c r="L148" s="13"/>
      <c r="M148" s="13"/>
    </row>
    <row r="149" spans="1:27" ht="18" customHeight="1">
      <c r="A149" s="13" t="s">
        <v>130</v>
      </c>
      <c r="B149" s="14">
        <f>ID!B58</f>
        <v>40</v>
      </c>
      <c r="C149" s="13" t="s">
        <v>24</v>
      </c>
      <c r="D149" s="13"/>
      <c r="E149" s="13"/>
      <c r="F149" s="13"/>
      <c r="G149" s="13"/>
      <c r="H149" s="13"/>
      <c r="I149" s="18"/>
      <c r="J149" s="13"/>
      <c r="K149" s="13"/>
      <c r="L149" s="13"/>
      <c r="M149" s="13"/>
    </row>
    <row r="150" spans="1:27" ht="18" customHeight="1">
      <c r="A150" s="734" t="s">
        <v>131</v>
      </c>
      <c r="B150" s="734"/>
      <c r="C150" s="734"/>
      <c r="D150" s="734" t="s">
        <v>132</v>
      </c>
      <c r="E150" s="734" t="s">
        <v>133</v>
      </c>
      <c r="F150" s="734" t="s">
        <v>134</v>
      </c>
      <c r="G150" s="734" t="s">
        <v>135</v>
      </c>
      <c r="H150" s="734" t="s">
        <v>136</v>
      </c>
      <c r="I150" s="734" t="s">
        <v>137</v>
      </c>
      <c r="J150" s="734" t="s">
        <v>138</v>
      </c>
      <c r="K150" s="734" t="s">
        <v>139</v>
      </c>
      <c r="L150" s="734" t="s">
        <v>140</v>
      </c>
      <c r="M150" s="734" t="s">
        <v>141</v>
      </c>
      <c r="O150" s="734" t="s">
        <v>131</v>
      </c>
      <c r="P150" s="734"/>
      <c r="Q150" s="734"/>
      <c r="R150" s="734" t="s">
        <v>132</v>
      </c>
      <c r="S150" s="734" t="s">
        <v>133</v>
      </c>
      <c r="T150" s="734" t="s">
        <v>134</v>
      </c>
      <c r="U150" s="734" t="s">
        <v>135</v>
      </c>
      <c r="V150" s="734" t="s">
        <v>136</v>
      </c>
      <c r="W150" s="734" t="s">
        <v>137</v>
      </c>
      <c r="X150" s="734" t="s">
        <v>138</v>
      </c>
      <c r="Y150" s="734" t="s">
        <v>139</v>
      </c>
      <c r="Z150" s="734" t="s">
        <v>140</v>
      </c>
      <c r="AA150" s="734" t="s">
        <v>141</v>
      </c>
    </row>
    <row r="151" spans="1:27" ht="18" customHeight="1">
      <c r="A151" s="734"/>
      <c r="B151" s="734"/>
      <c r="C151" s="734"/>
      <c r="D151" s="734"/>
      <c r="E151" s="734"/>
      <c r="F151" s="734"/>
      <c r="G151" s="734"/>
      <c r="H151" s="734"/>
      <c r="I151" s="734"/>
      <c r="J151" s="734"/>
      <c r="K151" s="734"/>
      <c r="L151" s="734"/>
      <c r="M151" s="734"/>
      <c r="O151" s="734"/>
      <c r="P151" s="734"/>
      <c r="Q151" s="734"/>
      <c r="R151" s="734"/>
      <c r="S151" s="734"/>
      <c r="T151" s="734"/>
      <c r="U151" s="734"/>
      <c r="V151" s="734"/>
      <c r="W151" s="734"/>
      <c r="X151" s="734"/>
      <c r="Y151" s="734"/>
      <c r="Z151" s="734"/>
      <c r="AA151" s="734"/>
    </row>
    <row r="152" spans="1:27" ht="18" customHeight="1">
      <c r="A152" s="31" t="s">
        <v>142</v>
      </c>
      <c r="B152" s="32"/>
      <c r="C152" s="33"/>
      <c r="D152" s="15" t="s">
        <v>24</v>
      </c>
      <c r="E152" s="15" t="s">
        <v>144</v>
      </c>
      <c r="F152" s="30">
        <f>ID!M60</f>
        <v>1.032795558988806E-2</v>
      </c>
      <c r="G152" s="30">
        <f>SQRT(12)</f>
        <v>3.4641016151377544</v>
      </c>
      <c r="H152" s="30">
        <f>F152/G152</f>
        <v>2.981423970000186E-3</v>
      </c>
      <c r="I152" s="15">
        <v>1</v>
      </c>
      <c r="J152" s="30">
        <f t="shared" ref="J152:J158" si="43">H152*I152</f>
        <v>2.981423970000186E-3</v>
      </c>
      <c r="K152" s="15">
        <f>12-1</f>
        <v>11</v>
      </c>
      <c r="L152" s="20">
        <f>J152^2</f>
        <v>8.88888888889167E-6</v>
      </c>
      <c r="M152" s="34">
        <f t="shared" ref="M152:M157" si="44">(J152)^4/K152</f>
        <v>7.1829405162783441E-12</v>
      </c>
      <c r="O152" s="369" t="s">
        <v>142</v>
      </c>
      <c r="P152" s="32"/>
      <c r="Q152" s="33"/>
      <c r="R152" s="15" t="s">
        <v>24</v>
      </c>
      <c r="S152" s="15" t="s">
        <v>144</v>
      </c>
      <c r="T152" s="30">
        <v>1.03E-2</v>
      </c>
      <c r="U152" s="30">
        <f>SQRT(12)</f>
        <v>3.4641016151377544</v>
      </c>
      <c r="V152" s="30">
        <f>0.0103/3.4641</f>
        <v>2.9733552726537915E-3</v>
      </c>
      <c r="W152" s="15">
        <v>1</v>
      </c>
      <c r="X152" s="30">
        <f>V152*1</f>
        <v>2.9733552726537915E-3</v>
      </c>
      <c r="Y152" s="15">
        <f>12-1</f>
        <v>11</v>
      </c>
      <c r="Z152" s="20">
        <f>(0.003^2)</f>
        <v>9.0000000000000002E-6</v>
      </c>
      <c r="AA152" s="34">
        <f>(0.003^4)/11</f>
        <v>7.3636363636363646E-12</v>
      </c>
    </row>
    <row r="153" spans="1:27" ht="18" customHeight="1">
      <c r="A153" s="735" t="s">
        <v>145</v>
      </c>
      <c r="B153" s="736"/>
      <c r="C153" s="737"/>
      <c r="D153" s="15" t="s">
        <v>24</v>
      </c>
      <c r="E153" s="15" t="s">
        <v>144</v>
      </c>
      <c r="F153" s="30">
        <f>F80</f>
        <v>0.95</v>
      </c>
      <c r="G153" s="30">
        <v>2</v>
      </c>
      <c r="H153" s="30">
        <f t="shared" ref="H153" si="45">F153/G153</f>
        <v>0.47499999999999998</v>
      </c>
      <c r="I153" s="15">
        <v>1</v>
      </c>
      <c r="J153" s="30">
        <f t="shared" si="43"/>
        <v>0.47499999999999998</v>
      </c>
      <c r="K153" s="19">
        <v>50</v>
      </c>
      <c r="L153" s="20">
        <f t="shared" ref="L153:L158" si="46">(H153*I153)^2</f>
        <v>0.22562499999999999</v>
      </c>
      <c r="M153" s="34">
        <f t="shared" si="44"/>
        <v>1.0181328124999999E-3</v>
      </c>
      <c r="O153" s="735" t="s">
        <v>145</v>
      </c>
      <c r="P153" s="736"/>
      <c r="Q153" s="737"/>
      <c r="R153" s="15" t="s">
        <v>24</v>
      </c>
      <c r="S153" s="15" t="s">
        <v>144</v>
      </c>
      <c r="T153" s="30">
        <v>0.95</v>
      </c>
      <c r="U153" s="30">
        <v>2</v>
      </c>
      <c r="V153" s="30">
        <f>0.95/2</f>
        <v>0.47499999999999998</v>
      </c>
      <c r="W153" s="15">
        <v>1</v>
      </c>
      <c r="X153" s="30">
        <f t="shared" ref="X153:X158" si="47">V153*1</f>
        <v>0.47499999999999998</v>
      </c>
      <c r="Y153" s="19">
        <v>50</v>
      </c>
      <c r="Z153" s="20">
        <f>0.475^2</f>
        <v>0.22562499999999999</v>
      </c>
      <c r="AA153" s="34">
        <f>(0.475^4)/50</f>
        <v>1.0181328124999999E-3</v>
      </c>
    </row>
    <row r="154" spans="1:27" ht="18" customHeight="1">
      <c r="A154" s="735" t="s">
        <v>146</v>
      </c>
      <c r="B154" s="736"/>
      <c r="C154" s="737"/>
      <c r="D154" s="15" t="s">
        <v>24</v>
      </c>
      <c r="E154" s="15" t="s">
        <v>147</v>
      </c>
      <c r="F154" s="30">
        <f>F153/3</f>
        <v>0.31666666666666665</v>
      </c>
      <c r="G154" s="30">
        <f>SQRT(3)</f>
        <v>1.7320508075688772</v>
      </c>
      <c r="H154" s="30">
        <f>F154/G154</f>
        <v>0.1828275852433815</v>
      </c>
      <c r="I154" s="19">
        <v>1</v>
      </c>
      <c r="J154" s="30">
        <f t="shared" si="43"/>
        <v>0.1828275852433815</v>
      </c>
      <c r="K154" s="19">
        <v>50</v>
      </c>
      <c r="L154" s="20">
        <f t="shared" si="46"/>
        <v>3.3425925925925928E-2</v>
      </c>
      <c r="M154" s="34">
        <f t="shared" si="44"/>
        <v>2.2345850480109746E-5</v>
      </c>
      <c r="O154" s="735" t="s">
        <v>146</v>
      </c>
      <c r="P154" s="736"/>
      <c r="Q154" s="737"/>
      <c r="R154" s="15" t="s">
        <v>24</v>
      </c>
      <c r="S154" s="15" t="s">
        <v>147</v>
      </c>
      <c r="T154" s="30">
        <v>0.31669999999999998</v>
      </c>
      <c r="U154" s="30">
        <f>SQRT(3)</f>
        <v>1.7320508075688772</v>
      </c>
      <c r="V154" s="30">
        <f>0.3167/1.7321</f>
        <v>0.18284163731886149</v>
      </c>
      <c r="W154" s="19">
        <v>1</v>
      </c>
      <c r="X154" s="30">
        <f t="shared" si="47"/>
        <v>0.18284163731886149</v>
      </c>
      <c r="Y154" s="19">
        <v>50</v>
      </c>
      <c r="Z154" s="20">
        <f>0.1828^2</f>
        <v>3.3415839999999995E-2</v>
      </c>
      <c r="AA154" s="34">
        <f>(0.1828^4)/50</f>
        <v>2.2332367258111992E-5</v>
      </c>
    </row>
    <row r="155" spans="1:27" ht="18" customHeight="1">
      <c r="A155" s="732" t="s">
        <v>148</v>
      </c>
      <c r="B155" s="732"/>
      <c r="C155" s="732"/>
      <c r="D155" s="15" t="s">
        <v>24</v>
      </c>
      <c r="E155" s="15" t="str">
        <f>E82</f>
        <v>Triang</v>
      </c>
      <c r="F155" s="30">
        <f>F82</f>
        <v>0.1</v>
      </c>
      <c r="G155" s="30">
        <f>G82</f>
        <v>2.4494897427831779</v>
      </c>
      <c r="H155" s="30">
        <f t="shared" ref="H155:H157" si="48">F155/G155</f>
        <v>4.0824829046386304E-2</v>
      </c>
      <c r="I155" s="15">
        <v>1</v>
      </c>
      <c r="J155" s="30">
        <f t="shared" si="43"/>
        <v>4.0824829046386304E-2</v>
      </c>
      <c r="K155" s="19">
        <v>50</v>
      </c>
      <c r="L155" s="20">
        <f t="shared" si="46"/>
        <v>1.666666666666667E-3</v>
      </c>
      <c r="M155" s="34">
        <f t="shared" si="44"/>
        <v>5.5555555555555574E-8</v>
      </c>
      <c r="O155" s="732" t="s">
        <v>148</v>
      </c>
      <c r="P155" s="732"/>
      <c r="Q155" s="732"/>
      <c r="R155" s="15" t="s">
        <v>24</v>
      </c>
      <c r="S155" s="15" t="s">
        <v>147</v>
      </c>
      <c r="T155" s="30">
        <v>0.05</v>
      </c>
      <c r="U155" s="30">
        <f>SQRT(3)</f>
        <v>1.7320508075688772</v>
      </c>
      <c r="V155" s="30">
        <f>0.05/1.7321</f>
        <v>2.8866693608914036E-2</v>
      </c>
      <c r="W155" s="15">
        <v>1</v>
      </c>
      <c r="X155" s="30">
        <f t="shared" si="47"/>
        <v>2.8866693608914036E-2</v>
      </c>
      <c r="Y155" s="19">
        <v>50</v>
      </c>
      <c r="Z155" s="20">
        <f>0.0289^2</f>
        <v>8.3520999999999997E-4</v>
      </c>
      <c r="AA155" s="34">
        <f>(0.0289^4)/50</f>
        <v>1.3951514882E-8</v>
      </c>
    </row>
    <row r="156" spans="1:27" ht="18" customHeight="1">
      <c r="A156" s="732" t="s">
        <v>149</v>
      </c>
      <c r="B156" s="732"/>
      <c r="C156" s="732"/>
      <c r="D156" s="15" t="s">
        <v>24</v>
      </c>
      <c r="E156" s="15" t="s">
        <v>147</v>
      </c>
      <c r="F156" s="30">
        <f ca="1">'DB Standar'!L46</f>
        <v>0.53513333333333346</v>
      </c>
      <c r="G156" s="30">
        <f>SQRT(3)</f>
        <v>1.7320508075688772</v>
      </c>
      <c r="H156" s="30">
        <f t="shared" ca="1" si="48"/>
        <v>0.30895937405234181</v>
      </c>
      <c r="I156" s="15">
        <v>1</v>
      </c>
      <c r="J156" s="30">
        <f t="shared" ca="1" si="43"/>
        <v>0.30895937405234181</v>
      </c>
      <c r="K156" s="19">
        <v>50</v>
      </c>
      <c r="L156" s="20">
        <f t="shared" ca="1" si="46"/>
        <v>9.5455894814814854E-2</v>
      </c>
      <c r="M156" s="34">
        <f t="shared" ca="1" si="44"/>
        <v>1.8223655709793997E-4</v>
      </c>
      <c r="O156" s="732" t="s">
        <v>149</v>
      </c>
      <c r="P156" s="732"/>
      <c r="Q156" s="732"/>
      <c r="R156" s="15" t="s">
        <v>24</v>
      </c>
      <c r="S156" s="15" t="s">
        <v>147</v>
      </c>
      <c r="T156" s="30">
        <v>0.53510000000000002</v>
      </c>
      <c r="U156" s="30">
        <f>SQRT(3)</f>
        <v>1.7320508075688772</v>
      </c>
      <c r="V156" s="30">
        <f>0.5351/1.7321</f>
        <v>0.308931355002598</v>
      </c>
      <c r="W156" s="15">
        <v>1</v>
      </c>
      <c r="X156" s="30">
        <f t="shared" si="47"/>
        <v>0.308931355002598</v>
      </c>
      <c r="Y156" s="19">
        <v>50</v>
      </c>
      <c r="Z156" s="20">
        <f>0.3089^2</f>
        <v>9.5419210000000004E-2</v>
      </c>
      <c r="AA156" s="34">
        <f>(0.3089^4)/50</f>
        <v>1.8209651274048202E-4</v>
      </c>
    </row>
    <row r="157" spans="1:27" ht="18" customHeight="1">
      <c r="A157" s="735" t="s">
        <v>150</v>
      </c>
      <c r="B157" s="736"/>
      <c r="C157" s="737"/>
      <c r="D157" s="15" t="s">
        <v>24</v>
      </c>
      <c r="E157" s="15" t="s">
        <v>147</v>
      </c>
      <c r="F157" s="30">
        <f>'DB Standar'!K46</f>
        <v>0.24324000000000034</v>
      </c>
      <c r="G157" s="30">
        <f>SQRT(3)</f>
        <v>1.7320508075688772</v>
      </c>
      <c r="H157" s="30">
        <f t="shared" si="48"/>
        <v>0.14043467947768479</v>
      </c>
      <c r="I157" s="15">
        <v>1</v>
      </c>
      <c r="J157" s="30">
        <f t="shared" si="43"/>
        <v>0.14043467947768479</v>
      </c>
      <c r="K157" s="19">
        <v>50</v>
      </c>
      <c r="L157" s="20">
        <f t="shared" si="46"/>
        <v>1.9721899200000059E-2</v>
      </c>
      <c r="M157" s="34">
        <f t="shared" si="44"/>
        <v>7.7790661610992597E-6</v>
      </c>
      <c r="O157" s="735" t="s">
        <v>150</v>
      </c>
      <c r="P157" s="736"/>
      <c r="Q157" s="737"/>
      <c r="R157" s="15" t="s">
        <v>24</v>
      </c>
      <c r="S157" s="15" t="s">
        <v>147</v>
      </c>
      <c r="T157" s="30">
        <v>0.3</v>
      </c>
      <c r="U157" s="30">
        <f>SQRT(3)</f>
        <v>1.7320508075688772</v>
      </c>
      <c r="V157" s="30">
        <f>0.3/1.7321</f>
        <v>0.1732001616534842</v>
      </c>
      <c r="W157" s="15">
        <v>1</v>
      </c>
      <c r="X157" s="30">
        <f t="shared" si="47"/>
        <v>0.1732001616534842</v>
      </c>
      <c r="Y157" s="19">
        <v>50</v>
      </c>
      <c r="Z157" s="20">
        <f>0.1732^2</f>
        <v>2.9998239999999999E-2</v>
      </c>
      <c r="AA157" s="34">
        <f>(0.1732^4)/50</f>
        <v>1.7997888061952E-5</v>
      </c>
    </row>
    <row r="158" spans="1:27" ht="18" customHeight="1">
      <c r="A158" s="732" t="s">
        <v>156</v>
      </c>
      <c r="B158" s="732"/>
      <c r="C158" s="732"/>
      <c r="D158" s="15" t="s">
        <v>24</v>
      </c>
      <c r="E158" s="15" t="s">
        <v>147</v>
      </c>
      <c r="F158" s="30">
        <f>F85</f>
        <v>0.14999999999999858</v>
      </c>
      <c r="G158" s="30">
        <f>SQRT(3)</f>
        <v>1.7320508075688772</v>
      </c>
      <c r="H158" s="30">
        <f>F158/G158</f>
        <v>8.6602540378443046E-2</v>
      </c>
      <c r="I158" s="15">
        <v>1</v>
      </c>
      <c r="J158" s="30">
        <f t="shared" si="43"/>
        <v>8.6602540378443046E-2</v>
      </c>
      <c r="K158" s="19">
        <v>50</v>
      </c>
      <c r="L158" s="20">
        <f t="shared" si="46"/>
        <v>7.4999999999998583E-3</v>
      </c>
      <c r="M158" s="34">
        <f>(J158)^4/K158</f>
        <v>1.1249999999999575E-6</v>
      </c>
      <c r="O158" s="732" t="s">
        <v>156</v>
      </c>
      <c r="P158" s="732"/>
      <c r="Q158" s="732"/>
      <c r="R158" s="15" t="s">
        <v>24</v>
      </c>
      <c r="S158" s="15" t="s">
        <v>147</v>
      </c>
      <c r="T158" s="30">
        <v>6.6699999999999995E-2</v>
      </c>
      <c r="U158" s="30">
        <f>SQRT(3)</f>
        <v>1.7320508075688772</v>
      </c>
      <c r="V158" s="30">
        <f>0.667/1.7321</f>
        <v>0.38508169274291326</v>
      </c>
      <c r="W158" s="15">
        <v>1</v>
      </c>
      <c r="X158" s="30">
        <f t="shared" si="47"/>
        <v>0.38508169274291326</v>
      </c>
      <c r="Y158" s="19">
        <v>50</v>
      </c>
      <c r="Z158" s="20">
        <f>0.3851^2</f>
        <v>0.14830201000000001</v>
      </c>
      <c r="AA158" s="34">
        <f>(0.3851^4)/50</f>
        <v>4.3986972340080206E-4</v>
      </c>
    </row>
    <row r="159" spans="1:27" ht="18" customHeight="1">
      <c r="A159" s="13"/>
      <c r="B159" s="13"/>
      <c r="C159" s="13"/>
      <c r="D159" s="13"/>
      <c r="E159" s="14"/>
      <c r="F159" s="13"/>
      <c r="G159" s="13"/>
      <c r="H159" s="738" t="s">
        <v>151</v>
      </c>
      <c r="I159" s="738"/>
      <c r="J159" s="738"/>
      <c r="K159" s="738"/>
      <c r="L159" s="185">
        <f ca="1">SQRT(SUM(L152:L158))</f>
        <v>0.619196475681424</v>
      </c>
      <c r="M159" s="186">
        <f ca="1">SUM(M152:M158)</f>
        <v>1.231674848977645E-3</v>
      </c>
      <c r="O159" s="13"/>
      <c r="P159" s="13"/>
      <c r="Q159" s="13"/>
      <c r="R159" s="13"/>
      <c r="S159" s="14"/>
      <c r="T159" s="13"/>
      <c r="U159" s="13"/>
      <c r="V159" s="738" t="s">
        <v>151</v>
      </c>
      <c r="W159" s="738"/>
      <c r="X159" s="738"/>
      <c r="Y159" s="738"/>
      <c r="Z159" s="185">
        <f>SQRT(Z152+Z153+Z154+Z155+Z156+Z157+Z158)</f>
        <v>0.73048238171772495</v>
      </c>
      <c r="AA159" s="186">
        <f>AA158+AA157+AA156+AA155+AA154+AA153+AA152</f>
        <v>1.6804432628398662E-3</v>
      </c>
    </row>
    <row r="160" spans="1:27" ht="18" customHeight="1">
      <c r="A160" s="13"/>
      <c r="B160" s="13"/>
      <c r="C160" s="13"/>
      <c r="D160" s="13"/>
      <c r="E160" s="13"/>
      <c r="F160" s="13"/>
      <c r="G160" s="13"/>
      <c r="H160" s="732" t="s">
        <v>152</v>
      </c>
      <c r="I160" s="732"/>
      <c r="J160" s="732"/>
      <c r="K160" s="732"/>
      <c r="L160" s="22"/>
      <c r="M160" s="21">
        <f ca="1">L159^4/M159</f>
        <v>119.3487376890554</v>
      </c>
      <c r="O160" s="13"/>
      <c r="P160" s="13"/>
      <c r="Q160" s="13"/>
      <c r="R160" s="13"/>
      <c r="S160" s="13"/>
      <c r="T160" s="13"/>
      <c r="U160" s="13"/>
      <c r="V160" s="732" t="s">
        <v>152</v>
      </c>
      <c r="W160" s="732"/>
      <c r="X160" s="732"/>
      <c r="Y160" s="732"/>
      <c r="Z160" s="22"/>
      <c r="AA160" s="21">
        <f>(0.7305^4)/0.00168044</f>
        <v>169.45635887925934</v>
      </c>
    </row>
    <row r="161" spans="1:27" ht="18" customHeight="1">
      <c r="A161" s="13"/>
      <c r="B161" s="13"/>
      <c r="C161" s="13"/>
      <c r="D161" s="13"/>
      <c r="E161" s="13"/>
      <c r="F161" s="13"/>
      <c r="G161" s="13"/>
      <c r="H161" s="732" t="s">
        <v>153</v>
      </c>
      <c r="I161" s="732"/>
      <c r="J161" s="732"/>
      <c r="K161" s="732"/>
      <c r="L161" s="23"/>
      <c r="M161" s="367">
        <f ca="1">1.95996+(2.37356/M160)+(2.818745/M160^2)+(2.546662/M160^3)+(1.761829/M160^4)+(0.245458/M160^5)+(1.000764/M160^6)</f>
        <v>1.9800469953912563</v>
      </c>
      <c r="O161" s="13"/>
      <c r="P161" s="13"/>
      <c r="Q161" s="13"/>
      <c r="R161" s="13"/>
      <c r="S161" s="13"/>
      <c r="T161" s="13"/>
      <c r="U161" s="13"/>
      <c r="V161" s="732" t="s">
        <v>153</v>
      </c>
      <c r="W161" s="732"/>
      <c r="X161" s="732"/>
      <c r="Y161" s="732"/>
      <c r="Z161" s="23"/>
      <c r="AA161" s="367">
        <f>1.95996+(2.37356/AA160)+(2.818745/AA160^2)+(2.546662/AA160^3)+(1.761829/AA160^4)+(0.245458/AA160^5)+(1.000764/AA160^6)</f>
        <v>1.9740655969280765</v>
      </c>
    </row>
    <row r="162" spans="1:27" ht="18" customHeight="1">
      <c r="A162" s="13"/>
      <c r="B162" s="13"/>
      <c r="C162" s="13"/>
      <c r="D162" s="13"/>
      <c r="E162" s="13"/>
      <c r="F162" s="13"/>
      <c r="G162" s="13"/>
      <c r="H162" s="733" t="s">
        <v>154</v>
      </c>
      <c r="I162" s="733"/>
      <c r="J162" s="733"/>
      <c r="K162" s="733"/>
      <c r="L162" s="24"/>
      <c r="M162" s="653">
        <f ca="1">L159*M161</f>
        <v>1.2260381212298588</v>
      </c>
      <c r="O162" s="13"/>
      <c r="P162" s="13"/>
      <c r="Q162" s="13"/>
      <c r="R162" s="13"/>
      <c r="S162" s="13"/>
      <c r="T162" s="13"/>
      <c r="U162" s="13"/>
      <c r="V162" s="733" t="s">
        <v>154</v>
      </c>
      <c r="W162" s="733"/>
      <c r="X162" s="733"/>
      <c r="Y162" s="733"/>
      <c r="Z162" s="24"/>
      <c r="AA162" s="65">
        <f>0.7305*1.97</f>
        <v>1.4390849999999999</v>
      </c>
    </row>
    <row r="163" spans="1:27" s="10" customFormat="1" ht="16.05" customHeight="1">
      <c r="A163" s="739"/>
      <c r="B163" s="739"/>
      <c r="C163" s="180"/>
      <c r="D163" s="180"/>
      <c r="E163" s="180"/>
      <c r="F163" s="180"/>
      <c r="G163" s="180"/>
      <c r="H163" s="180"/>
      <c r="I163" s="180"/>
      <c r="J163" s="180"/>
      <c r="L163" s="25"/>
      <c r="M163" s="12"/>
      <c r="N163" s="25"/>
    </row>
    <row r="164" spans="1:27" s="10" customFormat="1" ht="16.05" customHeight="1">
      <c r="A164" s="739"/>
      <c r="B164" s="739"/>
      <c r="C164" s="180"/>
      <c r="D164" s="180"/>
      <c r="E164" s="180"/>
      <c r="F164" s="180"/>
      <c r="G164" s="180"/>
      <c r="H164" s="180"/>
      <c r="I164" s="180"/>
      <c r="J164" s="180"/>
      <c r="L164" s="12"/>
      <c r="M164" s="12"/>
      <c r="N164" s="12"/>
    </row>
    <row r="165" spans="1:27" s="10" customFormat="1" ht="16.05" customHeight="1">
      <c r="A165" s="739"/>
      <c r="B165" s="739"/>
      <c r="C165" s="180"/>
      <c r="D165" s="180"/>
      <c r="E165" s="180"/>
      <c r="F165" s="180"/>
      <c r="G165" s="180"/>
      <c r="H165" s="180"/>
      <c r="I165" s="180"/>
      <c r="J165" s="180"/>
    </row>
    <row r="166" spans="1:27" s="10" customFormat="1" ht="16.05" customHeight="1">
      <c r="A166" s="739"/>
      <c r="B166" s="739"/>
      <c r="C166" s="180"/>
      <c r="D166" s="180"/>
      <c r="E166" s="180"/>
      <c r="F166" s="180"/>
      <c r="G166" s="180"/>
      <c r="H166" s="180"/>
      <c r="I166" s="180"/>
      <c r="J166" s="180"/>
    </row>
    <row r="167" spans="1:27" s="10" customFormat="1" ht="16.05" customHeight="1">
      <c r="A167" s="25"/>
      <c r="B167" s="25"/>
      <c r="C167" s="180"/>
      <c r="D167" s="180"/>
      <c r="E167" s="180"/>
      <c r="F167" s="180"/>
      <c r="G167" s="180"/>
      <c r="H167" s="180"/>
      <c r="I167" s="180"/>
      <c r="J167" s="180"/>
    </row>
    <row r="168" spans="1:27" s="10" customFormat="1" ht="16.05" customHeight="1">
      <c r="A168" s="739"/>
      <c r="B168" s="739"/>
      <c r="C168" s="180"/>
      <c r="D168" s="180"/>
      <c r="E168" s="180"/>
      <c r="F168" s="180"/>
      <c r="G168" s="180"/>
      <c r="H168" s="180"/>
      <c r="I168" s="180"/>
      <c r="J168" s="180"/>
    </row>
    <row r="169" spans="1:27" s="10" customFormat="1" ht="16.05" customHeight="1">
      <c r="A169" s="739"/>
      <c r="B169" s="739"/>
      <c r="C169" s="181"/>
      <c r="D169" s="181"/>
      <c r="E169" s="180"/>
      <c r="F169" s="180"/>
      <c r="G169" s="180"/>
      <c r="H169" s="180"/>
      <c r="I169" s="180"/>
      <c r="J169" s="180"/>
    </row>
    <row r="170" spans="1:27" ht="18" customHeight="1">
      <c r="A170" s="13" t="s">
        <v>128</v>
      </c>
      <c r="B170" s="14">
        <f>B148</f>
        <v>0.1</v>
      </c>
      <c r="C170" s="13" t="s">
        <v>24</v>
      </c>
      <c r="D170" s="14"/>
      <c r="E170" s="13"/>
      <c r="F170" s="13"/>
      <c r="G170" s="13"/>
      <c r="H170" s="13"/>
      <c r="I170" s="13"/>
      <c r="J170" s="13"/>
      <c r="K170" s="13"/>
      <c r="L170" s="13"/>
      <c r="M170" s="13"/>
    </row>
    <row r="171" spans="1:27" ht="18" customHeight="1">
      <c r="A171" s="13" t="s">
        <v>130</v>
      </c>
      <c r="B171" s="14">
        <f>ID!B65</f>
        <v>50</v>
      </c>
      <c r="C171" s="13" t="s">
        <v>24</v>
      </c>
      <c r="D171" s="13"/>
      <c r="E171" s="13"/>
      <c r="F171" s="13"/>
      <c r="G171" s="13"/>
      <c r="H171" s="13"/>
      <c r="I171" s="18"/>
      <c r="J171" s="13"/>
      <c r="K171" s="13"/>
      <c r="L171" s="13"/>
      <c r="M171" s="13"/>
    </row>
    <row r="172" spans="1:27" ht="18" customHeight="1">
      <c r="A172" s="734" t="s">
        <v>131</v>
      </c>
      <c r="B172" s="734"/>
      <c r="C172" s="734"/>
      <c r="D172" s="734" t="s">
        <v>132</v>
      </c>
      <c r="E172" s="734" t="s">
        <v>133</v>
      </c>
      <c r="F172" s="734" t="s">
        <v>134</v>
      </c>
      <c r="G172" s="734" t="s">
        <v>135</v>
      </c>
      <c r="H172" s="734" t="s">
        <v>136</v>
      </c>
      <c r="I172" s="734" t="s">
        <v>137</v>
      </c>
      <c r="J172" s="734" t="s">
        <v>138</v>
      </c>
      <c r="K172" s="734" t="s">
        <v>139</v>
      </c>
      <c r="L172" s="734" t="s">
        <v>140</v>
      </c>
      <c r="M172" s="734" t="s">
        <v>141</v>
      </c>
      <c r="O172" s="734" t="s">
        <v>131</v>
      </c>
      <c r="P172" s="734"/>
      <c r="Q172" s="734"/>
      <c r="R172" s="734" t="s">
        <v>132</v>
      </c>
      <c r="S172" s="734" t="s">
        <v>133</v>
      </c>
      <c r="T172" s="734" t="s">
        <v>134</v>
      </c>
      <c r="U172" s="734" t="s">
        <v>135</v>
      </c>
      <c r="V172" s="734" t="s">
        <v>136</v>
      </c>
      <c r="W172" s="734" t="s">
        <v>137</v>
      </c>
      <c r="X172" s="734" t="s">
        <v>138</v>
      </c>
      <c r="Y172" s="734" t="s">
        <v>139</v>
      </c>
      <c r="Z172" s="734" t="s">
        <v>140</v>
      </c>
      <c r="AA172" s="734" t="s">
        <v>141</v>
      </c>
    </row>
    <row r="173" spans="1:27" ht="18" customHeight="1">
      <c r="A173" s="734"/>
      <c r="B173" s="734"/>
      <c r="C173" s="734"/>
      <c r="D173" s="734"/>
      <c r="E173" s="734"/>
      <c r="F173" s="734"/>
      <c r="G173" s="734"/>
      <c r="H173" s="734"/>
      <c r="I173" s="734"/>
      <c r="J173" s="734"/>
      <c r="K173" s="734"/>
      <c r="L173" s="734"/>
      <c r="M173" s="734"/>
      <c r="O173" s="734"/>
      <c r="P173" s="734"/>
      <c r="Q173" s="734"/>
      <c r="R173" s="734"/>
      <c r="S173" s="734"/>
      <c r="T173" s="734"/>
      <c r="U173" s="734"/>
      <c r="V173" s="734"/>
      <c r="W173" s="734"/>
      <c r="X173" s="734"/>
      <c r="Y173" s="734"/>
      <c r="Z173" s="734"/>
      <c r="AA173" s="734"/>
    </row>
    <row r="174" spans="1:27" ht="18" customHeight="1">
      <c r="A174" s="31" t="s">
        <v>142</v>
      </c>
      <c r="B174" s="32"/>
      <c r="C174" s="33"/>
      <c r="D174" s="15" t="s">
        <v>24</v>
      </c>
      <c r="E174" s="15" t="s">
        <v>144</v>
      </c>
      <c r="F174" s="30">
        <f>ID!M67</f>
        <v>7.7836056889447899E-15</v>
      </c>
      <c r="G174" s="30">
        <f>SQRT(12)</f>
        <v>3.4641016151377544</v>
      </c>
      <c r="H174" s="30">
        <f>F174/G174</f>
        <v>2.2469334198890887E-15</v>
      </c>
      <c r="I174" s="15">
        <v>1</v>
      </c>
      <c r="J174" s="30">
        <f>H174*I174</f>
        <v>2.2469334198890887E-15</v>
      </c>
      <c r="K174" s="15">
        <f>12-1</f>
        <v>11</v>
      </c>
      <c r="L174" s="30">
        <f>J174^2</f>
        <v>5.0487097934144758E-30</v>
      </c>
      <c r="M174" s="385">
        <f t="shared" ref="M174:M179" si="49">(J174)^4/K174</f>
        <v>2.3172245980108402E-60</v>
      </c>
      <c r="O174" s="369" t="s">
        <v>142</v>
      </c>
      <c r="P174" s="32"/>
      <c r="Q174" s="33"/>
      <c r="R174" s="15" t="s">
        <v>24</v>
      </c>
      <c r="S174" s="15" t="s">
        <v>144</v>
      </c>
      <c r="T174" s="30">
        <v>0</v>
      </c>
      <c r="U174" s="30">
        <f>SQRT(12)</f>
        <v>3.4641016151377544</v>
      </c>
      <c r="V174" s="30">
        <v>0</v>
      </c>
      <c r="W174" s="15">
        <v>1</v>
      </c>
      <c r="X174" s="30">
        <f>V174*1</f>
        <v>0</v>
      </c>
      <c r="Y174" s="15">
        <f>12-1</f>
        <v>11</v>
      </c>
      <c r="Z174" s="20">
        <f>X174</f>
        <v>0</v>
      </c>
      <c r="AA174" s="34">
        <v>0</v>
      </c>
    </row>
    <row r="175" spans="1:27" ht="18" customHeight="1">
      <c r="A175" s="735" t="s">
        <v>145</v>
      </c>
      <c r="B175" s="736"/>
      <c r="C175" s="737"/>
      <c r="D175" s="15" t="s">
        <v>24</v>
      </c>
      <c r="E175" s="15" t="s">
        <v>144</v>
      </c>
      <c r="F175" s="30">
        <f>F102</f>
        <v>0.95</v>
      </c>
      <c r="G175" s="30">
        <v>2</v>
      </c>
      <c r="H175" s="30">
        <f t="shared" ref="H175" si="50">F175/G175</f>
        <v>0.47499999999999998</v>
      </c>
      <c r="I175" s="15">
        <v>1</v>
      </c>
      <c r="J175" s="30">
        <f t="shared" ref="J175:J180" si="51">H175*I175</f>
        <v>0.47499999999999998</v>
      </c>
      <c r="K175" s="19">
        <v>50</v>
      </c>
      <c r="L175" s="30">
        <f t="shared" ref="L175:L180" si="52">(H175*I175)^2</f>
        <v>0.22562499999999999</v>
      </c>
      <c r="M175" s="385">
        <f t="shared" si="49"/>
        <v>1.0181328124999999E-3</v>
      </c>
      <c r="O175" s="735" t="s">
        <v>145</v>
      </c>
      <c r="P175" s="736"/>
      <c r="Q175" s="737"/>
      <c r="R175" s="15" t="s">
        <v>24</v>
      </c>
      <c r="S175" s="15" t="s">
        <v>144</v>
      </c>
      <c r="T175" s="30">
        <v>0.95</v>
      </c>
      <c r="U175" s="30">
        <v>2</v>
      </c>
      <c r="V175" s="30">
        <f>0.95/2</f>
        <v>0.47499999999999998</v>
      </c>
      <c r="W175" s="15">
        <v>1</v>
      </c>
      <c r="X175" s="30">
        <f t="shared" ref="X175:X180" si="53">V175*1</f>
        <v>0.47499999999999998</v>
      </c>
      <c r="Y175" s="19">
        <v>50</v>
      </c>
      <c r="Z175" s="20">
        <f>0.475^2</f>
        <v>0.22562499999999999</v>
      </c>
      <c r="AA175" s="34">
        <f>(0.475^4)/50</f>
        <v>1.0181328124999999E-3</v>
      </c>
    </row>
    <row r="176" spans="1:27" ht="18" customHeight="1">
      <c r="A176" s="735" t="s">
        <v>146</v>
      </c>
      <c r="B176" s="736"/>
      <c r="C176" s="737"/>
      <c r="D176" s="15" t="s">
        <v>24</v>
      </c>
      <c r="E176" s="15" t="s">
        <v>147</v>
      </c>
      <c r="F176" s="30">
        <f>F175/3</f>
        <v>0.31666666666666665</v>
      </c>
      <c r="G176" s="30">
        <f>SQRT(3)</f>
        <v>1.7320508075688772</v>
      </c>
      <c r="H176" s="30">
        <f>F176/G176</f>
        <v>0.1828275852433815</v>
      </c>
      <c r="I176" s="19">
        <v>1</v>
      </c>
      <c r="J176" s="30">
        <f t="shared" si="51"/>
        <v>0.1828275852433815</v>
      </c>
      <c r="K176" s="19">
        <v>50</v>
      </c>
      <c r="L176" s="30">
        <f t="shared" si="52"/>
        <v>3.3425925925925928E-2</v>
      </c>
      <c r="M176" s="385">
        <f t="shared" si="49"/>
        <v>2.2345850480109746E-5</v>
      </c>
      <c r="O176" s="735" t="s">
        <v>146</v>
      </c>
      <c r="P176" s="736"/>
      <c r="Q176" s="737"/>
      <c r="R176" s="15" t="s">
        <v>24</v>
      </c>
      <c r="S176" s="15" t="s">
        <v>147</v>
      </c>
      <c r="T176" s="30">
        <v>0.31669999999999998</v>
      </c>
      <c r="U176" s="30">
        <f>SQRT(3)</f>
        <v>1.7320508075688772</v>
      </c>
      <c r="V176" s="30">
        <f>0.3167/1.7321</f>
        <v>0.18284163731886149</v>
      </c>
      <c r="W176" s="19">
        <v>1</v>
      </c>
      <c r="X176" s="30">
        <f t="shared" si="53"/>
        <v>0.18284163731886149</v>
      </c>
      <c r="Y176" s="19">
        <v>50</v>
      </c>
      <c r="Z176" s="20">
        <f>0.1828^2</f>
        <v>3.3415839999999995E-2</v>
      </c>
      <c r="AA176" s="34">
        <f>(0.1828^4)/50</f>
        <v>2.2332367258111992E-5</v>
      </c>
    </row>
    <row r="177" spans="1:27" ht="18" customHeight="1">
      <c r="A177" s="732" t="s">
        <v>148</v>
      </c>
      <c r="B177" s="732"/>
      <c r="C177" s="732"/>
      <c r="D177" s="15" t="s">
        <v>24</v>
      </c>
      <c r="E177" s="15" t="str">
        <f>E155</f>
        <v>Triang</v>
      </c>
      <c r="F177" s="30">
        <f>F155</f>
        <v>0.1</v>
      </c>
      <c r="G177" s="30">
        <f>G155</f>
        <v>2.4494897427831779</v>
      </c>
      <c r="H177" s="30">
        <f t="shared" ref="H177:H179" si="54">F177/G177</f>
        <v>4.0824829046386304E-2</v>
      </c>
      <c r="I177" s="15">
        <v>1</v>
      </c>
      <c r="J177" s="30">
        <f t="shared" si="51"/>
        <v>4.0824829046386304E-2</v>
      </c>
      <c r="K177" s="19">
        <v>50</v>
      </c>
      <c r="L177" s="30">
        <f t="shared" si="52"/>
        <v>1.666666666666667E-3</v>
      </c>
      <c r="M177" s="385">
        <f t="shared" si="49"/>
        <v>5.5555555555555574E-8</v>
      </c>
      <c r="O177" s="732" t="s">
        <v>148</v>
      </c>
      <c r="P177" s="732"/>
      <c r="Q177" s="732"/>
      <c r="R177" s="15" t="s">
        <v>24</v>
      </c>
      <c r="S177" s="15" t="s">
        <v>147</v>
      </c>
      <c r="T177" s="30">
        <v>0.05</v>
      </c>
      <c r="U177" s="30">
        <f>SQRT(3)</f>
        <v>1.7320508075688772</v>
      </c>
      <c r="V177" s="30">
        <f>0.05/1.7321</f>
        <v>2.8866693608914036E-2</v>
      </c>
      <c r="W177" s="15">
        <v>1</v>
      </c>
      <c r="X177" s="30">
        <f t="shared" si="53"/>
        <v>2.8866693608914036E-2</v>
      </c>
      <c r="Y177" s="19">
        <v>50</v>
      </c>
      <c r="Z177" s="20">
        <f>0.0289^2</f>
        <v>8.3520999999999997E-4</v>
      </c>
      <c r="AA177" s="34">
        <f>(0.0289^4)/50</f>
        <v>1.3951514882E-8</v>
      </c>
    </row>
    <row r="178" spans="1:27" ht="18" customHeight="1">
      <c r="A178" s="732" t="s">
        <v>149</v>
      </c>
      <c r="B178" s="732"/>
      <c r="C178" s="732"/>
      <c r="D178" s="15" t="s">
        <v>24</v>
      </c>
      <c r="E178" s="15" t="s">
        <v>147</v>
      </c>
      <c r="F178" s="30">
        <f ca="1">'DB Standar'!L47</f>
        <v>0.62590000000000001</v>
      </c>
      <c r="G178" s="30">
        <f>SQRT(3)</f>
        <v>1.7320508075688772</v>
      </c>
      <c r="H178" s="30">
        <f t="shared" ca="1" si="54"/>
        <v>0.36136353348578681</v>
      </c>
      <c r="I178" s="15">
        <v>1</v>
      </c>
      <c r="J178" s="30">
        <f t="shared" ca="1" si="51"/>
        <v>0.36136353348578681</v>
      </c>
      <c r="K178" s="19">
        <v>50</v>
      </c>
      <c r="L178" s="30">
        <f t="shared" ca="1" si="52"/>
        <v>0.13058360333333338</v>
      </c>
      <c r="M178" s="385">
        <f t="shared" ca="1" si="49"/>
        <v>3.4104154919034716E-4</v>
      </c>
      <c r="O178" s="732" t="s">
        <v>149</v>
      </c>
      <c r="P178" s="732"/>
      <c r="Q178" s="732"/>
      <c r="R178" s="15" t="s">
        <v>24</v>
      </c>
      <c r="S178" s="15" t="s">
        <v>147</v>
      </c>
      <c r="T178" s="30">
        <v>0.62590000000000001</v>
      </c>
      <c r="U178" s="30">
        <f>SQRT(3)</f>
        <v>1.7320508075688772</v>
      </c>
      <c r="V178" s="30">
        <f>0.6259/1.7321</f>
        <v>0.36135327059638589</v>
      </c>
      <c r="W178" s="15">
        <v>1</v>
      </c>
      <c r="X178" s="30">
        <f t="shared" si="53"/>
        <v>0.36135327059638589</v>
      </c>
      <c r="Y178" s="19">
        <v>50</v>
      </c>
      <c r="Z178" s="20">
        <f>0.3614^2</f>
        <v>0.13060996</v>
      </c>
      <c r="AA178" s="34">
        <f>(0.3614^4)/50</f>
        <v>3.4117923302403203E-4</v>
      </c>
    </row>
    <row r="179" spans="1:27" ht="18" customHeight="1">
      <c r="A179" s="735" t="s">
        <v>150</v>
      </c>
      <c r="B179" s="736"/>
      <c r="C179" s="737"/>
      <c r="D179" s="15" t="s">
        <v>24</v>
      </c>
      <c r="E179" s="15" t="s">
        <v>147</v>
      </c>
      <c r="F179" s="30">
        <f ca="1">'DB Standar'!K47</f>
        <v>0.32590000000000008</v>
      </c>
      <c r="G179" s="30">
        <f>SQRT(3)</f>
        <v>1.7320508075688772</v>
      </c>
      <c r="H179" s="30">
        <f t="shared" ca="1" si="54"/>
        <v>0.18815845272889908</v>
      </c>
      <c r="I179" s="15">
        <v>1</v>
      </c>
      <c r="J179" s="30">
        <f t="shared" ca="1" si="51"/>
        <v>0.18815845272889908</v>
      </c>
      <c r="K179" s="19">
        <v>50</v>
      </c>
      <c r="L179" s="30">
        <f t="shared" ca="1" si="52"/>
        <v>3.5403603333333353E-2</v>
      </c>
      <c r="M179" s="385">
        <f t="shared" ca="1" si="49"/>
        <v>2.5068302579680249E-5</v>
      </c>
      <c r="O179" s="735" t="s">
        <v>150</v>
      </c>
      <c r="P179" s="736"/>
      <c r="Q179" s="737"/>
      <c r="R179" s="15" t="s">
        <v>24</v>
      </c>
      <c r="S179" s="15" t="s">
        <v>147</v>
      </c>
      <c r="T179" s="30">
        <v>0.32590000000000002</v>
      </c>
      <c r="U179" s="30">
        <f>SQRT(3)</f>
        <v>1.7320508075688772</v>
      </c>
      <c r="V179" s="30">
        <f>0.3259/1.7321</f>
        <v>0.18815310894290169</v>
      </c>
      <c r="W179" s="15">
        <v>1</v>
      </c>
      <c r="X179" s="30">
        <f t="shared" si="53"/>
        <v>0.18815310894290169</v>
      </c>
      <c r="Y179" s="19">
        <v>50</v>
      </c>
      <c r="Z179" s="20">
        <f>0.1882^2</f>
        <v>3.5419240000000005E-2</v>
      </c>
      <c r="AA179" s="34">
        <f>(0.1882^4)/50</f>
        <v>2.5090451243552007E-5</v>
      </c>
    </row>
    <row r="180" spans="1:27" ht="18" customHeight="1">
      <c r="A180" s="732" t="s">
        <v>156</v>
      </c>
      <c r="B180" s="732"/>
      <c r="C180" s="732"/>
      <c r="D180" s="15" t="s">
        <v>24</v>
      </c>
      <c r="E180" s="15" t="s">
        <v>147</v>
      </c>
      <c r="F180" s="30">
        <f>F158</f>
        <v>0.14999999999999858</v>
      </c>
      <c r="G180" s="30">
        <f>SQRT(3)</f>
        <v>1.7320508075688772</v>
      </c>
      <c r="H180" s="30">
        <f>F180/G180</f>
        <v>8.6602540378443046E-2</v>
      </c>
      <c r="I180" s="15">
        <v>1</v>
      </c>
      <c r="J180" s="30">
        <f t="shared" si="51"/>
        <v>8.6602540378443046E-2</v>
      </c>
      <c r="K180" s="19">
        <v>50</v>
      </c>
      <c r="L180" s="30">
        <f t="shared" si="52"/>
        <v>7.4999999999998583E-3</v>
      </c>
      <c r="M180" s="385">
        <f>(J180)^4/K180</f>
        <v>1.1249999999999575E-6</v>
      </c>
      <c r="O180" s="732" t="s">
        <v>156</v>
      </c>
      <c r="P180" s="732"/>
      <c r="Q180" s="732"/>
      <c r="R180" s="15" t="s">
        <v>24</v>
      </c>
      <c r="S180" s="15" t="s">
        <v>147</v>
      </c>
      <c r="T180" s="30">
        <v>6.6699999999999995E-2</v>
      </c>
      <c r="U180" s="30">
        <f>SQRT(3)</f>
        <v>1.7320508075688772</v>
      </c>
      <c r="V180" s="30">
        <f>0.0667/1.7321</f>
        <v>3.8508169274291321E-2</v>
      </c>
      <c r="W180" s="15">
        <v>1</v>
      </c>
      <c r="X180" s="30">
        <f t="shared" si="53"/>
        <v>3.8508169274291321E-2</v>
      </c>
      <c r="Y180" s="19">
        <v>50</v>
      </c>
      <c r="Z180" s="20">
        <f>0.0385^2</f>
        <v>1.4822500000000001E-3</v>
      </c>
      <c r="AA180" s="34">
        <f>(0.0385^4)/50</f>
        <v>4.394130125000001E-8</v>
      </c>
    </row>
    <row r="181" spans="1:27" ht="18" customHeight="1">
      <c r="A181" s="13"/>
      <c r="B181" s="13"/>
      <c r="C181" s="13"/>
      <c r="D181" s="13"/>
      <c r="E181" s="14"/>
      <c r="F181" s="13"/>
      <c r="G181" s="13"/>
      <c r="H181" s="738" t="s">
        <v>151</v>
      </c>
      <c r="I181" s="738"/>
      <c r="J181" s="738"/>
      <c r="K181" s="738"/>
      <c r="L181" s="185">
        <f ca="1">SQRT(SUM(L174:L180))</f>
        <v>0.65894218203060817</v>
      </c>
      <c r="M181" s="186">
        <f ca="1">SUM(M174:M180)</f>
        <v>1.4077690703056928E-3</v>
      </c>
      <c r="O181" s="13"/>
      <c r="P181" s="13"/>
      <c r="Q181" s="13"/>
      <c r="R181" s="13"/>
      <c r="S181" s="14"/>
      <c r="T181" s="13"/>
      <c r="U181" s="13"/>
      <c r="V181" s="738" t="s">
        <v>151</v>
      </c>
      <c r="W181" s="738"/>
      <c r="X181" s="738"/>
      <c r="Y181" s="738"/>
      <c r="Z181" s="185">
        <f>SQRT(Z180+Z179+Z178+Z177+Z176+Z175+Z174)</f>
        <v>0.65374880497022714</v>
      </c>
      <c r="AA181" s="186">
        <f>AA180+AA179+AA178+AA177+AA176+AA175+AA174</f>
        <v>1.4067927568418279E-3</v>
      </c>
    </row>
    <row r="182" spans="1:27" ht="18" customHeight="1">
      <c r="A182" s="13"/>
      <c r="B182" s="13"/>
      <c r="C182" s="13"/>
      <c r="D182" s="13"/>
      <c r="E182" s="13"/>
      <c r="F182" s="13"/>
      <c r="G182" s="13"/>
      <c r="H182" s="732" t="s">
        <v>152</v>
      </c>
      <c r="I182" s="732"/>
      <c r="J182" s="732"/>
      <c r="K182" s="732"/>
      <c r="L182" s="22"/>
      <c r="M182" s="636">
        <f ca="1">L181^4/M181</f>
        <v>133.92381724854488</v>
      </c>
      <c r="O182" s="13"/>
      <c r="P182" s="13"/>
      <c r="Q182" s="13"/>
      <c r="R182" s="13"/>
      <c r="S182" s="13"/>
      <c r="T182" s="13"/>
      <c r="U182" s="13"/>
      <c r="V182" s="732" t="s">
        <v>152</v>
      </c>
      <c r="W182" s="732"/>
      <c r="X182" s="732"/>
      <c r="Y182" s="732"/>
      <c r="Z182" s="22"/>
      <c r="AA182" s="21">
        <f>(0.6537^4)/0.00140679</f>
        <v>129.80298128023091</v>
      </c>
    </row>
    <row r="183" spans="1:27" ht="18" customHeight="1">
      <c r="A183" s="13"/>
      <c r="B183" s="13"/>
      <c r="C183" s="13"/>
      <c r="D183" s="13"/>
      <c r="E183" s="13"/>
      <c r="F183" s="13"/>
      <c r="G183" s="13"/>
      <c r="H183" s="732" t="s">
        <v>153</v>
      </c>
      <c r="I183" s="732"/>
      <c r="J183" s="732"/>
      <c r="K183" s="732"/>
      <c r="L183" s="23"/>
      <c r="M183" s="367">
        <f ca="1">1.95996+(2.37356/M182)+(2.818745/M182^2)+(2.546662/M182^3)+(1.761829/M182^4)+(0.245458/M182^5)+(1.000764/M182^6)</f>
        <v>1.9778414355000979</v>
      </c>
      <c r="O183" s="13"/>
      <c r="P183" s="13"/>
      <c r="Q183" s="13"/>
      <c r="R183" s="13"/>
      <c r="S183" s="13"/>
      <c r="T183" s="13"/>
      <c r="U183" s="13"/>
      <c r="V183" s="732" t="s">
        <v>153</v>
      </c>
      <c r="W183" s="732"/>
      <c r="X183" s="732"/>
      <c r="Y183" s="732"/>
      <c r="Z183" s="23"/>
      <c r="AA183" s="367">
        <f>1.95996+(2.37356/AA182)+(2.818745/AA182^2)+(2.546662/AA182^3)+(1.761829/AA182^4)+(0.245458/AA182^5)+(1.000764/AA182^6)</f>
        <v>1.9784143335992987</v>
      </c>
    </row>
    <row r="184" spans="1:27" ht="18" customHeight="1">
      <c r="A184" s="13"/>
      <c r="B184" s="13"/>
      <c r="C184" s="13"/>
      <c r="D184" s="13"/>
      <c r="E184" s="13"/>
      <c r="F184" s="13"/>
      <c r="G184" s="13"/>
      <c r="H184" s="733" t="s">
        <v>154</v>
      </c>
      <c r="I184" s="733"/>
      <c r="J184" s="733"/>
      <c r="K184" s="733"/>
      <c r="L184" s="24"/>
      <c r="M184" s="65">
        <f ca="1">L181*M183</f>
        <v>1.3032831512189849</v>
      </c>
      <c r="O184" s="13"/>
      <c r="P184" s="13"/>
      <c r="Q184" s="13"/>
      <c r="R184" s="13"/>
      <c r="S184" s="13"/>
      <c r="T184" s="13"/>
      <c r="U184" s="13"/>
      <c r="V184" s="733" t="s">
        <v>154</v>
      </c>
      <c r="W184" s="733"/>
      <c r="X184" s="733"/>
      <c r="Y184" s="733"/>
      <c r="Z184" s="24"/>
      <c r="AA184" s="65">
        <f>0.6537*1.98</f>
        <v>1.2943259999999999</v>
      </c>
    </row>
    <row r="185" spans="1:27" s="10" customFormat="1" ht="16.05" customHeight="1">
      <c r="A185" s="739"/>
      <c r="B185" s="739"/>
      <c r="C185" s="181"/>
      <c r="D185" s="181"/>
      <c r="E185" s="180"/>
      <c r="F185" s="180"/>
      <c r="G185" s="180"/>
      <c r="H185" s="180"/>
      <c r="I185" s="180"/>
      <c r="J185" s="180"/>
    </row>
    <row r="186" spans="1:27" ht="18" customHeight="1">
      <c r="A186" s="13" t="s">
        <v>128</v>
      </c>
      <c r="B186" s="14">
        <f>B170</f>
        <v>0.1</v>
      </c>
      <c r="C186" s="13" t="s">
        <v>24</v>
      </c>
      <c r="D186" s="14"/>
      <c r="E186" s="13"/>
      <c r="F186" s="13"/>
      <c r="G186" s="13"/>
      <c r="H186" s="13"/>
      <c r="I186" s="13"/>
      <c r="J186" s="13"/>
      <c r="K186" s="13"/>
      <c r="L186" s="13"/>
      <c r="M186" s="13"/>
    </row>
    <row r="187" spans="1:27" ht="18" customHeight="1">
      <c r="A187" s="13" t="s">
        <v>130</v>
      </c>
      <c r="B187" s="14">
        <f>ID!B72</f>
        <v>60</v>
      </c>
      <c r="C187" s="13" t="s">
        <v>24</v>
      </c>
      <c r="D187" s="13"/>
      <c r="E187" s="13"/>
      <c r="F187" s="13"/>
      <c r="G187" s="13"/>
      <c r="H187" s="13"/>
      <c r="I187" s="18"/>
      <c r="J187" s="13"/>
      <c r="K187" s="13"/>
      <c r="L187" s="13"/>
      <c r="M187" s="13"/>
    </row>
    <row r="188" spans="1:27" ht="18" customHeight="1">
      <c r="A188" s="734" t="s">
        <v>131</v>
      </c>
      <c r="B188" s="734"/>
      <c r="C188" s="734"/>
      <c r="D188" s="734" t="s">
        <v>132</v>
      </c>
      <c r="E188" s="734" t="s">
        <v>133</v>
      </c>
      <c r="F188" s="734" t="s">
        <v>134</v>
      </c>
      <c r="G188" s="734" t="s">
        <v>135</v>
      </c>
      <c r="H188" s="734" t="s">
        <v>136</v>
      </c>
      <c r="I188" s="734" t="s">
        <v>137</v>
      </c>
      <c r="J188" s="734" t="s">
        <v>138</v>
      </c>
      <c r="K188" s="734" t="s">
        <v>139</v>
      </c>
      <c r="L188" s="734" t="s">
        <v>140</v>
      </c>
      <c r="M188" s="734" t="s">
        <v>141</v>
      </c>
      <c r="O188" s="734" t="s">
        <v>131</v>
      </c>
      <c r="P188" s="734"/>
      <c r="Q188" s="734"/>
      <c r="R188" s="734" t="s">
        <v>132</v>
      </c>
      <c r="S188" s="734" t="s">
        <v>133</v>
      </c>
      <c r="T188" s="734" t="s">
        <v>134</v>
      </c>
      <c r="U188" s="734" t="s">
        <v>135</v>
      </c>
      <c r="V188" s="734" t="s">
        <v>136</v>
      </c>
      <c r="W188" s="734" t="s">
        <v>137</v>
      </c>
      <c r="X188" s="734" t="s">
        <v>138</v>
      </c>
      <c r="Y188" s="734" t="s">
        <v>139</v>
      </c>
      <c r="Z188" s="734" t="s">
        <v>140</v>
      </c>
      <c r="AA188" s="734" t="s">
        <v>141</v>
      </c>
    </row>
    <row r="189" spans="1:27" ht="18" customHeight="1">
      <c r="A189" s="734"/>
      <c r="B189" s="734"/>
      <c r="C189" s="734"/>
      <c r="D189" s="734"/>
      <c r="E189" s="734"/>
      <c r="F189" s="734"/>
      <c r="G189" s="734"/>
      <c r="H189" s="734"/>
      <c r="I189" s="734"/>
      <c r="J189" s="734"/>
      <c r="K189" s="734"/>
      <c r="L189" s="734"/>
      <c r="M189" s="734"/>
      <c r="O189" s="734"/>
      <c r="P189" s="734"/>
      <c r="Q189" s="734"/>
      <c r="R189" s="734"/>
      <c r="S189" s="734"/>
      <c r="T189" s="734"/>
      <c r="U189" s="734"/>
      <c r="V189" s="734"/>
      <c r="W189" s="734"/>
      <c r="X189" s="734"/>
      <c r="Y189" s="734"/>
      <c r="Z189" s="734"/>
      <c r="AA189" s="734"/>
    </row>
    <row r="190" spans="1:27" ht="18" customHeight="1">
      <c r="A190" s="31" t="s">
        <v>142</v>
      </c>
      <c r="B190" s="32"/>
      <c r="C190" s="33"/>
      <c r="D190" s="15" t="s">
        <v>24</v>
      </c>
      <c r="E190" s="15" t="s">
        <v>144</v>
      </c>
      <c r="F190" s="30">
        <f>ID!M74</f>
        <v>1.5491933384830252E-2</v>
      </c>
      <c r="G190" s="30">
        <f>SQRT(12)</f>
        <v>3.4641016151377544</v>
      </c>
      <c r="H190" s="30">
        <f>F190/G190</f>
        <v>4.472135954999748E-3</v>
      </c>
      <c r="I190" s="15">
        <v>1</v>
      </c>
      <c r="J190" s="30">
        <f t="shared" ref="J190:J196" si="55">H190*I190</f>
        <v>4.472135954999748E-3</v>
      </c>
      <c r="K190" s="15">
        <f>12-1</f>
        <v>11</v>
      </c>
      <c r="L190" s="20">
        <f>J190^2</f>
        <v>2.0000000000001509E-5</v>
      </c>
      <c r="M190" s="375">
        <f t="shared" ref="M190:M195" si="56">(J190)^4/K190</f>
        <v>3.6363636363641854E-11</v>
      </c>
      <c r="O190" s="369" t="s">
        <v>142</v>
      </c>
      <c r="P190" s="32"/>
      <c r="Q190" s="33"/>
      <c r="R190" s="15" t="s">
        <v>24</v>
      </c>
      <c r="S190" s="15" t="s">
        <v>144</v>
      </c>
      <c r="T190" s="30">
        <v>1.55E-2</v>
      </c>
      <c r="U190" s="30">
        <f>SQRT(12)</f>
        <v>3.4641016151377544</v>
      </c>
      <c r="V190" s="30">
        <f>0.0155/3.4641</f>
        <v>4.474466672440172E-3</v>
      </c>
      <c r="W190" s="15">
        <v>1</v>
      </c>
      <c r="X190" s="30">
        <f>V190*W190</f>
        <v>4.474466672440172E-3</v>
      </c>
      <c r="Y190" s="15">
        <f>12-1</f>
        <v>11</v>
      </c>
      <c r="Z190" s="20">
        <f>(0.0045^2)</f>
        <v>2.0249999999999998E-5</v>
      </c>
      <c r="AA190" s="375">
        <f>(0.0045^4)/11</f>
        <v>3.727840909090908E-11</v>
      </c>
    </row>
    <row r="191" spans="1:27" ht="18" customHeight="1">
      <c r="A191" s="735" t="s">
        <v>145</v>
      </c>
      <c r="B191" s="736"/>
      <c r="C191" s="737"/>
      <c r="D191" s="15" t="s">
        <v>24</v>
      </c>
      <c r="E191" s="15" t="s">
        <v>144</v>
      </c>
      <c r="F191" s="30">
        <f>F175</f>
        <v>0.95</v>
      </c>
      <c r="G191" s="30">
        <v>2</v>
      </c>
      <c r="H191" s="30">
        <f t="shared" ref="H191" si="57">F191/G191</f>
        <v>0.47499999999999998</v>
      </c>
      <c r="I191" s="15">
        <v>1</v>
      </c>
      <c r="J191" s="30">
        <f t="shared" si="55"/>
        <v>0.47499999999999998</v>
      </c>
      <c r="K191" s="19">
        <v>50</v>
      </c>
      <c r="L191" s="20">
        <f t="shared" ref="L191:L196" si="58">(H191*I191)^2</f>
        <v>0.22562499999999999</v>
      </c>
      <c r="M191" s="375">
        <f t="shared" si="56"/>
        <v>1.0181328124999999E-3</v>
      </c>
      <c r="O191" s="735" t="s">
        <v>145</v>
      </c>
      <c r="P191" s="736"/>
      <c r="Q191" s="737"/>
      <c r="R191" s="15" t="s">
        <v>24</v>
      </c>
      <c r="S191" s="15" t="s">
        <v>144</v>
      </c>
      <c r="T191" s="30">
        <v>0.95</v>
      </c>
      <c r="U191" s="30">
        <v>2</v>
      </c>
      <c r="V191" s="30">
        <f>0.95/2</f>
        <v>0.47499999999999998</v>
      </c>
      <c r="W191" s="15">
        <v>1</v>
      </c>
      <c r="X191" s="30">
        <f t="shared" ref="X191:X196" si="59">V191*W191</f>
        <v>0.47499999999999998</v>
      </c>
      <c r="Y191" s="19">
        <v>50</v>
      </c>
      <c r="Z191" s="20">
        <f>(0.475^2)</f>
        <v>0.22562499999999999</v>
      </c>
      <c r="AA191" s="375">
        <f>(0.475^4)/50</f>
        <v>1.0181328124999999E-3</v>
      </c>
    </row>
    <row r="192" spans="1:27" ht="18" customHeight="1">
      <c r="A192" s="735" t="s">
        <v>146</v>
      </c>
      <c r="B192" s="736"/>
      <c r="C192" s="737"/>
      <c r="D192" s="15" t="s">
        <v>24</v>
      </c>
      <c r="E192" s="15" t="s">
        <v>147</v>
      </c>
      <c r="F192" s="30">
        <f>F191/3</f>
        <v>0.31666666666666665</v>
      </c>
      <c r="G192" s="30">
        <f>SQRT(3)</f>
        <v>1.7320508075688772</v>
      </c>
      <c r="H192" s="30">
        <f>F192/G192</f>
        <v>0.1828275852433815</v>
      </c>
      <c r="I192" s="19">
        <v>1</v>
      </c>
      <c r="J192" s="30">
        <f t="shared" si="55"/>
        <v>0.1828275852433815</v>
      </c>
      <c r="K192" s="19">
        <v>50</v>
      </c>
      <c r="L192" s="20">
        <f t="shared" si="58"/>
        <v>3.3425925925925928E-2</v>
      </c>
      <c r="M192" s="375">
        <f t="shared" si="56"/>
        <v>2.2345850480109746E-5</v>
      </c>
      <c r="O192" s="735" t="s">
        <v>146</v>
      </c>
      <c r="P192" s="736"/>
      <c r="Q192" s="737"/>
      <c r="R192" s="15" t="s">
        <v>24</v>
      </c>
      <c r="S192" s="15" t="s">
        <v>147</v>
      </c>
      <c r="T192" s="30">
        <v>0.31669999999999998</v>
      </c>
      <c r="U192" s="30">
        <f>SQRT(3)</f>
        <v>1.7320508075688772</v>
      </c>
      <c r="V192" s="30">
        <f>0.3167/1.7321</f>
        <v>0.18284163731886149</v>
      </c>
      <c r="W192" s="19">
        <v>1</v>
      </c>
      <c r="X192" s="30">
        <f t="shared" si="59"/>
        <v>0.18284163731886149</v>
      </c>
      <c r="Y192" s="19">
        <v>50</v>
      </c>
      <c r="Z192" s="20">
        <f>(0.1828^2)</f>
        <v>3.3415839999999995E-2</v>
      </c>
      <c r="AA192" s="375">
        <f>(0.1828^4)/50</f>
        <v>2.2332367258111992E-5</v>
      </c>
    </row>
    <row r="193" spans="1:27" ht="18" customHeight="1">
      <c r="A193" s="732" t="s">
        <v>148</v>
      </c>
      <c r="B193" s="732"/>
      <c r="C193" s="732"/>
      <c r="D193" s="15" t="s">
        <v>24</v>
      </c>
      <c r="E193" s="15" t="str">
        <f>E177</f>
        <v>Triang</v>
      </c>
      <c r="F193" s="30">
        <f>F177</f>
        <v>0.1</v>
      </c>
      <c r="G193" s="30">
        <f>G177</f>
        <v>2.4494897427831779</v>
      </c>
      <c r="H193" s="30">
        <f t="shared" ref="H193:H195" si="60">F193/G193</f>
        <v>4.0824829046386304E-2</v>
      </c>
      <c r="I193" s="15">
        <v>1</v>
      </c>
      <c r="J193" s="30">
        <f t="shared" si="55"/>
        <v>4.0824829046386304E-2</v>
      </c>
      <c r="K193" s="19">
        <v>50</v>
      </c>
      <c r="L193" s="20">
        <f t="shared" si="58"/>
        <v>1.666666666666667E-3</v>
      </c>
      <c r="M193" s="375">
        <f t="shared" si="56"/>
        <v>5.5555555555555574E-8</v>
      </c>
      <c r="O193" s="732" t="s">
        <v>148</v>
      </c>
      <c r="P193" s="732"/>
      <c r="Q193" s="732"/>
      <c r="R193" s="15" t="s">
        <v>24</v>
      </c>
      <c r="S193" s="15" t="s">
        <v>147</v>
      </c>
      <c r="T193" s="30">
        <v>0.05</v>
      </c>
      <c r="U193" s="30">
        <f>SQRT(3)</f>
        <v>1.7320508075688772</v>
      </c>
      <c r="V193" s="30">
        <f>0.05/1.7321</f>
        <v>2.8866693608914036E-2</v>
      </c>
      <c r="W193" s="15">
        <v>1</v>
      </c>
      <c r="X193" s="30">
        <f t="shared" si="59"/>
        <v>2.8866693608914036E-2</v>
      </c>
      <c r="Y193" s="19">
        <v>50</v>
      </c>
      <c r="Z193" s="20">
        <f>(0.0289^2)</f>
        <v>8.3520999999999997E-4</v>
      </c>
      <c r="AA193" s="375">
        <f>(0.0289^4)/50</f>
        <v>1.3951514882E-8</v>
      </c>
    </row>
    <row r="194" spans="1:27" ht="18" customHeight="1">
      <c r="A194" s="732" t="s">
        <v>149</v>
      </c>
      <c r="B194" s="732"/>
      <c r="C194" s="732"/>
      <c r="D194" s="15" t="s">
        <v>24</v>
      </c>
      <c r="E194" s="15" t="s">
        <v>147</v>
      </c>
      <c r="F194" s="30">
        <f ca="1">'DB Standar'!L48</f>
        <v>0.72760000000000002</v>
      </c>
      <c r="G194" s="30">
        <f>SQRT(3)</f>
        <v>1.7320508075688772</v>
      </c>
      <c r="H194" s="30">
        <f t="shared" ca="1" si="60"/>
        <v>0.42008005586237174</v>
      </c>
      <c r="I194" s="15">
        <v>1</v>
      </c>
      <c r="J194" s="30">
        <f t="shared" ca="1" si="55"/>
        <v>0.42008005586237174</v>
      </c>
      <c r="K194" s="19">
        <v>50</v>
      </c>
      <c r="L194" s="20">
        <f t="shared" ca="1" si="58"/>
        <v>0.17646725333333335</v>
      </c>
      <c r="M194" s="375">
        <f t="shared" ca="1" si="56"/>
        <v>6.2281382998021699E-4</v>
      </c>
      <c r="O194" s="732" t="s">
        <v>149</v>
      </c>
      <c r="P194" s="732"/>
      <c r="Q194" s="732"/>
      <c r="R194" s="15" t="s">
        <v>24</v>
      </c>
      <c r="S194" s="15" t="s">
        <v>147</v>
      </c>
      <c r="T194" s="30">
        <v>0.72760000000000002</v>
      </c>
      <c r="U194" s="30">
        <f>SQRT(3)</f>
        <v>1.7320508075688772</v>
      </c>
      <c r="V194" s="30">
        <f>0.7276/1.7321</f>
        <v>0.42006812539691707</v>
      </c>
      <c r="W194" s="15">
        <v>1</v>
      </c>
      <c r="X194" s="30">
        <f t="shared" si="59"/>
        <v>0.42006812539691707</v>
      </c>
      <c r="Y194" s="19">
        <v>50</v>
      </c>
      <c r="Z194" s="20">
        <f>(0.4201^2)</f>
        <v>0.17648400999999997</v>
      </c>
      <c r="AA194" s="375">
        <f>(0.4201^4)/50</f>
        <v>6.2293211571360176E-4</v>
      </c>
    </row>
    <row r="195" spans="1:27" ht="18" customHeight="1">
      <c r="A195" s="735" t="s">
        <v>150</v>
      </c>
      <c r="B195" s="736"/>
      <c r="C195" s="737"/>
      <c r="D195" s="15" t="s">
        <v>24</v>
      </c>
      <c r="E195" s="15" t="s">
        <v>147</v>
      </c>
      <c r="F195" s="30">
        <f ca="1">'DB Standar'!K48</f>
        <v>0.44139999999999979</v>
      </c>
      <c r="G195" s="30">
        <f>SQRT(3)</f>
        <v>1.7320508075688772</v>
      </c>
      <c r="H195" s="30">
        <f t="shared" ca="1" si="60"/>
        <v>0.25484240882030068</v>
      </c>
      <c r="I195" s="15">
        <v>1</v>
      </c>
      <c r="J195" s="30">
        <f t="shared" ca="1" si="55"/>
        <v>0.25484240882030068</v>
      </c>
      <c r="K195" s="19">
        <v>50</v>
      </c>
      <c r="L195" s="20">
        <f t="shared" ca="1" si="58"/>
        <v>6.4944653333333269E-2</v>
      </c>
      <c r="M195" s="375">
        <f t="shared" ca="1" si="56"/>
        <v>8.4356159931736721E-5</v>
      </c>
      <c r="O195" s="735" t="s">
        <v>150</v>
      </c>
      <c r="P195" s="736"/>
      <c r="Q195" s="737"/>
      <c r="R195" s="15" t="s">
        <v>24</v>
      </c>
      <c r="S195" s="15" t="s">
        <v>147</v>
      </c>
      <c r="T195" s="30">
        <v>0.44140000000000001</v>
      </c>
      <c r="U195" s="30">
        <f>SQRT(3)</f>
        <v>1.7320508075688772</v>
      </c>
      <c r="V195" s="30">
        <f>0.4414/1.7321</f>
        <v>0.25483517117949311</v>
      </c>
      <c r="W195" s="15">
        <v>1</v>
      </c>
      <c r="X195" s="30">
        <f t="shared" si="59"/>
        <v>0.25483517117949311</v>
      </c>
      <c r="Y195" s="19">
        <v>50</v>
      </c>
      <c r="Z195" s="20">
        <f>(0.2548^2)</f>
        <v>6.4923040000000015E-2</v>
      </c>
      <c r="AA195" s="375">
        <f>(0.2548^4)/50</f>
        <v>8.4300022456832037E-5</v>
      </c>
    </row>
    <row r="196" spans="1:27" ht="18" customHeight="1">
      <c r="A196" s="732" t="s">
        <v>156</v>
      </c>
      <c r="B196" s="732"/>
      <c r="C196" s="732"/>
      <c r="D196" s="15" t="s">
        <v>24</v>
      </c>
      <c r="E196" s="15" t="s">
        <v>147</v>
      </c>
      <c r="F196" s="30">
        <f>F180</f>
        <v>0.14999999999999858</v>
      </c>
      <c r="G196" s="30">
        <f>SQRT(3)</f>
        <v>1.7320508075688772</v>
      </c>
      <c r="H196" s="30">
        <f>F196/G196</f>
        <v>8.6602540378443046E-2</v>
      </c>
      <c r="I196" s="15">
        <v>1</v>
      </c>
      <c r="J196" s="30">
        <f t="shared" si="55"/>
        <v>8.6602540378443046E-2</v>
      </c>
      <c r="K196" s="19">
        <v>50</v>
      </c>
      <c r="L196" s="20">
        <f t="shared" si="58"/>
        <v>7.4999999999998583E-3</v>
      </c>
      <c r="M196" s="375">
        <f>(J196)^4/K196</f>
        <v>1.1249999999999575E-6</v>
      </c>
      <c r="O196" s="732" t="s">
        <v>156</v>
      </c>
      <c r="P196" s="732"/>
      <c r="Q196" s="732"/>
      <c r="R196" s="15" t="s">
        <v>24</v>
      </c>
      <c r="S196" s="15" t="s">
        <v>147</v>
      </c>
      <c r="T196" s="30">
        <v>6.6699999999999995E-2</v>
      </c>
      <c r="U196" s="30">
        <f>SQRT(3)</f>
        <v>1.7320508075688772</v>
      </c>
      <c r="V196" s="30">
        <f>0.0667/1.7321</f>
        <v>3.8508169274291321E-2</v>
      </c>
      <c r="W196" s="15">
        <v>1</v>
      </c>
      <c r="X196" s="30">
        <f t="shared" si="59"/>
        <v>3.8508169274291321E-2</v>
      </c>
      <c r="Y196" s="19">
        <v>50</v>
      </c>
      <c r="Z196" s="20">
        <f>(0.0385^2)</f>
        <v>1.4822500000000001E-3</v>
      </c>
      <c r="AA196" s="375">
        <f>(0.0385^4)/50</f>
        <v>4.394130125000001E-8</v>
      </c>
    </row>
    <row r="197" spans="1:27" ht="18" customHeight="1">
      <c r="A197" s="13"/>
      <c r="B197" s="13"/>
      <c r="C197" s="13"/>
      <c r="D197" s="13"/>
      <c r="E197" s="14"/>
      <c r="F197" s="13"/>
      <c r="G197" s="13"/>
      <c r="H197" s="738" t="s">
        <v>151</v>
      </c>
      <c r="I197" s="738"/>
      <c r="J197" s="738"/>
      <c r="K197" s="738"/>
      <c r="L197" s="185">
        <f ca="1">SQRT(SUM(L190:L196))</f>
        <v>0.71389740107333288</v>
      </c>
      <c r="M197" s="186">
        <f ca="1">SUM(M190:M196)</f>
        <v>1.7488292448112554E-3</v>
      </c>
      <c r="O197" s="13"/>
      <c r="P197" s="13"/>
      <c r="Q197" s="13"/>
      <c r="R197" s="13"/>
      <c r="S197" s="14"/>
      <c r="T197" s="13"/>
      <c r="U197" s="13"/>
      <c r="V197" s="738" t="s">
        <v>151</v>
      </c>
      <c r="W197" s="738"/>
      <c r="X197" s="738"/>
      <c r="Y197" s="738"/>
      <c r="Z197" s="185">
        <f>SQRT(Z196+Z195+Z194+Z193+Z192+Z191+Z190)</f>
        <v>0.70907376203043926</v>
      </c>
      <c r="AA197" s="186">
        <f>AA196+AA195+AA194+AA193+AA192+AA191+AA190</f>
        <v>1.7477552480230866E-3</v>
      </c>
    </row>
    <row r="198" spans="1:27" ht="18" customHeight="1">
      <c r="A198" s="13"/>
      <c r="B198" s="13"/>
      <c r="C198" s="13"/>
      <c r="D198" s="13"/>
      <c r="E198" s="13"/>
      <c r="F198" s="13"/>
      <c r="G198" s="13"/>
      <c r="H198" s="732" t="s">
        <v>152</v>
      </c>
      <c r="I198" s="732"/>
      <c r="J198" s="732"/>
      <c r="K198" s="732"/>
      <c r="L198" s="22"/>
      <c r="M198" s="21">
        <f ca="1">L197^4/M197</f>
        <v>148.52371257277696</v>
      </c>
      <c r="O198" s="13"/>
      <c r="P198" s="13"/>
      <c r="Q198" s="13"/>
      <c r="R198" s="13"/>
      <c r="S198" s="13"/>
      <c r="T198" s="13"/>
      <c r="U198" s="13"/>
      <c r="V198" s="732" t="s">
        <v>152</v>
      </c>
      <c r="W198" s="732"/>
      <c r="X198" s="732"/>
      <c r="Y198" s="732"/>
      <c r="Z198" s="22"/>
      <c r="AA198" s="21">
        <f>(0.7091^4)/0.00174776</f>
        <v>144.65989509789449</v>
      </c>
    </row>
    <row r="199" spans="1:27" ht="18" customHeight="1">
      <c r="A199" s="13"/>
      <c r="B199" s="13"/>
      <c r="C199" s="13"/>
      <c r="D199" s="13"/>
      <c r="E199" s="13"/>
      <c r="F199" s="13"/>
      <c r="G199" s="13"/>
      <c r="H199" s="732" t="s">
        <v>153</v>
      </c>
      <c r="I199" s="732"/>
      <c r="J199" s="732"/>
      <c r="K199" s="732"/>
      <c r="L199" s="23"/>
      <c r="M199" s="367">
        <f ca="1">1.95996+(2.37356/M198)+(2.818745/M198^2)+(2.546662/M198^3)+(1.761829/M198^4)+(0.245458/M198^5)+(1.000764/M198^6)</f>
        <v>1.9760695784663749</v>
      </c>
      <c r="O199" s="13"/>
      <c r="P199" s="13"/>
      <c r="Q199" s="13"/>
      <c r="R199" s="13"/>
      <c r="S199" s="13"/>
      <c r="T199" s="13"/>
      <c r="U199" s="13"/>
      <c r="V199" s="732" t="s">
        <v>153</v>
      </c>
      <c r="W199" s="732"/>
      <c r="X199" s="732"/>
      <c r="Y199" s="732"/>
      <c r="Z199" s="23"/>
      <c r="AA199" s="367">
        <f>1.95996+(2.37356/AA198)+(2.818745/AA198^2)+(2.546662/AA198^3)+(1.761829/AA198^4)+(0.245458/AA198^5)+(1.000764/AA198^6)</f>
        <v>1.97650340756368</v>
      </c>
    </row>
    <row r="200" spans="1:27" ht="18" customHeight="1">
      <c r="A200" s="13"/>
      <c r="B200" s="13"/>
      <c r="C200" s="13"/>
      <c r="D200" s="13"/>
      <c r="E200" s="13"/>
      <c r="F200" s="13"/>
      <c r="G200" s="13"/>
      <c r="H200" s="733" t="s">
        <v>154</v>
      </c>
      <c r="I200" s="733"/>
      <c r="J200" s="733"/>
      <c r="K200" s="733"/>
      <c r="L200" s="24"/>
      <c r="M200" s="65">
        <f ca="1">L197*M199</f>
        <v>1.4107109364072214</v>
      </c>
      <c r="O200" s="13"/>
      <c r="P200" s="13"/>
      <c r="Q200" s="13"/>
      <c r="R200" s="13"/>
      <c r="S200" s="13"/>
      <c r="T200" s="13"/>
      <c r="U200" s="13"/>
      <c r="V200" s="733" t="s">
        <v>154</v>
      </c>
      <c r="W200" s="733"/>
      <c r="X200" s="733"/>
      <c r="Y200" s="733"/>
      <c r="Z200" s="24"/>
      <c r="AA200" s="65">
        <f>0.7091*1.98</f>
        <v>1.404018</v>
      </c>
    </row>
    <row r="201" spans="1:27" s="10" customFormat="1" ht="16.05" customHeight="1">
      <c r="A201" s="739"/>
      <c r="B201" s="739"/>
      <c r="C201" s="181"/>
      <c r="D201" s="181"/>
      <c r="E201" s="180"/>
      <c r="F201" s="180"/>
      <c r="G201" s="180"/>
      <c r="H201" s="180"/>
      <c r="I201" s="180"/>
      <c r="J201" s="180"/>
    </row>
    <row r="202" spans="1:27" ht="18" customHeight="1">
      <c r="A202" s="13" t="s">
        <v>128</v>
      </c>
      <c r="B202" s="14">
        <f>B186</f>
        <v>0.1</v>
      </c>
      <c r="C202" s="13" t="s">
        <v>24</v>
      </c>
      <c r="D202" s="14"/>
      <c r="E202" s="13"/>
      <c r="F202" s="13"/>
      <c r="G202" s="13"/>
      <c r="H202" s="13"/>
      <c r="I202" s="13"/>
      <c r="J202" s="13"/>
      <c r="K202" s="13"/>
      <c r="L202" s="13"/>
      <c r="M202" s="13"/>
    </row>
    <row r="203" spans="1:27" ht="18" customHeight="1">
      <c r="A203" s="13" t="s">
        <v>130</v>
      </c>
      <c r="B203" s="14">
        <f>ID!B79</f>
        <v>70</v>
      </c>
      <c r="C203" s="13" t="s">
        <v>24</v>
      </c>
      <c r="D203" s="13"/>
      <c r="E203" s="13"/>
      <c r="F203" s="13"/>
      <c r="G203" s="13"/>
      <c r="H203" s="13"/>
      <c r="I203" s="18"/>
      <c r="J203" s="13"/>
      <c r="K203" s="13"/>
      <c r="L203" s="13"/>
      <c r="M203" s="13"/>
    </row>
    <row r="204" spans="1:27" ht="18" customHeight="1">
      <c r="A204" s="734" t="s">
        <v>131</v>
      </c>
      <c r="B204" s="734"/>
      <c r="C204" s="734"/>
      <c r="D204" s="734" t="s">
        <v>132</v>
      </c>
      <c r="E204" s="734" t="s">
        <v>133</v>
      </c>
      <c r="F204" s="734" t="s">
        <v>134</v>
      </c>
      <c r="G204" s="734" t="s">
        <v>135</v>
      </c>
      <c r="H204" s="734" t="s">
        <v>136</v>
      </c>
      <c r="I204" s="734" t="s">
        <v>137</v>
      </c>
      <c r="J204" s="734" t="s">
        <v>138</v>
      </c>
      <c r="K204" s="734" t="s">
        <v>139</v>
      </c>
      <c r="L204" s="734" t="s">
        <v>140</v>
      </c>
      <c r="M204" s="734" t="s">
        <v>141</v>
      </c>
      <c r="O204" s="734" t="s">
        <v>131</v>
      </c>
      <c r="P204" s="734"/>
      <c r="Q204" s="734"/>
      <c r="R204" s="734" t="s">
        <v>132</v>
      </c>
      <c r="S204" s="734" t="s">
        <v>133</v>
      </c>
      <c r="T204" s="734" t="s">
        <v>134</v>
      </c>
      <c r="U204" s="734" t="s">
        <v>135</v>
      </c>
      <c r="V204" s="734" t="s">
        <v>136</v>
      </c>
      <c r="W204" s="734" t="s">
        <v>137</v>
      </c>
      <c r="X204" s="734" t="s">
        <v>138</v>
      </c>
      <c r="Y204" s="734" t="s">
        <v>139</v>
      </c>
      <c r="Z204" s="734" t="s">
        <v>140</v>
      </c>
      <c r="AA204" s="734" t="s">
        <v>141</v>
      </c>
    </row>
    <row r="205" spans="1:27" ht="18" customHeight="1">
      <c r="A205" s="734"/>
      <c r="B205" s="734"/>
      <c r="C205" s="734"/>
      <c r="D205" s="734"/>
      <c r="E205" s="734"/>
      <c r="F205" s="734"/>
      <c r="G205" s="734"/>
      <c r="H205" s="734"/>
      <c r="I205" s="734"/>
      <c r="J205" s="734"/>
      <c r="K205" s="734"/>
      <c r="L205" s="734"/>
      <c r="M205" s="734"/>
      <c r="O205" s="734"/>
      <c r="P205" s="734"/>
      <c r="Q205" s="734"/>
      <c r="R205" s="734"/>
      <c r="S205" s="734"/>
      <c r="T205" s="734"/>
      <c r="U205" s="734"/>
      <c r="V205" s="734"/>
      <c r="W205" s="734"/>
      <c r="X205" s="734"/>
      <c r="Y205" s="734"/>
      <c r="Z205" s="734"/>
      <c r="AA205" s="734"/>
    </row>
    <row r="206" spans="1:27" ht="18" customHeight="1">
      <c r="A206" s="31" t="s">
        <v>142</v>
      </c>
      <c r="B206" s="32"/>
      <c r="C206" s="33"/>
      <c r="D206" s="15" t="s">
        <v>24</v>
      </c>
      <c r="E206" s="15" t="s">
        <v>144</v>
      </c>
      <c r="F206" s="30">
        <f>ID!M81</f>
        <v>4.0824829046407184E-3</v>
      </c>
      <c r="G206" s="30">
        <f>SQRT(12)</f>
        <v>3.4641016151377544</v>
      </c>
      <c r="H206" s="30">
        <f>F206/G206</f>
        <v>1.1785113019781822E-3</v>
      </c>
      <c r="I206" s="15">
        <v>1</v>
      </c>
      <c r="J206" s="30">
        <f>H206*I206</f>
        <v>1.1785113019781822E-3</v>
      </c>
      <c r="K206" s="15">
        <f>12-1</f>
        <v>11</v>
      </c>
      <c r="L206" s="20">
        <f>J206^2</f>
        <v>1.3888888888903101E-6</v>
      </c>
      <c r="M206" s="371">
        <f t="shared" ref="M206:M211" si="61">(J206)^4/K206</f>
        <v>1.7536475869845089E-13</v>
      </c>
      <c r="O206" s="369" t="s">
        <v>142</v>
      </c>
      <c r="P206" s="32"/>
      <c r="Q206" s="33"/>
      <c r="R206" s="15" t="s">
        <v>24</v>
      </c>
      <c r="S206" s="15" t="s">
        <v>144</v>
      </c>
      <c r="T206" s="30">
        <v>2.2499999999999999E-2</v>
      </c>
      <c r="U206" s="30">
        <f>SQRT(12)</f>
        <v>3.4641016151377544</v>
      </c>
      <c r="V206" s="30">
        <f>0.0225/3.641</f>
        <v>6.1796209832463605E-3</v>
      </c>
      <c r="W206" s="15">
        <v>1</v>
      </c>
      <c r="X206" s="30">
        <f>V206*1</f>
        <v>6.1796209832463605E-3</v>
      </c>
      <c r="Y206" s="15">
        <f>12-1</f>
        <v>11</v>
      </c>
      <c r="Z206" s="20">
        <f>(0.0062^2)</f>
        <v>3.8439999999999998E-5</v>
      </c>
      <c r="AA206" s="375">
        <f>(0.0062^4)/11</f>
        <v>1.3433032727272727E-10</v>
      </c>
    </row>
    <row r="207" spans="1:27" ht="18" customHeight="1">
      <c r="A207" s="735" t="s">
        <v>145</v>
      </c>
      <c r="B207" s="736"/>
      <c r="C207" s="737"/>
      <c r="D207" s="15" t="s">
        <v>24</v>
      </c>
      <c r="E207" s="15" t="s">
        <v>144</v>
      </c>
      <c r="F207" s="30">
        <f>F134</f>
        <v>0.95</v>
      </c>
      <c r="G207" s="30">
        <v>2</v>
      </c>
      <c r="H207" s="30">
        <f t="shared" ref="H207" si="62">F207/G207</f>
        <v>0.47499999999999998</v>
      </c>
      <c r="I207" s="15">
        <v>1</v>
      </c>
      <c r="J207" s="30">
        <f t="shared" ref="J207:J211" si="63">H207*I207</f>
        <v>0.47499999999999998</v>
      </c>
      <c r="K207" s="19">
        <v>50</v>
      </c>
      <c r="L207" s="20">
        <f t="shared" ref="L207:L211" si="64">(H207*I207)^2</f>
        <v>0.22562499999999999</v>
      </c>
      <c r="M207" s="371">
        <f t="shared" si="61"/>
        <v>1.0181328124999999E-3</v>
      </c>
      <c r="O207" s="735" t="s">
        <v>145</v>
      </c>
      <c r="P207" s="736"/>
      <c r="Q207" s="737"/>
      <c r="R207" s="15" t="s">
        <v>24</v>
      </c>
      <c r="S207" s="15" t="s">
        <v>144</v>
      </c>
      <c r="T207" s="30">
        <v>0.95</v>
      </c>
      <c r="U207" s="30">
        <v>2</v>
      </c>
      <c r="V207" s="30">
        <f>0.95/2</f>
        <v>0.47499999999999998</v>
      </c>
      <c r="W207" s="15">
        <v>1</v>
      </c>
      <c r="X207" s="30">
        <f t="shared" ref="X207:X212" si="65">V207*1</f>
        <v>0.47499999999999998</v>
      </c>
      <c r="Y207" s="19">
        <v>50</v>
      </c>
      <c r="Z207" s="20">
        <f>0.475^2</f>
        <v>0.22562499999999999</v>
      </c>
      <c r="AA207" s="375">
        <f>(0.475^4)/50</f>
        <v>1.0181328124999999E-3</v>
      </c>
    </row>
    <row r="208" spans="1:27" ht="18" customHeight="1">
      <c r="A208" s="735" t="s">
        <v>146</v>
      </c>
      <c r="B208" s="736"/>
      <c r="C208" s="737"/>
      <c r="D208" s="15" t="s">
        <v>24</v>
      </c>
      <c r="E208" s="15" t="s">
        <v>147</v>
      </c>
      <c r="F208" s="30">
        <f>F207/3</f>
        <v>0.31666666666666665</v>
      </c>
      <c r="G208" s="30">
        <f>SQRT(3)</f>
        <v>1.7320508075688772</v>
      </c>
      <c r="H208" s="30">
        <f>F208/G208</f>
        <v>0.1828275852433815</v>
      </c>
      <c r="I208" s="19">
        <v>1</v>
      </c>
      <c r="J208" s="30">
        <f t="shared" si="63"/>
        <v>0.1828275852433815</v>
      </c>
      <c r="K208" s="19">
        <v>50</v>
      </c>
      <c r="L208" s="20">
        <f t="shared" si="64"/>
        <v>3.3425925925925928E-2</v>
      </c>
      <c r="M208" s="371">
        <f t="shared" si="61"/>
        <v>2.2345850480109746E-5</v>
      </c>
      <c r="O208" s="735" t="s">
        <v>146</v>
      </c>
      <c r="P208" s="736"/>
      <c r="Q208" s="737"/>
      <c r="R208" s="15" t="s">
        <v>24</v>
      </c>
      <c r="S208" s="15" t="s">
        <v>147</v>
      </c>
      <c r="T208" s="30">
        <v>0.31669999999999998</v>
      </c>
      <c r="U208" s="30">
        <f>SQRT(3)</f>
        <v>1.7320508075688772</v>
      </c>
      <c r="V208" s="30">
        <f>0.3167/1.7321</f>
        <v>0.18284163731886149</v>
      </c>
      <c r="W208" s="19">
        <v>1</v>
      </c>
      <c r="X208" s="30">
        <f t="shared" si="65"/>
        <v>0.18284163731886149</v>
      </c>
      <c r="Y208" s="19">
        <v>50</v>
      </c>
      <c r="Z208" s="20">
        <f>0.1828^2</f>
        <v>3.3415839999999995E-2</v>
      </c>
      <c r="AA208" s="375">
        <f>(0.1828^4)/50</f>
        <v>2.2332367258111992E-5</v>
      </c>
    </row>
    <row r="209" spans="1:27" ht="18" customHeight="1">
      <c r="A209" s="732" t="s">
        <v>148</v>
      </c>
      <c r="B209" s="732"/>
      <c r="C209" s="732"/>
      <c r="D209" s="15" t="s">
        <v>24</v>
      </c>
      <c r="E209" s="15" t="str">
        <f>E193</f>
        <v>Triang</v>
      </c>
      <c r="F209" s="30">
        <f>F193</f>
        <v>0.1</v>
      </c>
      <c r="G209" s="30">
        <f>G193</f>
        <v>2.4494897427831779</v>
      </c>
      <c r="H209" s="30">
        <f t="shared" ref="H209:H211" si="66">F209/G209</f>
        <v>4.0824829046386304E-2</v>
      </c>
      <c r="I209" s="15">
        <v>1</v>
      </c>
      <c r="J209" s="30">
        <f t="shared" si="63"/>
        <v>4.0824829046386304E-2</v>
      </c>
      <c r="K209" s="19">
        <v>50</v>
      </c>
      <c r="L209" s="20">
        <f t="shared" si="64"/>
        <v>1.666666666666667E-3</v>
      </c>
      <c r="M209" s="371">
        <f t="shared" si="61"/>
        <v>5.5555555555555574E-8</v>
      </c>
      <c r="O209" s="732" t="s">
        <v>148</v>
      </c>
      <c r="P209" s="732"/>
      <c r="Q209" s="732"/>
      <c r="R209" s="15" t="s">
        <v>24</v>
      </c>
      <c r="S209" s="15" t="s">
        <v>147</v>
      </c>
      <c r="T209" s="30">
        <v>0.05</v>
      </c>
      <c r="U209" s="30">
        <f>SQRT(3)</f>
        <v>1.7320508075688772</v>
      </c>
      <c r="V209" s="30">
        <f>0.05/1.7321</f>
        <v>2.8866693608914036E-2</v>
      </c>
      <c r="W209" s="15">
        <v>1</v>
      </c>
      <c r="X209" s="30">
        <f t="shared" si="65"/>
        <v>2.8866693608914036E-2</v>
      </c>
      <c r="Y209" s="19">
        <v>50</v>
      </c>
      <c r="Z209" s="20">
        <f>0.0289^2</f>
        <v>8.3520999999999997E-4</v>
      </c>
      <c r="AA209" s="375">
        <f>(0.0289^4)/50</f>
        <v>1.3951514882E-8</v>
      </c>
    </row>
    <row r="210" spans="1:27" ht="18" customHeight="1">
      <c r="A210" s="732" t="s">
        <v>149</v>
      </c>
      <c r="B210" s="732"/>
      <c r="C210" s="732"/>
      <c r="D210" s="15" t="s">
        <v>24</v>
      </c>
      <c r="E210" s="15" t="s">
        <v>147</v>
      </c>
      <c r="F210" s="30">
        <f ca="1">'DB Standar'!L49</f>
        <v>0.93116666666666692</v>
      </c>
      <c r="G210" s="30">
        <f>SQRT(3)</f>
        <v>1.7320508075688772</v>
      </c>
      <c r="H210" s="30">
        <f t="shared" ca="1" si="66"/>
        <v>0.53760932566040676</v>
      </c>
      <c r="I210" s="15">
        <v>1</v>
      </c>
      <c r="J210" s="30">
        <f t="shared" ca="1" si="63"/>
        <v>0.53760932566040676</v>
      </c>
      <c r="K210" s="19">
        <v>50</v>
      </c>
      <c r="L210" s="20">
        <f t="shared" ca="1" si="64"/>
        <v>0.28902378703703729</v>
      </c>
      <c r="M210" s="371">
        <f t="shared" ca="1" si="61"/>
        <v>1.6706949894646137E-3</v>
      </c>
      <c r="O210" s="732" t="s">
        <v>149</v>
      </c>
      <c r="P210" s="732"/>
      <c r="Q210" s="732"/>
      <c r="R210" s="15" t="s">
        <v>24</v>
      </c>
      <c r="S210" s="15" t="s">
        <v>147</v>
      </c>
      <c r="T210" s="30">
        <v>0.87270000000000003</v>
      </c>
      <c r="U210" s="30">
        <f>SQRT(3)</f>
        <v>1.7320508075688772</v>
      </c>
      <c r="V210" s="30">
        <f>0.8727/1.7321</f>
        <v>0.50383927024998554</v>
      </c>
      <c r="W210" s="15">
        <v>1</v>
      </c>
      <c r="X210" s="30">
        <f t="shared" si="65"/>
        <v>0.50383927024998554</v>
      </c>
      <c r="Y210" s="19">
        <v>50</v>
      </c>
      <c r="Z210" s="20">
        <f>0.5038^2</f>
        <v>0.25381444000000003</v>
      </c>
      <c r="AA210" s="375">
        <f>(0.5038^4)/50</f>
        <v>1.2884353990502723E-3</v>
      </c>
    </row>
    <row r="211" spans="1:27" ht="18" customHeight="1">
      <c r="A211" s="735" t="s">
        <v>150</v>
      </c>
      <c r="B211" s="736"/>
      <c r="C211" s="737"/>
      <c r="D211" s="15" t="s">
        <v>24</v>
      </c>
      <c r="E211" s="15" t="s">
        <v>147</v>
      </c>
      <c r="F211" s="30">
        <f ca="1">'DB Standar'!K49</f>
        <v>0.74675000000000002</v>
      </c>
      <c r="G211" s="30">
        <f>SQRT(3)</f>
        <v>1.7320508075688772</v>
      </c>
      <c r="H211" s="30">
        <f t="shared" ca="1" si="66"/>
        <v>0.4311363135173531</v>
      </c>
      <c r="I211" s="15">
        <v>1</v>
      </c>
      <c r="J211" s="30">
        <f t="shared" ca="1" si="63"/>
        <v>0.4311363135173531</v>
      </c>
      <c r="K211" s="19">
        <v>50</v>
      </c>
      <c r="L211" s="20">
        <f t="shared" ca="1" si="64"/>
        <v>0.18587852083333339</v>
      </c>
      <c r="M211" s="371">
        <f t="shared" ca="1" si="61"/>
        <v>6.9101649014375916E-4</v>
      </c>
      <c r="O211" s="735" t="s">
        <v>150</v>
      </c>
      <c r="P211" s="736"/>
      <c r="Q211" s="737"/>
      <c r="R211" s="15" t="s">
        <v>24</v>
      </c>
      <c r="S211" s="15" t="s">
        <v>147</v>
      </c>
      <c r="T211" s="30">
        <v>0.67879999999999996</v>
      </c>
      <c r="U211" s="30">
        <f>SQRT(3)</f>
        <v>1.7320508075688772</v>
      </c>
      <c r="V211" s="30">
        <f>0.6788/1.7321</f>
        <v>0.39189423243461691</v>
      </c>
      <c r="W211" s="15">
        <v>1</v>
      </c>
      <c r="X211" s="30">
        <f t="shared" si="65"/>
        <v>0.39189423243461691</v>
      </c>
      <c r="Y211" s="19">
        <v>50</v>
      </c>
      <c r="Z211" s="20">
        <f>0.3919^2</f>
        <v>0.15358561000000001</v>
      </c>
      <c r="AA211" s="375">
        <f>(0.3919^4)/50</f>
        <v>4.7177079198144206E-4</v>
      </c>
    </row>
    <row r="212" spans="1:27" ht="18" customHeight="1">
      <c r="A212" s="732" t="s">
        <v>156</v>
      </c>
      <c r="B212" s="732"/>
      <c r="C212" s="732"/>
      <c r="D212" s="15" t="s">
        <v>24</v>
      </c>
      <c r="E212" s="15" t="s">
        <v>147</v>
      </c>
      <c r="F212" s="30">
        <f>F196</f>
        <v>0.14999999999999858</v>
      </c>
      <c r="G212" s="30">
        <f>SQRT(3)</f>
        <v>1.7320508075688772</v>
      </c>
      <c r="H212" s="30">
        <f>F212/G212</f>
        <v>8.6602540378443046E-2</v>
      </c>
      <c r="I212" s="15">
        <v>1</v>
      </c>
      <c r="J212" s="30">
        <f>H212*I212</f>
        <v>8.6602540378443046E-2</v>
      </c>
      <c r="K212" s="19">
        <v>50</v>
      </c>
      <c r="L212" s="20">
        <f>(H212*I212)^2</f>
        <v>7.4999999999998583E-3</v>
      </c>
      <c r="M212" s="371">
        <f>(J212)^4/K212</f>
        <v>1.1249999999999575E-6</v>
      </c>
      <c r="O212" s="732" t="s">
        <v>156</v>
      </c>
      <c r="P212" s="732"/>
      <c r="Q212" s="732"/>
      <c r="R212" s="15" t="s">
        <v>24</v>
      </c>
      <c r="S212" s="15" t="s">
        <v>147</v>
      </c>
      <c r="T212" s="30">
        <v>6.6699999999999995E-2</v>
      </c>
      <c r="U212" s="30">
        <f>SQRT(3)</f>
        <v>1.7320508075688772</v>
      </c>
      <c r="V212" s="30">
        <f>0.0667/1.7321</f>
        <v>3.8508169274291321E-2</v>
      </c>
      <c r="W212" s="15">
        <v>1</v>
      </c>
      <c r="X212" s="30">
        <f t="shared" si="65"/>
        <v>3.8508169274291321E-2</v>
      </c>
      <c r="Y212" s="19">
        <v>50</v>
      </c>
      <c r="Z212" s="20">
        <f>0.0385^2</f>
        <v>1.4822500000000001E-3</v>
      </c>
      <c r="AA212" s="375">
        <f>(0.0385^4)/50</f>
        <v>4.394130125000001E-8</v>
      </c>
    </row>
    <row r="213" spans="1:27" ht="18" customHeight="1">
      <c r="A213" s="13"/>
      <c r="B213" s="13"/>
      <c r="C213" s="13"/>
      <c r="D213" s="13"/>
      <c r="E213" s="14"/>
      <c r="F213" s="13"/>
      <c r="G213" s="13"/>
      <c r="H213" s="738" t="s">
        <v>151</v>
      </c>
      <c r="I213" s="738"/>
      <c r="J213" s="738"/>
      <c r="K213" s="738"/>
      <c r="L213" s="185">
        <f ca="1">SQRT(SUM(L206:L212))</f>
        <v>0.86204483024483824</v>
      </c>
      <c r="M213" s="186">
        <f ca="1">SUM(M206:M212)</f>
        <v>3.4033706983194029E-3</v>
      </c>
      <c r="O213" s="13"/>
      <c r="P213" s="13"/>
      <c r="Q213" s="13"/>
      <c r="R213" s="13"/>
      <c r="S213" s="14"/>
      <c r="T213" s="13"/>
      <c r="U213" s="13"/>
      <c r="V213" s="738" t="s">
        <v>151</v>
      </c>
      <c r="W213" s="738"/>
      <c r="X213" s="738"/>
      <c r="Y213" s="738"/>
      <c r="Z213" s="185">
        <f>SQRT(Z212+Z211+Z210+Z209+Z208+Z207+Z206)</f>
        <v>0.81779996943017785</v>
      </c>
      <c r="AA213" s="186">
        <f>AA212+AA211+AA210+AA209+AA208+AA207+AA206</f>
        <v>2.8007293979362856E-3</v>
      </c>
    </row>
    <row r="214" spans="1:27" ht="18" customHeight="1">
      <c r="A214" s="13"/>
      <c r="B214" s="13"/>
      <c r="C214" s="13"/>
      <c r="D214" s="13"/>
      <c r="E214" s="13"/>
      <c r="F214" s="13"/>
      <c r="G214" s="13"/>
      <c r="H214" s="732" t="s">
        <v>152</v>
      </c>
      <c r="I214" s="732"/>
      <c r="J214" s="732"/>
      <c r="K214" s="732"/>
      <c r="L214" s="22"/>
      <c r="M214" s="21">
        <f ca="1">L213^4/M213</f>
        <v>162.25950671804625</v>
      </c>
      <c r="O214" s="13"/>
      <c r="P214" s="13"/>
      <c r="Q214" s="13"/>
      <c r="R214" s="13"/>
      <c r="S214" s="13"/>
      <c r="T214" s="13"/>
      <c r="U214" s="13"/>
      <c r="V214" s="732" t="s">
        <v>152</v>
      </c>
      <c r="W214" s="732"/>
      <c r="X214" s="732"/>
      <c r="Y214" s="732"/>
      <c r="Z214" s="22"/>
      <c r="AA214" s="21">
        <f>(0.8178^4)/0.00280073</f>
        <v>159.7045103219466</v>
      </c>
    </row>
    <row r="215" spans="1:27" ht="18" customHeight="1">
      <c r="A215" s="13"/>
      <c r="B215" s="13"/>
      <c r="C215" s="13"/>
      <c r="D215" s="13"/>
      <c r="E215" s="13"/>
      <c r="F215" s="13"/>
      <c r="G215" s="13"/>
      <c r="H215" s="732" t="s">
        <v>153</v>
      </c>
      <c r="I215" s="732"/>
      <c r="J215" s="732"/>
      <c r="K215" s="732"/>
      <c r="L215" s="23"/>
      <c r="M215" s="367">
        <f ca="1">1.95996+(2.37356/M214)+(2.818745/M214^2)+(2.546662/M214^3)+(1.761829/M214^4)+(0.245458/M214^5)+(1.000764/M214^6)</f>
        <v>1.974695832873786</v>
      </c>
      <c r="O215" s="13"/>
      <c r="P215" s="13"/>
      <c r="Q215" s="13"/>
      <c r="R215" s="13"/>
      <c r="S215" s="13"/>
      <c r="T215" s="13"/>
      <c r="U215" s="13"/>
      <c r="V215" s="732" t="s">
        <v>153</v>
      </c>
      <c r="W215" s="732"/>
      <c r="X215" s="732"/>
      <c r="Y215" s="732"/>
      <c r="Z215" s="23"/>
      <c r="AA215" s="367">
        <f>1.95996+(2.37356/AA214)+(2.818745/AA214^2)+(2.546662/AA214^3)+(1.761829/AA214^4)+(0.245458/AA214^5)+(1.000764/AA214^6)</f>
        <v>1.9749333406247065</v>
      </c>
    </row>
    <row r="216" spans="1:27" ht="18" customHeight="1">
      <c r="A216" s="13"/>
      <c r="B216" s="13"/>
      <c r="C216" s="13"/>
      <c r="D216" s="13"/>
      <c r="E216" s="13"/>
      <c r="F216" s="13"/>
      <c r="G216" s="13"/>
      <c r="H216" s="733" t="s">
        <v>154</v>
      </c>
      <c r="I216" s="733"/>
      <c r="J216" s="733"/>
      <c r="K216" s="733"/>
      <c r="L216" s="24"/>
      <c r="M216" s="65">
        <f ca="1">L213*M215</f>
        <v>1.7022763340348723</v>
      </c>
      <c r="O216" s="13"/>
      <c r="P216" s="13"/>
      <c r="Q216" s="13"/>
      <c r="R216" s="13"/>
      <c r="S216" s="13"/>
      <c r="T216" s="13"/>
      <c r="U216" s="13"/>
      <c r="V216" s="733" t="s">
        <v>154</v>
      </c>
      <c r="W216" s="733"/>
      <c r="X216" s="733"/>
      <c r="Y216" s="733"/>
      <c r="Z216" s="24"/>
      <c r="AA216" s="65">
        <f>0.8178*1.97</f>
        <v>1.6110659999999999</v>
      </c>
    </row>
    <row r="217" spans="1:27" s="10" customFormat="1" ht="16.05" customHeight="1">
      <c r="A217" s="740"/>
      <c r="B217" s="740"/>
      <c r="C217" s="12"/>
      <c r="D217" s="12"/>
      <c r="E217" s="12"/>
      <c r="F217" s="12"/>
      <c r="G217" s="12"/>
      <c r="H217" s="12"/>
      <c r="I217" s="12"/>
      <c r="J217" s="12"/>
    </row>
    <row r="218" spans="1:27" s="10" customFormat="1" ht="16.05" customHeight="1"/>
    <row r="219" spans="1:27" s="10" customFormat="1" ht="16.05" customHeight="1"/>
    <row r="220" spans="1:27" s="10" customFormat="1" ht="16.05" customHeight="1"/>
    <row r="221" spans="1:27" s="10" customFormat="1" ht="16.05" customHeight="1"/>
    <row r="222" spans="1:27" s="10" customFormat="1" ht="16.05" customHeight="1"/>
    <row r="223" spans="1:27" ht="16.05" customHeight="1">
      <c r="L223" s="10"/>
      <c r="M223" s="10"/>
      <c r="N223" s="10"/>
      <c r="O223" s="10"/>
      <c r="P223" s="10"/>
    </row>
    <row r="224" spans="1:27" ht="16.05" customHeight="1">
      <c r="L224" s="10"/>
      <c r="M224" s="10"/>
      <c r="N224" s="10"/>
      <c r="O224" s="10"/>
      <c r="P224" s="10"/>
    </row>
    <row r="225" spans="12:16" ht="16.05" customHeight="1">
      <c r="L225" s="10"/>
      <c r="M225" s="10"/>
      <c r="N225" s="10"/>
      <c r="O225" s="10"/>
      <c r="P225" s="10"/>
    </row>
    <row r="226" spans="12:16" ht="16.05" customHeight="1">
      <c r="L226" s="10"/>
      <c r="M226" s="10"/>
      <c r="N226" s="10"/>
      <c r="O226" s="10"/>
      <c r="P226" s="10"/>
    </row>
    <row r="227" spans="12:16" ht="16.05" customHeight="1">
      <c r="L227" s="10"/>
      <c r="M227" s="10"/>
      <c r="N227" s="10"/>
      <c r="O227" s="10"/>
      <c r="P227" s="10"/>
    </row>
    <row r="228" spans="12:16" ht="16.05" customHeight="1">
      <c r="L228" s="10"/>
      <c r="M228" s="10"/>
      <c r="N228" s="10"/>
      <c r="O228" s="10"/>
      <c r="P228" s="10"/>
    </row>
    <row r="229" spans="12:16" ht="16.05" customHeight="1">
      <c r="L229" s="12"/>
      <c r="M229" s="12"/>
      <c r="N229" s="12"/>
    </row>
    <row r="230" spans="12:16" ht="16.05" customHeight="1">
      <c r="L230" s="25"/>
      <c r="M230" s="12"/>
      <c r="N230" s="25"/>
    </row>
    <row r="231" spans="12:16" ht="16.05" customHeight="1">
      <c r="L231" s="12"/>
      <c r="M231" s="12"/>
      <c r="N231" s="12"/>
    </row>
    <row r="232" spans="12:16" ht="16.05" customHeight="1"/>
    <row r="233" spans="12:16">
      <c r="L233" s="740"/>
      <c r="M233" s="740"/>
      <c r="N233" s="740"/>
    </row>
    <row r="234" spans="12:16">
      <c r="L234" s="12"/>
      <c r="M234" s="12"/>
      <c r="N234" s="12"/>
    </row>
    <row r="235" spans="12:16">
      <c r="L235" s="25"/>
      <c r="M235" s="12"/>
      <c r="N235" s="25"/>
    </row>
    <row r="236" spans="12:16">
      <c r="L236" s="12"/>
      <c r="M236" s="12"/>
      <c r="N236" s="12"/>
    </row>
    <row r="238" spans="12:16">
      <c r="L238" s="740"/>
      <c r="M238" s="740"/>
      <c r="N238" s="740"/>
    </row>
    <row r="239" spans="12:16">
      <c r="L239" s="12"/>
      <c r="M239" s="12"/>
      <c r="N239" s="12"/>
    </row>
    <row r="240" spans="12:16">
      <c r="L240" s="25"/>
      <c r="M240" s="12"/>
      <c r="N240" s="25"/>
    </row>
    <row r="241" spans="1:14">
      <c r="L241" s="12"/>
      <c r="M241" s="12"/>
      <c r="N241" s="12"/>
    </row>
    <row r="248" spans="1:14" s="11" customFormat="1"/>
    <row r="249" spans="1:14" s="11" customFormat="1"/>
    <row r="251" spans="1:14">
      <c r="A251" s="26"/>
      <c r="H251" s="26"/>
    </row>
  </sheetData>
  <sheetProtection algorithmName="SHA-512" hashValue="nUwyzNOhVA3mUp6j5oZAp6pqFBJZuA28ZKHb9B5oPbwqAtcGf2m+SC5178ekirVS98AK02AnJ0RBfJVtFSIF3A==" saltValue="W37Z5AKhev1u7OFENLOXFQ==" spinCount="100000" sheet="1" objects="1" scenarios="1"/>
  <mergeCells count="524">
    <mergeCell ref="V214:Y214"/>
    <mergeCell ref="V215:Y215"/>
    <mergeCell ref="V216:Y216"/>
    <mergeCell ref="Z204:Z205"/>
    <mergeCell ref="AA204:AA205"/>
    <mergeCell ref="O207:Q207"/>
    <mergeCell ref="O208:Q208"/>
    <mergeCell ref="O209:Q209"/>
    <mergeCell ref="O210:Q210"/>
    <mergeCell ref="O211:Q211"/>
    <mergeCell ref="O212:Q212"/>
    <mergeCell ref="V213:Y213"/>
    <mergeCell ref="V198:Y198"/>
    <mergeCell ref="V199:Y199"/>
    <mergeCell ref="V200:Y200"/>
    <mergeCell ref="O204:Q205"/>
    <mergeCell ref="R204:R205"/>
    <mergeCell ref="S204:S205"/>
    <mergeCell ref="T204:T205"/>
    <mergeCell ref="U204:U205"/>
    <mergeCell ref="V204:V205"/>
    <mergeCell ref="W204:W205"/>
    <mergeCell ref="X204:X205"/>
    <mergeCell ref="Y204:Y205"/>
    <mergeCell ref="Z188:Z189"/>
    <mergeCell ref="AA188:AA189"/>
    <mergeCell ref="O191:Q191"/>
    <mergeCell ref="O192:Q192"/>
    <mergeCell ref="O193:Q193"/>
    <mergeCell ref="O194:Q194"/>
    <mergeCell ref="O195:Q195"/>
    <mergeCell ref="O196:Q196"/>
    <mergeCell ref="V197:Y197"/>
    <mergeCell ref="V182:Y182"/>
    <mergeCell ref="V183:Y183"/>
    <mergeCell ref="V184:Y184"/>
    <mergeCell ref="O188:Q189"/>
    <mergeCell ref="R188:R189"/>
    <mergeCell ref="S188:S189"/>
    <mergeCell ref="T188:T189"/>
    <mergeCell ref="U188:U189"/>
    <mergeCell ref="V188:V189"/>
    <mergeCell ref="W188:W189"/>
    <mergeCell ref="X188:X189"/>
    <mergeCell ref="Y188:Y189"/>
    <mergeCell ref="Z172:Z173"/>
    <mergeCell ref="AA172:AA173"/>
    <mergeCell ref="O175:Q175"/>
    <mergeCell ref="O176:Q176"/>
    <mergeCell ref="O177:Q177"/>
    <mergeCell ref="O178:Q178"/>
    <mergeCell ref="O179:Q179"/>
    <mergeCell ref="O180:Q180"/>
    <mergeCell ref="V181:Y181"/>
    <mergeCell ref="O172:Q173"/>
    <mergeCell ref="R172:R173"/>
    <mergeCell ref="S172:S173"/>
    <mergeCell ref="T172:T173"/>
    <mergeCell ref="U172:U173"/>
    <mergeCell ref="V172:V173"/>
    <mergeCell ref="W172:W173"/>
    <mergeCell ref="X172:X173"/>
    <mergeCell ref="Y172:Y173"/>
    <mergeCell ref="V87:Y87"/>
    <mergeCell ref="V88:Y88"/>
    <mergeCell ref="O85:Q85"/>
    <mergeCell ref="V89:Y89"/>
    <mergeCell ref="Z77:Z78"/>
    <mergeCell ref="AA77:AA78"/>
    <mergeCell ref="O80:Q80"/>
    <mergeCell ref="O81:Q81"/>
    <mergeCell ref="O82:Q82"/>
    <mergeCell ref="O83:Q83"/>
    <mergeCell ref="O84:Q84"/>
    <mergeCell ref="V86:Y86"/>
    <mergeCell ref="V62:Y62"/>
    <mergeCell ref="V63:Y63"/>
    <mergeCell ref="O77:Q78"/>
    <mergeCell ref="R77:R78"/>
    <mergeCell ref="S77:S78"/>
    <mergeCell ref="T77:T78"/>
    <mergeCell ref="U77:U78"/>
    <mergeCell ref="V77:V78"/>
    <mergeCell ref="W77:W78"/>
    <mergeCell ref="X77:X78"/>
    <mergeCell ref="Y77:Y78"/>
    <mergeCell ref="Z52:Z53"/>
    <mergeCell ref="AA52:AA53"/>
    <mergeCell ref="O55:Q55"/>
    <mergeCell ref="O56:Q56"/>
    <mergeCell ref="O57:Q57"/>
    <mergeCell ref="O58:Q58"/>
    <mergeCell ref="O59:Q59"/>
    <mergeCell ref="V60:Y60"/>
    <mergeCell ref="V61:Y61"/>
    <mergeCell ref="V47:Y47"/>
    <mergeCell ref="V48:Y48"/>
    <mergeCell ref="O52:Q53"/>
    <mergeCell ref="R52:R53"/>
    <mergeCell ref="S52:S53"/>
    <mergeCell ref="T52:T53"/>
    <mergeCell ref="U52:U53"/>
    <mergeCell ref="V52:V53"/>
    <mergeCell ref="W52:W53"/>
    <mergeCell ref="X52:X53"/>
    <mergeCell ref="Y52:Y53"/>
    <mergeCell ref="Z37:Z38"/>
    <mergeCell ref="AA37:AA38"/>
    <mergeCell ref="O40:Q40"/>
    <mergeCell ref="O41:Q41"/>
    <mergeCell ref="O42:Q42"/>
    <mergeCell ref="O43:Q43"/>
    <mergeCell ref="O44:Q44"/>
    <mergeCell ref="V45:Y45"/>
    <mergeCell ref="V46:Y46"/>
    <mergeCell ref="O37:Q38"/>
    <mergeCell ref="R37:R38"/>
    <mergeCell ref="S37:S38"/>
    <mergeCell ref="T37:T38"/>
    <mergeCell ref="U37:U38"/>
    <mergeCell ref="V37:V38"/>
    <mergeCell ref="W37:W38"/>
    <mergeCell ref="X37:X38"/>
    <mergeCell ref="Y37:Y38"/>
    <mergeCell ref="AA22:AA23"/>
    <mergeCell ref="O25:Q25"/>
    <mergeCell ref="O26:Q26"/>
    <mergeCell ref="O27:Q27"/>
    <mergeCell ref="O28:Q28"/>
    <mergeCell ref="O29:Q29"/>
    <mergeCell ref="V30:Y30"/>
    <mergeCell ref="V31:Y31"/>
    <mergeCell ref="O22:Q23"/>
    <mergeCell ref="R22:R23"/>
    <mergeCell ref="S22:S23"/>
    <mergeCell ref="T22:T23"/>
    <mergeCell ref="U22:U23"/>
    <mergeCell ref="V22:V23"/>
    <mergeCell ref="W22:W23"/>
    <mergeCell ref="X22:X23"/>
    <mergeCell ref="Y22:Y23"/>
    <mergeCell ref="V32:Y32"/>
    <mergeCell ref="V33:Y33"/>
    <mergeCell ref="V17:Y17"/>
    <mergeCell ref="V18:Y18"/>
    <mergeCell ref="O4:AA4"/>
    <mergeCell ref="Z7:Z8"/>
    <mergeCell ref="AA7:AA8"/>
    <mergeCell ref="O10:Q10"/>
    <mergeCell ref="O11:Q11"/>
    <mergeCell ref="O12:Q12"/>
    <mergeCell ref="O13:Q13"/>
    <mergeCell ref="O14:Q14"/>
    <mergeCell ref="V15:Y15"/>
    <mergeCell ref="V16:Y16"/>
    <mergeCell ref="O7:Q8"/>
    <mergeCell ref="R7:R8"/>
    <mergeCell ref="S7:S8"/>
    <mergeCell ref="T7:T8"/>
    <mergeCell ref="U7:U8"/>
    <mergeCell ref="V7:V8"/>
    <mergeCell ref="W7:W8"/>
    <mergeCell ref="X7:X8"/>
    <mergeCell ref="Y7:Y8"/>
    <mergeCell ref="Z22:Z23"/>
    <mergeCell ref="H214:K214"/>
    <mergeCell ref="H215:K215"/>
    <mergeCell ref="H216:K216"/>
    <mergeCell ref="L204:L205"/>
    <mergeCell ref="M204:M205"/>
    <mergeCell ref="A207:C207"/>
    <mergeCell ref="A208:C208"/>
    <mergeCell ref="A209:C209"/>
    <mergeCell ref="A210:C210"/>
    <mergeCell ref="A211:C211"/>
    <mergeCell ref="A212:C212"/>
    <mergeCell ref="H213:K213"/>
    <mergeCell ref="H198:K198"/>
    <mergeCell ref="H199:K199"/>
    <mergeCell ref="H200:K200"/>
    <mergeCell ref="A201:B201"/>
    <mergeCell ref="A204:C205"/>
    <mergeCell ref="D204:D205"/>
    <mergeCell ref="E204:E205"/>
    <mergeCell ref="F204:F205"/>
    <mergeCell ref="G204:G205"/>
    <mergeCell ref="H204:H205"/>
    <mergeCell ref="I204:I205"/>
    <mergeCell ref="J204:J205"/>
    <mergeCell ref="K204:K205"/>
    <mergeCell ref="L188:L189"/>
    <mergeCell ref="M188:M189"/>
    <mergeCell ref="A191:C191"/>
    <mergeCell ref="A192:C192"/>
    <mergeCell ref="A193:C193"/>
    <mergeCell ref="A194:C194"/>
    <mergeCell ref="A195:C195"/>
    <mergeCell ref="A196:C196"/>
    <mergeCell ref="H197:K197"/>
    <mergeCell ref="H182:K182"/>
    <mergeCell ref="H183:K183"/>
    <mergeCell ref="H184:K184"/>
    <mergeCell ref="A185:B185"/>
    <mergeCell ref="A188:C189"/>
    <mergeCell ref="D188:D189"/>
    <mergeCell ref="E188:E189"/>
    <mergeCell ref="F188:F189"/>
    <mergeCell ref="G188:G189"/>
    <mergeCell ref="H188:H189"/>
    <mergeCell ref="I188:I189"/>
    <mergeCell ref="J188:J189"/>
    <mergeCell ref="K188:K189"/>
    <mergeCell ref="L172:L173"/>
    <mergeCell ref="M172:M173"/>
    <mergeCell ref="A175:C175"/>
    <mergeCell ref="A176:C176"/>
    <mergeCell ref="A177:C177"/>
    <mergeCell ref="A178:C178"/>
    <mergeCell ref="A179:C179"/>
    <mergeCell ref="A180:C180"/>
    <mergeCell ref="H181:K181"/>
    <mergeCell ref="A172:C173"/>
    <mergeCell ref="D172:D173"/>
    <mergeCell ref="E172:E173"/>
    <mergeCell ref="F172:F173"/>
    <mergeCell ref="G172:G173"/>
    <mergeCell ref="H172:H173"/>
    <mergeCell ref="I172:I173"/>
    <mergeCell ref="J172:J173"/>
    <mergeCell ref="K172:K173"/>
    <mergeCell ref="H160:K160"/>
    <mergeCell ref="H161:K161"/>
    <mergeCell ref="H162:K162"/>
    <mergeCell ref="A163:B163"/>
    <mergeCell ref="A164:B164"/>
    <mergeCell ref="A165:B165"/>
    <mergeCell ref="A166:B166"/>
    <mergeCell ref="A168:B168"/>
    <mergeCell ref="A169:B169"/>
    <mergeCell ref="L150:L151"/>
    <mergeCell ref="M150:M151"/>
    <mergeCell ref="A153:C153"/>
    <mergeCell ref="A154:C154"/>
    <mergeCell ref="A155:C155"/>
    <mergeCell ref="A156:C156"/>
    <mergeCell ref="A157:C157"/>
    <mergeCell ref="A158:C158"/>
    <mergeCell ref="H159:K159"/>
    <mergeCell ref="A150:C151"/>
    <mergeCell ref="D150:D151"/>
    <mergeCell ref="E150:E151"/>
    <mergeCell ref="F150:F151"/>
    <mergeCell ref="G150:G151"/>
    <mergeCell ref="H150:H151"/>
    <mergeCell ref="I150:I151"/>
    <mergeCell ref="J150:J151"/>
    <mergeCell ref="K150:K151"/>
    <mergeCell ref="A12:C12"/>
    <mergeCell ref="A13:C13"/>
    <mergeCell ref="A14:C14"/>
    <mergeCell ref="H15:K15"/>
    <mergeCell ref="H16:K16"/>
    <mergeCell ref="H17:K17"/>
    <mergeCell ref="H18:K18"/>
    <mergeCell ref="A146:M146"/>
    <mergeCell ref="A147:B147"/>
    <mergeCell ref="H142:K142"/>
    <mergeCell ref="H143:K143"/>
    <mergeCell ref="A137:C137"/>
    <mergeCell ref="A138:C138"/>
    <mergeCell ref="A139:C139"/>
    <mergeCell ref="H140:K140"/>
    <mergeCell ref="H141:K141"/>
    <mergeCell ref="L131:L132"/>
    <mergeCell ref="M131:M132"/>
    <mergeCell ref="A134:C134"/>
    <mergeCell ref="A135:C135"/>
    <mergeCell ref="A136:C136"/>
    <mergeCell ref="H127:K127"/>
    <mergeCell ref="A131:C132"/>
    <mergeCell ref="D131:D132"/>
    <mergeCell ref="E131:E132"/>
    <mergeCell ref="F131:F132"/>
    <mergeCell ref="G131:G132"/>
    <mergeCell ref="H131:H132"/>
    <mergeCell ref="I131:I132"/>
    <mergeCell ref="J131:J132"/>
    <mergeCell ref="K131:K132"/>
    <mergeCell ref="A122:C122"/>
    <mergeCell ref="A123:C123"/>
    <mergeCell ref="H124:K124"/>
    <mergeCell ref="H125:K125"/>
    <mergeCell ref="H126:K126"/>
    <mergeCell ref="M115:M116"/>
    <mergeCell ref="A118:C118"/>
    <mergeCell ref="A119:C119"/>
    <mergeCell ref="A120:C120"/>
    <mergeCell ref="A121:C121"/>
    <mergeCell ref="H115:H116"/>
    <mergeCell ref="I115:I116"/>
    <mergeCell ref="J115:J116"/>
    <mergeCell ref="K115:K116"/>
    <mergeCell ref="L115:L116"/>
    <mergeCell ref="A115:C116"/>
    <mergeCell ref="D115:D116"/>
    <mergeCell ref="E115:E116"/>
    <mergeCell ref="F115:F116"/>
    <mergeCell ref="G115:G116"/>
    <mergeCell ref="A107:C107"/>
    <mergeCell ref="H108:K108"/>
    <mergeCell ref="H109:K109"/>
    <mergeCell ref="H110:K110"/>
    <mergeCell ref="H111:K111"/>
    <mergeCell ref="A102:C102"/>
    <mergeCell ref="A103:C103"/>
    <mergeCell ref="A104:C104"/>
    <mergeCell ref="A105:C105"/>
    <mergeCell ref="A106:C106"/>
    <mergeCell ref="L99:L100"/>
    <mergeCell ref="M99:M100"/>
    <mergeCell ref="H89:K89"/>
    <mergeCell ref="A77:C78"/>
    <mergeCell ref="D77:D78"/>
    <mergeCell ref="E77:E78"/>
    <mergeCell ref="F77:F78"/>
    <mergeCell ref="G77:G78"/>
    <mergeCell ref="H77:H78"/>
    <mergeCell ref="I77:I78"/>
    <mergeCell ref="J77:J78"/>
    <mergeCell ref="K77:K78"/>
    <mergeCell ref="A80:C80"/>
    <mergeCell ref="A99:C100"/>
    <mergeCell ref="D99:D100"/>
    <mergeCell ref="E99:E100"/>
    <mergeCell ref="F99:F100"/>
    <mergeCell ref="G99:G100"/>
    <mergeCell ref="H99:H100"/>
    <mergeCell ref="I99:I100"/>
    <mergeCell ref="J99:J100"/>
    <mergeCell ref="K99:K100"/>
    <mergeCell ref="H88:K88"/>
    <mergeCell ref="A81:C81"/>
    <mergeCell ref="H62:K62"/>
    <mergeCell ref="H63:K63"/>
    <mergeCell ref="A58:C58"/>
    <mergeCell ref="A59:C59"/>
    <mergeCell ref="H60:K60"/>
    <mergeCell ref="H61:K61"/>
    <mergeCell ref="L52:L53"/>
    <mergeCell ref="M52:M53"/>
    <mergeCell ref="A55:C55"/>
    <mergeCell ref="A56:C56"/>
    <mergeCell ref="A57:C57"/>
    <mergeCell ref="A82:C82"/>
    <mergeCell ref="A83:C83"/>
    <mergeCell ref="A84:C84"/>
    <mergeCell ref="A85:C85"/>
    <mergeCell ref="L77:L78"/>
    <mergeCell ref="M77:M78"/>
    <mergeCell ref="H86:K86"/>
    <mergeCell ref="H87:K87"/>
    <mergeCell ref="A73:M73"/>
    <mergeCell ref="H48:K48"/>
    <mergeCell ref="A52:C53"/>
    <mergeCell ref="D52:D53"/>
    <mergeCell ref="E52:E53"/>
    <mergeCell ref="F52:F53"/>
    <mergeCell ref="G52:G53"/>
    <mergeCell ref="H52:H53"/>
    <mergeCell ref="I52:I53"/>
    <mergeCell ref="J52:J53"/>
    <mergeCell ref="K52:K53"/>
    <mergeCell ref="A44:C44"/>
    <mergeCell ref="H45:K45"/>
    <mergeCell ref="H46:K46"/>
    <mergeCell ref="H47:K47"/>
    <mergeCell ref="L37:L38"/>
    <mergeCell ref="M37:M38"/>
    <mergeCell ref="A40:C40"/>
    <mergeCell ref="A41:C41"/>
    <mergeCell ref="A42:C42"/>
    <mergeCell ref="A43:C43"/>
    <mergeCell ref="A2:M2"/>
    <mergeCell ref="A25:C25"/>
    <mergeCell ref="A26:C26"/>
    <mergeCell ref="A27:C27"/>
    <mergeCell ref="A28:C28"/>
    <mergeCell ref="K22:K23"/>
    <mergeCell ref="L22:L23"/>
    <mergeCell ref="M22:M23"/>
    <mergeCell ref="I22:I23"/>
    <mergeCell ref="A22:C23"/>
    <mergeCell ref="A4:M4"/>
    <mergeCell ref="A7:C8"/>
    <mergeCell ref="D7:D8"/>
    <mergeCell ref="E7:E8"/>
    <mergeCell ref="F7:F8"/>
    <mergeCell ref="G7:G8"/>
    <mergeCell ref="H7:H8"/>
    <mergeCell ref="I7:I8"/>
    <mergeCell ref="J7:J8"/>
    <mergeCell ref="K7:K8"/>
    <mergeCell ref="L7:L8"/>
    <mergeCell ref="M7:M8"/>
    <mergeCell ref="A10:C10"/>
    <mergeCell ref="A11:C11"/>
    <mergeCell ref="H33:K33"/>
    <mergeCell ref="A37:C38"/>
    <mergeCell ref="D37:D38"/>
    <mergeCell ref="E37:E38"/>
    <mergeCell ref="F37:F38"/>
    <mergeCell ref="G37:G38"/>
    <mergeCell ref="H37:H38"/>
    <mergeCell ref="I37:I38"/>
    <mergeCell ref="J37:J38"/>
    <mergeCell ref="K37:K38"/>
    <mergeCell ref="A145:B145"/>
    <mergeCell ref="A217:B217"/>
    <mergeCell ref="L233:N233"/>
    <mergeCell ref="L238:N238"/>
    <mergeCell ref="D22:D23"/>
    <mergeCell ref="E22:E23"/>
    <mergeCell ref="F22:F23"/>
    <mergeCell ref="G22:G23"/>
    <mergeCell ref="H22:H23"/>
    <mergeCell ref="J22:J23"/>
    <mergeCell ref="A95:B95"/>
    <mergeCell ref="A96:B96"/>
    <mergeCell ref="A112:B112"/>
    <mergeCell ref="A128:B128"/>
    <mergeCell ref="A144:B144"/>
    <mergeCell ref="A90:B90"/>
    <mergeCell ref="A29:C29"/>
    <mergeCell ref="H30:K30"/>
    <mergeCell ref="H31:K31"/>
    <mergeCell ref="A91:B91"/>
    <mergeCell ref="A92:B92"/>
    <mergeCell ref="A93:B93"/>
    <mergeCell ref="A74:B74"/>
    <mergeCell ref="H32:K32"/>
    <mergeCell ref="Z99:Z100"/>
    <mergeCell ref="AA99:AA100"/>
    <mergeCell ref="O102:Q102"/>
    <mergeCell ref="O103:Q103"/>
    <mergeCell ref="O104:Q104"/>
    <mergeCell ref="O105:Q105"/>
    <mergeCell ref="O106:Q106"/>
    <mergeCell ref="O107:Q107"/>
    <mergeCell ref="V108:Y108"/>
    <mergeCell ref="O99:Q100"/>
    <mergeCell ref="R99:R100"/>
    <mergeCell ref="S99:S100"/>
    <mergeCell ref="T99:T100"/>
    <mergeCell ref="U99:U100"/>
    <mergeCell ref="V99:V100"/>
    <mergeCell ref="W99:W100"/>
    <mergeCell ref="X99:X100"/>
    <mergeCell ref="Y99:Y100"/>
    <mergeCell ref="V109:Y109"/>
    <mergeCell ref="V110:Y110"/>
    <mergeCell ref="V111:Y111"/>
    <mergeCell ref="O115:Q116"/>
    <mergeCell ref="R115:R116"/>
    <mergeCell ref="S115:S116"/>
    <mergeCell ref="T115:T116"/>
    <mergeCell ref="U115:U116"/>
    <mergeCell ref="V115:V116"/>
    <mergeCell ref="W115:W116"/>
    <mergeCell ref="X115:X116"/>
    <mergeCell ref="Y115:Y116"/>
    <mergeCell ref="Z115:Z116"/>
    <mergeCell ref="AA115:AA116"/>
    <mergeCell ref="O118:Q118"/>
    <mergeCell ref="O119:Q119"/>
    <mergeCell ref="O120:Q120"/>
    <mergeCell ref="O121:Q121"/>
    <mergeCell ref="O122:Q122"/>
    <mergeCell ref="O123:Q123"/>
    <mergeCell ref="V124:Y124"/>
    <mergeCell ref="V125:Y125"/>
    <mergeCell ref="V126:Y126"/>
    <mergeCell ref="V127:Y127"/>
    <mergeCell ref="O131:Q132"/>
    <mergeCell ref="R131:R132"/>
    <mergeCell ref="S131:S132"/>
    <mergeCell ref="T131:T132"/>
    <mergeCell ref="U131:U132"/>
    <mergeCell ref="V131:V132"/>
    <mergeCell ref="W131:W132"/>
    <mergeCell ref="X131:X132"/>
    <mergeCell ref="Y131:Y132"/>
    <mergeCell ref="Z131:Z132"/>
    <mergeCell ref="AA131:AA132"/>
    <mergeCell ref="O134:Q134"/>
    <mergeCell ref="O135:Q135"/>
    <mergeCell ref="O136:Q136"/>
    <mergeCell ref="O137:Q137"/>
    <mergeCell ref="O138:Q138"/>
    <mergeCell ref="O139:Q139"/>
    <mergeCell ref="V140:Y140"/>
    <mergeCell ref="V141:Y141"/>
    <mergeCell ref="V142:Y142"/>
    <mergeCell ref="V143:Y143"/>
    <mergeCell ref="O150:Q151"/>
    <mergeCell ref="R150:R151"/>
    <mergeCell ref="S150:S151"/>
    <mergeCell ref="T150:T151"/>
    <mergeCell ref="U150:U151"/>
    <mergeCell ref="V150:V151"/>
    <mergeCell ref="W150:W151"/>
    <mergeCell ref="X150:X151"/>
    <mergeCell ref="Y150:Y151"/>
    <mergeCell ref="V160:Y160"/>
    <mergeCell ref="V161:Y161"/>
    <mergeCell ref="V162:Y162"/>
    <mergeCell ref="Z150:Z151"/>
    <mergeCell ref="AA150:AA151"/>
    <mergeCell ref="O153:Q153"/>
    <mergeCell ref="O154:Q154"/>
    <mergeCell ref="O155:Q155"/>
    <mergeCell ref="O156:Q156"/>
    <mergeCell ref="O157:Q157"/>
    <mergeCell ref="O158:Q158"/>
    <mergeCell ref="V159:Y159"/>
  </mergeCells>
  <printOptions horizontalCentered="1"/>
  <pageMargins left="0.511811023622047" right="0.23622047244094499" top="0.511811023622047" bottom="0.23622047244094499" header="0.23622047244094499" footer="0.23622047244094499"/>
  <pageSetup paperSize="9" scale="60" orientation="portrait" r:id="rId1"/>
  <headerFooter>
    <oddHeader>&amp;R&amp;"-,Regular"&amp;8SH.UB - 049-18 / Rev : 0</oddHeader>
    <oddFooter>&amp;C&amp;"-,Regular"&amp;8&amp;K00-020Software Thermohygrometer&amp;R&amp;K00-03222.8.2022</oddFooter>
  </headerFooter>
  <rowBreaks count="2" manualBreakCount="2">
    <brk id="72" max="13" man="1"/>
    <brk id="145" max="1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theme="9" tint="-0.249977111117893"/>
  </sheetPr>
  <dimension ref="A1:IZ74"/>
  <sheetViews>
    <sheetView showGridLines="0" view="pageBreakPreview" topLeftCell="A52" zoomScaleNormal="100" zoomScaleSheetLayoutView="100" workbookViewId="0">
      <selection activeCell="D69" sqref="D69"/>
    </sheetView>
  </sheetViews>
  <sheetFormatPr defaultColWidth="9" defaultRowHeight="15"/>
  <cols>
    <col min="1" max="1" width="4.21875" style="51" customWidth="1"/>
    <col min="2" max="2" width="4.5546875" style="51" customWidth="1"/>
    <col min="3" max="3" width="12.44140625" style="51" customWidth="1"/>
    <col min="4" max="4" width="13.44140625" style="4" customWidth="1"/>
    <col min="5" max="5" width="0.77734375" style="4" customWidth="1"/>
    <col min="6" max="6" width="14.5546875" style="4" customWidth="1"/>
    <col min="7" max="7" width="12.21875" style="4" customWidth="1"/>
    <col min="8" max="8" width="15.5546875" style="4" customWidth="1"/>
    <col min="9" max="10" width="11.44140625" style="4" customWidth="1"/>
    <col min="11" max="12" width="11" style="4" customWidth="1"/>
    <col min="13" max="13" width="7.21875" style="4" customWidth="1"/>
    <col min="14" max="14" width="10" style="4" customWidth="1"/>
    <col min="15" max="15" width="24.44140625" style="4" customWidth="1"/>
    <col min="16" max="16" width="13.77734375" style="62" customWidth="1"/>
    <col min="17" max="17" width="11.77734375" style="62" customWidth="1"/>
    <col min="18" max="18" width="9.44140625" style="4" customWidth="1"/>
    <col min="19" max="19" width="15.44140625" style="4" customWidth="1"/>
    <col min="20" max="20" width="16.21875" style="4" customWidth="1"/>
    <col min="21" max="260" width="9.21875" style="4" customWidth="1"/>
    <col min="261" max="16384" width="9" style="51"/>
  </cols>
  <sheetData>
    <row r="1" spans="1:27" ht="19.5" customHeight="1">
      <c r="A1" s="677" t="str">
        <f>IF(ID!G7=ID!O7,'Lembar Penyelia'!O1,'Lembar Penyelia'!O2)</f>
        <v>HASIL KALIBRASI THERMOHYGROMETER ANALOG</v>
      </c>
      <c r="B1" s="677"/>
      <c r="C1" s="677"/>
      <c r="D1" s="677"/>
      <c r="E1" s="677"/>
      <c r="F1" s="677"/>
      <c r="G1" s="677"/>
      <c r="H1" s="677"/>
      <c r="I1" s="677"/>
      <c r="J1" s="677"/>
      <c r="K1" s="677"/>
      <c r="L1" s="677"/>
      <c r="M1" s="677"/>
      <c r="N1" s="36"/>
      <c r="O1" s="677" t="s">
        <v>158</v>
      </c>
      <c r="P1" s="677"/>
      <c r="Q1" s="677"/>
      <c r="R1" s="677"/>
      <c r="S1" s="677"/>
      <c r="T1" s="677"/>
      <c r="U1" s="677"/>
      <c r="V1" s="677"/>
      <c r="W1" s="677"/>
      <c r="X1" s="677"/>
      <c r="Y1" s="677"/>
      <c r="Z1" s="677"/>
      <c r="AA1" s="677"/>
    </row>
    <row r="2" spans="1:27" ht="18.75" customHeight="1">
      <c r="A2" s="685" t="str">
        <f>ID!A2&amp;" "&amp;ID!I2</f>
        <v>Nomor Sertifikat : 84 / 1 / VII - 23 / E - 001 Dt</v>
      </c>
      <c r="B2" s="685"/>
      <c r="C2" s="685"/>
      <c r="D2" s="685"/>
      <c r="E2" s="685"/>
      <c r="F2" s="685"/>
      <c r="G2" s="685"/>
      <c r="H2" s="685"/>
      <c r="I2" s="685"/>
      <c r="J2" s="685"/>
      <c r="K2" s="685"/>
      <c r="L2" s="685"/>
      <c r="M2" s="685"/>
      <c r="N2" s="38"/>
      <c r="O2" s="677" t="s">
        <v>159</v>
      </c>
      <c r="P2" s="677"/>
      <c r="Q2" s="677"/>
      <c r="R2" s="677"/>
      <c r="S2" s="677"/>
      <c r="T2" s="677"/>
      <c r="U2" s="677"/>
      <c r="V2" s="677"/>
      <c r="W2" s="677"/>
      <c r="X2" s="677"/>
      <c r="Y2" s="677"/>
      <c r="Z2" s="677"/>
      <c r="AA2" s="677"/>
    </row>
    <row r="3" spans="1:27" ht="15.75" customHeight="1">
      <c r="D3" s="48"/>
      <c r="E3" s="48"/>
      <c r="F3" s="48"/>
      <c r="G3" s="48"/>
      <c r="H3" s="48"/>
      <c r="I3" s="48"/>
      <c r="J3" s="48"/>
      <c r="K3" s="48"/>
      <c r="L3" s="48"/>
      <c r="M3" s="48"/>
    </row>
    <row r="4" spans="1:27" s="4" customFormat="1" ht="15.75" customHeight="1">
      <c r="B4" s="38" t="s">
        <v>160</v>
      </c>
      <c r="E4" s="5" t="s">
        <v>3</v>
      </c>
      <c r="F4" s="39" t="str">
        <f>ID!E4</f>
        <v>Extech</v>
      </c>
      <c r="L4" s="5"/>
      <c r="P4" s="62"/>
      <c r="Q4" s="62"/>
    </row>
    <row r="5" spans="1:27" s="4" customFormat="1" ht="15.75" customHeight="1">
      <c r="B5" s="38" t="s">
        <v>161</v>
      </c>
      <c r="E5" s="5" t="s">
        <v>3</v>
      </c>
      <c r="F5" s="39" t="str">
        <f>ID!E5</f>
        <v>SD 700</v>
      </c>
      <c r="L5" s="5"/>
      <c r="P5" s="62"/>
      <c r="Q5" s="62"/>
    </row>
    <row r="6" spans="1:27" s="4" customFormat="1" ht="15.75" customHeight="1">
      <c r="B6" s="38" t="s">
        <v>162</v>
      </c>
      <c r="E6" s="5" t="s">
        <v>3</v>
      </c>
      <c r="F6" s="39" t="str">
        <f>ID!E6</f>
        <v>A.100611</v>
      </c>
      <c r="L6" s="5"/>
      <c r="P6" s="62"/>
      <c r="Q6" s="62"/>
    </row>
    <row r="7" spans="1:27" s="4" customFormat="1" ht="15.75" customHeight="1">
      <c r="B7" s="38" t="s">
        <v>163</v>
      </c>
      <c r="E7" s="5" t="s">
        <v>3</v>
      </c>
      <c r="F7" s="39">
        <f>ID!E7</f>
        <v>0.1</v>
      </c>
      <c r="H7" s="38"/>
      <c r="I7" s="38"/>
      <c r="J7" s="38"/>
      <c r="K7" s="5"/>
      <c r="P7" s="62"/>
      <c r="Q7" s="62"/>
    </row>
    <row r="8" spans="1:27" s="4" customFormat="1" ht="15.75" customHeight="1">
      <c r="B8" s="38" t="s">
        <v>164</v>
      </c>
      <c r="E8" s="5" t="s">
        <v>3</v>
      </c>
      <c r="F8" s="363">
        <f>ID!E8</f>
        <v>0.1</v>
      </c>
      <c r="H8" s="38"/>
      <c r="I8" s="38"/>
      <c r="J8" s="38"/>
      <c r="K8" s="5"/>
      <c r="M8" s="4">
        <f>ID!E8</f>
        <v>0.1</v>
      </c>
      <c r="P8" s="62"/>
      <c r="Q8" s="62"/>
    </row>
    <row r="9" spans="1:27" s="4" customFormat="1" ht="15.75" customHeight="1">
      <c r="B9" s="38" t="s">
        <v>11</v>
      </c>
      <c r="D9" s="5"/>
      <c r="E9" s="5" t="s">
        <v>3</v>
      </c>
      <c r="F9" s="39" t="str">
        <f>ID!E9</f>
        <v>4 Januari 2023</v>
      </c>
      <c r="H9" s="38"/>
      <c r="I9" s="38"/>
      <c r="J9" s="38"/>
      <c r="K9" s="5"/>
      <c r="M9" s="4" t="s">
        <v>299</v>
      </c>
      <c r="N9" s="4" t="s">
        <v>300</v>
      </c>
      <c r="P9" s="62"/>
      <c r="Q9" s="62"/>
    </row>
    <row r="10" spans="1:27" s="4" customFormat="1" ht="15.75" customHeight="1">
      <c r="B10" s="38" t="s">
        <v>165</v>
      </c>
      <c r="D10" s="5"/>
      <c r="E10" s="5" t="s">
        <v>3</v>
      </c>
      <c r="F10" s="39" t="str">
        <f>ID!E10</f>
        <v>4 Januari 2023</v>
      </c>
      <c r="I10" s="38"/>
      <c r="J10" s="38"/>
      <c r="K10" s="5"/>
      <c r="M10" s="4" t="s">
        <v>298</v>
      </c>
      <c r="P10" s="62"/>
      <c r="Q10" s="62"/>
    </row>
    <row r="11" spans="1:27" s="4" customFormat="1" ht="15.75" customHeight="1">
      <c r="B11" s="38" t="s">
        <v>166</v>
      </c>
      <c r="D11" s="5"/>
      <c r="E11" s="5" t="s">
        <v>3</v>
      </c>
      <c r="F11" s="39" t="str">
        <f>ID!E11</f>
        <v>Laboratorium Kalibrasi LPFK Banjarbaru</v>
      </c>
      <c r="I11" s="38"/>
      <c r="J11" s="38"/>
      <c r="K11" s="5"/>
      <c r="P11" s="62"/>
      <c r="Q11" s="62"/>
    </row>
    <row r="12" spans="1:27" s="4" customFormat="1" ht="15.75" customHeight="1">
      <c r="B12" s="38" t="s">
        <v>167</v>
      </c>
      <c r="D12" s="5"/>
      <c r="E12" s="5" t="s">
        <v>3</v>
      </c>
      <c r="F12" s="39" t="str">
        <f>ID!E12</f>
        <v>Laboratorium Kalibrasi LPFK Banjarbaru</v>
      </c>
      <c r="I12" s="38"/>
      <c r="J12" s="38"/>
      <c r="K12" s="5"/>
      <c r="P12" s="62"/>
      <c r="Q12" s="62"/>
    </row>
    <row r="13" spans="1:27" s="4" customFormat="1" ht="15.75" customHeight="1">
      <c r="B13" s="38" t="s">
        <v>168</v>
      </c>
      <c r="D13" s="5"/>
      <c r="E13" s="5" t="s">
        <v>3</v>
      </c>
      <c r="F13" s="39" t="str">
        <f>ID!E13</f>
        <v>MK 049-18</v>
      </c>
      <c r="I13" s="38"/>
      <c r="J13" s="38"/>
      <c r="K13" s="5"/>
      <c r="P13" s="62"/>
      <c r="Q13" s="62"/>
    </row>
    <row r="14" spans="1:27" s="4" customFormat="1" ht="17.100000000000001" customHeight="1">
      <c r="D14" s="38"/>
      <c r="E14" s="38"/>
      <c r="F14" s="38"/>
      <c r="G14" s="774"/>
      <c r="H14" s="774"/>
      <c r="I14" s="774"/>
      <c r="J14" s="774"/>
      <c r="K14" s="774"/>
      <c r="L14" s="774"/>
      <c r="M14" s="774"/>
      <c r="N14" s="774"/>
      <c r="P14" s="62"/>
      <c r="Q14" s="62"/>
    </row>
    <row r="15" spans="1:27" s="4" customFormat="1" ht="15.75" customHeight="1">
      <c r="A15" s="40" t="s">
        <v>17</v>
      </c>
      <c r="B15" s="41" t="s">
        <v>18</v>
      </c>
      <c r="F15" s="41"/>
      <c r="H15" s="49"/>
      <c r="I15" s="1"/>
      <c r="J15" s="38"/>
      <c r="K15" s="38"/>
      <c r="L15" s="38"/>
      <c r="M15" s="38"/>
      <c r="P15" s="62"/>
      <c r="Q15" s="62"/>
    </row>
    <row r="16" spans="1:27" s="4" customFormat="1" ht="15.75" customHeight="1">
      <c r="B16" s="66" t="s">
        <v>169</v>
      </c>
      <c r="D16" s="5"/>
      <c r="E16" s="5" t="s">
        <v>3</v>
      </c>
      <c r="F16" s="176" t="str">
        <f>'Db Thermohygro'!T381</f>
        <v>( 19.8 ± 0.6 ) °C</v>
      </c>
      <c r="H16" s="177"/>
      <c r="I16" s="178"/>
      <c r="J16" s="49"/>
      <c r="P16" s="62"/>
      <c r="Q16" s="62"/>
    </row>
    <row r="17" spans="1:24" s="4" customFormat="1" ht="15.75" customHeight="1">
      <c r="B17" s="66" t="s">
        <v>170</v>
      </c>
      <c r="D17" s="5"/>
      <c r="E17" s="5" t="s">
        <v>3</v>
      </c>
      <c r="F17" s="176" t="str">
        <f>'Db Thermohygro'!T382</f>
        <v>( 57.7 ± 2.3 ) %RH</v>
      </c>
      <c r="H17" s="179"/>
      <c r="J17" s="49"/>
      <c r="P17" s="62"/>
      <c r="Q17" s="62"/>
    </row>
    <row r="18" spans="1:24" s="4" customFormat="1" ht="9" customHeight="1">
      <c r="D18" s="40"/>
      <c r="E18" s="40"/>
      <c r="F18" s="40"/>
      <c r="G18" s="40"/>
      <c r="H18" s="38"/>
      <c r="M18" s="42"/>
      <c r="P18" s="62"/>
      <c r="Q18" s="62"/>
    </row>
    <row r="19" spans="1:24" s="4" customFormat="1" ht="15.75" customHeight="1">
      <c r="A19" s="40" t="s">
        <v>25</v>
      </c>
      <c r="B19" s="40" t="s">
        <v>26</v>
      </c>
      <c r="J19" s="42"/>
      <c r="L19" s="39"/>
      <c r="P19" s="62"/>
      <c r="Q19" s="62"/>
    </row>
    <row r="20" spans="1:24" s="4" customFormat="1" ht="15.75" customHeight="1">
      <c r="B20" s="39" t="s">
        <v>171</v>
      </c>
      <c r="D20" s="43"/>
      <c r="E20" s="43" t="s">
        <v>3</v>
      </c>
      <c r="F20" s="4" t="str">
        <f>ID!E20</f>
        <v>Baik</v>
      </c>
      <c r="I20" s="44"/>
      <c r="J20" s="44"/>
      <c r="K20" s="44"/>
      <c r="L20" s="44"/>
      <c r="M20" s="44"/>
      <c r="N20" s="44"/>
      <c r="P20" s="62"/>
      <c r="Q20" s="62"/>
      <c r="T20" s="61"/>
      <c r="U20" s="61"/>
      <c r="V20" s="61"/>
      <c r="W20" s="61"/>
    </row>
    <row r="21" spans="1:24" s="4" customFormat="1" ht="15.75" customHeight="1">
      <c r="B21" s="39" t="s">
        <v>172</v>
      </c>
      <c r="D21" s="128"/>
      <c r="E21" s="128" t="s">
        <v>3</v>
      </c>
      <c r="F21" s="4" t="str">
        <f>ID!E21</f>
        <v>Baik</v>
      </c>
      <c r="H21" s="61"/>
      <c r="I21" s="129"/>
      <c r="J21" s="129"/>
      <c r="K21" s="129"/>
      <c r="L21" s="129"/>
      <c r="M21" s="129"/>
      <c r="N21" s="129"/>
      <c r="O21" s="61"/>
      <c r="P21" s="778"/>
      <c r="Q21" s="778"/>
      <c r="R21" s="61"/>
      <c r="S21" s="61"/>
      <c r="T21" s="61"/>
      <c r="U21" s="61"/>
      <c r="V21" s="61"/>
      <c r="W21" s="61"/>
      <c r="X21" s="62"/>
    </row>
    <row r="22" spans="1:24" s="4" customFormat="1" ht="9" customHeight="1">
      <c r="D22" s="130"/>
      <c r="E22" s="130"/>
      <c r="F22" s="128"/>
      <c r="G22" s="61"/>
      <c r="H22" s="61"/>
      <c r="I22" s="131"/>
      <c r="J22" s="131"/>
      <c r="K22" s="131"/>
      <c r="L22" s="131"/>
      <c r="M22" s="131"/>
      <c r="N22" s="131"/>
      <c r="O22" s="61"/>
      <c r="P22" s="778"/>
      <c r="Q22" s="778"/>
      <c r="R22" s="61"/>
      <c r="S22" s="61"/>
      <c r="T22" s="156"/>
      <c r="U22" s="61"/>
      <c r="V22" s="61"/>
      <c r="W22" s="61"/>
      <c r="X22" s="62"/>
    </row>
    <row r="23" spans="1:24" s="4" customFormat="1" ht="15.75" customHeight="1">
      <c r="A23" s="40" t="s">
        <v>31</v>
      </c>
      <c r="B23" s="40" t="s">
        <v>32</v>
      </c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132"/>
      <c r="O23" s="766"/>
      <c r="P23" s="766"/>
      <c r="Q23" s="61"/>
      <c r="R23" s="133"/>
      <c r="S23" s="133"/>
      <c r="T23" s="107"/>
      <c r="U23" s="61"/>
      <c r="V23" s="61"/>
      <c r="W23" s="61"/>
    </row>
    <row r="24" spans="1:24" s="4" customFormat="1" ht="15.75" customHeight="1">
      <c r="B24" s="40"/>
      <c r="C24" s="40"/>
      <c r="D24" s="61"/>
      <c r="E24" s="61"/>
      <c r="F24" s="61"/>
      <c r="G24" s="61"/>
      <c r="H24" s="61"/>
      <c r="I24" s="61"/>
      <c r="J24" s="61"/>
      <c r="K24" s="61"/>
      <c r="L24" s="61"/>
      <c r="M24" s="61"/>
      <c r="N24" s="132"/>
      <c r="O24" s="158"/>
      <c r="P24" s="158"/>
      <c r="Q24" s="61"/>
      <c r="R24" s="133"/>
      <c r="S24" s="133"/>
      <c r="T24" s="107"/>
      <c r="U24" s="61"/>
      <c r="V24" s="61"/>
      <c r="W24" s="61"/>
    </row>
    <row r="25" spans="1:24" s="4" customFormat="1" ht="15.75" customHeight="1">
      <c r="B25" s="40" t="s">
        <v>173</v>
      </c>
      <c r="D25" s="61"/>
      <c r="E25" s="61"/>
      <c r="F25" s="61"/>
      <c r="G25" s="61"/>
      <c r="H25" s="61"/>
      <c r="I25" s="61"/>
      <c r="J25" s="61"/>
      <c r="K25" s="61"/>
      <c r="L25" s="61"/>
      <c r="M25" s="61"/>
      <c r="N25" s="132"/>
      <c r="O25" s="158"/>
      <c r="P25" s="158"/>
      <c r="Q25" s="61"/>
      <c r="R25" s="133"/>
      <c r="S25" s="133"/>
      <c r="T25" s="107"/>
      <c r="U25" s="61"/>
      <c r="V25" s="61"/>
      <c r="W25" s="61"/>
    </row>
    <row r="26" spans="1:24" s="4" customFormat="1" ht="15.75" customHeight="1">
      <c r="B26" s="723" t="s">
        <v>34</v>
      </c>
      <c r="C26" s="723" t="s">
        <v>174</v>
      </c>
      <c r="D26" s="769" t="s">
        <v>175</v>
      </c>
      <c r="E26" s="770"/>
      <c r="F26" s="723" t="s">
        <v>176</v>
      </c>
      <c r="G26" s="723" t="s">
        <v>177</v>
      </c>
      <c r="H26" s="723" t="s">
        <v>178</v>
      </c>
      <c r="I26" s="164"/>
      <c r="J26" s="672"/>
      <c r="K26" s="775"/>
      <c r="L26" s="775"/>
      <c r="M26" s="775"/>
      <c r="N26" s="775"/>
      <c r="O26" s="61"/>
      <c r="P26" s="128"/>
      <c r="Q26" s="61"/>
      <c r="R26" s="61"/>
      <c r="S26" s="61"/>
      <c r="T26" s="61"/>
      <c r="U26" s="61"/>
      <c r="V26" s="61"/>
      <c r="W26" s="61"/>
    </row>
    <row r="27" spans="1:24" s="4" customFormat="1" ht="15.75" customHeight="1">
      <c r="B27" s="723"/>
      <c r="C27" s="723"/>
      <c r="D27" s="729"/>
      <c r="E27" s="771"/>
      <c r="F27" s="723"/>
      <c r="G27" s="723"/>
      <c r="H27" s="723"/>
      <c r="I27" s="61"/>
      <c r="J27" s="672"/>
      <c r="K27" s="775"/>
      <c r="L27" s="775"/>
      <c r="M27" s="775"/>
      <c r="N27" s="775"/>
      <c r="O27" s="134"/>
      <c r="P27" s="128"/>
      <c r="Q27" s="170"/>
      <c r="R27" s="61"/>
      <c r="S27" s="61"/>
      <c r="T27" s="61"/>
      <c r="U27" s="61"/>
      <c r="V27" s="61"/>
      <c r="W27" s="61"/>
    </row>
    <row r="28" spans="1:24" s="4" customFormat="1" ht="19.5" customHeight="1">
      <c r="B28" s="723"/>
      <c r="C28" s="723"/>
      <c r="D28" s="772"/>
      <c r="E28" s="773"/>
      <c r="F28" s="723"/>
      <c r="G28" s="723"/>
      <c r="H28" s="723"/>
      <c r="I28" s="61"/>
      <c r="J28" s="162"/>
      <c r="K28" s="61"/>
      <c r="L28" s="61"/>
      <c r="M28" s="61"/>
      <c r="N28" s="135"/>
      <c r="O28" s="135"/>
      <c r="P28" s="128"/>
      <c r="Q28" s="170"/>
      <c r="R28" s="61"/>
      <c r="S28" s="61"/>
      <c r="T28" s="61"/>
      <c r="U28" s="61"/>
      <c r="V28" s="61"/>
      <c r="W28" s="61"/>
    </row>
    <row r="29" spans="1:24" s="4" customFormat="1" ht="20.25" customHeight="1">
      <c r="B29" s="106">
        <v>1</v>
      </c>
      <c r="C29" s="106" t="str">
        <f>ID!B28</f>
        <v>2*</v>
      </c>
      <c r="D29" s="767">
        <f>ID!J29</f>
        <v>2.5</v>
      </c>
      <c r="E29" s="768"/>
      <c r="F29" s="139">
        <f ca="1">ID!K28</f>
        <v>1.6684999992499998</v>
      </c>
      <c r="G29" s="139">
        <f ca="1">F29-D29</f>
        <v>-0.83150000075000019</v>
      </c>
      <c r="H29" s="364">
        <f>'Uncertainty Budget'!M18</f>
        <v>0.66138291296913121</v>
      </c>
      <c r="I29" s="61"/>
      <c r="J29" s="162"/>
      <c r="K29" s="61"/>
      <c r="L29" s="130"/>
      <c r="M29" s="156"/>
      <c r="N29" s="135"/>
      <c r="O29" s="135"/>
      <c r="P29" s="61"/>
      <c r="Q29" s="170"/>
      <c r="R29" s="61"/>
      <c r="S29" s="170"/>
      <c r="T29" s="171"/>
      <c r="U29" s="61"/>
      <c r="V29" s="61"/>
      <c r="W29" s="61"/>
    </row>
    <row r="30" spans="1:24" s="4" customFormat="1" ht="20.25" customHeight="1">
      <c r="B30" s="106">
        <v>2</v>
      </c>
      <c r="C30" s="106" t="str">
        <f>ID!B34</f>
        <v>5*</v>
      </c>
      <c r="D30" s="767">
        <f>ID!J35</f>
        <v>5.1000000000000005</v>
      </c>
      <c r="E30" s="768"/>
      <c r="F30" s="139">
        <f ca="1">ID!K34</f>
        <v>4.7549999999999999</v>
      </c>
      <c r="G30" s="139">
        <f t="shared" ref="G30:G32" ca="1" si="0">F30-D30</f>
        <v>-0.34500000000000064</v>
      </c>
      <c r="H30" s="364">
        <f>'Uncertainty Budget'!M33</f>
        <v>0.66043240999457986</v>
      </c>
      <c r="I30" s="61"/>
      <c r="J30" s="162"/>
      <c r="K30" s="61"/>
      <c r="L30" s="61"/>
      <c r="M30" s="61"/>
      <c r="N30" s="135"/>
      <c r="O30" s="135"/>
      <c r="P30" s="61"/>
      <c r="Q30" s="172"/>
      <c r="R30" s="61"/>
      <c r="S30" s="61"/>
      <c r="T30" s="61"/>
      <c r="U30" s="61"/>
      <c r="V30" s="61"/>
      <c r="W30" s="61"/>
    </row>
    <row r="31" spans="1:24" s="4" customFormat="1" ht="20.25" customHeight="1">
      <c r="B31" s="106">
        <v>3</v>
      </c>
      <c r="C31" s="106" t="str">
        <f>ID!B39</f>
        <v>8*</v>
      </c>
      <c r="D31" s="767">
        <f>ID!J40</f>
        <v>8.1</v>
      </c>
      <c r="E31" s="768"/>
      <c r="F31" s="139">
        <f ca="1">ID!K39</f>
        <v>7.74</v>
      </c>
      <c r="G31" s="139">
        <f t="shared" ca="1" si="0"/>
        <v>-0.35999999999999943</v>
      </c>
      <c r="H31" s="364">
        <f>'Uncertainty Budget'!M48</f>
        <v>0.66089427214955587</v>
      </c>
      <c r="I31" s="61"/>
      <c r="J31" s="61"/>
      <c r="K31" s="61"/>
      <c r="L31" s="61"/>
      <c r="M31" s="156"/>
      <c r="N31" s="135"/>
      <c r="O31" s="135"/>
      <c r="P31" s="61"/>
      <c r="Q31" s="61"/>
      <c r="R31" s="61"/>
      <c r="S31" s="61"/>
      <c r="T31" s="61"/>
      <c r="U31" s="61"/>
      <c r="V31" s="61"/>
      <c r="W31" s="61"/>
    </row>
    <row r="32" spans="1:24" s="4" customFormat="1" ht="20.25" customHeight="1">
      <c r="B32" s="106">
        <v>4</v>
      </c>
      <c r="C32" s="106">
        <f>ID!B44</f>
        <v>25</v>
      </c>
      <c r="D32" s="767">
        <f>ID!J45</f>
        <v>25.099999999999998</v>
      </c>
      <c r="E32" s="768"/>
      <c r="F32" s="139">
        <f ca="1">ID!K44</f>
        <v>25.09</v>
      </c>
      <c r="G32" s="139">
        <f t="shared" ca="1" si="0"/>
        <v>-9.9999999999980105E-3</v>
      </c>
      <c r="H32" s="364">
        <f>'Uncertainty Budget'!M63</f>
        <v>0.67737677794798334</v>
      </c>
      <c r="I32" s="61"/>
      <c r="J32" s="61"/>
      <c r="K32" s="61"/>
      <c r="L32" s="61"/>
      <c r="M32" s="156"/>
      <c r="N32" s="135"/>
      <c r="O32" s="135"/>
      <c r="P32" s="61"/>
      <c r="Q32" s="61"/>
      <c r="R32" s="61"/>
      <c r="S32" s="61"/>
      <c r="T32" s="61"/>
      <c r="U32" s="61"/>
      <c r="V32" s="61"/>
      <c r="W32" s="61"/>
    </row>
    <row r="33" spans="1:23" s="4" customFormat="1" ht="15.75" customHeight="1">
      <c r="D33" s="61"/>
      <c r="E33" s="61"/>
      <c r="F33" s="61"/>
      <c r="G33" s="61"/>
      <c r="H33" s="61"/>
      <c r="I33" s="61"/>
      <c r="J33" s="61"/>
      <c r="K33" s="61"/>
      <c r="L33" s="61"/>
      <c r="M33" s="156"/>
      <c r="N33" s="135"/>
      <c r="O33" s="135"/>
      <c r="P33" s="61"/>
      <c r="Q33" s="61"/>
      <c r="R33" s="61"/>
      <c r="S33" s="61"/>
      <c r="T33" s="61"/>
      <c r="U33" s="61"/>
      <c r="V33" s="61"/>
      <c r="W33" s="61"/>
    </row>
    <row r="34" spans="1:23" s="4" customFormat="1" ht="15.75" customHeight="1">
      <c r="B34" s="40" t="s">
        <v>179</v>
      </c>
      <c r="D34" s="61"/>
      <c r="E34" s="61"/>
      <c r="F34" s="61"/>
      <c r="G34" s="61"/>
      <c r="H34" s="61"/>
      <c r="I34" s="61"/>
      <c r="J34" s="61"/>
      <c r="K34" s="61"/>
      <c r="L34" s="61"/>
      <c r="M34" s="156"/>
      <c r="N34" s="135"/>
      <c r="O34" s="135"/>
      <c r="P34" s="136"/>
      <c r="Q34" s="156"/>
      <c r="R34" s="137"/>
      <c r="S34" s="137"/>
      <c r="T34" s="61"/>
      <c r="U34" s="61"/>
      <c r="V34" s="61"/>
      <c r="W34" s="61"/>
    </row>
    <row r="35" spans="1:23" s="4" customFormat="1" ht="15" customHeight="1">
      <c r="B35" s="723" t="s">
        <v>34</v>
      </c>
      <c r="C35" s="723" t="s">
        <v>41</v>
      </c>
      <c r="D35" s="723" t="s">
        <v>180</v>
      </c>
      <c r="E35" s="723"/>
      <c r="F35" s="723"/>
      <c r="G35" s="723" t="s">
        <v>181</v>
      </c>
      <c r="H35" s="723"/>
      <c r="I35" s="723" t="s">
        <v>182</v>
      </c>
      <c r="J35" s="723"/>
      <c r="K35" s="723" t="s">
        <v>183</v>
      </c>
      <c r="L35" s="723"/>
      <c r="M35" s="672"/>
      <c r="N35" s="135"/>
      <c r="O35" s="135"/>
      <c r="P35" s="138"/>
      <c r="Q35" s="61"/>
      <c r="R35" s="156"/>
      <c r="S35" s="156"/>
      <c r="T35" s="61"/>
      <c r="U35" s="61"/>
      <c r="V35" s="61"/>
      <c r="W35" s="61"/>
    </row>
    <row r="36" spans="1:23" s="4" customFormat="1" ht="39.75" customHeight="1">
      <c r="B36" s="723"/>
      <c r="C36" s="723"/>
      <c r="D36" s="723"/>
      <c r="E36" s="723"/>
      <c r="F36" s="723"/>
      <c r="G36" s="723"/>
      <c r="H36" s="723"/>
      <c r="I36" s="723"/>
      <c r="J36" s="723"/>
      <c r="K36" s="723"/>
      <c r="L36" s="723"/>
      <c r="M36" s="672"/>
      <c r="N36" s="164"/>
      <c r="O36" s="61"/>
      <c r="P36" s="156"/>
      <c r="Q36" s="61"/>
      <c r="R36" s="61"/>
      <c r="S36" s="61"/>
      <c r="T36" s="61"/>
      <c r="U36" s="61"/>
      <c r="V36" s="61"/>
      <c r="W36" s="61"/>
    </row>
    <row r="37" spans="1:23" s="4" customFormat="1" ht="15.6" customHeight="1">
      <c r="B37" s="723"/>
      <c r="C37" s="723"/>
      <c r="D37" s="718" t="s">
        <v>184</v>
      </c>
      <c r="E37" s="718"/>
      <c r="F37" s="106" t="s">
        <v>185</v>
      </c>
      <c r="G37" s="106" t="s">
        <v>184</v>
      </c>
      <c r="H37" s="106" t="s">
        <v>185</v>
      </c>
      <c r="I37" s="140" t="s">
        <v>184</v>
      </c>
      <c r="J37" s="140" t="s">
        <v>185</v>
      </c>
      <c r="K37" s="140" t="s">
        <v>184</v>
      </c>
      <c r="L37" s="140" t="s">
        <v>185</v>
      </c>
      <c r="M37" s="672"/>
      <c r="N37" s="164"/>
      <c r="O37" s="61"/>
      <c r="P37" s="775"/>
      <c r="Q37" s="779"/>
      <c r="R37" s="61"/>
      <c r="S37" s="61"/>
      <c r="T37" s="61"/>
      <c r="U37" s="61"/>
      <c r="V37" s="61"/>
      <c r="W37" s="61"/>
    </row>
    <row r="38" spans="1:23" s="4" customFormat="1" ht="20.25" customHeight="1">
      <c r="B38" s="106">
        <v>1</v>
      </c>
      <c r="C38" s="106">
        <v>40</v>
      </c>
      <c r="D38" s="776">
        <f>ID!J59</f>
        <v>42.4</v>
      </c>
      <c r="E38" s="776"/>
      <c r="F38" s="141">
        <f>ID!J61</f>
        <v>42.4</v>
      </c>
      <c r="G38" s="28">
        <f ca="1">ID!K58</f>
        <v>42.279809999999998</v>
      </c>
      <c r="H38" s="28">
        <f ca="1">ID!K60</f>
        <v>42.387380000000007</v>
      </c>
      <c r="I38" s="139">
        <f ca="1">G38-D38</f>
        <v>-0.12019000000000091</v>
      </c>
      <c r="J38" s="139">
        <f ca="1">H38-F38</f>
        <v>-1.2619999999991194E-2</v>
      </c>
      <c r="K38" s="320">
        <f ca="1">'Uncertainty Budget'!M89</f>
        <v>1.2249818932743515</v>
      </c>
      <c r="L38" s="320">
        <f ca="1">'Uncertainty Budget'!M162</f>
        <v>1.2260381212298588</v>
      </c>
      <c r="M38" s="173"/>
      <c r="N38" s="164"/>
      <c r="O38" s="61"/>
      <c r="P38" s="775"/>
      <c r="Q38" s="779"/>
      <c r="R38" s="61"/>
      <c r="S38" s="61"/>
      <c r="T38" s="777"/>
      <c r="U38" s="777"/>
      <c r="V38" s="61"/>
      <c r="W38" s="61"/>
    </row>
    <row r="39" spans="1:23" s="4" customFormat="1" ht="20.25" customHeight="1">
      <c r="B39" s="106">
        <v>2</v>
      </c>
      <c r="C39" s="106">
        <v>50</v>
      </c>
      <c r="D39" s="776">
        <f>ID!J66</f>
        <v>51.6</v>
      </c>
      <c r="E39" s="776"/>
      <c r="F39" s="141">
        <f>ID!J68</f>
        <v>51.6</v>
      </c>
      <c r="G39" s="28">
        <f ca="1">ID!K65</f>
        <v>51.947309999999995</v>
      </c>
      <c r="H39" s="28">
        <f ca="1">ID!K67</f>
        <v>51.81806000000001</v>
      </c>
      <c r="I39" s="139">
        <f t="shared" ref="I39" ca="1" si="1">G39-D39</f>
        <v>0.34730999999999312</v>
      </c>
      <c r="J39" s="139">
        <f t="shared" ref="J39:J41" ca="1" si="2">H39-F39</f>
        <v>0.21806000000000836</v>
      </c>
      <c r="K39" s="320">
        <f ca="1">'Uncertainty Budget'!M111</f>
        <v>1.30448989860913</v>
      </c>
      <c r="L39" s="320">
        <f ca="1">'Uncertainty Budget'!M184</f>
        <v>1.3032831512189849</v>
      </c>
      <c r="M39" s="173"/>
      <c r="N39" s="165"/>
      <c r="O39" s="61"/>
      <c r="P39" s="778"/>
      <c r="Q39" s="779"/>
      <c r="R39" s="61"/>
      <c r="S39" s="61"/>
      <c r="T39" s="173"/>
      <c r="U39" s="61"/>
      <c r="V39" s="61"/>
      <c r="W39" s="61"/>
    </row>
    <row r="40" spans="1:23" s="4" customFormat="1" ht="20.25" customHeight="1">
      <c r="B40" s="106">
        <v>3</v>
      </c>
      <c r="C40" s="106">
        <v>60</v>
      </c>
      <c r="D40" s="776">
        <f>ID!J73</f>
        <v>59.93333333333333</v>
      </c>
      <c r="E40" s="776"/>
      <c r="F40" s="141">
        <f>ID!J75</f>
        <v>59.800000000000004</v>
      </c>
      <c r="G40" s="28">
        <f ca="1">ID!K72</f>
        <v>61.277286666666669</v>
      </c>
      <c r="H40" s="28">
        <f ca="1">ID!K74</f>
        <v>60.898639999999993</v>
      </c>
      <c r="I40" s="139">
        <f ca="1">G40-D40</f>
        <v>1.3439533333333387</v>
      </c>
      <c r="J40" s="139">
        <f t="shared" ca="1" si="2"/>
        <v>1.098639999999989</v>
      </c>
      <c r="K40" s="320">
        <f ca="1">'Uncertainty Budget'!M127</f>
        <v>1.4200957202806859</v>
      </c>
      <c r="L40" s="320">
        <f ca="1">'Uncertainty Budget'!M200</f>
        <v>1.4107109364072214</v>
      </c>
      <c r="M40" s="173"/>
      <c r="N40" s="61"/>
      <c r="O40" s="61"/>
      <c r="P40" s="778"/>
      <c r="Q40" s="779"/>
      <c r="R40" s="174"/>
      <c r="S40" s="138"/>
      <c r="T40" s="61"/>
      <c r="U40" s="61"/>
      <c r="V40" s="61"/>
      <c r="W40" s="61"/>
    </row>
    <row r="41" spans="1:23" s="4" customFormat="1" ht="20.25" customHeight="1">
      <c r="B41" s="106">
        <v>4</v>
      </c>
      <c r="C41" s="106">
        <v>70</v>
      </c>
      <c r="D41" s="776">
        <f>ID!J80</f>
        <v>70.5</v>
      </c>
      <c r="E41" s="776"/>
      <c r="F41" s="141">
        <f>ID!J82</f>
        <v>70.8</v>
      </c>
      <c r="G41" s="28">
        <f ca="1">ID!K79</f>
        <v>70.867166666666662</v>
      </c>
      <c r="H41" s="28">
        <f ca="1">ID!K81</f>
        <v>71.352616666666677</v>
      </c>
      <c r="I41" s="139">
        <f ca="1">G41-D41</f>
        <v>0.36716666666666242</v>
      </c>
      <c r="J41" s="139">
        <f t="shared" ca="1" si="2"/>
        <v>0.55261666666667963</v>
      </c>
      <c r="K41" s="320">
        <f ca="1">'Uncertainty Budget'!M143</f>
        <v>1.6874396289059819</v>
      </c>
      <c r="L41" s="320">
        <f ca="1">'Uncertainty Budget'!M216</f>
        <v>1.7022763340348723</v>
      </c>
      <c r="M41" s="173"/>
      <c r="N41" s="6"/>
      <c r="P41" s="112"/>
      <c r="Q41" s="111"/>
      <c r="R41" s="45"/>
      <c r="S41" s="45"/>
    </row>
    <row r="42" spans="1:23" s="4" customFormat="1">
      <c r="B42" s="6"/>
      <c r="C42" s="166"/>
      <c r="D42" s="6"/>
      <c r="E42" s="6"/>
      <c r="F42" s="6"/>
      <c r="G42" s="105"/>
      <c r="H42" s="7"/>
      <c r="I42" s="6"/>
      <c r="J42" s="6"/>
      <c r="K42" s="6"/>
      <c r="L42" s="6"/>
      <c r="M42" s="6"/>
      <c r="N42" s="6"/>
      <c r="P42" s="113"/>
      <c r="Q42" s="111"/>
      <c r="R42" s="45"/>
      <c r="S42" s="45"/>
    </row>
    <row r="43" spans="1:23" s="4" customFormat="1" ht="15.6">
      <c r="A43" s="189" t="str">
        <f>ID!A84</f>
        <v>IV.</v>
      </c>
      <c r="B43" s="188" t="str">
        <f>ID!B84</f>
        <v>Keterangan</v>
      </c>
      <c r="D43" s="6"/>
      <c r="E43" s="6"/>
      <c r="F43" s="6"/>
      <c r="G43" s="105"/>
      <c r="H43" s="7"/>
      <c r="I43" s="6"/>
      <c r="J43" s="6"/>
      <c r="K43" s="6"/>
      <c r="L43" s="6"/>
      <c r="M43" s="6"/>
      <c r="N43" s="6"/>
      <c r="P43" s="113"/>
      <c r="Q43" s="112"/>
      <c r="R43" s="45"/>
      <c r="S43" s="45"/>
    </row>
    <row r="44" spans="1:23" s="4" customFormat="1">
      <c r="B44" s="166" t="str">
        <f>ID!B85</f>
        <v>Ketidakpastian pengukuran dilaporkan pada tingkat kepercayaan 95% dengan faktor cakupan k=2</v>
      </c>
      <c r="D44" s="6"/>
      <c r="E44" s="6"/>
      <c r="F44" s="6"/>
      <c r="G44" s="105"/>
      <c r="H44" s="7"/>
      <c r="I44" s="6"/>
      <c r="J44" s="6"/>
      <c r="K44" s="6"/>
      <c r="L44" s="6"/>
      <c r="M44" s="6"/>
      <c r="N44" s="6"/>
      <c r="P44" s="113"/>
      <c r="Q44" s="112"/>
      <c r="R44" s="45"/>
      <c r="S44" s="45"/>
      <c r="T44" s="175"/>
    </row>
    <row r="45" spans="1:23" s="4" customFormat="1">
      <c r="B45" s="166" t="str">
        <f>ID!B86</f>
        <v>Hasil pengujian kinerja suhu tertelusur ke Satuan SI melalui Laboratorium SNSU-BSN</v>
      </c>
      <c r="D45" s="6"/>
      <c r="E45" s="6"/>
      <c r="F45" s="6"/>
      <c r="G45" s="105"/>
      <c r="H45" s="7"/>
      <c r="I45" s="6"/>
      <c r="J45" s="6"/>
      <c r="K45" s="6"/>
      <c r="L45" s="6"/>
      <c r="M45" s="6"/>
      <c r="N45" s="6"/>
      <c r="P45" s="113"/>
      <c r="Q45" s="112"/>
      <c r="R45" s="45"/>
      <c r="S45" s="45"/>
    </row>
    <row r="46" spans="1:23" s="4" customFormat="1" ht="16.5" customHeight="1">
      <c r="B46" s="166" t="str">
        <f>ID!B87</f>
        <v>Hasil pengujian kinerja kelembaban relatif tertelusur ke Satuan SI melalui Laboratorium SNSU-BSN</v>
      </c>
      <c r="D46" s="166"/>
      <c r="E46" s="166"/>
      <c r="F46" s="6"/>
      <c r="G46" s="105"/>
      <c r="H46" s="7"/>
      <c r="I46" s="6"/>
      <c r="J46" s="6"/>
      <c r="K46" s="6"/>
      <c r="L46" s="6"/>
      <c r="M46" s="6"/>
      <c r="N46" s="6"/>
      <c r="P46" s="113"/>
      <c r="Q46" s="112"/>
      <c r="R46" s="45"/>
      <c r="S46" s="45"/>
    </row>
    <row r="47" spans="1:23" s="4" customFormat="1" ht="27.75" customHeight="1">
      <c r="B47" s="761" t="str">
        <f>ID!B88:M88</f>
        <v>Metode Kalibrasi yang digunakan mengacu pada Keputusan Direktur Jenderal Pelayanan Kesehatan                                                                Nomor : HK.02.02/V/0412/2020 Nomor MK : 049-18</v>
      </c>
      <c r="C47" s="761"/>
      <c r="D47" s="761"/>
      <c r="E47" s="761"/>
      <c r="F47" s="761"/>
      <c r="G47" s="761"/>
      <c r="H47" s="761"/>
      <c r="I47" s="761"/>
      <c r="J47" s="761"/>
      <c r="K47" s="761"/>
      <c r="L47" s="761"/>
      <c r="M47" s="6"/>
      <c r="N47" s="6"/>
      <c r="P47" s="113"/>
      <c r="Q47" s="112"/>
      <c r="R47" s="45"/>
      <c r="S47" s="45"/>
    </row>
    <row r="48" spans="1:23" s="4" customFormat="1" ht="18.600000000000001" customHeight="1">
      <c r="B48" s="761" t="str">
        <f>IF(B49="","",ID!B89:M89)</f>
        <v>Thermocouple Data Logger menggunakan Channel 1</v>
      </c>
      <c r="C48" s="761"/>
      <c r="D48" s="761"/>
      <c r="E48" s="761"/>
      <c r="F48" s="761"/>
      <c r="G48" s="761"/>
      <c r="H48" s="761"/>
      <c r="I48" s="761"/>
      <c r="J48" s="761"/>
      <c r="K48" s="761"/>
      <c r="L48" s="761"/>
      <c r="M48" s="6"/>
      <c r="N48" s="6"/>
      <c r="P48" s="113"/>
      <c r="Q48" s="112"/>
      <c r="R48" s="45"/>
      <c r="S48" s="45"/>
    </row>
    <row r="49" spans="1:19" s="4" customFormat="1" ht="16.5" customHeight="1">
      <c r="B49" s="761" t="str">
        <f>ID!B90</f>
        <v>Titik ukur yang diberikan symbol (*) tidak termasuk dalam lingkup akreditasi</v>
      </c>
      <c r="C49" s="761"/>
      <c r="D49" s="761"/>
      <c r="E49" s="761"/>
      <c r="F49" s="761"/>
      <c r="G49" s="761"/>
      <c r="H49" s="761"/>
      <c r="I49" s="761"/>
      <c r="J49" s="761"/>
      <c r="K49" s="761"/>
      <c r="L49" s="761"/>
      <c r="M49" s="6"/>
      <c r="N49" s="6"/>
      <c r="P49" s="113"/>
      <c r="Q49" s="112"/>
      <c r="R49" s="45"/>
      <c r="S49" s="45"/>
    </row>
    <row r="50" spans="1:19" s="4" customFormat="1" ht="15.6">
      <c r="B50" s="8"/>
      <c r="C50" s="167"/>
      <c r="D50" s="6"/>
      <c r="E50" s="6"/>
      <c r="F50" s="6"/>
      <c r="G50" s="168"/>
      <c r="H50" s="6"/>
      <c r="I50" s="6"/>
      <c r="J50" s="6"/>
      <c r="K50" s="6"/>
      <c r="L50" s="6"/>
      <c r="M50" s="6"/>
      <c r="N50" s="6"/>
      <c r="O50" s="108"/>
      <c r="P50" s="114"/>
      <c r="Q50" s="114"/>
      <c r="R50" s="3"/>
      <c r="S50" s="109"/>
    </row>
    <row r="51" spans="1:19" s="4" customFormat="1" ht="15.6">
      <c r="A51" s="189" t="str">
        <f>ID!A92</f>
        <v>V.</v>
      </c>
      <c r="B51" s="47" t="str">
        <f>ID!B92</f>
        <v>Alat Ukur yang digunakan</v>
      </c>
      <c r="D51" s="8"/>
      <c r="E51" s="8"/>
      <c r="F51" s="105"/>
      <c r="G51" s="7"/>
      <c r="H51" s="6"/>
      <c r="I51" s="6"/>
      <c r="J51" s="6"/>
      <c r="K51" s="6"/>
      <c r="L51" s="6"/>
      <c r="M51" s="29"/>
      <c r="N51" s="6"/>
      <c r="P51" s="62"/>
      <c r="Q51" s="62"/>
    </row>
    <row r="52" spans="1:19" s="4" customFormat="1" ht="15.75" customHeight="1">
      <c r="B52" s="46" t="str">
        <f>ID!B95</f>
        <v>Climatic Chamber, Merek : Kambic, Model : KK-190, SN : 21026844</v>
      </c>
      <c r="D52" s="6"/>
      <c r="E52" s="6"/>
      <c r="F52" s="105"/>
      <c r="G52" s="7"/>
      <c r="H52" s="6"/>
      <c r="I52" s="6"/>
      <c r="J52" s="6"/>
      <c r="K52" s="6"/>
      <c r="L52" s="6"/>
      <c r="M52" s="29"/>
      <c r="N52" s="6"/>
      <c r="P52" s="62"/>
      <c r="Q52" s="62"/>
    </row>
    <row r="53" spans="1:19" s="4" customFormat="1" ht="15.75" customHeight="1">
      <c r="B53" s="46" t="str">
        <f>IF(B49="",ID!B97,ID!B96)</f>
        <v>Thermocouple Data Logger, Merek : MADGETECH, Model : OctTemp 2000, SN : P41878</v>
      </c>
      <c r="D53" s="6"/>
      <c r="E53" s="6"/>
      <c r="F53" s="105"/>
      <c r="G53" s="7"/>
      <c r="H53" s="6"/>
      <c r="I53" s="6"/>
      <c r="J53" s="6"/>
      <c r="K53" s="6"/>
      <c r="L53" s="6"/>
      <c r="M53" s="29"/>
      <c r="N53" s="6"/>
      <c r="P53" s="62"/>
      <c r="Q53" s="62"/>
    </row>
    <row r="54" spans="1:19" s="4" customFormat="1">
      <c r="B54" s="46" t="str">
        <f>IF(B49="","",ID!B97)</f>
        <v>Thermohygrometer Reference, Merek : Rotronic, Model : HC2A - SH Hygro Clip 2, SN : 72064154</v>
      </c>
      <c r="D54" s="6"/>
      <c r="E54" s="6"/>
      <c r="F54" s="105"/>
      <c r="G54" s="7"/>
      <c r="H54" s="6"/>
      <c r="I54" s="6"/>
      <c r="J54" s="6"/>
      <c r="K54" s="6"/>
      <c r="L54" s="6"/>
      <c r="M54" s="29"/>
      <c r="N54" s="6"/>
      <c r="P54" s="62"/>
      <c r="Q54" s="62"/>
    </row>
    <row r="55" spans="1:19" s="4" customFormat="1" ht="15" customHeight="1">
      <c r="B55" s="46"/>
      <c r="D55" s="46"/>
      <c r="E55" s="46"/>
      <c r="F55" s="105"/>
      <c r="G55" s="7"/>
      <c r="H55" s="6"/>
      <c r="I55" s="6"/>
      <c r="J55" s="6"/>
      <c r="K55" s="6"/>
      <c r="L55" s="6"/>
      <c r="M55" s="29"/>
      <c r="N55" s="6"/>
      <c r="P55" s="62"/>
      <c r="Q55" s="111"/>
    </row>
    <row r="56" spans="1:19" s="4" customFormat="1" ht="20.25" customHeight="1">
      <c r="B56" s="6"/>
      <c r="C56" s="163"/>
      <c r="D56" s="163"/>
      <c r="E56" s="163"/>
      <c r="F56" s="163"/>
      <c r="G56" s="163"/>
      <c r="H56" s="163"/>
      <c r="I56" s="163"/>
      <c r="J56" s="163"/>
      <c r="K56" s="163"/>
      <c r="L56" s="163"/>
      <c r="M56" s="163"/>
      <c r="N56" s="163"/>
      <c r="P56" s="115"/>
      <c r="Q56" s="115"/>
    </row>
    <row r="57" spans="1:19" s="4" customFormat="1" ht="17.25" customHeight="1">
      <c r="A57" s="8" t="str">
        <f>ID!A100</f>
        <v>VI.</v>
      </c>
      <c r="B57" s="47" t="str">
        <f>ID!B100</f>
        <v>Petugas Kalibrasi</v>
      </c>
      <c r="C57" s="661"/>
      <c r="D57" s="661"/>
      <c r="E57" s="197"/>
      <c r="F57" s="163"/>
      <c r="G57" s="163"/>
      <c r="H57" s="163"/>
      <c r="I57" s="163"/>
      <c r="J57" s="163"/>
      <c r="K57" s="163"/>
      <c r="L57" s="163"/>
      <c r="M57" s="163"/>
      <c r="N57" s="163"/>
      <c r="P57" s="115"/>
      <c r="Q57" s="115"/>
    </row>
    <row r="58" spans="1:19" s="4" customFormat="1" ht="18" customHeight="1">
      <c r="B58" s="46" t="str">
        <f>ID!B101</f>
        <v>Muhammad Zaenuri Sugiasmoro</v>
      </c>
      <c r="C58" s="662"/>
      <c r="D58" s="662"/>
      <c r="E58" s="662"/>
      <c r="F58" s="662"/>
      <c r="G58" s="163"/>
      <c r="H58" s="163"/>
      <c r="I58" s="163"/>
      <c r="J58" s="163"/>
      <c r="K58" s="163"/>
      <c r="L58" s="163"/>
      <c r="M58" s="163"/>
      <c r="N58" s="163"/>
      <c r="P58" s="115"/>
      <c r="Q58" s="115"/>
    </row>
    <row r="59" spans="1:19" s="4" customFormat="1" ht="20.25" customHeight="1">
      <c r="B59" s="6"/>
      <c r="C59" s="163"/>
      <c r="D59" s="163"/>
      <c r="E59" s="163"/>
      <c r="F59" s="163"/>
      <c r="G59" s="163"/>
      <c r="H59" s="163"/>
      <c r="I59" s="163"/>
      <c r="J59" s="163"/>
      <c r="K59" s="163"/>
      <c r="L59" s="163"/>
      <c r="M59" s="163"/>
      <c r="N59" s="163"/>
      <c r="P59" s="115"/>
      <c r="Q59" s="115"/>
    </row>
    <row r="60" spans="1:19" s="4" customFormat="1" ht="20.25" customHeight="1">
      <c r="B60" s="6"/>
      <c r="C60" s="163"/>
      <c r="D60" s="163"/>
      <c r="E60" s="163"/>
      <c r="F60" s="163"/>
      <c r="G60" s="163"/>
      <c r="H60" s="163"/>
      <c r="I60" s="163"/>
      <c r="J60" s="163"/>
      <c r="K60" s="163"/>
      <c r="L60" s="163"/>
      <c r="M60" s="163"/>
      <c r="N60" s="163"/>
      <c r="P60" s="115"/>
      <c r="Q60" s="115"/>
    </row>
    <row r="61" spans="1:19" s="4" customFormat="1" ht="20.25" customHeight="1">
      <c r="B61" s="6"/>
      <c r="C61" s="163"/>
      <c r="D61" s="163"/>
      <c r="E61" s="163"/>
      <c r="F61" s="163"/>
      <c r="G61" s="163"/>
      <c r="H61" s="163"/>
      <c r="I61" s="163"/>
      <c r="J61" s="163"/>
      <c r="K61" s="163"/>
      <c r="L61" s="163"/>
      <c r="M61" s="163"/>
      <c r="N61" s="163"/>
      <c r="P61" s="115"/>
      <c r="Q61" s="115"/>
    </row>
    <row r="62" spans="1:19" s="4" customFormat="1" ht="20.25" customHeight="1">
      <c r="B62" s="6"/>
      <c r="C62" s="163"/>
      <c r="D62" s="163"/>
      <c r="E62" s="163"/>
      <c r="F62" s="163"/>
      <c r="G62" s="163"/>
      <c r="H62" s="163"/>
      <c r="I62" s="163"/>
      <c r="J62" s="163"/>
      <c r="K62" s="163"/>
      <c r="L62" s="163"/>
      <c r="M62" s="163"/>
      <c r="N62" s="163"/>
      <c r="P62" s="115"/>
      <c r="Q62" s="115"/>
    </row>
    <row r="63" spans="1:19" s="4" customFormat="1" ht="20.25" customHeight="1">
      <c r="B63" s="6"/>
      <c r="C63" s="163"/>
      <c r="D63" s="163"/>
      <c r="E63" s="163"/>
      <c r="F63" s="163"/>
      <c r="G63" s="163"/>
      <c r="H63" s="163"/>
      <c r="I63" s="163"/>
      <c r="J63" s="163"/>
      <c r="K63" s="163"/>
      <c r="L63" s="163"/>
      <c r="M63" s="163"/>
      <c r="N63" s="163"/>
      <c r="P63" s="115"/>
      <c r="Q63" s="115"/>
    </row>
    <row r="64" spans="1:19" s="4" customFormat="1" ht="20.25" customHeight="1">
      <c r="B64" s="6"/>
      <c r="C64" s="50"/>
      <c r="D64" s="50"/>
      <c r="E64" s="50"/>
      <c r="F64" s="50"/>
      <c r="G64" s="50"/>
      <c r="H64" s="50"/>
      <c r="I64" s="50"/>
      <c r="J64" s="50"/>
      <c r="K64" s="50"/>
      <c r="L64" s="50"/>
      <c r="M64" s="29"/>
      <c r="N64" s="6"/>
      <c r="P64" s="115"/>
      <c r="Q64" s="115"/>
    </row>
    <row r="65" spans="2:17" hidden="1">
      <c r="B65" s="52"/>
      <c r="C65" s="52"/>
      <c r="D65" s="2"/>
      <c r="E65" s="2"/>
      <c r="F65" s="2"/>
      <c r="G65" s="2"/>
      <c r="H65" s="2"/>
      <c r="I65" s="2"/>
      <c r="J65" s="2"/>
      <c r="K65" s="2"/>
      <c r="L65" s="2"/>
      <c r="M65" s="6"/>
      <c r="N65" s="6"/>
    </row>
    <row r="66" spans="2:17" hidden="1">
      <c r="B66" s="52"/>
      <c r="C66" s="52"/>
      <c r="D66" s="6"/>
      <c r="E66" s="6"/>
      <c r="F66" s="6"/>
      <c r="G66" s="6"/>
      <c r="H66" s="6"/>
      <c r="I66" s="6"/>
      <c r="J66" s="6"/>
      <c r="K66" s="6"/>
      <c r="L66" s="2"/>
      <c r="M66" s="6"/>
      <c r="N66" s="6"/>
      <c r="O66" s="110"/>
    </row>
    <row r="67" spans="2:17">
      <c r="B67" s="52"/>
      <c r="C67" s="52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P67" s="116"/>
    </row>
    <row r="68" spans="2:17">
      <c r="B68" s="52"/>
      <c r="C68" s="763" t="s">
        <v>68</v>
      </c>
      <c r="D68" s="763"/>
      <c r="E68" s="763"/>
      <c r="F68" s="763"/>
      <c r="G68" s="764" t="s">
        <v>66</v>
      </c>
      <c r="H68" s="764"/>
      <c r="I68" s="157" t="s">
        <v>186</v>
      </c>
      <c r="J68" s="719"/>
      <c r="K68" s="719"/>
      <c r="L68" s="6"/>
      <c r="M68" s="6"/>
      <c r="N68" s="6"/>
      <c r="Q68" s="115"/>
    </row>
    <row r="69" spans="2:17">
      <c r="B69" s="52"/>
      <c r="C69" s="53" t="s">
        <v>187</v>
      </c>
      <c r="D69" s="54" t="str">
        <f>ID!B101</f>
        <v>Muhammad Zaenuri Sugiasmoro</v>
      </c>
      <c r="E69" s="54"/>
      <c r="F69" s="55"/>
      <c r="G69" s="663" t="str">
        <f>ID!B104</f>
        <v>16 September 2023</v>
      </c>
      <c r="H69" s="54"/>
      <c r="I69" s="157"/>
      <c r="J69" s="762"/>
      <c r="K69" s="762"/>
      <c r="L69" s="6"/>
      <c r="M69" s="6"/>
      <c r="N69" s="6"/>
      <c r="Q69" s="115"/>
    </row>
    <row r="70" spans="2:17">
      <c r="B70" s="52"/>
      <c r="C70" s="765" t="s">
        <v>188</v>
      </c>
      <c r="D70" s="765"/>
      <c r="E70" s="765"/>
      <c r="F70" s="765"/>
      <c r="G70" s="764"/>
      <c r="H70" s="764"/>
      <c r="I70" s="157"/>
      <c r="J70" s="762"/>
      <c r="K70" s="762"/>
      <c r="L70" s="56"/>
      <c r="M70" s="6"/>
      <c r="N70" s="6"/>
      <c r="P70" s="117"/>
      <c r="Q70" s="117"/>
    </row>
    <row r="71" spans="2:17">
      <c r="B71" s="52"/>
      <c r="C71" s="52"/>
      <c r="D71" s="57"/>
      <c r="E71" s="57"/>
      <c r="F71" s="57"/>
      <c r="G71" s="57"/>
      <c r="H71" s="57"/>
      <c r="I71" s="57"/>
      <c r="J71" s="57"/>
      <c r="K71" s="57"/>
      <c r="L71" s="6"/>
      <c r="M71" s="6"/>
    </row>
    <row r="72" spans="2:17">
      <c r="B72" s="52"/>
      <c r="C72" s="52"/>
      <c r="D72" s="57"/>
      <c r="E72" s="57"/>
      <c r="F72" s="57"/>
      <c r="G72" s="57"/>
      <c r="H72" s="57"/>
      <c r="I72" s="57"/>
      <c r="J72" s="57"/>
      <c r="K72" s="57"/>
      <c r="L72" s="6"/>
      <c r="M72" s="6"/>
    </row>
    <row r="73" spans="2:17">
      <c r="B73" s="52"/>
      <c r="C73" s="52"/>
      <c r="D73" s="58"/>
      <c r="E73" s="58"/>
      <c r="F73" s="58"/>
      <c r="G73" s="57"/>
      <c r="H73" s="57"/>
      <c r="I73" s="57"/>
      <c r="J73" s="57"/>
      <c r="K73" s="57"/>
      <c r="L73" s="6"/>
      <c r="M73" s="59"/>
      <c r="P73" s="118"/>
    </row>
    <row r="74" spans="2:17">
      <c r="D74" s="60"/>
      <c r="E74" s="60"/>
      <c r="F74" s="60"/>
      <c r="G74" s="60"/>
      <c r="H74" s="60"/>
      <c r="I74" s="60"/>
      <c r="J74" s="60"/>
      <c r="K74" s="60"/>
      <c r="P74" s="118"/>
    </row>
  </sheetData>
  <sheetProtection algorithmName="SHA-512" hashValue="WEXrOu84GDN9SnAJrhOp9t/ikrwP1M3hzmxOFIpGykX9KFRnT6ziYtv02cLul6X8MEQoVKJnS3dDM2QNAWoUdQ==" saltValue="N69VY589nGEeU50Zq94YCQ==" spinCount="100000" sheet="1" formatCells="0" formatColumns="0" formatRows="0" insertColumns="0" insertRows="0" deleteColumns="0" deleteRows="0"/>
  <mergeCells count="49">
    <mergeCell ref="B48:L48"/>
    <mergeCell ref="B49:L49"/>
    <mergeCell ref="O1:AA1"/>
    <mergeCell ref="O2:AA2"/>
    <mergeCell ref="D41:E41"/>
    <mergeCell ref="D40:E40"/>
    <mergeCell ref="D39:E39"/>
    <mergeCell ref="D38:E38"/>
    <mergeCell ref="G35:H36"/>
    <mergeCell ref="T38:U38"/>
    <mergeCell ref="P39:P40"/>
    <mergeCell ref="Q21:Q22"/>
    <mergeCell ref="Q37:Q38"/>
    <mergeCell ref="Q39:Q40"/>
    <mergeCell ref="P21:P22"/>
    <mergeCell ref="P37:P38"/>
    <mergeCell ref="A1:M1"/>
    <mergeCell ref="D29:E29"/>
    <mergeCell ref="D26:E28"/>
    <mergeCell ref="D32:E32"/>
    <mergeCell ref="D31:E31"/>
    <mergeCell ref="D30:E30"/>
    <mergeCell ref="A2:M2"/>
    <mergeCell ref="G14:N14"/>
    <mergeCell ref="B26:B28"/>
    <mergeCell ref="N26:N27"/>
    <mergeCell ref="M26:M27"/>
    <mergeCell ref="L26:L27"/>
    <mergeCell ref="K26:K27"/>
    <mergeCell ref="J26:J27"/>
    <mergeCell ref="H26:H28"/>
    <mergeCell ref="M35:M37"/>
    <mergeCell ref="B35:B37"/>
    <mergeCell ref="C35:C37"/>
    <mergeCell ref="K35:L36"/>
    <mergeCell ref="O23:P23"/>
    <mergeCell ref="G26:G28"/>
    <mergeCell ref="F26:F28"/>
    <mergeCell ref="J69:K70"/>
    <mergeCell ref="C68:F68"/>
    <mergeCell ref="G68:H68"/>
    <mergeCell ref="J68:K68"/>
    <mergeCell ref="C70:F70"/>
    <mergeCell ref="G70:H70"/>
    <mergeCell ref="B47:L47"/>
    <mergeCell ref="I35:J36"/>
    <mergeCell ref="C26:C28"/>
    <mergeCell ref="D37:E37"/>
    <mergeCell ref="D35:F36"/>
  </mergeCells>
  <printOptions horizontalCentered="1"/>
  <pageMargins left="0.34" right="0.23622047244094499" top="0.43" bottom="0.23622047244094499" header="0.23622047244094499" footer="0.23622047244094499"/>
  <pageSetup paperSize="9" scale="67" orientation="portrait" r:id="rId1"/>
  <headerFooter>
    <oddHeader>&amp;R&amp;"-,Regular"&amp;8SH.LP - 049-18 / Rev : 0</oddHeader>
    <oddFooter>&amp;R&amp;K01+023Thermohygrometer 7.7.2023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 tint="-0.499984740745262"/>
  </sheetPr>
  <dimension ref="A1:IZ83"/>
  <sheetViews>
    <sheetView showGridLines="0" view="pageBreakPreview" topLeftCell="A22" zoomScaleNormal="100" zoomScaleSheetLayoutView="100" workbookViewId="0">
      <selection activeCell="D41" sqref="D41:E41"/>
    </sheetView>
  </sheetViews>
  <sheetFormatPr defaultColWidth="9" defaultRowHeight="15"/>
  <cols>
    <col min="1" max="2" width="4.5546875" style="51" customWidth="1"/>
    <col min="3" max="3" width="12.44140625" style="51" customWidth="1"/>
    <col min="4" max="4" width="13.5546875" style="4" customWidth="1"/>
    <col min="5" max="5" width="1" style="49" customWidth="1"/>
    <col min="6" max="7" width="13.44140625" style="4" customWidth="1"/>
    <col min="8" max="8" width="16.21875" style="4" customWidth="1"/>
    <col min="9" max="12" width="13.44140625" style="4" customWidth="1"/>
    <col min="13" max="13" width="7.21875" style="4" customWidth="1"/>
    <col min="14" max="14" width="10" style="4" customWidth="1"/>
    <col min="15" max="15" width="24.44140625" style="4" customWidth="1"/>
    <col min="16" max="16" width="13.77734375" style="62" customWidth="1"/>
    <col min="17" max="17" width="11.77734375" style="62" customWidth="1"/>
    <col min="18" max="18" width="9.44140625" style="4" customWidth="1"/>
    <col min="19" max="19" width="15.44140625" style="4" customWidth="1"/>
    <col min="20" max="20" width="16.21875" style="4" customWidth="1"/>
    <col min="21" max="260" width="9.21875" style="4" customWidth="1"/>
    <col min="261" max="16384" width="9" style="51"/>
  </cols>
  <sheetData>
    <row r="1" spans="1:17" ht="19.5" customHeight="1">
      <c r="A1" s="677" t="str">
        <f>'Lembar Penyelia'!A1</f>
        <v>HASIL KALIBRASI THERMOHYGROMETER ANALOG</v>
      </c>
      <c r="B1" s="677"/>
      <c r="C1" s="677"/>
      <c r="D1" s="677"/>
      <c r="E1" s="677"/>
      <c r="F1" s="677"/>
      <c r="G1" s="677"/>
      <c r="H1" s="677"/>
      <c r="I1" s="677"/>
      <c r="J1" s="677"/>
      <c r="K1" s="677"/>
      <c r="L1" s="677"/>
      <c r="M1" s="36"/>
      <c r="N1" s="36"/>
      <c r="O1" s="36"/>
    </row>
    <row r="2" spans="1:17" ht="18.75" customHeight="1">
      <c r="A2" s="685" t="str">
        <f>'Lembar Penyelia'!A2</f>
        <v>Nomor Sertifikat : 84 / 1 / VII - 23 / E - 001 Dt</v>
      </c>
      <c r="B2" s="685"/>
      <c r="C2" s="685"/>
      <c r="D2" s="685"/>
      <c r="E2" s="685"/>
      <c r="F2" s="685"/>
      <c r="G2" s="685"/>
      <c r="H2" s="685"/>
      <c r="I2" s="685"/>
      <c r="J2" s="685"/>
      <c r="K2" s="685"/>
      <c r="L2" s="685"/>
      <c r="M2" s="38"/>
      <c r="N2" s="38"/>
      <c r="O2" s="37"/>
    </row>
    <row r="3" spans="1:17" ht="15.75" customHeight="1">
      <c r="D3" s="48"/>
      <c r="E3" s="48"/>
      <c r="F3" s="48"/>
      <c r="G3" s="48"/>
      <c r="H3" s="48"/>
      <c r="I3" s="48"/>
      <c r="J3" s="48"/>
      <c r="K3" s="48"/>
      <c r="L3" s="48"/>
      <c r="M3" s="48"/>
    </row>
    <row r="4" spans="1:17" s="4" customFormat="1" ht="15.75" customHeight="1">
      <c r="B4" s="38" t="s">
        <v>160</v>
      </c>
      <c r="E4" s="1" t="s">
        <v>3</v>
      </c>
      <c r="F4" s="39" t="str">
        <f>'Lembar Penyelia'!F4</f>
        <v>Extech</v>
      </c>
      <c r="L4" s="5"/>
      <c r="P4" s="62"/>
      <c r="Q4" s="62"/>
    </row>
    <row r="5" spans="1:17" s="4" customFormat="1" ht="15.75" customHeight="1">
      <c r="B5" s="38" t="s">
        <v>161</v>
      </c>
      <c r="E5" s="1" t="s">
        <v>3</v>
      </c>
      <c r="F5" s="39" t="str">
        <f>'Lembar Penyelia'!F5</f>
        <v>SD 700</v>
      </c>
      <c r="L5" s="5"/>
      <c r="P5" s="62"/>
      <c r="Q5" s="62"/>
    </row>
    <row r="6" spans="1:17" s="4" customFormat="1" ht="15.75" customHeight="1">
      <c r="B6" s="38" t="s">
        <v>162</v>
      </c>
      <c r="E6" s="1" t="s">
        <v>3</v>
      </c>
      <c r="F6" s="39" t="str">
        <f>'Lembar Penyelia'!F6</f>
        <v>A.100611</v>
      </c>
      <c r="L6" s="5"/>
      <c r="P6" s="62"/>
      <c r="Q6" s="62"/>
    </row>
    <row r="7" spans="1:17" s="4" customFormat="1" ht="15.75" customHeight="1">
      <c r="B7" s="38" t="s">
        <v>163</v>
      </c>
      <c r="E7" s="1" t="s">
        <v>3</v>
      </c>
      <c r="F7" s="351">
        <f>'Lembar Penyelia'!F7</f>
        <v>0.1</v>
      </c>
      <c r="H7" s="38"/>
      <c r="I7" s="38"/>
      <c r="J7" s="38"/>
      <c r="K7" s="5"/>
      <c r="P7" s="62"/>
      <c r="Q7" s="62"/>
    </row>
    <row r="8" spans="1:17" s="4" customFormat="1" ht="15.75" customHeight="1">
      <c r="B8" s="38" t="s">
        <v>164</v>
      </c>
      <c r="E8" s="1" t="s">
        <v>3</v>
      </c>
      <c r="F8" s="363">
        <f>'Lembar Penyelia'!F8</f>
        <v>0.1</v>
      </c>
      <c r="H8" s="38"/>
      <c r="I8" s="38"/>
      <c r="J8" s="38"/>
      <c r="K8" s="5"/>
      <c r="P8" s="62"/>
      <c r="Q8" s="62"/>
    </row>
    <row r="9" spans="1:17" s="4" customFormat="1" ht="15.75" customHeight="1">
      <c r="B9" s="202" t="s">
        <v>11</v>
      </c>
      <c r="D9" s="201"/>
      <c r="E9" s="203" t="s">
        <v>3</v>
      </c>
      <c r="F9" s="39" t="str">
        <f>'Lembar Penyelia'!F9</f>
        <v>4 Januari 2023</v>
      </c>
      <c r="H9" s="38"/>
      <c r="I9" s="38"/>
      <c r="J9" s="38"/>
      <c r="K9" s="5"/>
      <c r="P9" s="62"/>
      <c r="Q9" s="62"/>
    </row>
    <row r="10" spans="1:17" s="4" customFormat="1" ht="15.75" customHeight="1">
      <c r="B10" s="38" t="s">
        <v>165</v>
      </c>
      <c r="D10" s="5"/>
      <c r="E10" s="1" t="s">
        <v>3</v>
      </c>
      <c r="F10" s="39" t="str">
        <f>'Lembar Penyelia'!F10</f>
        <v>4 Januari 2023</v>
      </c>
      <c r="I10" s="38"/>
      <c r="J10" s="38"/>
      <c r="K10" s="5"/>
      <c r="P10" s="62"/>
      <c r="Q10" s="62"/>
    </row>
    <row r="11" spans="1:17" s="4" customFormat="1" ht="15.75" customHeight="1">
      <c r="B11" s="38" t="s">
        <v>166</v>
      </c>
      <c r="D11" s="5"/>
      <c r="E11" s="1" t="s">
        <v>3</v>
      </c>
      <c r="F11" s="39" t="str">
        <f>'Lembar Penyelia'!F11</f>
        <v>Laboratorium Kalibrasi LPFK Banjarbaru</v>
      </c>
      <c r="I11" s="38"/>
      <c r="J11" s="38"/>
      <c r="K11" s="5"/>
      <c r="P11" s="62"/>
      <c r="Q11" s="62"/>
    </row>
    <row r="12" spans="1:17" s="4" customFormat="1" ht="15.75" customHeight="1">
      <c r="B12" s="38" t="s">
        <v>167</v>
      </c>
      <c r="D12" s="5"/>
      <c r="E12" s="1" t="s">
        <v>3</v>
      </c>
      <c r="F12" s="39" t="str">
        <f>'Lembar Penyelia'!F12</f>
        <v>Laboratorium Kalibrasi LPFK Banjarbaru</v>
      </c>
      <c r="I12" s="38"/>
      <c r="J12" s="38"/>
      <c r="K12" s="5"/>
      <c r="P12" s="62"/>
      <c r="Q12" s="62"/>
    </row>
    <row r="13" spans="1:17" s="4" customFormat="1" ht="15.75" customHeight="1">
      <c r="B13" s="38" t="s">
        <v>168</v>
      </c>
      <c r="D13" s="5"/>
      <c r="E13" s="1" t="s">
        <v>3</v>
      </c>
      <c r="F13" s="39" t="str">
        <f>'Lembar Penyelia'!F13</f>
        <v>MK 049-18</v>
      </c>
      <c r="I13" s="38"/>
      <c r="J13" s="38"/>
      <c r="K13" s="5"/>
      <c r="P13" s="62"/>
      <c r="Q13" s="62"/>
    </row>
    <row r="14" spans="1:17" s="4" customFormat="1" ht="9" customHeight="1">
      <c r="D14" s="38"/>
      <c r="E14" s="1"/>
      <c r="F14" s="38"/>
      <c r="G14" s="774"/>
      <c r="H14" s="774"/>
      <c r="I14" s="774"/>
      <c r="J14" s="774"/>
      <c r="K14" s="774"/>
      <c r="L14" s="774"/>
      <c r="M14" s="774"/>
      <c r="N14" s="774"/>
      <c r="P14" s="62"/>
      <c r="Q14" s="62"/>
    </row>
    <row r="15" spans="1:17" s="4" customFormat="1" ht="15.75" customHeight="1">
      <c r="A15" s="40" t="s">
        <v>17</v>
      </c>
      <c r="B15" s="41" t="s">
        <v>18</v>
      </c>
      <c r="E15" s="49"/>
      <c r="F15" s="41"/>
      <c r="H15" s="49"/>
      <c r="I15" s="1"/>
      <c r="J15" s="38"/>
      <c r="K15" s="38"/>
      <c r="L15" s="38"/>
      <c r="M15" s="38"/>
      <c r="P15" s="62"/>
      <c r="Q15" s="62"/>
    </row>
    <row r="16" spans="1:17" s="4" customFormat="1" ht="15.75" customHeight="1">
      <c r="B16" s="66" t="s">
        <v>169</v>
      </c>
      <c r="D16" s="5"/>
      <c r="E16" s="1" t="s">
        <v>3</v>
      </c>
      <c r="F16" s="176" t="str">
        <f>'Lembar Penyelia'!F16</f>
        <v>( 19.8 ± 0.6 ) °C</v>
      </c>
      <c r="H16" s="177"/>
      <c r="I16" s="178"/>
      <c r="J16" s="49"/>
      <c r="P16" s="62"/>
      <c r="Q16" s="62"/>
    </row>
    <row r="17" spans="1:24" s="4" customFormat="1" ht="15.75" customHeight="1">
      <c r="B17" s="66" t="s">
        <v>170</v>
      </c>
      <c r="D17" s="5"/>
      <c r="E17" s="1" t="s">
        <v>3</v>
      </c>
      <c r="F17" s="176" t="str">
        <f>'Lembar Penyelia'!F17</f>
        <v>( 57.7 ± 2.3 ) %RH</v>
      </c>
      <c r="H17" s="179"/>
      <c r="J17" s="49"/>
      <c r="P17" s="62"/>
      <c r="Q17" s="62"/>
    </row>
    <row r="18" spans="1:24" s="4" customFormat="1" ht="9" customHeight="1">
      <c r="D18" s="40"/>
      <c r="E18" s="187"/>
      <c r="F18" s="40"/>
      <c r="G18" s="40"/>
      <c r="H18" s="38"/>
      <c r="M18" s="42"/>
      <c r="P18" s="62"/>
      <c r="Q18" s="62"/>
    </row>
    <row r="19" spans="1:24" s="4" customFormat="1" ht="15.75" customHeight="1">
      <c r="A19" s="40" t="s">
        <v>25</v>
      </c>
      <c r="B19" s="40" t="s">
        <v>26</v>
      </c>
      <c r="E19" s="49"/>
      <c r="J19" s="42"/>
      <c r="L19" s="39"/>
      <c r="P19" s="62"/>
      <c r="Q19" s="62"/>
    </row>
    <row r="20" spans="1:24" s="4" customFormat="1" ht="15.75" customHeight="1">
      <c r="B20" s="39" t="s">
        <v>171</v>
      </c>
      <c r="D20" s="43"/>
      <c r="E20" s="49" t="s">
        <v>3</v>
      </c>
      <c r="F20" s="4" t="str">
        <f>ID!E20</f>
        <v>Baik</v>
      </c>
      <c r="I20" s="44"/>
      <c r="J20" s="44"/>
      <c r="K20" s="44"/>
      <c r="L20" s="44"/>
      <c r="M20" s="44"/>
      <c r="N20" s="44"/>
      <c r="P20" s="62"/>
      <c r="Q20" s="62"/>
      <c r="T20" s="61"/>
      <c r="U20" s="61"/>
      <c r="V20" s="61"/>
      <c r="W20" s="61"/>
    </row>
    <row r="21" spans="1:24" s="4" customFormat="1" ht="15.75" customHeight="1">
      <c r="B21" s="39" t="s">
        <v>172</v>
      </c>
      <c r="D21" s="128"/>
      <c r="E21" s="156" t="s">
        <v>3</v>
      </c>
      <c r="F21" s="4" t="str">
        <f>ID!E21</f>
        <v>Baik</v>
      </c>
      <c r="H21" s="61"/>
      <c r="I21" s="129"/>
      <c r="J21" s="129"/>
      <c r="K21" s="129"/>
      <c r="L21" s="129"/>
      <c r="M21" s="129"/>
      <c r="N21" s="129"/>
      <c r="O21" s="61"/>
      <c r="P21" s="778"/>
      <c r="Q21" s="778"/>
      <c r="R21" s="61"/>
      <c r="S21" s="61"/>
      <c r="T21" s="61"/>
      <c r="U21" s="61"/>
      <c r="V21" s="61"/>
      <c r="W21" s="61"/>
      <c r="X21" s="62"/>
    </row>
    <row r="22" spans="1:24" s="4" customFormat="1" ht="9" customHeight="1">
      <c r="D22" s="130"/>
      <c r="E22" s="156"/>
      <c r="F22" s="128"/>
      <c r="G22" s="61"/>
      <c r="H22" s="61"/>
      <c r="I22" s="131"/>
      <c r="J22" s="131"/>
      <c r="K22" s="131"/>
      <c r="L22" s="131"/>
      <c r="M22" s="131"/>
      <c r="N22" s="131"/>
      <c r="O22" s="61"/>
      <c r="P22" s="778"/>
      <c r="Q22" s="778"/>
      <c r="R22" s="61"/>
      <c r="S22" s="61"/>
      <c r="T22" s="156"/>
      <c r="U22" s="61"/>
      <c r="V22" s="61"/>
      <c r="W22" s="61"/>
      <c r="X22" s="62"/>
    </row>
    <row r="23" spans="1:24" s="4" customFormat="1" ht="15.75" customHeight="1">
      <c r="A23" s="40" t="s">
        <v>31</v>
      </c>
      <c r="B23" s="40" t="s">
        <v>32</v>
      </c>
      <c r="D23" s="61"/>
      <c r="E23" s="156"/>
      <c r="F23" s="61"/>
      <c r="G23" s="61"/>
      <c r="H23" s="61"/>
      <c r="I23" s="61"/>
      <c r="J23" s="61"/>
      <c r="K23" s="61"/>
      <c r="L23" s="61"/>
      <c r="M23" s="61"/>
      <c r="N23" s="132"/>
      <c r="O23" s="766"/>
      <c r="P23" s="766"/>
      <c r="Q23" s="61"/>
      <c r="R23" s="133"/>
      <c r="S23" s="133"/>
      <c r="T23" s="107"/>
      <c r="U23" s="61"/>
      <c r="V23" s="61"/>
      <c r="W23" s="61"/>
    </row>
    <row r="24" spans="1:24" s="4" customFormat="1" ht="9" customHeight="1">
      <c r="B24" s="40"/>
      <c r="C24" s="40"/>
      <c r="D24" s="61"/>
      <c r="E24" s="156"/>
      <c r="F24" s="61"/>
      <c r="G24" s="61"/>
      <c r="H24" s="61"/>
      <c r="I24" s="61"/>
      <c r="J24" s="61"/>
      <c r="K24" s="61"/>
      <c r="L24" s="61"/>
      <c r="M24" s="61"/>
      <c r="N24" s="132"/>
      <c r="O24" s="158"/>
      <c r="P24" s="158"/>
      <c r="Q24" s="61"/>
      <c r="R24" s="133"/>
      <c r="S24" s="133"/>
      <c r="T24" s="107"/>
      <c r="U24" s="61"/>
      <c r="V24" s="61"/>
      <c r="W24" s="61"/>
    </row>
    <row r="25" spans="1:24" s="4" customFormat="1" ht="15.75" customHeight="1">
      <c r="B25" s="40" t="s">
        <v>173</v>
      </c>
      <c r="D25" s="61"/>
      <c r="E25" s="156"/>
      <c r="F25" s="61"/>
      <c r="G25" s="61"/>
      <c r="H25" s="61"/>
      <c r="I25" s="61"/>
      <c r="J25" s="61"/>
      <c r="K25" s="61"/>
      <c r="L25" s="61"/>
      <c r="M25" s="61"/>
      <c r="N25" s="132"/>
      <c r="O25" s="158"/>
      <c r="P25" s="158"/>
      <c r="Q25" s="61"/>
      <c r="R25" s="133"/>
      <c r="S25" s="133"/>
      <c r="T25" s="107"/>
      <c r="U25" s="61"/>
      <c r="V25" s="61"/>
      <c r="W25" s="61"/>
    </row>
    <row r="26" spans="1:24" s="4" customFormat="1" ht="15.75" customHeight="1">
      <c r="B26" s="723" t="s">
        <v>34</v>
      </c>
      <c r="C26" s="680" t="s">
        <v>189</v>
      </c>
      <c r="D26" s="769" t="s">
        <v>190</v>
      </c>
      <c r="E26" s="358"/>
      <c r="F26" s="680" t="s">
        <v>191</v>
      </c>
      <c r="G26" s="680" t="s">
        <v>192</v>
      </c>
      <c r="H26" s="680" t="s">
        <v>193</v>
      </c>
      <c r="I26" s="164"/>
      <c r="J26" s="672"/>
      <c r="K26" s="775"/>
      <c r="L26" s="775"/>
      <c r="M26" s="775"/>
      <c r="N26" s="775"/>
      <c r="O26" s="61"/>
      <c r="P26" s="128"/>
      <c r="Q26" s="61"/>
      <c r="R26" s="61"/>
      <c r="S26" s="61"/>
      <c r="T26" s="61"/>
      <c r="U26" s="61"/>
      <c r="V26" s="61"/>
      <c r="W26" s="61"/>
    </row>
    <row r="27" spans="1:24" s="4" customFormat="1" ht="15.75" customHeight="1">
      <c r="B27" s="723"/>
      <c r="C27" s="780"/>
      <c r="D27" s="729"/>
      <c r="E27" s="359"/>
      <c r="F27" s="780"/>
      <c r="G27" s="780"/>
      <c r="H27" s="780"/>
      <c r="I27" s="61"/>
      <c r="J27" s="672"/>
      <c r="K27" s="775"/>
      <c r="L27" s="775"/>
      <c r="M27" s="775"/>
      <c r="N27" s="775"/>
      <c r="O27" s="134"/>
      <c r="P27" s="128"/>
      <c r="Q27" s="170"/>
      <c r="R27" s="61"/>
      <c r="S27" s="61"/>
      <c r="T27" s="61"/>
      <c r="U27" s="61"/>
      <c r="V27" s="61"/>
      <c r="W27" s="61"/>
    </row>
    <row r="28" spans="1:24" s="4" customFormat="1" ht="20.25" customHeight="1">
      <c r="B28" s="723"/>
      <c r="C28" s="360" t="s">
        <v>194</v>
      </c>
      <c r="D28" s="361" t="s">
        <v>194</v>
      </c>
      <c r="E28" s="362"/>
      <c r="F28" s="360" t="s">
        <v>194</v>
      </c>
      <c r="G28" s="360" t="s">
        <v>194</v>
      </c>
      <c r="H28" s="360" t="s">
        <v>194</v>
      </c>
      <c r="I28" s="61"/>
      <c r="J28" s="162"/>
      <c r="K28" s="61"/>
      <c r="L28" s="61"/>
      <c r="M28" s="61"/>
      <c r="N28" s="135"/>
      <c r="O28" s="135"/>
      <c r="P28" s="128"/>
      <c r="Q28" s="170"/>
      <c r="R28" s="61"/>
      <c r="S28" s="61"/>
      <c r="T28" s="61"/>
      <c r="U28" s="61"/>
      <c r="V28" s="61"/>
      <c r="W28" s="61"/>
    </row>
    <row r="29" spans="1:24" s="4" customFormat="1" ht="20.25" customHeight="1">
      <c r="B29" s="106">
        <v>1</v>
      </c>
      <c r="C29" s="106" t="str">
        <f>'Lembar Penyelia'!C29</f>
        <v>2*</v>
      </c>
      <c r="D29" s="767">
        <f>'Lembar Penyelia'!D29:E29</f>
        <v>2.5</v>
      </c>
      <c r="E29" s="768"/>
      <c r="F29" s="139">
        <f ca="1">'Lembar Penyelia'!F29</f>
        <v>1.6684999992499998</v>
      </c>
      <c r="G29" s="139">
        <f ca="1">F29-D29</f>
        <v>-0.83150000075000019</v>
      </c>
      <c r="H29" s="364">
        <f>'Uncertainty Budget'!M18</f>
        <v>0.66138291296913121</v>
      </c>
      <c r="I29" s="61"/>
      <c r="J29" s="162"/>
      <c r="K29" s="61"/>
      <c r="L29" s="130"/>
      <c r="M29" s="156"/>
      <c r="N29" s="135"/>
      <c r="O29" s="135"/>
      <c r="P29" s="61"/>
      <c r="Q29" s="170"/>
      <c r="R29" s="61"/>
      <c r="S29" s="170"/>
      <c r="T29" s="171"/>
      <c r="U29" s="61"/>
      <c r="V29" s="61"/>
      <c r="W29" s="61"/>
    </row>
    <row r="30" spans="1:24" s="4" customFormat="1" ht="20.25" customHeight="1">
      <c r="B30" s="106">
        <v>2</v>
      </c>
      <c r="C30" s="106" t="str">
        <f>'Lembar Penyelia'!C30</f>
        <v>5*</v>
      </c>
      <c r="D30" s="767">
        <f>'Lembar Penyelia'!D30:E30</f>
        <v>5.1000000000000005</v>
      </c>
      <c r="E30" s="768"/>
      <c r="F30" s="139">
        <f ca="1">'Lembar Penyelia'!F30</f>
        <v>4.7549999999999999</v>
      </c>
      <c r="G30" s="139">
        <f t="shared" ref="G30:G32" ca="1" si="0">F30-D30</f>
        <v>-0.34500000000000064</v>
      </c>
      <c r="H30" s="364">
        <f>'Uncertainty Budget'!M33</f>
        <v>0.66043240999457986</v>
      </c>
      <c r="I30" s="61"/>
      <c r="J30" s="162"/>
      <c r="K30" s="61"/>
      <c r="L30" s="61"/>
      <c r="M30" s="61"/>
      <c r="N30" s="135"/>
      <c r="O30" s="135"/>
      <c r="P30" s="61"/>
      <c r="Q30" s="172"/>
      <c r="R30" s="61"/>
      <c r="S30" s="61"/>
      <c r="T30" s="61"/>
      <c r="U30" s="61"/>
      <c r="V30" s="61"/>
      <c r="W30" s="61"/>
    </row>
    <row r="31" spans="1:24" s="4" customFormat="1" ht="20.25" customHeight="1">
      <c r="B31" s="106">
        <v>3</v>
      </c>
      <c r="C31" s="106" t="str">
        <f>'Lembar Penyelia'!C31</f>
        <v>8*</v>
      </c>
      <c r="D31" s="767">
        <f>'Lembar Penyelia'!D31:E31</f>
        <v>8.1</v>
      </c>
      <c r="E31" s="768"/>
      <c r="F31" s="139">
        <f ca="1">'Lembar Penyelia'!F31</f>
        <v>7.74</v>
      </c>
      <c r="G31" s="139">
        <f t="shared" ca="1" si="0"/>
        <v>-0.35999999999999943</v>
      </c>
      <c r="H31" s="364">
        <f>'Uncertainty Budget'!M48</f>
        <v>0.66089427214955587</v>
      </c>
      <c r="I31" s="61"/>
      <c r="J31" s="162"/>
      <c r="K31" s="61"/>
      <c r="L31" s="61"/>
      <c r="M31" s="61"/>
      <c r="N31" s="135"/>
      <c r="O31" s="135"/>
      <c r="P31" s="61"/>
      <c r="Q31" s="172"/>
      <c r="R31" s="61"/>
      <c r="S31" s="61"/>
      <c r="T31" s="61"/>
      <c r="U31" s="61"/>
      <c r="V31" s="61"/>
      <c r="W31" s="61"/>
    </row>
    <row r="32" spans="1:24" s="4" customFormat="1" ht="20.25" customHeight="1">
      <c r="B32" s="106">
        <v>4</v>
      </c>
      <c r="C32" s="106">
        <f>'Lembar Penyelia'!C32</f>
        <v>25</v>
      </c>
      <c r="D32" s="767">
        <f>'Lembar Penyelia'!D32:E32</f>
        <v>25.099999999999998</v>
      </c>
      <c r="E32" s="768"/>
      <c r="F32" s="139">
        <f ca="1">'Lembar Penyelia'!F32</f>
        <v>25.09</v>
      </c>
      <c r="G32" s="139">
        <f t="shared" ca="1" si="0"/>
        <v>-9.9999999999980105E-3</v>
      </c>
      <c r="H32" s="364">
        <f>'Uncertainty Budget'!M63</f>
        <v>0.67737677794798334</v>
      </c>
      <c r="I32" s="61"/>
      <c r="J32" s="61"/>
      <c r="K32" s="61"/>
      <c r="L32" s="61"/>
      <c r="M32" s="156"/>
      <c r="N32" s="135"/>
      <c r="O32" s="135"/>
      <c r="P32" s="61"/>
      <c r="Q32" s="61"/>
      <c r="R32" s="61"/>
      <c r="S32" s="61"/>
      <c r="T32" s="61"/>
      <c r="U32" s="61"/>
      <c r="V32" s="61"/>
      <c r="W32" s="61"/>
    </row>
    <row r="33" spans="1:23" s="4" customFormat="1" ht="9.75" customHeight="1">
      <c r="D33" s="61"/>
      <c r="E33" s="156"/>
      <c r="F33" s="61"/>
      <c r="G33" s="61"/>
      <c r="H33" s="61"/>
      <c r="I33" s="61"/>
      <c r="J33" s="61"/>
      <c r="K33" s="61"/>
      <c r="L33" s="61"/>
      <c r="M33" s="156"/>
      <c r="N33" s="135"/>
      <c r="O33" s="135"/>
      <c r="P33" s="61"/>
      <c r="Q33" s="61"/>
      <c r="R33" s="61"/>
      <c r="S33" s="61"/>
      <c r="T33" s="61"/>
      <c r="U33" s="61"/>
      <c r="V33" s="61"/>
      <c r="W33" s="61"/>
    </row>
    <row r="34" spans="1:23" s="4" customFormat="1" ht="15.75" customHeight="1">
      <c r="B34" s="40" t="s">
        <v>179</v>
      </c>
      <c r="D34" s="61"/>
      <c r="E34" s="156"/>
      <c r="F34" s="61"/>
      <c r="G34" s="61"/>
      <c r="H34" s="61"/>
      <c r="I34" s="61"/>
      <c r="J34" s="61"/>
      <c r="K34" s="61"/>
      <c r="L34" s="61"/>
      <c r="M34" s="156"/>
      <c r="N34" s="135"/>
      <c r="O34" s="135"/>
      <c r="P34" s="136"/>
      <c r="Q34" s="156"/>
      <c r="R34" s="137"/>
      <c r="S34" s="137"/>
      <c r="T34" s="61"/>
      <c r="U34" s="61"/>
      <c r="V34" s="61"/>
      <c r="W34" s="61"/>
    </row>
    <row r="35" spans="1:23" s="4" customFormat="1" ht="15" customHeight="1">
      <c r="B35" s="723" t="s">
        <v>34</v>
      </c>
      <c r="C35" s="723" t="s">
        <v>41</v>
      </c>
      <c r="D35" s="723" t="s">
        <v>180</v>
      </c>
      <c r="E35" s="723"/>
      <c r="F35" s="723"/>
      <c r="G35" s="723" t="s">
        <v>181</v>
      </c>
      <c r="H35" s="723"/>
      <c r="I35" s="723" t="s">
        <v>182</v>
      </c>
      <c r="J35" s="723"/>
      <c r="K35" s="769" t="s">
        <v>195</v>
      </c>
      <c r="L35" s="770"/>
      <c r="M35" s="672"/>
      <c r="N35" s="135"/>
      <c r="O35" s="135"/>
      <c r="P35" s="138"/>
      <c r="Q35" s="61"/>
      <c r="R35" s="156"/>
      <c r="S35" s="156"/>
      <c r="T35" s="61"/>
      <c r="U35" s="61"/>
      <c r="V35" s="61"/>
      <c r="W35" s="61"/>
    </row>
    <row r="36" spans="1:23" s="4" customFormat="1" ht="33" customHeight="1">
      <c r="B36" s="723"/>
      <c r="C36" s="723"/>
      <c r="D36" s="723"/>
      <c r="E36" s="723"/>
      <c r="F36" s="723"/>
      <c r="G36" s="723"/>
      <c r="H36" s="723"/>
      <c r="I36" s="723"/>
      <c r="J36" s="723"/>
      <c r="K36" s="772"/>
      <c r="L36" s="773"/>
      <c r="M36" s="672"/>
      <c r="N36" s="164"/>
      <c r="O36" s="61"/>
      <c r="P36" s="156"/>
      <c r="Q36" s="61"/>
      <c r="R36" s="61"/>
      <c r="S36" s="61"/>
      <c r="T36" s="61"/>
      <c r="U36" s="61"/>
      <c r="V36" s="61"/>
      <c r="W36" s="61"/>
    </row>
    <row r="37" spans="1:23" s="4" customFormat="1" ht="15.6" customHeight="1">
      <c r="B37" s="723"/>
      <c r="C37" s="723"/>
      <c r="D37" s="718" t="s">
        <v>184</v>
      </c>
      <c r="E37" s="718"/>
      <c r="F37" s="106" t="s">
        <v>185</v>
      </c>
      <c r="G37" s="106" t="s">
        <v>184</v>
      </c>
      <c r="H37" s="106" t="s">
        <v>185</v>
      </c>
      <c r="I37" s="140" t="s">
        <v>184</v>
      </c>
      <c r="J37" s="140" t="s">
        <v>185</v>
      </c>
      <c r="K37" s="140" t="s">
        <v>184</v>
      </c>
      <c r="L37" s="140" t="s">
        <v>185</v>
      </c>
      <c r="M37" s="672"/>
      <c r="N37" s="164"/>
      <c r="O37" s="61"/>
      <c r="P37" s="775"/>
      <c r="Q37" s="779"/>
      <c r="R37" s="61"/>
      <c r="S37" s="61"/>
      <c r="T37" s="61"/>
      <c r="U37" s="61"/>
      <c r="V37" s="61"/>
      <c r="W37" s="61"/>
    </row>
    <row r="38" spans="1:23" s="4" customFormat="1" ht="20.25" customHeight="1">
      <c r="B38" s="106">
        <v>1</v>
      </c>
      <c r="C38" s="106">
        <f>'Lembar Penyelia'!C38</f>
        <v>40</v>
      </c>
      <c r="D38" s="776">
        <f>'Lembar Penyelia'!D38:E38</f>
        <v>42.4</v>
      </c>
      <c r="E38" s="776"/>
      <c r="F38" s="141">
        <f>'Lembar Penyelia'!F38</f>
        <v>42.4</v>
      </c>
      <c r="G38" s="28">
        <f ca="1">'Lembar Penyelia'!G38</f>
        <v>42.279809999999998</v>
      </c>
      <c r="H38" s="28">
        <f ca="1">'Lembar Penyelia'!H38</f>
        <v>42.387380000000007</v>
      </c>
      <c r="I38" s="139">
        <f ca="1">'Lembar Penyelia'!I38</f>
        <v>-0.12019000000000091</v>
      </c>
      <c r="J38" s="139">
        <f ca="1">'Lembar Penyelia'!J38</f>
        <v>-1.2619999999991194E-2</v>
      </c>
      <c r="K38" s="320">
        <f ca="1">'Lembar Penyelia'!K38</f>
        <v>1.2249818932743515</v>
      </c>
      <c r="L38" s="320">
        <f ca="1">'Lembar Penyelia'!L38</f>
        <v>1.2260381212298588</v>
      </c>
      <c r="M38" s="368"/>
      <c r="N38" s="164"/>
      <c r="O38" s="61"/>
      <c r="P38" s="775"/>
      <c r="Q38" s="779"/>
      <c r="R38" s="61"/>
      <c r="S38" s="61"/>
      <c r="T38" s="777"/>
      <c r="U38" s="777"/>
      <c r="V38" s="61"/>
      <c r="W38" s="61"/>
    </row>
    <row r="39" spans="1:23" s="4" customFormat="1" ht="20.25" customHeight="1">
      <c r="B39" s="106">
        <v>2</v>
      </c>
      <c r="C39" s="106">
        <f>'Lembar Penyelia'!C39</f>
        <v>50</v>
      </c>
      <c r="D39" s="776">
        <f>'Lembar Penyelia'!D39:E39</f>
        <v>51.6</v>
      </c>
      <c r="E39" s="776"/>
      <c r="F39" s="141">
        <f>'Lembar Penyelia'!F39</f>
        <v>51.6</v>
      </c>
      <c r="G39" s="28">
        <f ca="1">'Lembar Penyelia'!G39</f>
        <v>51.947309999999995</v>
      </c>
      <c r="H39" s="28">
        <f ca="1">'Lembar Penyelia'!H39</f>
        <v>51.81806000000001</v>
      </c>
      <c r="I39" s="139">
        <f ca="1">'Lembar Penyelia'!I39</f>
        <v>0.34730999999999312</v>
      </c>
      <c r="J39" s="139">
        <f ca="1">'Lembar Penyelia'!J39</f>
        <v>0.21806000000000836</v>
      </c>
      <c r="K39" s="320">
        <f ca="1">'Lembar Penyelia'!K39</f>
        <v>1.30448989860913</v>
      </c>
      <c r="L39" s="320">
        <f ca="1">'Lembar Penyelia'!L39</f>
        <v>1.3032831512189849</v>
      </c>
      <c r="M39" s="173"/>
      <c r="N39" s="165"/>
      <c r="O39" s="61"/>
      <c r="P39" s="778"/>
      <c r="Q39" s="779"/>
      <c r="R39" s="61"/>
      <c r="S39" s="61"/>
      <c r="T39" s="173"/>
      <c r="U39" s="61"/>
      <c r="V39" s="61"/>
      <c r="W39" s="61"/>
    </row>
    <row r="40" spans="1:23" s="4" customFormat="1" ht="20.25" customHeight="1">
      <c r="B40" s="106">
        <v>3</v>
      </c>
      <c r="C40" s="106">
        <f>'Lembar Penyelia'!C40</f>
        <v>60</v>
      </c>
      <c r="D40" s="776">
        <f>'Lembar Penyelia'!D40:E40</f>
        <v>59.93333333333333</v>
      </c>
      <c r="E40" s="776"/>
      <c r="F40" s="141">
        <f>'Lembar Penyelia'!F40</f>
        <v>59.800000000000004</v>
      </c>
      <c r="G40" s="28">
        <f ca="1">'Lembar Penyelia'!G40</f>
        <v>61.277286666666669</v>
      </c>
      <c r="H40" s="28">
        <f ca="1">'Lembar Penyelia'!H40</f>
        <v>60.898639999999993</v>
      </c>
      <c r="I40" s="139">
        <f ca="1">'Lembar Penyelia'!I40</f>
        <v>1.3439533333333387</v>
      </c>
      <c r="J40" s="139">
        <f ca="1">'Lembar Penyelia'!J40</f>
        <v>1.098639999999989</v>
      </c>
      <c r="K40" s="320">
        <f ca="1">'Lembar Penyelia'!K40</f>
        <v>1.4200957202806859</v>
      </c>
      <c r="L40" s="320">
        <f ca="1">'Lembar Penyelia'!L40</f>
        <v>1.4107109364072214</v>
      </c>
      <c r="M40" s="173"/>
      <c r="N40" s="61"/>
      <c r="O40" s="61"/>
      <c r="P40" s="778"/>
      <c r="Q40" s="779"/>
      <c r="R40" s="174"/>
      <c r="S40" s="138"/>
      <c r="T40" s="61"/>
      <c r="U40" s="61"/>
      <c r="V40" s="61"/>
      <c r="W40" s="61"/>
    </row>
    <row r="41" spans="1:23" s="4" customFormat="1" ht="20.25" customHeight="1">
      <c r="B41" s="106">
        <v>4</v>
      </c>
      <c r="C41" s="106">
        <f>'Lembar Penyelia'!C41</f>
        <v>70</v>
      </c>
      <c r="D41" s="776">
        <f>'Lembar Penyelia'!D41:E41</f>
        <v>70.5</v>
      </c>
      <c r="E41" s="776"/>
      <c r="F41" s="141">
        <f>'Lembar Penyelia'!F41</f>
        <v>70.8</v>
      </c>
      <c r="G41" s="28">
        <f ca="1">'Lembar Penyelia'!G41</f>
        <v>70.867166666666662</v>
      </c>
      <c r="H41" s="28">
        <f ca="1">'Lembar Penyelia'!H41</f>
        <v>71.352616666666677</v>
      </c>
      <c r="I41" s="139">
        <f ca="1">'Lembar Penyelia'!I41</f>
        <v>0.36716666666666242</v>
      </c>
      <c r="J41" s="139">
        <f ca="1">'Lembar Penyelia'!J41</f>
        <v>0.55261666666667963</v>
      </c>
      <c r="K41" s="320">
        <f ca="1">'Lembar Penyelia'!K41</f>
        <v>1.6874396289059819</v>
      </c>
      <c r="L41" s="320">
        <f ca="1">'Lembar Penyelia'!L41</f>
        <v>1.7022763340348723</v>
      </c>
      <c r="M41" s="173"/>
      <c r="N41" s="6"/>
      <c r="P41" s="112"/>
      <c r="Q41" s="111"/>
      <c r="R41" s="45"/>
      <c r="S41" s="45"/>
    </row>
    <row r="42" spans="1:23" s="4" customFormat="1" ht="9" customHeight="1">
      <c r="B42" s="6"/>
      <c r="C42" s="166"/>
      <c r="D42" s="6"/>
      <c r="E42" s="105"/>
      <c r="F42" s="6"/>
      <c r="G42" s="105"/>
      <c r="H42" s="9"/>
      <c r="I42" s="6"/>
      <c r="J42" s="6"/>
      <c r="K42" s="6"/>
      <c r="L42" s="6"/>
      <c r="M42" s="6"/>
      <c r="N42" s="6"/>
      <c r="P42" s="113"/>
      <c r="Q42" s="111"/>
      <c r="R42" s="45"/>
      <c r="S42" s="45"/>
    </row>
    <row r="43" spans="1:23" s="4" customFormat="1" ht="15.6">
      <c r="A43" s="189" t="str">
        <f>ID!A84</f>
        <v>IV.</v>
      </c>
      <c r="B43" s="188" t="str">
        <f>ID!B84</f>
        <v>Keterangan</v>
      </c>
      <c r="D43" s="6"/>
      <c r="E43" s="105"/>
      <c r="F43" s="6"/>
      <c r="G43" s="105"/>
      <c r="H43" s="7"/>
      <c r="I43" s="6"/>
      <c r="J43" s="6"/>
      <c r="K43" s="6"/>
      <c r="L43" s="6"/>
      <c r="M43" s="6"/>
      <c r="N43" s="6"/>
      <c r="P43" s="113"/>
      <c r="Q43" s="112"/>
      <c r="R43" s="45"/>
      <c r="S43" s="45"/>
    </row>
    <row r="44" spans="1:23" s="4" customFormat="1">
      <c r="B44" s="166" t="str">
        <f>ID!B85</f>
        <v>Ketidakpastian pengukuran dilaporkan pada tingkat kepercayaan 95% dengan faktor cakupan k=2</v>
      </c>
      <c r="D44" s="6"/>
      <c r="E44" s="105"/>
      <c r="F44" s="6"/>
      <c r="G44" s="105"/>
      <c r="H44" s="7"/>
      <c r="I44" s="6"/>
      <c r="J44" s="6"/>
      <c r="K44" s="6"/>
      <c r="L44" s="6"/>
      <c r="M44" s="6"/>
      <c r="N44" s="6"/>
      <c r="P44" s="113"/>
      <c r="Q44" s="112"/>
      <c r="R44" s="45"/>
      <c r="S44" s="45"/>
      <c r="T44" s="175"/>
    </row>
    <row r="45" spans="1:23" s="4" customFormat="1">
      <c r="B45" s="166" t="str">
        <f>ID!B86</f>
        <v>Hasil pengujian kinerja suhu tertelusur ke Satuan SI melalui Laboratorium SNSU-BSN</v>
      </c>
      <c r="D45" s="6"/>
      <c r="E45" s="105"/>
      <c r="F45" s="6"/>
      <c r="G45" s="105"/>
      <c r="H45" s="7"/>
      <c r="I45" s="6"/>
      <c r="J45" s="6"/>
      <c r="K45" s="6"/>
      <c r="L45" s="6"/>
      <c r="M45" s="6"/>
      <c r="N45" s="6"/>
      <c r="P45" s="113"/>
      <c r="Q45" s="112"/>
      <c r="R45" s="45"/>
      <c r="S45" s="45"/>
    </row>
    <row r="46" spans="1:23" s="4" customFormat="1" ht="16.5" customHeight="1">
      <c r="B46" s="166" t="str">
        <f>ID!B87</f>
        <v>Hasil pengujian kinerja kelembaban relatif tertelusur ke Satuan SI melalui Laboratorium SNSU-BSN</v>
      </c>
      <c r="D46" s="166"/>
      <c r="E46" s="204"/>
      <c r="F46" s="6"/>
      <c r="G46" s="105"/>
      <c r="H46" s="7"/>
      <c r="I46" s="6"/>
      <c r="J46" s="6"/>
      <c r="K46" s="6"/>
      <c r="L46" s="6"/>
      <c r="M46" s="6"/>
      <c r="N46" s="6"/>
      <c r="P46" s="113"/>
      <c r="Q46" s="112"/>
      <c r="R46" s="45"/>
      <c r="S46" s="45"/>
    </row>
    <row r="47" spans="1:23" s="4" customFormat="1" ht="33" customHeight="1">
      <c r="B47" s="761" t="str">
        <f>'Lembar Penyelia'!B47:L47</f>
        <v>Metode Kalibrasi yang digunakan mengacu pada Keputusan Direktur Jenderal Pelayanan Kesehatan                                                                Nomor : HK.02.02/V/0412/2020 Nomor MK : 049-18</v>
      </c>
      <c r="C47" s="761"/>
      <c r="D47" s="761"/>
      <c r="E47" s="761"/>
      <c r="F47" s="761"/>
      <c r="G47" s="761"/>
      <c r="H47" s="761"/>
      <c r="I47" s="761"/>
      <c r="J47" s="761"/>
      <c r="K47" s="761"/>
      <c r="L47" s="761"/>
      <c r="M47" s="6"/>
      <c r="N47" s="6"/>
      <c r="P47" s="113"/>
      <c r="Q47" s="112"/>
      <c r="R47" s="45"/>
      <c r="S47" s="45"/>
    </row>
    <row r="48" spans="1:23" s="4" customFormat="1" ht="17.100000000000001" customHeight="1">
      <c r="B48" s="761" t="str">
        <f>'Lembar Penyelia'!B48:L48</f>
        <v>Thermocouple Data Logger menggunakan Channel 1</v>
      </c>
      <c r="C48" s="761"/>
      <c r="D48" s="761"/>
      <c r="E48" s="761"/>
      <c r="F48" s="761"/>
      <c r="G48" s="761"/>
      <c r="H48" s="761"/>
      <c r="I48" s="761"/>
      <c r="J48" s="761"/>
      <c r="K48" s="761"/>
      <c r="L48" s="761"/>
      <c r="M48" s="6"/>
      <c r="N48" s="6"/>
      <c r="P48" s="113"/>
      <c r="Q48" s="112"/>
      <c r="R48" s="45"/>
      <c r="S48" s="45"/>
    </row>
    <row r="49" spans="1:19" s="4" customFormat="1" ht="17.100000000000001" customHeight="1">
      <c r="B49" s="761" t="str">
        <f>'Lembar Penyelia'!B49:L49</f>
        <v>Titik ukur yang diberikan symbol (*) tidak termasuk dalam lingkup akreditasi</v>
      </c>
      <c r="C49" s="761"/>
      <c r="D49" s="761"/>
      <c r="E49" s="761"/>
      <c r="F49" s="761"/>
      <c r="G49" s="761"/>
      <c r="H49" s="761"/>
      <c r="I49" s="761"/>
      <c r="J49" s="761"/>
      <c r="K49" s="761"/>
      <c r="L49" s="761"/>
      <c r="M49" s="6"/>
      <c r="N49" s="6"/>
      <c r="P49" s="113"/>
      <c r="Q49" s="112"/>
      <c r="R49" s="45"/>
      <c r="S49" s="45"/>
    </row>
    <row r="50" spans="1:19" s="4" customFormat="1" ht="9" customHeight="1">
      <c r="B50" s="8"/>
      <c r="C50" s="167"/>
      <c r="D50" s="6"/>
      <c r="E50" s="105"/>
      <c r="F50" s="6"/>
      <c r="G50" s="168"/>
      <c r="H50" s="6"/>
      <c r="I50" s="6"/>
      <c r="J50" s="6"/>
      <c r="K50" s="6"/>
      <c r="L50" s="6"/>
      <c r="M50" s="6"/>
      <c r="N50" s="6"/>
      <c r="O50" s="108"/>
      <c r="P50" s="114"/>
      <c r="Q50" s="114"/>
      <c r="R50" s="3"/>
      <c r="S50" s="109"/>
    </row>
    <row r="51" spans="1:19" s="4" customFormat="1" ht="15.6">
      <c r="A51" s="189" t="str">
        <f>ID!A92</f>
        <v>V.</v>
      </c>
      <c r="B51" s="47" t="str">
        <f>ID!B92</f>
        <v>Alat Ukur yang digunakan</v>
      </c>
      <c r="D51" s="8"/>
      <c r="E51" s="205"/>
      <c r="F51" s="105"/>
      <c r="G51" s="7"/>
      <c r="H51" s="6"/>
      <c r="I51" s="6"/>
      <c r="J51" s="6"/>
      <c r="K51" s="6"/>
      <c r="L51" s="6"/>
      <c r="M51" s="29"/>
      <c r="N51" s="6"/>
      <c r="P51" s="62"/>
      <c r="Q51" s="62"/>
    </row>
    <row r="52" spans="1:19" s="4" customFormat="1" ht="15.75" customHeight="1">
      <c r="B52" s="46" t="str">
        <f>'Lembar Penyelia'!B52</f>
        <v>Climatic Chamber, Merek : Kambic, Model : KK-190, SN : 21026844</v>
      </c>
      <c r="D52" s="6"/>
      <c r="E52" s="105"/>
      <c r="F52" s="105"/>
      <c r="G52" s="7"/>
      <c r="H52" s="6"/>
      <c r="I52" s="6"/>
      <c r="J52" s="6"/>
      <c r="K52" s="6"/>
      <c r="L52" s="6"/>
      <c r="M52" s="29"/>
      <c r="N52" s="6"/>
      <c r="P52" s="62"/>
      <c r="Q52" s="62"/>
    </row>
    <row r="53" spans="1:19" s="4" customFormat="1" ht="15.75" customHeight="1">
      <c r="B53" s="46" t="str">
        <f>'Lembar Penyelia'!B53</f>
        <v>Thermocouple Data Logger, Merek : MADGETECH, Model : OctTemp 2000, SN : P41878</v>
      </c>
      <c r="D53" s="6"/>
      <c r="E53" s="105"/>
      <c r="F53" s="105"/>
      <c r="G53" s="7"/>
      <c r="H53" s="6"/>
      <c r="I53" s="6"/>
      <c r="J53" s="6"/>
      <c r="K53" s="6"/>
      <c r="L53" s="6"/>
      <c r="M53" s="29"/>
      <c r="N53" s="6"/>
      <c r="P53" s="62"/>
      <c r="Q53" s="62"/>
    </row>
    <row r="54" spans="1:19" s="4" customFormat="1">
      <c r="B54" s="46" t="str">
        <f>'Lembar Penyelia'!B54</f>
        <v>Thermohygrometer Reference, Merek : Rotronic, Model : HC2A - SH Hygro Clip 2, SN : 72064154</v>
      </c>
      <c r="D54" s="6"/>
      <c r="E54" s="105"/>
      <c r="F54" s="105"/>
      <c r="G54" s="7"/>
      <c r="H54" s="6"/>
      <c r="I54" s="6"/>
      <c r="J54" s="6"/>
      <c r="K54" s="6"/>
      <c r="L54" s="6"/>
      <c r="M54" s="29"/>
      <c r="N54" s="6"/>
      <c r="P54" s="62"/>
      <c r="Q54" s="62"/>
    </row>
    <row r="55" spans="1:19" s="4" customFormat="1" ht="15.6" hidden="1" customHeight="1">
      <c r="B55" s="46" t="str">
        <f>ID!B98</f>
        <v>Thermohygrolight, Merek : EXTECH, Model : SD700, SN : A.100609</v>
      </c>
      <c r="D55" s="46"/>
      <c r="E55" s="206"/>
      <c r="F55" s="105"/>
      <c r="G55" s="7"/>
      <c r="H55" s="6"/>
      <c r="I55" s="6"/>
      <c r="J55" s="6"/>
      <c r="K55" s="6"/>
      <c r="L55" s="6"/>
      <c r="M55" s="29"/>
      <c r="N55" s="6"/>
      <c r="P55" s="62"/>
      <c r="Q55" s="111"/>
    </row>
    <row r="56" spans="1:19" s="4" customFormat="1" ht="9" customHeight="1">
      <c r="B56" s="8"/>
      <c r="C56" s="47"/>
      <c r="D56" s="6"/>
      <c r="E56" s="105"/>
      <c r="F56" s="105"/>
      <c r="G56" s="7"/>
      <c r="H56" s="6"/>
      <c r="I56" s="6"/>
      <c r="J56" s="6"/>
      <c r="K56" s="6"/>
      <c r="L56" s="6"/>
      <c r="M56" s="29"/>
      <c r="N56" s="6"/>
      <c r="P56" s="115"/>
      <c r="Q56" s="119"/>
    </row>
    <row r="57" spans="1:19" s="4" customFormat="1" ht="9" customHeight="1">
      <c r="B57" s="6"/>
      <c r="C57" s="163"/>
      <c r="D57" s="163"/>
      <c r="E57" s="207"/>
      <c r="F57" s="163"/>
      <c r="G57" s="163"/>
      <c r="H57" s="163"/>
      <c r="I57" s="163"/>
      <c r="J57" s="163"/>
      <c r="K57" s="163"/>
      <c r="L57" s="163"/>
      <c r="M57" s="163"/>
      <c r="N57" s="163"/>
      <c r="P57" s="115"/>
      <c r="Q57" s="115"/>
    </row>
    <row r="58" spans="1:19" s="4" customFormat="1" ht="17.25" customHeight="1">
      <c r="A58" s="8" t="str">
        <f>ID!A100</f>
        <v>VI.</v>
      </c>
      <c r="B58" s="784" t="str">
        <f>ID!B100</f>
        <v>Petugas Kalibrasi</v>
      </c>
      <c r="C58" s="784"/>
      <c r="D58" s="784"/>
      <c r="E58" s="208"/>
      <c r="F58" s="163"/>
      <c r="G58" s="163"/>
      <c r="H58" s="163"/>
      <c r="I58" s="163"/>
      <c r="J58" s="163"/>
      <c r="K58" s="163"/>
      <c r="L58" s="163"/>
      <c r="M58" s="163"/>
      <c r="N58" s="163"/>
      <c r="P58" s="115"/>
      <c r="Q58" s="115"/>
    </row>
    <row r="59" spans="1:19" s="4" customFormat="1" ht="18" customHeight="1">
      <c r="B59" s="785" t="str">
        <f>ID!B101</f>
        <v>Muhammad Zaenuri Sugiasmoro</v>
      </c>
      <c r="C59" s="785"/>
      <c r="D59" s="785"/>
      <c r="E59" s="785"/>
      <c r="F59" s="785"/>
      <c r="G59" s="163"/>
      <c r="H59" s="163"/>
      <c r="I59" s="163"/>
      <c r="J59" s="163"/>
      <c r="K59" s="163"/>
      <c r="L59" s="163"/>
      <c r="M59" s="163"/>
      <c r="N59" s="163"/>
      <c r="P59" s="115"/>
      <c r="Q59" s="115"/>
    </row>
    <row r="60" spans="1:19" s="4" customFormat="1" ht="20.25" customHeight="1">
      <c r="B60" s="6"/>
      <c r="C60" s="163"/>
      <c r="D60" s="163"/>
      <c r="E60" s="207"/>
      <c r="F60" s="163"/>
      <c r="G60" s="163"/>
      <c r="H60" s="163"/>
      <c r="I60" s="163"/>
      <c r="J60" s="163"/>
      <c r="K60" s="163"/>
      <c r="L60" s="163"/>
      <c r="M60" s="163"/>
      <c r="N60" s="163"/>
      <c r="P60" s="115"/>
      <c r="Q60" s="115"/>
    </row>
    <row r="61" spans="1:19" s="4" customFormat="1" ht="20.25" customHeight="1">
      <c r="B61" s="6"/>
      <c r="C61" s="163"/>
      <c r="D61" s="163"/>
      <c r="E61" s="207"/>
      <c r="F61" s="163"/>
      <c r="G61" s="163"/>
      <c r="H61" s="163"/>
      <c r="I61" s="163"/>
      <c r="J61" s="163"/>
      <c r="K61" s="163"/>
      <c r="L61" s="163"/>
      <c r="M61" s="163"/>
      <c r="N61" s="163"/>
      <c r="P61" s="115"/>
      <c r="Q61" s="115"/>
    </row>
    <row r="62" spans="1:19" s="4" customFormat="1" ht="17.25" customHeight="1">
      <c r="B62" s="6"/>
      <c r="C62" s="163"/>
      <c r="D62" s="163"/>
      <c r="E62" s="207"/>
      <c r="F62" s="163"/>
      <c r="G62" s="163"/>
      <c r="H62" s="163"/>
      <c r="I62" s="6" t="s">
        <v>196</v>
      </c>
      <c r="J62" s="163"/>
      <c r="K62" s="163"/>
      <c r="L62" s="163"/>
      <c r="M62" s="163"/>
      <c r="N62" s="163"/>
      <c r="P62" s="115"/>
      <c r="Q62" s="115"/>
    </row>
    <row r="63" spans="1:19" s="4" customFormat="1" ht="18" customHeight="1">
      <c r="B63" s="6"/>
      <c r="C63" s="163"/>
      <c r="D63" s="163"/>
      <c r="E63" s="207"/>
      <c r="F63" s="163"/>
      <c r="G63" s="163"/>
      <c r="H63" s="163"/>
      <c r="I63" s="6" t="s">
        <v>197</v>
      </c>
      <c r="J63" s="2"/>
      <c r="K63" s="2"/>
      <c r="L63" s="190"/>
      <c r="M63" s="2"/>
      <c r="N63" s="163"/>
      <c r="P63" s="115"/>
      <c r="Q63" s="115"/>
    </row>
    <row r="64" spans="1:19" s="4" customFormat="1" ht="18.75" customHeight="1">
      <c r="B64" s="6"/>
      <c r="C64" s="163"/>
      <c r="D64" s="163"/>
      <c r="E64" s="207"/>
      <c r="F64" s="163"/>
      <c r="G64" s="163"/>
      <c r="H64" s="163"/>
      <c r="I64" s="6" t="s">
        <v>198</v>
      </c>
      <c r="J64" s="2"/>
      <c r="K64" s="2"/>
      <c r="L64" s="190"/>
      <c r="M64" s="2"/>
      <c r="N64" s="163"/>
      <c r="P64" s="115"/>
      <c r="Q64" s="115"/>
    </row>
    <row r="65" spans="1:260" s="4" customFormat="1" ht="20.25" customHeight="1">
      <c r="B65" s="6"/>
      <c r="C65" s="50"/>
      <c r="D65" s="50"/>
      <c r="E65" s="209"/>
      <c r="F65" s="50"/>
      <c r="G65" s="50"/>
      <c r="H65" s="50"/>
      <c r="J65" s="2"/>
      <c r="K65" s="2"/>
      <c r="L65" s="190"/>
      <c r="M65" s="2"/>
      <c r="N65" s="6"/>
      <c r="P65" s="115"/>
      <c r="Q65" s="115"/>
    </row>
    <row r="66" spans="1:260" s="4" customFormat="1" ht="15" hidden="1" customHeight="1">
      <c r="A66" s="51"/>
      <c r="B66" s="52"/>
      <c r="C66" s="52"/>
      <c r="D66" s="2"/>
      <c r="E66" s="210"/>
      <c r="F66" s="2"/>
      <c r="G66" s="2"/>
      <c r="H66" s="2"/>
      <c r="I66" s="6"/>
      <c r="J66" s="191"/>
      <c r="K66" s="191"/>
      <c r="L66" s="192"/>
      <c r="M66" s="2"/>
      <c r="N66" s="6"/>
      <c r="P66" s="62"/>
      <c r="Q66" s="62"/>
    </row>
    <row r="67" spans="1:260" s="4" customFormat="1" ht="15" hidden="1" customHeight="1">
      <c r="A67" s="51"/>
      <c r="B67" s="52"/>
      <c r="C67" s="52"/>
      <c r="D67" s="6"/>
      <c r="E67" s="105"/>
      <c r="F67" s="6"/>
      <c r="G67" s="6"/>
      <c r="H67" s="6"/>
      <c r="I67" s="6"/>
      <c r="J67" s="190"/>
      <c r="K67" s="190"/>
      <c r="L67" s="192"/>
      <c r="M67" s="2"/>
      <c r="N67" s="6"/>
      <c r="O67" s="110"/>
      <c r="P67" s="62"/>
      <c r="Q67" s="62"/>
    </row>
    <row r="68" spans="1:260" s="4" customFormat="1" ht="15" customHeight="1">
      <c r="A68" s="51"/>
      <c r="B68" s="52"/>
      <c r="C68" s="52"/>
      <c r="D68" s="6"/>
      <c r="E68" s="105"/>
      <c r="F68" s="6"/>
      <c r="G68" s="6"/>
      <c r="H68" s="6"/>
      <c r="I68" s="6"/>
      <c r="J68" s="190"/>
      <c r="K68" s="190"/>
      <c r="L68" s="192"/>
      <c r="M68" s="2"/>
      <c r="N68" s="6"/>
      <c r="O68" s="110"/>
      <c r="P68" s="62"/>
      <c r="Q68" s="62"/>
    </row>
    <row r="69" spans="1:260" s="4" customFormat="1">
      <c r="A69" s="51"/>
      <c r="B69" s="52"/>
      <c r="C69" s="52"/>
      <c r="D69" s="6"/>
      <c r="E69" s="105"/>
      <c r="F69" s="6"/>
      <c r="G69" s="6"/>
      <c r="H69" s="6"/>
      <c r="I69" s="6"/>
      <c r="J69" s="190"/>
      <c r="K69" s="190"/>
      <c r="L69" s="192"/>
      <c r="M69" s="2"/>
      <c r="N69" s="6"/>
      <c r="P69" s="116"/>
      <c r="Q69" s="62"/>
    </row>
    <row r="70" spans="1:260" s="4" customFormat="1">
      <c r="A70" s="51"/>
      <c r="B70" s="52"/>
      <c r="C70" s="52"/>
      <c r="D70" s="6"/>
      <c r="E70" s="105"/>
      <c r="F70" s="6"/>
      <c r="G70" s="6"/>
      <c r="H70" s="6"/>
      <c r="I70" s="6"/>
      <c r="J70" s="190"/>
      <c r="K70" s="190"/>
      <c r="L70" s="192"/>
      <c r="M70" s="2"/>
      <c r="N70" s="6"/>
      <c r="P70" s="116"/>
      <c r="Q70" s="62"/>
    </row>
    <row r="71" spans="1:260" s="4" customFormat="1">
      <c r="A71" s="51"/>
      <c r="B71" s="52"/>
      <c r="C71" s="782"/>
      <c r="D71" s="782"/>
      <c r="E71" s="782"/>
      <c r="F71" s="782"/>
      <c r="G71" s="782"/>
      <c r="H71" s="782"/>
      <c r="I71" s="6"/>
      <c r="J71" s="193"/>
      <c r="K71" s="193"/>
      <c r="L71" s="2"/>
      <c r="M71" s="2"/>
      <c r="N71" s="6"/>
      <c r="P71" s="62"/>
      <c r="Q71" s="115"/>
    </row>
    <row r="72" spans="1:260" s="4" customFormat="1" ht="15.6">
      <c r="A72" s="51"/>
      <c r="B72" s="52"/>
      <c r="C72" s="52"/>
      <c r="D72" s="52"/>
      <c r="E72" s="198"/>
      <c r="F72" s="52"/>
      <c r="G72" s="781"/>
      <c r="H72" s="782"/>
      <c r="I72" s="352" t="s">
        <v>199</v>
      </c>
      <c r="J72" s="2"/>
      <c r="K72" s="2"/>
      <c r="L72" s="2"/>
      <c r="M72" s="2"/>
      <c r="N72" s="6"/>
      <c r="P72" s="62"/>
      <c r="Q72" s="115"/>
    </row>
    <row r="73" spans="1:260" s="4" customFormat="1">
      <c r="A73" s="51"/>
      <c r="B73" s="52"/>
      <c r="C73" s="783"/>
      <c r="D73" s="783"/>
      <c r="E73" s="783"/>
      <c r="F73" s="783"/>
      <c r="G73" s="782"/>
      <c r="H73" s="782"/>
      <c r="I73" s="353" t="s">
        <v>200</v>
      </c>
      <c r="J73" s="2"/>
      <c r="K73" s="2"/>
      <c r="L73" s="2"/>
      <c r="M73" s="2"/>
      <c r="N73" s="6"/>
      <c r="P73" s="117"/>
      <c r="Q73" s="117"/>
    </row>
    <row r="74" spans="1:260" s="4" customFormat="1">
      <c r="A74" s="51"/>
      <c r="B74" s="52"/>
      <c r="C74" s="354"/>
      <c r="D74" s="354"/>
      <c r="E74" s="354"/>
      <c r="F74" s="354"/>
      <c r="G74" s="198"/>
      <c r="H74" s="198"/>
      <c r="I74" s="353"/>
      <c r="J74" s="2"/>
      <c r="K74" s="2"/>
      <c r="L74" s="2"/>
      <c r="M74" s="2"/>
      <c r="N74" s="6"/>
      <c r="P74" s="117"/>
      <c r="Q74" s="117"/>
    </row>
    <row r="75" spans="1:260" s="4" customFormat="1">
      <c r="A75" s="51"/>
      <c r="B75" s="52"/>
      <c r="C75" s="354"/>
      <c r="D75" s="354"/>
      <c r="E75" s="354"/>
      <c r="F75" s="354"/>
      <c r="G75" s="198"/>
      <c r="H75" s="198"/>
      <c r="I75" s="353"/>
      <c r="J75" s="2"/>
      <c r="K75" s="2"/>
      <c r="L75" s="2"/>
      <c r="M75" s="2"/>
      <c r="N75" s="6"/>
      <c r="P75" s="117"/>
      <c r="Q75" s="117"/>
    </row>
    <row r="76" spans="1:260" s="4" customFormat="1">
      <c r="A76" s="51"/>
      <c r="B76" s="52"/>
      <c r="C76" s="354"/>
      <c r="D76" s="354"/>
      <c r="E76" s="354"/>
      <c r="F76" s="354"/>
      <c r="G76" s="198"/>
      <c r="H76" s="198"/>
      <c r="I76" s="353"/>
      <c r="J76" s="2"/>
      <c r="K76" s="2"/>
      <c r="L76" s="2"/>
      <c r="M76" s="2"/>
      <c r="N76" s="6"/>
      <c r="P76" s="117"/>
      <c r="Q76" s="117"/>
    </row>
    <row r="77" spans="1:260" s="62" customFormat="1">
      <c r="A77" s="51"/>
      <c r="B77" s="52"/>
      <c r="C77" s="52"/>
      <c r="D77" s="57"/>
      <c r="E77" s="211"/>
      <c r="F77" s="57"/>
      <c r="G77" s="57"/>
      <c r="H77" s="57"/>
      <c r="I77" s="2"/>
      <c r="J77" s="2"/>
      <c r="K77" s="2"/>
      <c r="L77" s="2"/>
      <c r="M77" s="2"/>
      <c r="N77" s="4"/>
      <c r="O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  <c r="BN77" s="4"/>
      <c r="BO77" s="4"/>
      <c r="BP77" s="4"/>
      <c r="BQ77" s="4"/>
      <c r="BR77" s="4"/>
      <c r="BS77" s="4"/>
      <c r="BT77" s="4"/>
      <c r="BU77" s="4"/>
      <c r="BV77" s="4"/>
      <c r="BW77" s="4"/>
      <c r="BX77" s="4"/>
      <c r="BY77" s="4"/>
      <c r="BZ77" s="4"/>
      <c r="CA77" s="4"/>
      <c r="CB77" s="4"/>
      <c r="CC77" s="4"/>
      <c r="CD77" s="4"/>
      <c r="CE77" s="4"/>
      <c r="CF77" s="4"/>
      <c r="CG77" s="4"/>
      <c r="CH77" s="4"/>
      <c r="CI77" s="4"/>
      <c r="CJ77" s="4"/>
      <c r="CK77" s="4"/>
      <c r="CL77" s="4"/>
      <c r="CM77" s="4"/>
      <c r="CN77" s="4"/>
      <c r="CO77" s="4"/>
      <c r="CP77" s="4"/>
      <c r="CQ77" s="4"/>
      <c r="CR77" s="4"/>
      <c r="CS77" s="4"/>
      <c r="CT77" s="4"/>
      <c r="CU77" s="4"/>
      <c r="CV77" s="4"/>
      <c r="CW77" s="4"/>
      <c r="CX77" s="4"/>
      <c r="CY77" s="4"/>
      <c r="CZ77" s="4"/>
      <c r="DA77" s="4"/>
      <c r="DB77" s="4"/>
      <c r="DC77" s="4"/>
      <c r="DD77" s="4"/>
      <c r="DE77" s="4"/>
      <c r="DF77" s="4"/>
      <c r="DG77" s="4"/>
      <c r="DH77" s="4"/>
      <c r="DI77" s="4"/>
      <c r="DJ77" s="4"/>
      <c r="DK77" s="4"/>
      <c r="DL77" s="4"/>
      <c r="DM77" s="4"/>
      <c r="DN77" s="4"/>
      <c r="DO77" s="4"/>
      <c r="DP77" s="4"/>
      <c r="DQ77" s="4"/>
      <c r="DR77" s="4"/>
      <c r="DS77" s="4"/>
      <c r="DT77" s="4"/>
      <c r="DU77" s="4"/>
      <c r="DV77" s="4"/>
      <c r="DW77" s="4"/>
      <c r="DX77" s="4"/>
      <c r="DY77" s="4"/>
      <c r="DZ77" s="4"/>
      <c r="EA77" s="4"/>
      <c r="EB77" s="4"/>
      <c r="EC77" s="4"/>
      <c r="ED77" s="4"/>
      <c r="EE77" s="4"/>
      <c r="EF77" s="4"/>
      <c r="EG77" s="4"/>
      <c r="EH77" s="4"/>
      <c r="EI77" s="4"/>
      <c r="EJ77" s="4"/>
      <c r="EK77" s="4"/>
      <c r="EL77" s="4"/>
      <c r="EM77" s="4"/>
      <c r="EN77" s="4"/>
      <c r="EO77" s="4"/>
      <c r="EP77" s="4"/>
      <c r="EQ77" s="4"/>
      <c r="ER77" s="4"/>
      <c r="ES77" s="4"/>
      <c r="ET77" s="4"/>
      <c r="EU77" s="4"/>
      <c r="EV77" s="4"/>
      <c r="EW77" s="4"/>
      <c r="EX77" s="4"/>
      <c r="EY77" s="4"/>
      <c r="EZ77" s="4"/>
      <c r="FA77" s="4"/>
      <c r="FB77" s="4"/>
      <c r="FC77" s="4"/>
      <c r="FD77" s="4"/>
      <c r="FE77" s="4"/>
      <c r="FF77" s="4"/>
      <c r="FG77" s="4"/>
      <c r="FH77" s="4"/>
      <c r="FI77" s="4"/>
      <c r="FJ77" s="4"/>
      <c r="FK77" s="4"/>
      <c r="FL77" s="4"/>
      <c r="FM77" s="4"/>
      <c r="FN77" s="4"/>
      <c r="FO77" s="4"/>
      <c r="FP77" s="4"/>
      <c r="FQ77" s="4"/>
      <c r="FR77" s="4"/>
      <c r="FS77" s="4"/>
      <c r="FT77" s="4"/>
      <c r="FU77" s="4"/>
      <c r="FV77" s="4"/>
      <c r="FW77" s="4"/>
      <c r="FX77" s="4"/>
      <c r="FY77" s="4"/>
      <c r="FZ77" s="4"/>
      <c r="GA77" s="4"/>
      <c r="GB77" s="4"/>
      <c r="GC77" s="4"/>
      <c r="GD77" s="4"/>
      <c r="GE77" s="4"/>
      <c r="GF77" s="4"/>
      <c r="GG77" s="4"/>
      <c r="GH77" s="4"/>
      <c r="GI77" s="4"/>
      <c r="GJ77" s="4"/>
      <c r="GK77" s="4"/>
      <c r="GL77" s="4"/>
      <c r="GM77" s="4"/>
      <c r="GN77" s="4"/>
      <c r="GO77" s="4"/>
      <c r="GP77" s="4"/>
      <c r="GQ77" s="4"/>
      <c r="GR77" s="4"/>
      <c r="GS77" s="4"/>
      <c r="GT77" s="4"/>
      <c r="GU77" s="4"/>
      <c r="GV77" s="4"/>
      <c r="GW77" s="4"/>
      <c r="GX77" s="4"/>
      <c r="GY77" s="4"/>
      <c r="GZ77" s="4"/>
      <c r="HA77" s="4"/>
      <c r="HB77" s="4"/>
      <c r="HC77" s="4"/>
      <c r="HD77" s="4"/>
      <c r="HE77" s="4"/>
      <c r="HF77" s="4"/>
      <c r="HG77" s="4"/>
      <c r="HH77" s="4"/>
      <c r="HI77" s="4"/>
      <c r="HJ77" s="4"/>
      <c r="HK77" s="4"/>
      <c r="HL77" s="4"/>
      <c r="HM77" s="4"/>
      <c r="HN77" s="4"/>
      <c r="HO77" s="4"/>
      <c r="HP77" s="4"/>
      <c r="HQ77" s="4"/>
      <c r="HR77" s="4"/>
      <c r="HS77" s="4"/>
      <c r="HT77" s="4"/>
      <c r="HU77" s="4"/>
      <c r="HV77" s="4"/>
      <c r="HW77" s="4"/>
      <c r="HX77" s="4"/>
      <c r="HY77" s="4"/>
      <c r="HZ77" s="4"/>
      <c r="IA77" s="4"/>
      <c r="IB77" s="4"/>
      <c r="IC77" s="4"/>
      <c r="ID77" s="4"/>
      <c r="IE77" s="4"/>
      <c r="IF77" s="4"/>
      <c r="IG77" s="4"/>
      <c r="IH77" s="4"/>
      <c r="II77" s="4"/>
      <c r="IJ77" s="4"/>
      <c r="IK77" s="4"/>
      <c r="IL77" s="4"/>
      <c r="IM77" s="4"/>
      <c r="IN77" s="4"/>
      <c r="IO77" s="4"/>
      <c r="IP77" s="4"/>
      <c r="IQ77" s="4"/>
      <c r="IR77" s="4"/>
      <c r="IS77" s="4"/>
      <c r="IT77" s="4"/>
      <c r="IU77" s="4"/>
      <c r="IV77" s="4"/>
      <c r="IW77" s="4"/>
      <c r="IX77" s="4"/>
      <c r="IY77" s="4"/>
      <c r="IZ77" s="4"/>
    </row>
    <row r="78" spans="1:260" s="62" customFormat="1" hidden="1">
      <c r="A78" s="51"/>
      <c r="B78" s="52"/>
      <c r="C78" s="52"/>
      <c r="D78" s="57"/>
      <c r="E78" s="211"/>
      <c r="F78" s="57"/>
      <c r="G78" s="57"/>
      <c r="H78" s="57"/>
      <c r="I78" s="2"/>
      <c r="J78" s="2"/>
      <c r="K78" s="2"/>
      <c r="L78" s="2"/>
      <c r="M78" s="2"/>
      <c r="N78" s="4"/>
      <c r="O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/>
      <c r="BM78" s="4"/>
      <c r="BN78" s="4"/>
      <c r="BO78" s="4"/>
      <c r="BP78" s="4"/>
      <c r="BQ78" s="4"/>
      <c r="BR78" s="4"/>
      <c r="BS78" s="4"/>
      <c r="BT78" s="4"/>
      <c r="BU78" s="4"/>
      <c r="BV78" s="4"/>
      <c r="BW78" s="4"/>
      <c r="BX78" s="4"/>
      <c r="BY78" s="4"/>
      <c r="BZ78" s="4"/>
      <c r="CA78" s="4"/>
      <c r="CB78" s="4"/>
      <c r="CC78" s="4"/>
      <c r="CD78" s="4"/>
      <c r="CE78" s="4"/>
      <c r="CF78" s="4"/>
      <c r="CG78" s="4"/>
      <c r="CH78" s="4"/>
      <c r="CI78" s="4"/>
      <c r="CJ78" s="4"/>
      <c r="CK78" s="4"/>
      <c r="CL78" s="4"/>
      <c r="CM78" s="4"/>
      <c r="CN78" s="4"/>
      <c r="CO78" s="4"/>
      <c r="CP78" s="4"/>
      <c r="CQ78" s="4"/>
      <c r="CR78" s="4"/>
      <c r="CS78" s="4"/>
      <c r="CT78" s="4"/>
      <c r="CU78" s="4"/>
      <c r="CV78" s="4"/>
      <c r="CW78" s="4"/>
      <c r="CX78" s="4"/>
      <c r="CY78" s="4"/>
      <c r="CZ78" s="4"/>
      <c r="DA78" s="4"/>
      <c r="DB78" s="4"/>
      <c r="DC78" s="4"/>
      <c r="DD78" s="4"/>
      <c r="DE78" s="4"/>
      <c r="DF78" s="4"/>
      <c r="DG78" s="4"/>
      <c r="DH78" s="4"/>
      <c r="DI78" s="4"/>
      <c r="DJ78" s="4"/>
      <c r="DK78" s="4"/>
      <c r="DL78" s="4"/>
      <c r="DM78" s="4"/>
      <c r="DN78" s="4"/>
      <c r="DO78" s="4"/>
      <c r="DP78" s="4"/>
      <c r="DQ78" s="4"/>
      <c r="DR78" s="4"/>
      <c r="DS78" s="4"/>
      <c r="DT78" s="4"/>
      <c r="DU78" s="4"/>
      <c r="DV78" s="4"/>
      <c r="DW78" s="4"/>
      <c r="DX78" s="4"/>
      <c r="DY78" s="4"/>
      <c r="DZ78" s="4"/>
      <c r="EA78" s="4"/>
      <c r="EB78" s="4"/>
      <c r="EC78" s="4"/>
      <c r="ED78" s="4"/>
      <c r="EE78" s="4"/>
      <c r="EF78" s="4"/>
      <c r="EG78" s="4"/>
      <c r="EH78" s="4"/>
      <c r="EI78" s="4"/>
      <c r="EJ78" s="4"/>
      <c r="EK78" s="4"/>
      <c r="EL78" s="4"/>
      <c r="EM78" s="4"/>
      <c r="EN78" s="4"/>
      <c r="EO78" s="4"/>
      <c r="EP78" s="4"/>
      <c r="EQ78" s="4"/>
      <c r="ER78" s="4"/>
      <c r="ES78" s="4"/>
      <c r="ET78" s="4"/>
      <c r="EU78" s="4"/>
      <c r="EV78" s="4"/>
      <c r="EW78" s="4"/>
      <c r="EX78" s="4"/>
      <c r="EY78" s="4"/>
      <c r="EZ78" s="4"/>
      <c r="FA78" s="4"/>
      <c r="FB78" s="4"/>
      <c r="FC78" s="4"/>
      <c r="FD78" s="4"/>
      <c r="FE78" s="4"/>
      <c r="FF78" s="4"/>
      <c r="FG78" s="4"/>
      <c r="FH78" s="4"/>
      <c r="FI78" s="4"/>
      <c r="FJ78" s="4"/>
      <c r="FK78" s="4"/>
      <c r="FL78" s="4"/>
      <c r="FM78" s="4"/>
      <c r="FN78" s="4"/>
      <c r="FO78" s="4"/>
      <c r="FP78" s="4"/>
      <c r="FQ78" s="4"/>
      <c r="FR78" s="4"/>
      <c r="FS78" s="4"/>
      <c r="FT78" s="4"/>
      <c r="FU78" s="4"/>
      <c r="FV78" s="4"/>
      <c r="FW78" s="4"/>
      <c r="FX78" s="4"/>
      <c r="FY78" s="4"/>
      <c r="FZ78" s="4"/>
      <c r="GA78" s="4"/>
      <c r="GB78" s="4"/>
      <c r="GC78" s="4"/>
      <c r="GD78" s="4"/>
      <c r="GE78" s="4"/>
      <c r="GF78" s="4"/>
      <c r="GG78" s="4"/>
      <c r="GH78" s="4"/>
      <c r="GI78" s="4"/>
      <c r="GJ78" s="4"/>
      <c r="GK78" s="4"/>
      <c r="GL78" s="4"/>
      <c r="GM78" s="4"/>
      <c r="GN78" s="4"/>
      <c r="GO78" s="4"/>
      <c r="GP78" s="4"/>
      <c r="GQ78" s="4"/>
      <c r="GR78" s="4"/>
      <c r="GS78" s="4"/>
      <c r="GT78" s="4"/>
      <c r="GU78" s="4"/>
      <c r="GV78" s="4"/>
      <c r="GW78" s="4"/>
      <c r="GX78" s="4"/>
      <c r="GY78" s="4"/>
      <c r="GZ78" s="4"/>
      <c r="HA78" s="4"/>
      <c r="HB78" s="4"/>
      <c r="HC78" s="4"/>
      <c r="HD78" s="4"/>
      <c r="HE78" s="4"/>
      <c r="HF78" s="4"/>
      <c r="HG78" s="4"/>
      <c r="HH78" s="4"/>
      <c r="HI78" s="4"/>
      <c r="HJ78" s="4"/>
      <c r="HK78" s="4"/>
      <c r="HL78" s="4"/>
      <c r="HM78" s="4"/>
      <c r="HN78" s="4"/>
      <c r="HO78" s="4"/>
      <c r="HP78" s="4"/>
      <c r="HQ78" s="4"/>
      <c r="HR78" s="4"/>
      <c r="HS78" s="4"/>
      <c r="HT78" s="4"/>
      <c r="HU78" s="4"/>
      <c r="HV78" s="4"/>
      <c r="HW78" s="4"/>
      <c r="HX78" s="4"/>
      <c r="HY78" s="4"/>
      <c r="HZ78" s="4"/>
      <c r="IA78" s="4"/>
      <c r="IB78" s="4"/>
      <c r="IC78" s="4"/>
      <c r="ID78" s="4"/>
      <c r="IE78" s="4"/>
      <c r="IF78" s="4"/>
      <c r="IG78" s="4"/>
      <c r="IH78" s="4"/>
      <c r="II78" s="4"/>
      <c r="IJ78" s="4"/>
      <c r="IK78" s="4"/>
      <c r="IL78" s="4"/>
      <c r="IM78" s="4"/>
      <c r="IN78" s="4"/>
      <c r="IO78" s="4"/>
      <c r="IP78" s="4"/>
      <c r="IQ78" s="4"/>
      <c r="IR78" s="4"/>
      <c r="IS78" s="4"/>
      <c r="IT78" s="4"/>
      <c r="IU78" s="4"/>
      <c r="IV78" s="4"/>
      <c r="IW78" s="4"/>
      <c r="IX78" s="4"/>
      <c r="IY78" s="4"/>
      <c r="IZ78" s="4"/>
    </row>
    <row r="79" spans="1:260" s="62" customFormat="1">
      <c r="A79" s="51"/>
      <c r="B79" s="52"/>
      <c r="C79" s="52"/>
      <c r="D79" s="58"/>
      <c r="E79" s="212"/>
      <c r="F79" s="58"/>
      <c r="G79" s="57"/>
      <c r="H79" s="57"/>
      <c r="I79" s="2"/>
      <c r="J79" s="2"/>
      <c r="K79" s="2"/>
      <c r="L79" s="2"/>
      <c r="N79" s="4"/>
      <c r="O79" s="4"/>
      <c r="P79" s="118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  <c r="BN79" s="4"/>
      <c r="BO79" s="4"/>
      <c r="BP79" s="4"/>
      <c r="BQ79" s="4"/>
      <c r="BR79" s="4"/>
      <c r="BS79" s="4"/>
      <c r="BT79" s="4"/>
      <c r="BU79" s="4"/>
      <c r="BV79" s="4"/>
      <c r="BW79" s="4"/>
      <c r="BX79" s="4"/>
      <c r="BY79" s="4"/>
      <c r="BZ79" s="4"/>
      <c r="CA79" s="4"/>
      <c r="CB79" s="4"/>
      <c r="CC79" s="4"/>
      <c r="CD79" s="4"/>
      <c r="CE79" s="4"/>
      <c r="CF79" s="4"/>
      <c r="CG79" s="4"/>
      <c r="CH79" s="4"/>
      <c r="CI79" s="4"/>
      <c r="CJ79" s="4"/>
      <c r="CK79" s="4"/>
      <c r="CL79" s="4"/>
      <c r="CM79" s="4"/>
      <c r="CN79" s="4"/>
      <c r="CO79" s="4"/>
      <c r="CP79" s="4"/>
      <c r="CQ79" s="4"/>
      <c r="CR79" s="4"/>
      <c r="CS79" s="4"/>
      <c r="CT79" s="4"/>
      <c r="CU79" s="4"/>
      <c r="CV79" s="4"/>
      <c r="CW79" s="4"/>
      <c r="CX79" s="4"/>
      <c r="CY79" s="4"/>
      <c r="CZ79" s="4"/>
      <c r="DA79" s="4"/>
      <c r="DB79" s="4"/>
      <c r="DC79" s="4"/>
      <c r="DD79" s="4"/>
      <c r="DE79" s="4"/>
      <c r="DF79" s="4"/>
      <c r="DG79" s="4"/>
      <c r="DH79" s="4"/>
      <c r="DI79" s="4"/>
      <c r="DJ79" s="4"/>
      <c r="DK79" s="4"/>
      <c r="DL79" s="4"/>
      <c r="DM79" s="4"/>
      <c r="DN79" s="4"/>
      <c r="DO79" s="4"/>
      <c r="DP79" s="4"/>
      <c r="DQ79" s="4"/>
      <c r="DR79" s="4"/>
      <c r="DS79" s="4"/>
      <c r="DT79" s="4"/>
      <c r="DU79" s="4"/>
      <c r="DV79" s="4"/>
      <c r="DW79" s="4"/>
      <c r="DX79" s="4"/>
      <c r="DY79" s="4"/>
      <c r="DZ79" s="4"/>
      <c r="EA79" s="4"/>
      <c r="EB79" s="4"/>
      <c r="EC79" s="4"/>
      <c r="ED79" s="4"/>
      <c r="EE79" s="4"/>
      <c r="EF79" s="4"/>
      <c r="EG79" s="4"/>
      <c r="EH79" s="4"/>
      <c r="EI79" s="4"/>
      <c r="EJ79" s="4"/>
      <c r="EK79" s="4"/>
      <c r="EL79" s="4"/>
      <c r="EM79" s="4"/>
      <c r="EN79" s="4"/>
      <c r="EO79" s="4"/>
      <c r="EP79" s="4"/>
      <c r="EQ79" s="4"/>
      <c r="ER79" s="4"/>
      <c r="ES79" s="4"/>
      <c r="ET79" s="4"/>
      <c r="EU79" s="4"/>
      <c r="EV79" s="4"/>
      <c r="EW79" s="4"/>
      <c r="EX79" s="4"/>
      <c r="EY79" s="4"/>
      <c r="EZ79" s="4"/>
      <c r="FA79" s="4"/>
      <c r="FB79" s="4"/>
      <c r="FC79" s="4"/>
      <c r="FD79" s="4"/>
      <c r="FE79" s="4"/>
      <c r="FF79" s="4"/>
      <c r="FG79" s="4"/>
      <c r="FH79" s="4"/>
      <c r="FI79" s="4"/>
      <c r="FJ79" s="4"/>
      <c r="FK79" s="4"/>
      <c r="FL79" s="4"/>
      <c r="FM79" s="4"/>
      <c r="FN79" s="4"/>
      <c r="FO79" s="4"/>
      <c r="FP79" s="4"/>
      <c r="FQ79" s="4"/>
      <c r="FR79" s="4"/>
      <c r="FS79" s="4"/>
      <c r="FT79" s="4"/>
      <c r="FU79" s="4"/>
      <c r="FV79" s="4"/>
      <c r="FW79" s="4"/>
      <c r="FX79" s="4"/>
      <c r="FY79" s="4"/>
      <c r="FZ79" s="4"/>
      <c r="GA79" s="4"/>
      <c r="GB79" s="4"/>
      <c r="GC79" s="4"/>
      <c r="GD79" s="4"/>
      <c r="GE79" s="4"/>
      <c r="GF79" s="4"/>
      <c r="GG79" s="4"/>
      <c r="GH79" s="4"/>
      <c r="GI79" s="4"/>
      <c r="GJ79" s="4"/>
      <c r="GK79" s="4"/>
      <c r="GL79" s="4"/>
      <c r="GM79" s="4"/>
      <c r="GN79" s="4"/>
      <c r="GO79" s="4"/>
      <c r="GP79" s="4"/>
      <c r="GQ79" s="4"/>
      <c r="GR79" s="4"/>
      <c r="GS79" s="4"/>
      <c r="GT79" s="4"/>
      <c r="GU79" s="4"/>
      <c r="GV79" s="4"/>
      <c r="GW79" s="4"/>
      <c r="GX79" s="4"/>
      <c r="GY79" s="4"/>
      <c r="GZ79" s="4"/>
      <c r="HA79" s="4"/>
      <c r="HB79" s="4"/>
      <c r="HC79" s="4"/>
      <c r="HD79" s="4"/>
      <c r="HE79" s="4"/>
      <c r="HF79" s="4"/>
      <c r="HG79" s="4"/>
      <c r="HH79" s="4"/>
      <c r="HI79" s="4"/>
      <c r="HJ79" s="4"/>
      <c r="HK79" s="4"/>
      <c r="HL79" s="4"/>
      <c r="HM79" s="4"/>
      <c r="HN79" s="4"/>
      <c r="HO79" s="4"/>
      <c r="HP79" s="4"/>
      <c r="HQ79" s="4"/>
      <c r="HR79" s="4"/>
      <c r="HS79" s="4"/>
      <c r="HT79" s="4"/>
      <c r="HU79" s="4"/>
      <c r="HV79" s="4"/>
      <c r="HW79" s="4"/>
      <c r="HX79" s="4"/>
      <c r="HY79" s="4"/>
      <c r="HZ79" s="4"/>
      <c r="IA79" s="4"/>
      <c r="IB79" s="4"/>
      <c r="IC79" s="4"/>
      <c r="ID79" s="4"/>
      <c r="IE79" s="4"/>
      <c r="IF79" s="4"/>
      <c r="IG79" s="4"/>
      <c r="IH79" s="4"/>
      <c r="II79" s="4"/>
      <c r="IJ79" s="4"/>
      <c r="IK79" s="4"/>
      <c r="IL79" s="4"/>
      <c r="IM79" s="4"/>
      <c r="IN79" s="4"/>
      <c r="IO79" s="4"/>
      <c r="IP79" s="4"/>
      <c r="IQ79" s="4"/>
      <c r="IR79" s="4"/>
      <c r="IS79" s="4"/>
      <c r="IT79" s="4"/>
      <c r="IU79" s="4"/>
      <c r="IV79" s="4"/>
      <c r="IW79" s="4"/>
      <c r="IX79" s="4"/>
      <c r="IY79" s="4"/>
      <c r="IZ79" s="4"/>
    </row>
    <row r="80" spans="1:260" s="62" customFormat="1">
      <c r="A80" s="51"/>
      <c r="B80" s="51"/>
      <c r="C80" s="51"/>
      <c r="D80" s="60"/>
      <c r="E80" s="213"/>
      <c r="F80" s="60"/>
      <c r="G80" s="60"/>
      <c r="H80" s="60"/>
      <c r="I80" s="2"/>
      <c r="J80" s="2"/>
      <c r="K80" s="2"/>
      <c r="L80" s="194" t="s">
        <v>201</v>
      </c>
      <c r="M80" s="2"/>
      <c r="N80" s="4"/>
      <c r="O80" s="4"/>
      <c r="P80" s="118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  <c r="BN80" s="4"/>
      <c r="BO80" s="4"/>
      <c r="BP80" s="4"/>
      <c r="BQ80" s="4"/>
      <c r="BR80" s="4"/>
      <c r="BS80" s="4"/>
      <c r="BT80" s="4"/>
      <c r="BU80" s="4"/>
      <c r="BV80" s="4"/>
      <c r="BW80" s="4"/>
      <c r="BX80" s="4"/>
      <c r="BY80" s="4"/>
      <c r="BZ80" s="4"/>
      <c r="CA80" s="4"/>
      <c r="CB80" s="4"/>
      <c r="CC80" s="4"/>
      <c r="CD80" s="4"/>
      <c r="CE80" s="4"/>
      <c r="CF80" s="4"/>
      <c r="CG80" s="4"/>
      <c r="CH80" s="4"/>
      <c r="CI80" s="4"/>
      <c r="CJ80" s="4"/>
      <c r="CK80" s="4"/>
      <c r="CL80" s="4"/>
      <c r="CM80" s="4"/>
      <c r="CN80" s="4"/>
      <c r="CO80" s="4"/>
      <c r="CP80" s="4"/>
      <c r="CQ80" s="4"/>
      <c r="CR80" s="4"/>
      <c r="CS80" s="4"/>
      <c r="CT80" s="4"/>
      <c r="CU80" s="4"/>
      <c r="CV80" s="4"/>
      <c r="CW80" s="4"/>
      <c r="CX80" s="4"/>
      <c r="CY80" s="4"/>
      <c r="CZ80" s="4"/>
      <c r="DA80" s="4"/>
      <c r="DB80" s="4"/>
      <c r="DC80" s="4"/>
      <c r="DD80" s="4"/>
      <c r="DE80" s="4"/>
      <c r="DF80" s="4"/>
      <c r="DG80" s="4"/>
      <c r="DH80" s="4"/>
      <c r="DI80" s="4"/>
      <c r="DJ80" s="4"/>
      <c r="DK80" s="4"/>
      <c r="DL80" s="4"/>
      <c r="DM80" s="4"/>
      <c r="DN80" s="4"/>
      <c r="DO80" s="4"/>
      <c r="DP80" s="4"/>
      <c r="DQ80" s="4"/>
      <c r="DR80" s="4"/>
      <c r="DS80" s="4"/>
      <c r="DT80" s="4"/>
      <c r="DU80" s="4"/>
      <c r="DV80" s="4"/>
      <c r="DW80" s="4"/>
      <c r="DX80" s="4"/>
      <c r="DY80" s="4"/>
      <c r="DZ80" s="4"/>
      <c r="EA80" s="4"/>
      <c r="EB80" s="4"/>
      <c r="EC80" s="4"/>
      <c r="ED80" s="4"/>
      <c r="EE80" s="4"/>
      <c r="EF80" s="4"/>
      <c r="EG80" s="4"/>
      <c r="EH80" s="4"/>
      <c r="EI80" s="4"/>
      <c r="EJ80" s="4"/>
      <c r="EK80" s="4"/>
      <c r="EL80" s="4"/>
      <c r="EM80" s="4"/>
      <c r="EN80" s="4"/>
      <c r="EO80" s="4"/>
      <c r="EP80" s="4"/>
      <c r="EQ80" s="4"/>
      <c r="ER80" s="4"/>
      <c r="ES80" s="4"/>
      <c r="ET80" s="4"/>
      <c r="EU80" s="4"/>
      <c r="EV80" s="4"/>
      <c r="EW80" s="4"/>
      <c r="EX80" s="4"/>
      <c r="EY80" s="4"/>
      <c r="EZ80" s="4"/>
      <c r="FA80" s="4"/>
      <c r="FB80" s="4"/>
      <c r="FC80" s="4"/>
      <c r="FD80" s="4"/>
      <c r="FE80" s="4"/>
      <c r="FF80" s="4"/>
      <c r="FG80" s="4"/>
      <c r="FH80" s="4"/>
      <c r="FI80" s="4"/>
      <c r="FJ80" s="4"/>
      <c r="FK80" s="4"/>
      <c r="FL80" s="4"/>
      <c r="FM80" s="4"/>
      <c r="FN80" s="4"/>
      <c r="FO80" s="4"/>
      <c r="FP80" s="4"/>
      <c r="FQ80" s="4"/>
      <c r="FR80" s="4"/>
      <c r="FS80" s="4"/>
      <c r="FT80" s="4"/>
      <c r="FU80" s="4"/>
      <c r="FV80" s="4"/>
      <c r="FW80" s="4"/>
      <c r="FX80" s="4"/>
      <c r="FY80" s="4"/>
      <c r="FZ80" s="4"/>
      <c r="GA80" s="4"/>
      <c r="GB80" s="4"/>
      <c r="GC80" s="4"/>
      <c r="GD80" s="4"/>
      <c r="GE80" s="4"/>
      <c r="GF80" s="4"/>
      <c r="GG80" s="4"/>
      <c r="GH80" s="4"/>
      <c r="GI80" s="4"/>
      <c r="GJ80" s="4"/>
      <c r="GK80" s="4"/>
      <c r="GL80" s="4"/>
      <c r="GM80" s="4"/>
      <c r="GN80" s="4"/>
      <c r="GO80" s="4"/>
      <c r="GP80" s="4"/>
      <c r="GQ80" s="4"/>
      <c r="GR80" s="4"/>
      <c r="GS80" s="4"/>
      <c r="GT80" s="4"/>
      <c r="GU80" s="4"/>
      <c r="GV80" s="4"/>
      <c r="GW80" s="4"/>
      <c r="GX80" s="4"/>
      <c r="GY80" s="4"/>
      <c r="GZ80" s="4"/>
      <c r="HA80" s="4"/>
      <c r="HB80" s="4"/>
      <c r="HC80" s="4"/>
      <c r="HD80" s="4"/>
      <c r="HE80" s="4"/>
      <c r="HF80" s="4"/>
      <c r="HG80" s="4"/>
      <c r="HH80" s="4"/>
      <c r="HI80" s="4"/>
      <c r="HJ80" s="4"/>
      <c r="HK80" s="4"/>
      <c r="HL80" s="4"/>
      <c r="HM80" s="4"/>
      <c r="HN80" s="4"/>
      <c r="HO80" s="4"/>
      <c r="HP80" s="4"/>
      <c r="HQ80" s="4"/>
      <c r="HR80" s="4"/>
      <c r="HS80" s="4"/>
      <c r="HT80" s="4"/>
      <c r="HU80" s="4"/>
      <c r="HV80" s="4"/>
      <c r="HW80" s="4"/>
      <c r="HX80" s="4"/>
      <c r="HY80" s="4"/>
      <c r="HZ80" s="4"/>
      <c r="IA80" s="4"/>
      <c r="IB80" s="4"/>
      <c r="IC80" s="4"/>
      <c r="ID80" s="4"/>
      <c r="IE80" s="4"/>
      <c r="IF80" s="4"/>
      <c r="IG80" s="4"/>
      <c r="IH80" s="4"/>
      <c r="II80" s="4"/>
      <c r="IJ80" s="4"/>
      <c r="IK80" s="4"/>
      <c r="IL80" s="4"/>
      <c r="IM80" s="4"/>
      <c r="IN80" s="4"/>
      <c r="IO80" s="4"/>
      <c r="IP80" s="4"/>
      <c r="IQ80" s="4"/>
      <c r="IR80" s="4"/>
      <c r="IS80" s="4"/>
      <c r="IT80" s="4"/>
      <c r="IU80" s="4"/>
      <c r="IV80" s="4"/>
      <c r="IW80" s="4"/>
      <c r="IX80" s="4"/>
      <c r="IY80" s="4"/>
      <c r="IZ80" s="4"/>
    </row>
    <row r="81" spans="9:13">
      <c r="I81" s="2"/>
      <c r="J81" s="2"/>
      <c r="K81" s="2"/>
    </row>
    <row r="82" spans="9:13">
      <c r="I82" s="2"/>
      <c r="J82" s="2"/>
      <c r="K82" s="2"/>
      <c r="L82" s="2"/>
    </row>
    <row r="83" spans="9:13">
      <c r="I83" s="2"/>
      <c r="J83" s="2"/>
      <c r="K83" s="2"/>
      <c r="L83" s="2"/>
      <c r="M83" s="2"/>
    </row>
  </sheetData>
  <sheetProtection algorithmName="SHA-512" hashValue="OL9QS9ZbzcERflPXrTaqB8ZjFYK18QEY6u4Vw6W0wpiMewIydyocfJTOZcWfux4lwHhcX7wfYMgX70RpyFTcOQ==" saltValue="Vi/t2FOduLfUPLot9vBOIA==" spinCount="100000" sheet="1" formatCells="0" formatColumns="0" formatRows="0" insertColumns="0" insertRows="0" deleteColumns="0" deleteRows="0"/>
  <mergeCells count="48">
    <mergeCell ref="A1:L1"/>
    <mergeCell ref="A2:L2"/>
    <mergeCell ref="D38:E38"/>
    <mergeCell ref="L26:L27"/>
    <mergeCell ref="B35:B37"/>
    <mergeCell ref="C35:C37"/>
    <mergeCell ref="B26:B28"/>
    <mergeCell ref="D37:E37"/>
    <mergeCell ref="D32:E32"/>
    <mergeCell ref="D30:E30"/>
    <mergeCell ref="D29:E29"/>
    <mergeCell ref="D35:F36"/>
    <mergeCell ref="I35:J36"/>
    <mergeCell ref="K35:L36"/>
    <mergeCell ref="C26:C27"/>
    <mergeCell ref="G26:G27"/>
    <mergeCell ref="Q39:Q40"/>
    <mergeCell ref="G72:H72"/>
    <mergeCell ref="C73:F73"/>
    <mergeCell ref="G73:H73"/>
    <mergeCell ref="B58:D58"/>
    <mergeCell ref="B59:F59"/>
    <mergeCell ref="C71:F71"/>
    <mergeCell ref="G71:H71"/>
    <mergeCell ref="B47:L47"/>
    <mergeCell ref="D41:E41"/>
    <mergeCell ref="D39:E39"/>
    <mergeCell ref="D40:E40"/>
    <mergeCell ref="B48:L48"/>
    <mergeCell ref="B49:L49"/>
    <mergeCell ref="G14:N14"/>
    <mergeCell ref="D31:E31"/>
    <mergeCell ref="J26:J27"/>
    <mergeCell ref="K26:K27"/>
    <mergeCell ref="P39:P40"/>
    <mergeCell ref="D26:D27"/>
    <mergeCell ref="F26:F27"/>
    <mergeCell ref="H26:H27"/>
    <mergeCell ref="M35:M37"/>
    <mergeCell ref="G35:H36"/>
    <mergeCell ref="M26:M27"/>
    <mergeCell ref="T38:U38"/>
    <mergeCell ref="P21:P22"/>
    <mergeCell ref="Q21:Q22"/>
    <mergeCell ref="O23:P23"/>
    <mergeCell ref="N26:N27"/>
    <mergeCell ref="P37:P38"/>
    <mergeCell ref="Q37:Q38"/>
  </mergeCells>
  <printOptions horizontalCentered="1"/>
  <pageMargins left="0.39370078740157499" right="0.23622047244094499" top="0.511811023622047" bottom="0.23622047244094499" header="0.23622047244094499" footer="0.23622047244094499"/>
  <pageSetup paperSize="9" scale="63" orientation="portrait" r:id="rId1"/>
  <headerFooter>
    <oddHeader>&amp;R&amp;"-,Regular"&amp;8SH.LHK - 049-18 / Rev : 1</oddHeader>
    <oddFooter>&amp;C&amp;8Dilarang keras mengutip/memperbanyak dan atau mempublikasikan sebagian isi sertifikat ini tanpa seijin LPFK Banjarbaru
Sertifikat ini sah apabila dibubuhi cap LPFK banjarbaru dan ditandatangani oleh pejabat yang berwenang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2A52A-9FF0-44BD-A1D5-889A9FE08A32}">
  <sheetPr>
    <tabColor theme="9" tint="-0.499984740745262"/>
  </sheetPr>
  <dimension ref="A1:IZ83"/>
  <sheetViews>
    <sheetView showGridLines="0" view="pageBreakPreview" topLeftCell="A16" zoomScale="64" zoomScaleNormal="100" zoomScaleSheetLayoutView="64" workbookViewId="0">
      <selection activeCell="F29" sqref="F29"/>
    </sheetView>
  </sheetViews>
  <sheetFormatPr defaultColWidth="9" defaultRowHeight="15"/>
  <cols>
    <col min="1" max="2" width="4.5546875" style="51" customWidth="1"/>
    <col min="3" max="3" width="12.44140625" style="51" customWidth="1"/>
    <col min="4" max="4" width="13.5546875" style="4" customWidth="1"/>
    <col min="5" max="5" width="1" style="49" customWidth="1"/>
    <col min="6" max="7" width="13.44140625" style="4" customWidth="1"/>
    <col min="8" max="8" width="16.21875" style="4" customWidth="1"/>
    <col min="9" max="10" width="13.44140625" style="4" customWidth="1"/>
    <col min="11" max="11" width="4.44140625" style="4" customWidth="1"/>
    <col min="12" max="12" width="5.21875" style="4" customWidth="1"/>
    <col min="13" max="13" width="4.21875" style="4" customWidth="1"/>
    <col min="14" max="14" width="7" style="4" customWidth="1"/>
    <col min="15" max="15" width="24.44140625" style="4" customWidth="1"/>
    <col min="16" max="16" width="13.77734375" style="62" customWidth="1"/>
    <col min="17" max="17" width="11.77734375" style="62" customWidth="1"/>
    <col min="18" max="18" width="9.44140625" style="4" customWidth="1"/>
    <col min="19" max="19" width="15.44140625" style="4" customWidth="1"/>
    <col min="20" max="20" width="16.21875" style="4" customWidth="1"/>
    <col min="21" max="260" width="9.21875" style="4" customWidth="1"/>
    <col min="261" max="16384" width="9" style="51"/>
  </cols>
  <sheetData>
    <row r="1" spans="1:17" ht="19.5" customHeight="1">
      <c r="A1" s="677" t="str">
        <f>'Lembar Penyelia'!A1</f>
        <v>HASIL KALIBRASI THERMOHYGROMETER ANALOG</v>
      </c>
      <c r="B1" s="677"/>
      <c r="C1" s="677"/>
      <c r="D1" s="677"/>
      <c r="E1" s="677"/>
      <c r="F1" s="677"/>
      <c r="G1" s="677"/>
      <c r="H1" s="677"/>
      <c r="I1" s="677"/>
      <c r="J1" s="677"/>
      <c r="K1" s="677"/>
      <c r="L1" s="677"/>
      <c r="M1" s="36"/>
      <c r="N1" s="36"/>
      <c r="O1" s="36"/>
    </row>
    <row r="2" spans="1:17" ht="18.75" customHeight="1">
      <c r="A2" s="791" t="str">
        <f>'Lembar Penyelia'!A2</f>
        <v>Nomor Sertifikat : 84 / 1 / VII - 23 / E - 001 Dt</v>
      </c>
      <c r="B2" s="791"/>
      <c r="C2" s="791"/>
      <c r="D2" s="791"/>
      <c r="E2" s="791"/>
      <c r="F2" s="791"/>
      <c r="G2" s="791"/>
      <c r="H2" s="791"/>
      <c r="I2" s="791"/>
      <c r="J2" s="791"/>
      <c r="K2" s="791"/>
      <c r="L2" s="791"/>
      <c r="M2" s="38"/>
      <c r="N2" s="38"/>
      <c r="O2" s="37"/>
    </row>
    <row r="3" spans="1:17" ht="15.75" customHeight="1">
      <c r="D3" s="48"/>
      <c r="E3" s="48"/>
      <c r="F3" s="48"/>
      <c r="G3" s="48"/>
      <c r="H3" s="48"/>
      <c r="I3" s="48"/>
      <c r="J3" s="48"/>
      <c r="K3" s="48"/>
      <c r="L3" s="48"/>
      <c r="M3" s="48"/>
    </row>
    <row r="4" spans="1:17" s="4" customFormat="1" ht="15.75" customHeight="1">
      <c r="B4" s="38" t="s">
        <v>160</v>
      </c>
      <c r="E4" s="1" t="s">
        <v>3</v>
      </c>
      <c r="F4" s="39" t="str">
        <f>'Lembar Penyelia'!F4</f>
        <v>Extech</v>
      </c>
      <c r="L4" s="5"/>
      <c r="P4" s="62"/>
      <c r="Q4" s="62"/>
    </row>
    <row r="5" spans="1:17" s="4" customFormat="1" ht="15.75" customHeight="1">
      <c r="B5" s="38" t="s">
        <v>161</v>
      </c>
      <c r="E5" s="1" t="s">
        <v>3</v>
      </c>
      <c r="F5" s="39" t="str">
        <f>'Lembar Penyelia'!F5</f>
        <v>SD 700</v>
      </c>
      <c r="L5" s="5"/>
      <c r="P5" s="62"/>
      <c r="Q5" s="62"/>
    </row>
    <row r="6" spans="1:17" s="4" customFormat="1" ht="15.75" customHeight="1">
      <c r="B6" s="38" t="s">
        <v>162</v>
      </c>
      <c r="E6" s="1" t="s">
        <v>3</v>
      </c>
      <c r="F6" s="39" t="str">
        <f>'Lembar Penyelia'!F6</f>
        <v>A.100611</v>
      </c>
      <c r="L6" s="5"/>
      <c r="P6" s="62"/>
      <c r="Q6" s="62"/>
    </row>
    <row r="7" spans="1:17" s="4" customFormat="1" ht="15.75" customHeight="1">
      <c r="B7" s="38" t="s">
        <v>163</v>
      </c>
      <c r="E7" s="1" t="s">
        <v>3</v>
      </c>
      <c r="F7" s="626">
        <f>ID!E7</f>
        <v>0.1</v>
      </c>
      <c r="G7" s="579" t="s">
        <v>96</v>
      </c>
      <c r="H7" s="38"/>
      <c r="I7" s="38"/>
      <c r="J7" s="38"/>
      <c r="K7" s="5"/>
      <c r="P7" s="62"/>
      <c r="Q7" s="62"/>
    </row>
    <row r="8" spans="1:17" s="4" customFormat="1" ht="15.75" customHeight="1">
      <c r="B8" s="38" t="s">
        <v>164</v>
      </c>
      <c r="E8" s="1" t="s">
        <v>3</v>
      </c>
      <c r="F8" s="634">
        <f>ID!E8</f>
        <v>0.1</v>
      </c>
      <c r="G8" s="579" t="s">
        <v>24</v>
      </c>
      <c r="H8" s="38"/>
      <c r="I8" s="38"/>
      <c r="J8" s="38"/>
      <c r="K8" s="5"/>
      <c r="P8" s="62"/>
      <c r="Q8" s="62"/>
    </row>
    <row r="9" spans="1:17" s="4" customFormat="1" ht="15.75" customHeight="1">
      <c r="B9" s="202" t="s">
        <v>11</v>
      </c>
      <c r="D9" s="201"/>
      <c r="E9" s="203" t="s">
        <v>3</v>
      </c>
      <c r="F9" s="39" t="str">
        <f>'Lembar Penyelia'!F9</f>
        <v>4 Januari 2023</v>
      </c>
      <c r="H9" s="38"/>
      <c r="I9" s="38"/>
      <c r="J9" s="38"/>
      <c r="K9" s="5"/>
      <c r="P9" s="62"/>
      <c r="Q9" s="62"/>
    </row>
    <row r="10" spans="1:17" s="4" customFormat="1" ht="15.75" customHeight="1">
      <c r="B10" s="38" t="s">
        <v>165</v>
      </c>
      <c r="D10" s="5"/>
      <c r="E10" s="1" t="s">
        <v>3</v>
      </c>
      <c r="F10" s="39" t="str">
        <f>'Lembar Penyelia'!F10</f>
        <v>4 Januari 2023</v>
      </c>
      <c r="I10" s="38"/>
      <c r="J10" s="38"/>
      <c r="K10" s="5"/>
      <c r="P10" s="62"/>
      <c r="Q10" s="62"/>
    </row>
    <row r="11" spans="1:17" s="4" customFormat="1" ht="15.75" customHeight="1">
      <c r="B11" s="38" t="s">
        <v>166</v>
      </c>
      <c r="D11" s="5"/>
      <c r="E11" s="1" t="s">
        <v>3</v>
      </c>
      <c r="F11" s="39" t="str">
        <f>'Lembar Penyelia'!F11</f>
        <v>Laboratorium Kalibrasi LPFK Banjarbaru</v>
      </c>
      <c r="I11" s="38"/>
      <c r="J11" s="38"/>
      <c r="K11" s="5"/>
      <c r="P11" s="62"/>
      <c r="Q11" s="62"/>
    </row>
    <row r="12" spans="1:17" s="4" customFormat="1" ht="15.75" customHeight="1">
      <c r="B12" s="38" t="s">
        <v>167</v>
      </c>
      <c r="D12" s="5"/>
      <c r="E12" s="1" t="s">
        <v>3</v>
      </c>
      <c r="F12" s="39" t="str">
        <f>'Lembar Penyelia'!F12</f>
        <v>Laboratorium Kalibrasi LPFK Banjarbaru</v>
      </c>
      <c r="I12" s="38"/>
      <c r="J12" s="38"/>
      <c r="K12" s="5"/>
      <c r="P12" s="62"/>
      <c r="Q12" s="62"/>
    </row>
    <row r="13" spans="1:17" s="4" customFormat="1" ht="15.75" customHeight="1">
      <c r="B13" s="38" t="s">
        <v>168</v>
      </c>
      <c r="D13" s="5"/>
      <c r="E13" s="1" t="s">
        <v>3</v>
      </c>
      <c r="F13" s="39" t="str">
        <f>'Lembar Penyelia'!F13</f>
        <v>MK 049-18</v>
      </c>
      <c r="I13" s="38"/>
      <c r="J13" s="38"/>
      <c r="K13" s="5"/>
      <c r="P13" s="62"/>
      <c r="Q13" s="62"/>
    </row>
    <row r="14" spans="1:17" s="4" customFormat="1" ht="9" customHeight="1">
      <c r="D14" s="38"/>
      <c r="E14" s="1"/>
      <c r="F14" s="38"/>
      <c r="G14" s="774"/>
      <c r="H14" s="774"/>
      <c r="I14" s="774"/>
      <c r="J14" s="774"/>
      <c r="K14" s="774"/>
      <c r="L14" s="774"/>
      <c r="M14" s="774"/>
      <c r="N14" s="774"/>
      <c r="P14" s="62"/>
      <c r="Q14" s="62"/>
    </row>
    <row r="15" spans="1:17" s="4" customFormat="1" ht="15.75" customHeight="1">
      <c r="A15" s="40" t="s">
        <v>17</v>
      </c>
      <c r="B15" s="41" t="s">
        <v>18</v>
      </c>
      <c r="E15" s="49"/>
      <c r="F15" s="41"/>
      <c r="H15" s="49"/>
      <c r="I15" s="1"/>
      <c r="J15" s="38"/>
      <c r="K15" s="38"/>
      <c r="L15" s="38"/>
      <c r="M15" s="38"/>
      <c r="P15" s="62"/>
      <c r="Q15" s="62"/>
    </row>
    <row r="16" spans="1:17" s="4" customFormat="1" ht="15.75" customHeight="1">
      <c r="B16" s="66" t="s">
        <v>169</v>
      </c>
      <c r="D16" s="5"/>
      <c r="E16" s="1" t="s">
        <v>3</v>
      </c>
      <c r="F16" s="625">
        <f>'Db Thermohygro'!U377</f>
        <v>19.814642064372919</v>
      </c>
      <c r="G16" s="578" t="s">
        <v>413</v>
      </c>
      <c r="H16" s="626">
        <f>'Db Thermohygro'!W377</f>
        <v>0.6</v>
      </c>
      <c r="I16" s="579" t="s">
        <v>96</v>
      </c>
      <c r="J16" s="49"/>
      <c r="P16" s="62"/>
      <c r="Q16" s="62"/>
    </row>
    <row r="17" spans="1:24" s="4" customFormat="1" ht="15.75" customHeight="1">
      <c r="B17" s="66" t="s">
        <v>170</v>
      </c>
      <c r="D17" s="5"/>
      <c r="E17" s="1" t="s">
        <v>3</v>
      </c>
      <c r="F17" s="625">
        <f>'Db Thermohygro'!U378</f>
        <v>57.650826086956528</v>
      </c>
      <c r="G17" s="578" t="s">
        <v>413</v>
      </c>
      <c r="H17" s="626">
        <f>'Db Thermohygro'!W378</f>
        <v>2.2999999999999998</v>
      </c>
      <c r="I17" s="579" t="s">
        <v>24</v>
      </c>
      <c r="J17" s="49"/>
      <c r="P17" s="62"/>
      <c r="Q17" s="62"/>
    </row>
    <row r="18" spans="1:24" s="4" customFormat="1" ht="9" customHeight="1">
      <c r="D18" s="40"/>
      <c r="E18" s="187"/>
      <c r="F18" s="40"/>
      <c r="G18" s="40"/>
      <c r="H18" s="38"/>
      <c r="M18" s="42"/>
      <c r="P18" s="62"/>
      <c r="Q18" s="62"/>
    </row>
    <row r="19" spans="1:24" s="4" customFormat="1" ht="15.75" customHeight="1">
      <c r="A19" s="40" t="s">
        <v>25</v>
      </c>
      <c r="B19" s="40" t="s">
        <v>26</v>
      </c>
      <c r="E19" s="49"/>
      <c r="J19" s="42"/>
      <c r="L19" s="39"/>
      <c r="P19" s="62"/>
      <c r="Q19" s="62"/>
    </row>
    <row r="20" spans="1:24" s="4" customFormat="1" ht="15.75" customHeight="1">
      <c r="B20" s="39" t="s">
        <v>171</v>
      </c>
      <c r="D20" s="43"/>
      <c r="E20" s="49" t="s">
        <v>3</v>
      </c>
      <c r="F20" s="627" t="str">
        <f>ID!E20</f>
        <v>Baik</v>
      </c>
      <c r="I20" s="44"/>
      <c r="J20" s="44"/>
      <c r="K20" s="44"/>
      <c r="L20" s="44"/>
      <c r="M20" s="44"/>
      <c r="N20" s="44"/>
      <c r="P20" s="62"/>
      <c r="Q20" s="62"/>
      <c r="T20" s="61"/>
      <c r="U20" s="61"/>
      <c r="V20" s="61"/>
      <c r="W20" s="61"/>
    </row>
    <row r="21" spans="1:24" s="4" customFormat="1" ht="15.75" customHeight="1">
      <c r="B21" s="39" t="s">
        <v>172</v>
      </c>
      <c r="D21" s="128"/>
      <c r="E21" s="156" t="s">
        <v>3</v>
      </c>
      <c r="F21" s="627" t="str">
        <f>ID!E21</f>
        <v>Baik</v>
      </c>
      <c r="H21" s="61"/>
      <c r="I21" s="129"/>
      <c r="J21" s="129"/>
      <c r="K21" s="129"/>
      <c r="L21" s="129"/>
      <c r="M21" s="129"/>
      <c r="N21" s="129"/>
      <c r="O21" s="61"/>
      <c r="P21" s="778"/>
      <c r="Q21" s="778"/>
      <c r="R21" s="61"/>
      <c r="S21" s="61"/>
      <c r="T21" s="61"/>
      <c r="U21" s="61"/>
      <c r="V21" s="61"/>
      <c r="W21" s="61"/>
      <c r="X21" s="62"/>
    </row>
    <row r="22" spans="1:24" s="4" customFormat="1" ht="9" customHeight="1">
      <c r="D22" s="130"/>
      <c r="E22" s="156"/>
      <c r="F22" s="128"/>
      <c r="G22" s="61"/>
      <c r="H22" s="61"/>
      <c r="I22" s="131"/>
      <c r="J22" s="131"/>
      <c r="K22" s="131"/>
      <c r="L22" s="131"/>
      <c r="M22" s="131"/>
      <c r="N22" s="131"/>
      <c r="O22" s="61"/>
      <c r="P22" s="778"/>
      <c r="Q22" s="778"/>
      <c r="R22" s="61"/>
      <c r="S22" s="61"/>
      <c r="T22" s="156"/>
      <c r="U22" s="61"/>
      <c r="V22" s="61"/>
      <c r="W22" s="61"/>
      <c r="X22" s="62"/>
    </row>
    <row r="23" spans="1:24" s="4" customFormat="1" ht="15.75" customHeight="1">
      <c r="A23" s="40" t="s">
        <v>31</v>
      </c>
      <c r="B23" s="40" t="s">
        <v>32</v>
      </c>
      <c r="D23" s="61"/>
      <c r="E23" s="156"/>
      <c r="F23" s="61"/>
      <c r="G23" s="61"/>
      <c r="H23" s="61"/>
      <c r="I23" s="61"/>
      <c r="J23" s="61"/>
      <c r="K23" s="61"/>
      <c r="L23" s="61"/>
      <c r="M23" s="61"/>
      <c r="N23" s="132"/>
      <c r="O23" s="766"/>
      <c r="P23" s="766"/>
      <c r="Q23" s="61"/>
      <c r="R23" s="133"/>
      <c r="S23" s="133"/>
      <c r="T23" s="107"/>
      <c r="U23" s="61"/>
      <c r="V23" s="61"/>
      <c r="W23" s="61"/>
    </row>
    <row r="24" spans="1:24" s="4" customFormat="1" ht="9" customHeight="1">
      <c r="B24" s="40"/>
      <c r="C24" s="40"/>
      <c r="D24" s="61"/>
      <c r="E24" s="156"/>
      <c r="F24" s="61"/>
      <c r="G24" s="61"/>
      <c r="H24" s="61"/>
      <c r="I24" s="61"/>
      <c r="J24" s="61"/>
      <c r="K24" s="61"/>
      <c r="L24" s="61"/>
      <c r="M24" s="61"/>
      <c r="N24" s="132"/>
      <c r="O24" s="158"/>
      <c r="P24" s="158"/>
      <c r="Q24" s="61"/>
      <c r="R24" s="133"/>
      <c r="S24" s="133"/>
      <c r="T24" s="107"/>
      <c r="U24" s="61"/>
      <c r="V24" s="61"/>
      <c r="W24" s="61"/>
    </row>
    <row r="25" spans="1:24" s="4" customFormat="1" ht="15.75" customHeight="1">
      <c r="B25" s="40" t="s">
        <v>173</v>
      </c>
      <c r="D25" s="61"/>
      <c r="E25" s="156"/>
      <c r="F25" s="61"/>
      <c r="G25" s="61"/>
      <c r="H25" s="61"/>
      <c r="I25" s="61"/>
      <c r="J25" s="61"/>
      <c r="K25" s="61"/>
      <c r="L25" s="61"/>
      <c r="M25" s="61"/>
      <c r="N25" s="132"/>
      <c r="O25" s="158"/>
      <c r="P25" s="158"/>
      <c r="Q25" s="61"/>
      <c r="R25" s="133"/>
      <c r="S25" s="133"/>
      <c r="T25" s="107"/>
      <c r="U25" s="61"/>
      <c r="V25" s="61"/>
      <c r="W25" s="61"/>
    </row>
    <row r="26" spans="1:24" s="4" customFormat="1" ht="15.75" customHeight="1">
      <c r="B26" s="723" t="s">
        <v>34</v>
      </c>
      <c r="C26" s="680" t="s">
        <v>189</v>
      </c>
      <c r="D26" s="769" t="s">
        <v>190</v>
      </c>
      <c r="E26" s="358"/>
      <c r="F26" s="680" t="s">
        <v>191</v>
      </c>
      <c r="G26" s="680" t="s">
        <v>192</v>
      </c>
      <c r="H26" s="723" t="s">
        <v>193</v>
      </c>
      <c r="I26" s="723"/>
      <c r="J26" s="672"/>
      <c r="K26" s="775"/>
      <c r="L26" s="775"/>
      <c r="M26" s="775"/>
      <c r="N26" s="775"/>
      <c r="O26" s="61"/>
      <c r="P26" s="128"/>
      <c r="Q26" s="61"/>
      <c r="R26" s="61"/>
      <c r="S26" s="61"/>
      <c r="T26" s="61"/>
      <c r="U26" s="61"/>
      <c r="V26" s="61"/>
      <c r="W26" s="61"/>
    </row>
    <row r="27" spans="1:24" s="4" customFormat="1" ht="15.75" customHeight="1">
      <c r="B27" s="723"/>
      <c r="C27" s="780"/>
      <c r="D27" s="729"/>
      <c r="E27" s="359"/>
      <c r="F27" s="780"/>
      <c r="G27" s="780"/>
      <c r="H27" s="680"/>
      <c r="I27" s="680"/>
      <c r="J27" s="672"/>
      <c r="K27" s="775"/>
      <c r="L27" s="775"/>
      <c r="M27" s="775"/>
      <c r="N27" s="775"/>
      <c r="O27" s="134"/>
      <c r="P27" s="128"/>
      <c r="Q27" s="170"/>
      <c r="R27" s="61"/>
      <c r="S27" s="61"/>
      <c r="T27" s="61"/>
      <c r="U27" s="61"/>
      <c r="V27" s="61"/>
      <c r="W27" s="61"/>
    </row>
    <row r="28" spans="1:24" s="4" customFormat="1" ht="20.25" customHeight="1">
      <c r="B28" s="723"/>
      <c r="C28" s="360" t="s">
        <v>194</v>
      </c>
      <c r="D28" s="361" t="s">
        <v>194</v>
      </c>
      <c r="E28" s="362"/>
      <c r="F28" s="360" t="s">
        <v>194</v>
      </c>
      <c r="G28" s="360" t="s">
        <v>194</v>
      </c>
      <c r="H28" s="790" t="s">
        <v>194</v>
      </c>
      <c r="I28" s="790"/>
      <c r="J28" s="162"/>
      <c r="K28" s="61"/>
      <c r="L28" s="61"/>
      <c r="M28" s="61"/>
      <c r="N28" s="135"/>
      <c r="O28" s="135"/>
      <c r="P28" s="128"/>
      <c r="Q28" s="170"/>
      <c r="R28" s="61"/>
      <c r="S28" s="61"/>
      <c r="T28" s="61"/>
      <c r="U28" s="61"/>
      <c r="V28" s="61"/>
      <c r="W28" s="61"/>
    </row>
    <row r="29" spans="1:24" s="4" customFormat="1" ht="20.25" customHeight="1">
      <c r="B29" s="106">
        <v>1</v>
      </c>
      <c r="C29" s="628" t="str">
        <f>'Lembar Penyelia'!C29</f>
        <v>2*</v>
      </c>
      <c r="D29" s="792">
        <f>'Lembar Penyelia'!D29:E29</f>
        <v>2.5</v>
      </c>
      <c r="E29" s="793"/>
      <c r="F29" s="635">
        <f ca="1">ID!K28</f>
        <v>1.6684999992499998</v>
      </c>
      <c r="G29" s="629">
        <f ca="1">F29-D29</f>
        <v>-0.83150000075000019</v>
      </c>
      <c r="H29" s="632" t="s">
        <v>413</v>
      </c>
      <c r="I29" s="664">
        <f>'Uncertainty Budget'!M18</f>
        <v>0.66138291296913121</v>
      </c>
      <c r="J29" s="61"/>
      <c r="K29" s="162"/>
      <c r="L29" s="61"/>
      <c r="M29" s="130"/>
      <c r="N29" s="156"/>
      <c r="O29" s="135"/>
      <c r="P29" s="135"/>
      <c r="Q29" s="61"/>
      <c r="R29" s="170"/>
      <c r="S29" s="61"/>
      <c r="T29" s="170"/>
      <c r="U29" s="171"/>
      <c r="V29" s="61"/>
      <c r="W29" s="61"/>
      <c r="X29" s="61"/>
    </row>
    <row r="30" spans="1:24" s="4" customFormat="1" ht="20.25" customHeight="1">
      <c r="B30" s="106">
        <v>2</v>
      </c>
      <c r="C30" s="628" t="str">
        <f>'Lembar Penyelia'!C30</f>
        <v>5*</v>
      </c>
      <c r="D30" s="792">
        <f>'Lembar Penyelia'!D30:E30</f>
        <v>5.1000000000000005</v>
      </c>
      <c r="E30" s="793"/>
      <c r="F30" s="629">
        <f ca="1">'Lembar Penyelia'!F30</f>
        <v>4.7549999999999999</v>
      </c>
      <c r="G30" s="629">
        <f t="shared" ref="G30:G32" ca="1" si="0">F30-D30</f>
        <v>-0.34500000000000064</v>
      </c>
      <c r="H30" s="632" t="s">
        <v>413</v>
      </c>
      <c r="I30" s="664">
        <f>'Uncertainty Budget'!M33</f>
        <v>0.66043240999457986</v>
      </c>
      <c r="J30" s="61"/>
      <c r="K30" s="162"/>
      <c r="L30" s="61"/>
      <c r="M30" s="61"/>
      <c r="N30" s="61"/>
      <c r="O30" s="135"/>
      <c r="P30" s="135"/>
      <c r="Q30" s="61"/>
      <c r="R30" s="172"/>
      <c r="S30" s="61"/>
      <c r="T30" s="61"/>
      <c r="U30" s="61"/>
      <c r="V30" s="61"/>
      <c r="W30" s="61"/>
      <c r="X30" s="61"/>
    </row>
    <row r="31" spans="1:24" s="4" customFormat="1" ht="20.25" customHeight="1">
      <c r="B31" s="106">
        <v>3</v>
      </c>
      <c r="C31" s="628" t="str">
        <f>'Lembar Penyelia'!C31</f>
        <v>8*</v>
      </c>
      <c r="D31" s="792">
        <f>'Lembar Penyelia'!D31:E31</f>
        <v>8.1</v>
      </c>
      <c r="E31" s="793"/>
      <c r="F31" s="629">
        <f ca="1">'Lembar Penyelia'!F31</f>
        <v>7.74</v>
      </c>
      <c r="G31" s="629">
        <f t="shared" ca="1" si="0"/>
        <v>-0.35999999999999943</v>
      </c>
      <c r="H31" s="632" t="s">
        <v>413</v>
      </c>
      <c r="I31" s="664">
        <f>'Uncertainty Budget'!M48</f>
        <v>0.66089427214955587</v>
      </c>
      <c r="J31" s="61"/>
      <c r="K31" s="162"/>
      <c r="L31" s="61"/>
      <c r="M31" s="61"/>
      <c r="N31" s="61"/>
      <c r="O31" s="135"/>
      <c r="P31" s="135"/>
      <c r="Q31" s="61"/>
      <c r="R31" s="172"/>
      <c r="S31" s="61"/>
      <c r="T31" s="61"/>
      <c r="U31" s="61"/>
      <c r="V31" s="61"/>
      <c r="W31" s="61"/>
      <c r="X31" s="61"/>
    </row>
    <row r="32" spans="1:24" s="4" customFormat="1" ht="20.25" customHeight="1">
      <c r="B32" s="106">
        <v>4</v>
      </c>
      <c r="C32" s="628">
        <f>'Lembar Penyelia'!C32</f>
        <v>25</v>
      </c>
      <c r="D32" s="792">
        <f>'Lembar Penyelia'!D32:E32</f>
        <v>25.099999999999998</v>
      </c>
      <c r="E32" s="793"/>
      <c r="F32" s="629">
        <f ca="1">'Lembar Penyelia'!F32</f>
        <v>25.09</v>
      </c>
      <c r="G32" s="629">
        <f t="shared" ca="1" si="0"/>
        <v>-9.9999999999980105E-3</v>
      </c>
      <c r="H32" s="632" t="s">
        <v>413</v>
      </c>
      <c r="I32" s="664">
        <f>'Uncertainty Budget'!M63</f>
        <v>0.67737677794798334</v>
      </c>
      <c r="J32" s="61"/>
      <c r="K32" s="61"/>
      <c r="L32" s="61"/>
      <c r="M32" s="61"/>
      <c r="N32" s="156"/>
      <c r="O32" s="135"/>
      <c r="P32" s="135"/>
      <c r="Q32" s="61"/>
      <c r="R32" s="61"/>
      <c r="S32" s="61"/>
      <c r="T32" s="61"/>
      <c r="U32" s="61"/>
      <c r="V32" s="61"/>
      <c r="W32" s="61"/>
      <c r="X32" s="61"/>
    </row>
    <row r="33" spans="1:25" s="4" customFormat="1" ht="9.75" customHeight="1">
      <c r="D33" s="61"/>
      <c r="E33" s="156"/>
      <c r="F33" s="61"/>
      <c r="G33" s="61"/>
      <c r="H33" s="61"/>
      <c r="I33" s="61"/>
      <c r="J33" s="61"/>
      <c r="K33" s="61"/>
      <c r="L33" s="61"/>
      <c r="M33" s="156"/>
      <c r="N33" s="135"/>
      <c r="O33" s="135"/>
      <c r="P33" s="61"/>
      <c r="Q33" s="61"/>
      <c r="R33" s="61"/>
      <c r="S33" s="61"/>
      <c r="T33" s="61"/>
      <c r="U33" s="61"/>
      <c r="V33" s="61"/>
      <c r="W33" s="61"/>
    </row>
    <row r="34" spans="1:25" s="4" customFormat="1" ht="15.75" customHeight="1">
      <c r="B34" s="40" t="s">
        <v>179</v>
      </c>
      <c r="D34" s="61"/>
      <c r="E34" s="156"/>
      <c r="F34" s="61"/>
      <c r="G34" s="61"/>
      <c r="H34" s="61"/>
      <c r="I34" s="61"/>
      <c r="J34" s="61"/>
      <c r="K34" s="61"/>
      <c r="L34" s="61"/>
      <c r="M34" s="156"/>
      <c r="N34" s="135"/>
      <c r="O34" s="135"/>
      <c r="P34" s="136"/>
      <c r="Q34" s="156"/>
      <c r="R34" s="137"/>
      <c r="S34" s="137"/>
      <c r="T34" s="61"/>
      <c r="U34" s="61"/>
      <c r="V34" s="61"/>
      <c r="W34" s="61"/>
    </row>
    <row r="35" spans="1:25" s="4" customFormat="1" ht="15" customHeight="1">
      <c r="B35" s="723" t="s">
        <v>34</v>
      </c>
      <c r="C35" s="723" t="s">
        <v>41</v>
      </c>
      <c r="D35" s="723" t="s">
        <v>180</v>
      </c>
      <c r="E35" s="723"/>
      <c r="F35" s="723"/>
      <c r="G35" s="723" t="s">
        <v>181</v>
      </c>
      <c r="H35" s="723"/>
      <c r="I35" s="723" t="s">
        <v>182</v>
      </c>
      <c r="J35" s="723"/>
      <c r="K35" s="769" t="s">
        <v>195</v>
      </c>
      <c r="L35" s="788"/>
      <c r="M35" s="788"/>
      <c r="N35" s="770"/>
      <c r="O35" s="135"/>
      <c r="P35" s="138"/>
      <c r="Q35" s="61"/>
      <c r="R35" s="156"/>
      <c r="S35" s="156"/>
      <c r="T35" s="61"/>
      <c r="U35" s="61"/>
      <c r="V35" s="61"/>
      <c r="W35" s="61"/>
    </row>
    <row r="36" spans="1:25" s="4" customFormat="1" ht="33" customHeight="1">
      <c r="B36" s="723"/>
      <c r="C36" s="723"/>
      <c r="D36" s="723"/>
      <c r="E36" s="723"/>
      <c r="F36" s="723"/>
      <c r="G36" s="723"/>
      <c r="H36" s="723"/>
      <c r="I36" s="723"/>
      <c r="J36" s="723"/>
      <c r="K36" s="772"/>
      <c r="L36" s="789"/>
      <c r="M36" s="789"/>
      <c r="N36" s="773"/>
      <c r="O36" s="61"/>
      <c r="P36" s="156"/>
      <c r="Q36" s="61"/>
      <c r="R36" s="61"/>
      <c r="S36" s="61"/>
      <c r="T36" s="61"/>
      <c r="U36" s="61"/>
      <c r="V36" s="61"/>
      <c r="W36" s="61"/>
    </row>
    <row r="37" spans="1:25" s="4" customFormat="1" ht="15.6" customHeight="1">
      <c r="B37" s="723"/>
      <c r="C37" s="723"/>
      <c r="D37" s="718" t="s">
        <v>184</v>
      </c>
      <c r="E37" s="718"/>
      <c r="F37" s="106" t="s">
        <v>185</v>
      </c>
      <c r="G37" s="106" t="s">
        <v>184</v>
      </c>
      <c r="H37" s="106" t="s">
        <v>185</v>
      </c>
      <c r="I37" s="140" t="s">
        <v>184</v>
      </c>
      <c r="J37" s="140" t="s">
        <v>185</v>
      </c>
      <c r="K37" s="786" t="s">
        <v>184</v>
      </c>
      <c r="L37" s="787"/>
      <c r="M37" s="786" t="s">
        <v>185</v>
      </c>
      <c r="N37" s="787"/>
      <c r="O37" s="164"/>
      <c r="P37" s="61"/>
      <c r="Q37" s="536"/>
      <c r="R37" s="171"/>
      <c r="S37" s="61"/>
      <c r="T37" s="61"/>
      <c r="U37" s="61"/>
      <c r="V37" s="61"/>
      <c r="W37" s="61"/>
      <c r="X37" s="61"/>
    </row>
    <row r="38" spans="1:25" s="4" customFormat="1" ht="20.25" customHeight="1">
      <c r="B38" s="106">
        <v>1</v>
      </c>
      <c r="C38" s="628">
        <f>'Lembar Penyelia'!C38</f>
        <v>40</v>
      </c>
      <c r="D38" s="794">
        <f>'Lembar Penyelia'!D38:E38</f>
        <v>42.4</v>
      </c>
      <c r="E38" s="794"/>
      <c r="F38" s="630">
        <f>'Lembar Penyelia'!F38</f>
        <v>42.4</v>
      </c>
      <c r="G38" s="629">
        <f ca="1">'Lembar Penyelia'!G38</f>
        <v>42.279809999999998</v>
      </c>
      <c r="H38" s="629">
        <f ca="1">'Lembar Penyelia'!H38</f>
        <v>42.387380000000007</v>
      </c>
      <c r="I38" s="629">
        <f ca="1">'Lembar Penyelia'!I38</f>
        <v>-0.12019000000000091</v>
      </c>
      <c r="J38" s="629">
        <f ca="1">'Lembar Penyelia'!J38</f>
        <v>-1.2619999999991194E-2</v>
      </c>
      <c r="K38" s="632" t="s">
        <v>413</v>
      </c>
      <c r="L38" s="633">
        <f ca="1">'Lembar Penyelia'!K38</f>
        <v>1.2249818932743515</v>
      </c>
      <c r="M38" s="632" t="s">
        <v>413</v>
      </c>
      <c r="N38" s="633">
        <f ca="1">'Lembar Penyelia'!L38</f>
        <v>1.2260381212298588</v>
      </c>
      <c r="O38" s="368"/>
      <c r="P38" s="164"/>
      <c r="Q38" s="61"/>
      <c r="R38" s="536"/>
      <c r="S38" s="171"/>
      <c r="T38" s="61"/>
      <c r="U38" s="61"/>
      <c r="V38" s="777"/>
      <c r="W38" s="777"/>
      <c r="X38" s="61"/>
      <c r="Y38" s="61"/>
    </row>
    <row r="39" spans="1:25" s="4" customFormat="1" ht="20.25" customHeight="1">
      <c r="B39" s="106">
        <v>2</v>
      </c>
      <c r="C39" s="628">
        <f>'Lembar Penyelia'!C39</f>
        <v>50</v>
      </c>
      <c r="D39" s="794">
        <f>'Lembar Penyelia'!D39:E39</f>
        <v>51.6</v>
      </c>
      <c r="E39" s="794"/>
      <c r="F39" s="630">
        <f>'Lembar Penyelia'!F39</f>
        <v>51.6</v>
      </c>
      <c r="G39" s="629">
        <f ca="1">'Lembar Penyelia'!G39</f>
        <v>51.947309999999995</v>
      </c>
      <c r="H39" s="629">
        <f ca="1">'Lembar Penyelia'!H39</f>
        <v>51.81806000000001</v>
      </c>
      <c r="I39" s="629">
        <f ca="1">'Lembar Penyelia'!I39</f>
        <v>0.34730999999999312</v>
      </c>
      <c r="J39" s="629">
        <f ca="1">'Lembar Penyelia'!J39</f>
        <v>0.21806000000000836</v>
      </c>
      <c r="K39" s="632" t="s">
        <v>413</v>
      </c>
      <c r="L39" s="633">
        <f ca="1">'Lembar Penyelia'!K39</f>
        <v>1.30448989860913</v>
      </c>
      <c r="M39" s="632" t="s">
        <v>413</v>
      </c>
      <c r="N39" s="633">
        <f ca="1">'Lembar Penyelia'!L39</f>
        <v>1.3032831512189849</v>
      </c>
      <c r="O39" s="173"/>
      <c r="P39" s="165"/>
      <c r="Q39" s="61"/>
      <c r="R39" s="778"/>
      <c r="S39" s="779"/>
      <c r="T39" s="61"/>
      <c r="U39" s="61"/>
      <c r="V39" s="173"/>
      <c r="W39" s="61"/>
      <c r="X39" s="61"/>
      <c r="Y39" s="61"/>
    </row>
    <row r="40" spans="1:25" s="4" customFormat="1" ht="20.25" customHeight="1">
      <c r="B40" s="106">
        <v>3</v>
      </c>
      <c r="C40" s="628">
        <f>'Lembar Penyelia'!C40</f>
        <v>60</v>
      </c>
      <c r="D40" s="794">
        <f>'Lembar Penyelia'!D40:E40</f>
        <v>59.93333333333333</v>
      </c>
      <c r="E40" s="794"/>
      <c r="F40" s="630">
        <f>'Lembar Penyelia'!F40</f>
        <v>59.800000000000004</v>
      </c>
      <c r="G40" s="629">
        <f ca="1">'Lembar Penyelia'!G40</f>
        <v>61.277286666666669</v>
      </c>
      <c r="H40" s="629">
        <f ca="1">'Lembar Penyelia'!H40</f>
        <v>60.898639999999993</v>
      </c>
      <c r="I40" s="629">
        <f ca="1">'Lembar Penyelia'!I40</f>
        <v>1.3439533333333387</v>
      </c>
      <c r="J40" s="629">
        <f ca="1">'Lembar Penyelia'!J40</f>
        <v>1.098639999999989</v>
      </c>
      <c r="K40" s="632" t="s">
        <v>413</v>
      </c>
      <c r="L40" s="633">
        <f ca="1">'Lembar Penyelia'!K40</f>
        <v>1.4200957202806859</v>
      </c>
      <c r="M40" s="632" t="s">
        <v>413</v>
      </c>
      <c r="N40" s="633">
        <f ca="1">'Lembar Penyelia'!L40</f>
        <v>1.4107109364072214</v>
      </c>
      <c r="O40" s="173"/>
      <c r="P40" s="61"/>
      <c r="Q40" s="61"/>
      <c r="R40" s="778"/>
      <c r="S40" s="779"/>
      <c r="T40" s="174"/>
      <c r="U40" s="138"/>
      <c r="V40" s="61"/>
      <c r="W40" s="61"/>
      <c r="X40" s="61"/>
      <c r="Y40" s="61"/>
    </row>
    <row r="41" spans="1:25" s="4" customFormat="1" ht="20.25" customHeight="1">
      <c r="B41" s="106">
        <v>4</v>
      </c>
      <c r="C41" s="628">
        <f>'Lembar Penyelia'!C41</f>
        <v>70</v>
      </c>
      <c r="D41" s="794">
        <f>'Lembar Penyelia'!D41:E41</f>
        <v>70.5</v>
      </c>
      <c r="E41" s="794"/>
      <c r="F41" s="630">
        <f>'Lembar Penyelia'!F41</f>
        <v>70.8</v>
      </c>
      <c r="G41" s="629">
        <f ca="1">'Lembar Penyelia'!G41</f>
        <v>70.867166666666662</v>
      </c>
      <c r="H41" s="629">
        <f ca="1">'Lembar Penyelia'!H41</f>
        <v>71.352616666666677</v>
      </c>
      <c r="I41" s="629">
        <f ca="1">'Lembar Penyelia'!I41</f>
        <v>0.36716666666666242</v>
      </c>
      <c r="J41" s="629">
        <f ca="1">'Lembar Penyelia'!J41</f>
        <v>0.55261666666667963</v>
      </c>
      <c r="K41" s="632" t="s">
        <v>413</v>
      </c>
      <c r="L41" s="633">
        <f ca="1">'Lembar Penyelia'!K41</f>
        <v>1.6874396289059819</v>
      </c>
      <c r="M41" s="632" t="s">
        <v>413</v>
      </c>
      <c r="N41" s="633">
        <f ca="1">'Lembar Penyelia'!L41</f>
        <v>1.7022763340348723</v>
      </c>
      <c r="O41" s="173"/>
      <c r="P41" s="6"/>
      <c r="R41" s="112"/>
      <c r="S41" s="111"/>
      <c r="T41" s="45"/>
      <c r="U41" s="45"/>
    </row>
    <row r="42" spans="1:25" s="4" customFormat="1" ht="9" customHeight="1">
      <c r="B42" s="6"/>
      <c r="C42" s="166"/>
      <c r="D42" s="6"/>
      <c r="E42" s="105"/>
      <c r="F42" s="6"/>
      <c r="G42" s="105"/>
      <c r="H42" s="9"/>
      <c r="I42" s="6"/>
      <c r="J42" s="6"/>
      <c r="K42" s="6"/>
      <c r="L42" s="6"/>
      <c r="M42" s="6"/>
      <c r="N42" s="6"/>
      <c r="P42" s="113"/>
      <c r="Q42" s="111"/>
      <c r="R42" s="45"/>
      <c r="S42" s="45"/>
    </row>
    <row r="43" spans="1:25" s="4" customFormat="1" ht="15.6">
      <c r="A43" s="189" t="str">
        <f>ID!A84</f>
        <v>IV.</v>
      </c>
      <c r="B43" s="188" t="str">
        <f>ID!B84</f>
        <v>Keterangan</v>
      </c>
      <c r="D43" s="6"/>
      <c r="E43" s="105"/>
      <c r="F43" s="6"/>
      <c r="G43" s="105"/>
      <c r="H43" s="7"/>
      <c r="I43" s="6"/>
      <c r="J43" s="6"/>
      <c r="K43" s="6"/>
      <c r="L43" s="6"/>
      <c r="M43" s="6"/>
      <c r="N43" s="6"/>
      <c r="P43" s="113"/>
      <c r="Q43" s="112"/>
      <c r="R43" s="45"/>
      <c r="S43" s="45"/>
    </row>
    <row r="44" spans="1:25" s="4" customFormat="1">
      <c r="B44" s="166" t="str">
        <f>ID!B85</f>
        <v>Ketidakpastian pengukuran dilaporkan pada tingkat kepercayaan 95% dengan faktor cakupan k=2</v>
      </c>
      <c r="D44" s="6"/>
      <c r="E44" s="105"/>
      <c r="F44" s="6"/>
      <c r="G44" s="105"/>
      <c r="H44" s="7"/>
      <c r="I44" s="6"/>
      <c r="J44" s="6"/>
      <c r="K44" s="6"/>
      <c r="L44" s="6"/>
      <c r="M44" s="6"/>
      <c r="N44" s="6"/>
      <c r="P44" s="113"/>
      <c r="Q44" s="112"/>
      <c r="R44" s="45"/>
      <c r="S44" s="45"/>
      <c r="T44" s="175"/>
    </row>
    <row r="45" spans="1:25" s="4" customFormat="1">
      <c r="B45" s="166" t="str">
        <f>ID!B86</f>
        <v>Hasil pengujian kinerja suhu tertelusur ke Satuan SI melalui Laboratorium SNSU-BSN</v>
      </c>
      <c r="D45" s="6"/>
      <c r="E45" s="105"/>
      <c r="F45" s="6"/>
      <c r="G45" s="105"/>
      <c r="H45" s="7"/>
      <c r="I45" s="6"/>
      <c r="J45" s="6"/>
      <c r="K45" s="6"/>
      <c r="L45" s="6"/>
      <c r="M45" s="6"/>
      <c r="N45" s="6"/>
      <c r="P45" s="113"/>
      <c r="Q45" s="112"/>
      <c r="R45" s="45"/>
      <c r="S45" s="45"/>
    </row>
    <row r="46" spans="1:25" s="4" customFormat="1" ht="16.5" customHeight="1">
      <c r="B46" s="166" t="str">
        <f>ID!B87</f>
        <v>Hasil pengujian kinerja kelembaban relatif tertelusur ke Satuan SI melalui Laboratorium SNSU-BSN</v>
      </c>
      <c r="D46" s="166"/>
      <c r="E46" s="204"/>
      <c r="F46" s="6"/>
      <c r="G46" s="105"/>
      <c r="H46" s="7"/>
      <c r="I46" s="6"/>
      <c r="J46" s="6"/>
      <c r="K46" s="6"/>
      <c r="L46" s="6"/>
      <c r="M46" s="6"/>
      <c r="N46" s="6"/>
      <c r="P46" s="113"/>
      <c r="Q46" s="112"/>
      <c r="R46" s="45"/>
      <c r="S46" s="45"/>
    </row>
    <row r="47" spans="1:25" s="4" customFormat="1" ht="33" customHeight="1">
      <c r="B47" s="761" t="str">
        <f>'Lembar Penyelia'!B47:L47</f>
        <v>Metode Kalibrasi yang digunakan mengacu pada Keputusan Direktur Jenderal Pelayanan Kesehatan                                                                Nomor : HK.02.02/V/0412/2020 Nomor MK : 049-18</v>
      </c>
      <c r="C47" s="761"/>
      <c r="D47" s="761"/>
      <c r="E47" s="761"/>
      <c r="F47" s="761"/>
      <c r="G47" s="761"/>
      <c r="H47" s="761"/>
      <c r="I47" s="761"/>
      <c r="J47" s="761"/>
      <c r="K47" s="761"/>
      <c r="L47" s="761"/>
      <c r="M47" s="6"/>
      <c r="N47" s="6"/>
      <c r="P47" s="113"/>
      <c r="Q47" s="112"/>
      <c r="R47" s="45"/>
      <c r="S47" s="45"/>
    </row>
    <row r="48" spans="1:25" s="4" customFormat="1" ht="17.100000000000001" customHeight="1">
      <c r="B48" s="795" t="str">
        <f>'Lembar Penyelia'!B48:L48</f>
        <v>Thermocouple Data Logger menggunakan Channel 1</v>
      </c>
      <c r="C48" s="795"/>
      <c r="D48" s="795"/>
      <c r="E48" s="795"/>
      <c r="F48" s="795"/>
      <c r="G48" s="795"/>
      <c r="H48" s="795"/>
      <c r="I48" s="795"/>
      <c r="J48" s="795"/>
      <c r="K48" s="795"/>
      <c r="L48" s="795"/>
      <c r="M48" s="6"/>
      <c r="N48" s="6"/>
      <c r="P48" s="113"/>
      <c r="Q48" s="112"/>
      <c r="R48" s="45"/>
      <c r="S48" s="45"/>
    </row>
    <row r="49" spans="1:19" s="4" customFormat="1" ht="17.100000000000001" customHeight="1">
      <c r="B49" s="795" t="str">
        <f>'Lembar Penyelia'!B49:L49</f>
        <v>Titik ukur yang diberikan symbol (*) tidak termasuk dalam lingkup akreditasi</v>
      </c>
      <c r="C49" s="795"/>
      <c r="D49" s="795"/>
      <c r="E49" s="795"/>
      <c r="F49" s="795"/>
      <c r="G49" s="795"/>
      <c r="H49" s="795"/>
      <c r="I49" s="795"/>
      <c r="J49" s="795"/>
      <c r="K49" s="795"/>
      <c r="L49" s="795"/>
      <c r="M49" s="6"/>
      <c r="N49" s="6"/>
      <c r="P49" s="113"/>
      <c r="Q49" s="112"/>
      <c r="R49" s="45"/>
      <c r="S49" s="45"/>
    </row>
    <row r="50" spans="1:19" s="4" customFormat="1" ht="9" customHeight="1">
      <c r="B50" s="8"/>
      <c r="C50" s="167"/>
      <c r="D50" s="6"/>
      <c r="E50" s="105"/>
      <c r="F50" s="6"/>
      <c r="G50" s="168"/>
      <c r="H50" s="6"/>
      <c r="I50" s="6"/>
      <c r="J50" s="6"/>
      <c r="K50" s="6"/>
      <c r="L50" s="6"/>
      <c r="M50" s="6"/>
      <c r="N50" s="6"/>
      <c r="O50" s="108"/>
      <c r="P50" s="114"/>
      <c r="Q50" s="114"/>
      <c r="R50" s="3"/>
      <c r="S50" s="109"/>
    </row>
    <row r="51" spans="1:19" s="4" customFormat="1" ht="15.6">
      <c r="A51" s="189" t="str">
        <f>ID!A92</f>
        <v>V.</v>
      </c>
      <c r="B51" s="47" t="str">
        <f>ID!B92</f>
        <v>Alat Ukur yang digunakan</v>
      </c>
      <c r="D51" s="8"/>
      <c r="E51" s="205"/>
      <c r="F51" s="105"/>
      <c r="G51" s="7"/>
      <c r="H51" s="6"/>
      <c r="I51" s="6"/>
      <c r="J51" s="6"/>
      <c r="K51" s="6"/>
      <c r="L51" s="6"/>
      <c r="M51" s="29"/>
      <c r="N51" s="6"/>
      <c r="P51" s="62"/>
      <c r="Q51" s="62"/>
    </row>
    <row r="52" spans="1:19" s="4" customFormat="1" ht="15.75" customHeight="1">
      <c r="B52" s="631" t="str">
        <f>'Lembar Penyelia'!B52</f>
        <v>Climatic Chamber, Merek : Kambic, Model : KK-190, SN : 21026844</v>
      </c>
      <c r="D52" s="6"/>
      <c r="E52" s="105"/>
      <c r="F52" s="105"/>
      <c r="G52" s="7"/>
      <c r="H52" s="6"/>
      <c r="I52" s="6"/>
      <c r="J52" s="6"/>
      <c r="K52" s="6"/>
      <c r="L52" s="6"/>
      <c r="M52" s="29"/>
      <c r="N52" s="6"/>
      <c r="P52" s="62"/>
      <c r="Q52" s="62"/>
    </row>
    <row r="53" spans="1:19" s="4" customFormat="1" ht="15.75" customHeight="1">
      <c r="B53" s="631" t="str">
        <f>'Lembar Penyelia'!B53</f>
        <v>Thermocouple Data Logger, Merek : MADGETECH, Model : OctTemp 2000, SN : P41878</v>
      </c>
      <c r="D53" s="6"/>
      <c r="E53" s="105"/>
      <c r="F53" s="105"/>
      <c r="G53" s="7"/>
      <c r="H53" s="6"/>
      <c r="I53" s="6"/>
      <c r="J53" s="6"/>
      <c r="K53" s="6"/>
      <c r="L53" s="6"/>
      <c r="M53" s="29"/>
      <c r="N53" s="6"/>
      <c r="P53" s="62"/>
      <c r="Q53" s="62"/>
    </row>
    <row r="54" spans="1:19" s="4" customFormat="1">
      <c r="B54" s="631" t="str">
        <f>'Lembar Penyelia'!B54</f>
        <v>Thermohygrometer Reference, Merek : Rotronic, Model : HC2A - SH Hygro Clip 2, SN : 72064154</v>
      </c>
      <c r="D54" s="6"/>
      <c r="E54" s="105"/>
      <c r="F54" s="105"/>
      <c r="G54" s="7"/>
      <c r="H54" s="6"/>
      <c r="I54" s="6"/>
      <c r="J54" s="6"/>
      <c r="K54" s="6"/>
      <c r="L54" s="6"/>
      <c r="M54" s="29"/>
      <c r="N54" s="6"/>
      <c r="P54" s="62"/>
      <c r="Q54" s="62"/>
    </row>
    <row r="55" spans="1:19" s="4" customFormat="1" ht="15.6" hidden="1" customHeight="1">
      <c r="B55" s="46" t="str">
        <f>ID!B98</f>
        <v>Thermohygrolight, Merek : EXTECH, Model : SD700, SN : A.100609</v>
      </c>
      <c r="D55" s="46"/>
      <c r="E55" s="206"/>
      <c r="F55" s="105"/>
      <c r="G55" s="7"/>
      <c r="H55" s="6"/>
      <c r="I55" s="6"/>
      <c r="J55" s="6"/>
      <c r="K55" s="6"/>
      <c r="L55" s="6"/>
      <c r="M55" s="29"/>
      <c r="N55" s="6"/>
      <c r="P55" s="62"/>
      <c r="Q55" s="111"/>
    </row>
    <row r="56" spans="1:19" s="4" customFormat="1" ht="9" customHeight="1">
      <c r="B56" s="8"/>
      <c r="C56" s="47"/>
      <c r="D56" s="6"/>
      <c r="E56" s="105"/>
      <c r="F56" s="105"/>
      <c r="G56" s="7"/>
      <c r="H56" s="6"/>
      <c r="I56" s="6"/>
      <c r="J56" s="6"/>
      <c r="K56" s="6"/>
      <c r="L56" s="6"/>
      <c r="M56" s="29"/>
      <c r="N56" s="6"/>
      <c r="P56" s="115"/>
      <c r="Q56" s="119"/>
    </row>
    <row r="57" spans="1:19" s="4" customFormat="1" ht="9" customHeight="1">
      <c r="B57" s="6"/>
      <c r="C57" s="163"/>
      <c r="D57" s="163"/>
      <c r="E57" s="207"/>
      <c r="F57" s="163"/>
      <c r="G57" s="163"/>
      <c r="H57" s="163"/>
      <c r="I57" s="163"/>
      <c r="J57" s="163"/>
      <c r="K57" s="163"/>
      <c r="L57" s="163"/>
      <c r="M57" s="163"/>
      <c r="N57" s="163"/>
      <c r="P57" s="115"/>
      <c r="Q57" s="115"/>
    </row>
    <row r="58" spans="1:19" s="4" customFormat="1" ht="17.25" customHeight="1">
      <c r="A58" s="8" t="str">
        <f>ID!A100</f>
        <v>VI.</v>
      </c>
      <c r="B58" s="784" t="s">
        <v>63</v>
      </c>
      <c r="C58" s="784"/>
      <c r="D58" s="784"/>
      <c r="E58" s="208"/>
      <c r="F58" s="163"/>
      <c r="G58" s="163"/>
      <c r="H58" s="163"/>
      <c r="I58" s="163"/>
      <c r="J58" s="163"/>
      <c r="K58" s="163"/>
      <c r="L58" s="163"/>
      <c r="M58" s="163"/>
      <c r="N58" s="163"/>
      <c r="P58" s="115"/>
      <c r="Q58" s="115"/>
    </row>
    <row r="59" spans="1:19" s="4" customFormat="1" ht="18" customHeight="1">
      <c r="B59" s="717" t="str">
        <f>ID!B101</f>
        <v>Muhammad Zaenuri Sugiasmoro</v>
      </c>
      <c r="C59" s="717"/>
      <c r="D59" s="717"/>
      <c r="E59" s="717"/>
      <c r="F59" s="717"/>
      <c r="G59" s="717"/>
      <c r="H59" s="717"/>
      <c r="I59" s="163"/>
      <c r="J59" s="163"/>
      <c r="K59" s="163"/>
      <c r="L59" s="163"/>
      <c r="M59" s="163"/>
      <c r="N59" s="163"/>
      <c r="P59" s="115"/>
      <c r="Q59" s="115"/>
    </row>
    <row r="60" spans="1:19" s="4" customFormat="1" ht="20.25" customHeight="1">
      <c r="B60" s="6"/>
      <c r="C60" s="163"/>
      <c r="D60" s="163"/>
      <c r="E60" s="207"/>
      <c r="F60" s="163"/>
      <c r="G60" s="163"/>
      <c r="H60" s="163"/>
      <c r="I60" s="163"/>
      <c r="J60" s="163"/>
      <c r="K60" s="163"/>
      <c r="L60" s="163"/>
      <c r="M60" s="163"/>
      <c r="N60" s="163"/>
      <c r="P60" s="115"/>
      <c r="Q60" s="115"/>
    </row>
    <row r="61" spans="1:19" s="4" customFormat="1" ht="20.25" customHeight="1">
      <c r="B61" s="6"/>
      <c r="C61" s="163"/>
      <c r="D61" s="163"/>
      <c r="E61" s="207"/>
      <c r="F61" s="163"/>
      <c r="G61" s="163"/>
      <c r="H61" s="163"/>
      <c r="I61" s="163"/>
      <c r="J61" s="163"/>
      <c r="K61" s="163"/>
      <c r="L61" s="163"/>
      <c r="M61" s="163"/>
      <c r="N61" s="163"/>
      <c r="P61" s="115"/>
      <c r="Q61" s="115"/>
    </row>
    <row r="62" spans="1:19" s="4" customFormat="1" ht="17.25" customHeight="1">
      <c r="B62" s="6"/>
      <c r="C62" s="163"/>
      <c r="D62" s="163"/>
      <c r="E62" s="207"/>
      <c r="F62" s="163"/>
      <c r="G62" s="163"/>
      <c r="H62" s="163"/>
      <c r="I62" s="6" t="s">
        <v>196</v>
      </c>
      <c r="J62" s="163"/>
      <c r="K62" s="163"/>
      <c r="L62" s="163"/>
      <c r="M62" s="163"/>
      <c r="N62" s="163"/>
      <c r="P62" s="115"/>
      <c r="Q62" s="115"/>
    </row>
    <row r="63" spans="1:19" s="4" customFormat="1" ht="18" customHeight="1">
      <c r="B63" s="6"/>
      <c r="C63" s="163"/>
      <c r="D63" s="163"/>
      <c r="E63" s="207"/>
      <c r="F63" s="163"/>
      <c r="G63" s="163"/>
      <c r="H63" s="163"/>
      <c r="I63" s="6" t="s">
        <v>197</v>
      </c>
      <c r="J63" s="2"/>
      <c r="K63" s="2"/>
      <c r="L63" s="190"/>
      <c r="M63" s="2"/>
      <c r="N63" s="163"/>
      <c r="P63" s="115"/>
      <c r="Q63" s="115"/>
    </row>
    <row r="64" spans="1:19" s="4" customFormat="1" ht="18.75" customHeight="1">
      <c r="B64" s="6"/>
      <c r="C64" s="163"/>
      <c r="D64" s="163"/>
      <c r="E64" s="207"/>
      <c r="F64" s="163"/>
      <c r="G64" s="163"/>
      <c r="H64" s="163"/>
      <c r="I64" s="6" t="s">
        <v>198</v>
      </c>
      <c r="J64" s="2"/>
      <c r="K64" s="2"/>
      <c r="L64" s="190"/>
      <c r="M64" s="2"/>
      <c r="N64" s="163"/>
      <c r="P64" s="115"/>
      <c r="Q64" s="115"/>
    </row>
    <row r="65" spans="1:260" s="4" customFormat="1" ht="20.25" customHeight="1">
      <c r="B65" s="6"/>
      <c r="C65" s="50"/>
      <c r="D65" s="50"/>
      <c r="E65" s="209"/>
      <c r="F65" s="50"/>
      <c r="G65" s="50"/>
      <c r="H65" s="50"/>
      <c r="J65" s="2"/>
      <c r="K65" s="2"/>
      <c r="L65" s="190"/>
      <c r="M65" s="2"/>
      <c r="N65" s="6"/>
      <c r="P65" s="115"/>
      <c r="Q65" s="115"/>
    </row>
    <row r="66" spans="1:260" s="4" customFormat="1" ht="15" hidden="1" customHeight="1">
      <c r="A66" s="51"/>
      <c r="B66" s="52"/>
      <c r="C66" s="52"/>
      <c r="D66" s="2"/>
      <c r="E66" s="210"/>
      <c r="F66" s="2"/>
      <c r="G66" s="2"/>
      <c r="H66" s="2"/>
      <c r="I66" s="6"/>
      <c r="J66" s="191"/>
      <c r="K66" s="191"/>
      <c r="L66" s="192"/>
      <c r="M66" s="2"/>
      <c r="N66" s="6"/>
      <c r="P66" s="62"/>
      <c r="Q66" s="62"/>
    </row>
    <row r="67" spans="1:260" s="4" customFormat="1" ht="15" hidden="1" customHeight="1">
      <c r="A67" s="51"/>
      <c r="B67" s="52"/>
      <c r="C67" s="52"/>
      <c r="D67" s="6"/>
      <c r="E67" s="105"/>
      <c r="F67" s="6"/>
      <c r="G67" s="6"/>
      <c r="H67" s="6"/>
      <c r="I67" s="6"/>
      <c r="J67" s="190"/>
      <c r="K67" s="190"/>
      <c r="L67" s="192"/>
      <c r="M67" s="2"/>
      <c r="N67" s="6"/>
      <c r="O67" s="110"/>
      <c r="P67" s="62"/>
      <c r="Q67" s="62"/>
    </row>
    <row r="68" spans="1:260" s="4" customFormat="1" ht="15" customHeight="1">
      <c r="A68" s="51"/>
      <c r="B68" s="52"/>
      <c r="C68" s="52"/>
      <c r="D68" s="6"/>
      <c r="E68" s="105"/>
      <c r="F68" s="6"/>
      <c r="G68" s="6"/>
      <c r="H68" s="6"/>
      <c r="I68" s="6"/>
      <c r="J68" s="190"/>
      <c r="K68" s="190"/>
      <c r="L68" s="192"/>
      <c r="M68" s="2"/>
      <c r="N68" s="6"/>
      <c r="O68" s="110"/>
      <c r="P68" s="62"/>
      <c r="Q68" s="62"/>
    </row>
    <row r="69" spans="1:260" s="4" customFormat="1">
      <c r="A69" s="51"/>
      <c r="B69" s="52"/>
      <c r="C69" s="52"/>
      <c r="D69" s="6"/>
      <c r="E69" s="105"/>
      <c r="F69" s="6"/>
      <c r="G69" s="6"/>
      <c r="H69" s="6"/>
      <c r="I69" s="6"/>
      <c r="J69" s="190"/>
      <c r="K69" s="190"/>
      <c r="L69" s="192"/>
      <c r="M69" s="2"/>
      <c r="N69" s="6"/>
      <c r="P69" s="116"/>
      <c r="Q69" s="62"/>
    </row>
    <row r="70" spans="1:260" s="4" customFormat="1">
      <c r="A70" s="51"/>
      <c r="B70" s="52"/>
      <c r="C70" s="52"/>
      <c r="D70" s="6"/>
      <c r="E70" s="105"/>
      <c r="F70" s="6"/>
      <c r="G70" s="6"/>
      <c r="H70" s="6"/>
      <c r="I70" s="6"/>
      <c r="J70" s="190"/>
      <c r="K70" s="190"/>
      <c r="L70" s="192"/>
      <c r="M70" s="2"/>
      <c r="N70" s="6"/>
      <c r="P70" s="116"/>
      <c r="Q70" s="62"/>
    </row>
    <row r="71" spans="1:260" s="4" customFormat="1">
      <c r="A71" s="51"/>
      <c r="B71" s="52"/>
      <c r="C71" s="782"/>
      <c r="D71" s="782"/>
      <c r="E71" s="782"/>
      <c r="F71" s="782"/>
      <c r="G71" s="782"/>
      <c r="H71" s="782"/>
      <c r="I71" s="6"/>
      <c r="J71" s="193"/>
      <c r="K71" s="193"/>
      <c r="L71" s="2"/>
      <c r="M71" s="2"/>
      <c r="N71" s="6"/>
      <c r="P71" s="62"/>
      <c r="Q71" s="115"/>
    </row>
    <row r="72" spans="1:260" s="4" customFormat="1" ht="15.6">
      <c r="A72" s="51"/>
      <c r="B72" s="52"/>
      <c r="C72" s="52"/>
      <c r="D72" s="52"/>
      <c r="E72" s="198"/>
      <c r="F72" s="52"/>
      <c r="G72" s="781"/>
      <c r="H72" s="782"/>
      <c r="I72" s="352" t="s">
        <v>199</v>
      </c>
      <c r="J72" s="2"/>
      <c r="K72" s="2"/>
      <c r="L72" s="2"/>
      <c r="M72" s="2"/>
      <c r="N72" s="6"/>
      <c r="P72" s="62"/>
      <c r="Q72" s="115"/>
    </row>
    <row r="73" spans="1:260" s="4" customFormat="1">
      <c r="A73" s="51"/>
      <c r="B73" s="52"/>
      <c r="C73" s="783"/>
      <c r="D73" s="783"/>
      <c r="E73" s="783"/>
      <c r="F73" s="783"/>
      <c r="G73" s="782"/>
      <c r="H73" s="782"/>
      <c r="I73" s="353" t="s">
        <v>200</v>
      </c>
      <c r="J73" s="2"/>
      <c r="K73" s="2"/>
      <c r="L73" s="2"/>
      <c r="M73" s="2"/>
      <c r="N73" s="6"/>
      <c r="P73" s="117"/>
      <c r="Q73" s="117"/>
    </row>
    <row r="74" spans="1:260" s="4" customFormat="1">
      <c r="A74" s="51"/>
      <c r="B74" s="52"/>
      <c r="C74" s="354"/>
      <c r="D74" s="354"/>
      <c r="E74" s="354"/>
      <c r="F74" s="354"/>
      <c r="G74" s="198"/>
      <c r="H74" s="198"/>
      <c r="I74" s="353"/>
      <c r="J74" s="2"/>
      <c r="K74" s="2"/>
      <c r="L74" s="2"/>
      <c r="M74" s="2"/>
      <c r="N74" s="6"/>
      <c r="P74" s="117"/>
      <c r="Q74" s="117"/>
    </row>
    <row r="75" spans="1:260" s="4" customFormat="1">
      <c r="A75" s="51"/>
      <c r="B75" s="52"/>
      <c r="C75" s="354"/>
      <c r="D75" s="354"/>
      <c r="E75" s="354"/>
      <c r="F75" s="354"/>
      <c r="G75" s="198"/>
      <c r="H75" s="198"/>
      <c r="I75" s="353"/>
      <c r="J75" s="2"/>
      <c r="K75" s="2"/>
      <c r="L75" s="2"/>
      <c r="M75" s="2"/>
      <c r="N75" s="6"/>
      <c r="P75" s="117"/>
      <c r="Q75" s="117"/>
    </row>
    <row r="76" spans="1:260" s="4" customFormat="1">
      <c r="A76" s="51"/>
      <c r="B76" s="52"/>
      <c r="C76" s="354"/>
      <c r="D76" s="354"/>
      <c r="E76" s="354"/>
      <c r="F76" s="354"/>
      <c r="G76" s="198"/>
      <c r="H76" s="198"/>
      <c r="I76" s="353"/>
      <c r="J76" s="2"/>
      <c r="K76" s="2"/>
      <c r="L76" s="2"/>
      <c r="M76" s="2"/>
      <c r="N76" s="6"/>
      <c r="P76" s="117"/>
      <c r="Q76" s="117"/>
    </row>
    <row r="77" spans="1:260" s="62" customFormat="1">
      <c r="A77" s="51"/>
      <c r="B77" s="52"/>
      <c r="C77" s="52"/>
      <c r="D77" s="57"/>
      <c r="E77" s="211"/>
      <c r="F77" s="57"/>
      <c r="G77" s="57"/>
      <c r="H77" s="57"/>
      <c r="I77" s="2"/>
      <c r="J77" s="2"/>
      <c r="K77" s="2"/>
      <c r="L77" s="2"/>
      <c r="M77" s="2"/>
      <c r="N77" s="4"/>
      <c r="O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  <c r="BN77" s="4"/>
      <c r="BO77" s="4"/>
      <c r="BP77" s="4"/>
      <c r="BQ77" s="4"/>
      <c r="BR77" s="4"/>
      <c r="BS77" s="4"/>
      <c r="BT77" s="4"/>
      <c r="BU77" s="4"/>
      <c r="BV77" s="4"/>
      <c r="BW77" s="4"/>
      <c r="BX77" s="4"/>
      <c r="BY77" s="4"/>
      <c r="BZ77" s="4"/>
      <c r="CA77" s="4"/>
      <c r="CB77" s="4"/>
      <c r="CC77" s="4"/>
      <c r="CD77" s="4"/>
      <c r="CE77" s="4"/>
      <c r="CF77" s="4"/>
      <c r="CG77" s="4"/>
      <c r="CH77" s="4"/>
      <c r="CI77" s="4"/>
      <c r="CJ77" s="4"/>
      <c r="CK77" s="4"/>
      <c r="CL77" s="4"/>
      <c r="CM77" s="4"/>
      <c r="CN77" s="4"/>
      <c r="CO77" s="4"/>
      <c r="CP77" s="4"/>
      <c r="CQ77" s="4"/>
      <c r="CR77" s="4"/>
      <c r="CS77" s="4"/>
      <c r="CT77" s="4"/>
      <c r="CU77" s="4"/>
      <c r="CV77" s="4"/>
      <c r="CW77" s="4"/>
      <c r="CX77" s="4"/>
      <c r="CY77" s="4"/>
      <c r="CZ77" s="4"/>
      <c r="DA77" s="4"/>
      <c r="DB77" s="4"/>
      <c r="DC77" s="4"/>
      <c r="DD77" s="4"/>
      <c r="DE77" s="4"/>
      <c r="DF77" s="4"/>
      <c r="DG77" s="4"/>
      <c r="DH77" s="4"/>
      <c r="DI77" s="4"/>
      <c r="DJ77" s="4"/>
      <c r="DK77" s="4"/>
      <c r="DL77" s="4"/>
      <c r="DM77" s="4"/>
      <c r="DN77" s="4"/>
      <c r="DO77" s="4"/>
      <c r="DP77" s="4"/>
      <c r="DQ77" s="4"/>
      <c r="DR77" s="4"/>
      <c r="DS77" s="4"/>
      <c r="DT77" s="4"/>
      <c r="DU77" s="4"/>
      <c r="DV77" s="4"/>
      <c r="DW77" s="4"/>
      <c r="DX77" s="4"/>
      <c r="DY77" s="4"/>
      <c r="DZ77" s="4"/>
      <c r="EA77" s="4"/>
      <c r="EB77" s="4"/>
      <c r="EC77" s="4"/>
      <c r="ED77" s="4"/>
      <c r="EE77" s="4"/>
      <c r="EF77" s="4"/>
      <c r="EG77" s="4"/>
      <c r="EH77" s="4"/>
      <c r="EI77" s="4"/>
      <c r="EJ77" s="4"/>
      <c r="EK77" s="4"/>
      <c r="EL77" s="4"/>
      <c r="EM77" s="4"/>
      <c r="EN77" s="4"/>
      <c r="EO77" s="4"/>
      <c r="EP77" s="4"/>
      <c r="EQ77" s="4"/>
      <c r="ER77" s="4"/>
      <c r="ES77" s="4"/>
      <c r="ET77" s="4"/>
      <c r="EU77" s="4"/>
      <c r="EV77" s="4"/>
      <c r="EW77" s="4"/>
      <c r="EX77" s="4"/>
      <c r="EY77" s="4"/>
      <c r="EZ77" s="4"/>
      <c r="FA77" s="4"/>
      <c r="FB77" s="4"/>
      <c r="FC77" s="4"/>
      <c r="FD77" s="4"/>
      <c r="FE77" s="4"/>
      <c r="FF77" s="4"/>
      <c r="FG77" s="4"/>
      <c r="FH77" s="4"/>
      <c r="FI77" s="4"/>
      <c r="FJ77" s="4"/>
      <c r="FK77" s="4"/>
      <c r="FL77" s="4"/>
      <c r="FM77" s="4"/>
      <c r="FN77" s="4"/>
      <c r="FO77" s="4"/>
      <c r="FP77" s="4"/>
      <c r="FQ77" s="4"/>
      <c r="FR77" s="4"/>
      <c r="FS77" s="4"/>
      <c r="FT77" s="4"/>
      <c r="FU77" s="4"/>
      <c r="FV77" s="4"/>
      <c r="FW77" s="4"/>
      <c r="FX77" s="4"/>
      <c r="FY77" s="4"/>
      <c r="FZ77" s="4"/>
      <c r="GA77" s="4"/>
      <c r="GB77" s="4"/>
      <c r="GC77" s="4"/>
      <c r="GD77" s="4"/>
      <c r="GE77" s="4"/>
      <c r="GF77" s="4"/>
      <c r="GG77" s="4"/>
      <c r="GH77" s="4"/>
      <c r="GI77" s="4"/>
      <c r="GJ77" s="4"/>
      <c r="GK77" s="4"/>
      <c r="GL77" s="4"/>
      <c r="GM77" s="4"/>
      <c r="GN77" s="4"/>
      <c r="GO77" s="4"/>
      <c r="GP77" s="4"/>
      <c r="GQ77" s="4"/>
      <c r="GR77" s="4"/>
      <c r="GS77" s="4"/>
      <c r="GT77" s="4"/>
      <c r="GU77" s="4"/>
      <c r="GV77" s="4"/>
      <c r="GW77" s="4"/>
      <c r="GX77" s="4"/>
      <c r="GY77" s="4"/>
      <c r="GZ77" s="4"/>
      <c r="HA77" s="4"/>
      <c r="HB77" s="4"/>
      <c r="HC77" s="4"/>
      <c r="HD77" s="4"/>
      <c r="HE77" s="4"/>
      <c r="HF77" s="4"/>
      <c r="HG77" s="4"/>
      <c r="HH77" s="4"/>
      <c r="HI77" s="4"/>
      <c r="HJ77" s="4"/>
      <c r="HK77" s="4"/>
      <c r="HL77" s="4"/>
      <c r="HM77" s="4"/>
      <c r="HN77" s="4"/>
      <c r="HO77" s="4"/>
      <c r="HP77" s="4"/>
      <c r="HQ77" s="4"/>
      <c r="HR77" s="4"/>
      <c r="HS77" s="4"/>
      <c r="HT77" s="4"/>
      <c r="HU77" s="4"/>
      <c r="HV77" s="4"/>
      <c r="HW77" s="4"/>
      <c r="HX77" s="4"/>
      <c r="HY77" s="4"/>
      <c r="HZ77" s="4"/>
      <c r="IA77" s="4"/>
      <c r="IB77" s="4"/>
      <c r="IC77" s="4"/>
      <c r="ID77" s="4"/>
      <c r="IE77" s="4"/>
      <c r="IF77" s="4"/>
      <c r="IG77" s="4"/>
      <c r="IH77" s="4"/>
      <c r="II77" s="4"/>
      <c r="IJ77" s="4"/>
      <c r="IK77" s="4"/>
      <c r="IL77" s="4"/>
      <c r="IM77" s="4"/>
      <c r="IN77" s="4"/>
      <c r="IO77" s="4"/>
      <c r="IP77" s="4"/>
      <c r="IQ77" s="4"/>
      <c r="IR77" s="4"/>
      <c r="IS77" s="4"/>
      <c r="IT77" s="4"/>
      <c r="IU77" s="4"/>
      <c r="IV77" s="4"/>
      <c r="IW77" s="4"/>
      <c r="IX77" s="4"/>
      <c r="IY77" s="4"/>
      <c r="IZ77" s="4"/>
    </row>
    <row r="78" spans="1:260" s="62" customFormat="1" hidden="1">
      <c r="A78" s="51"/>
      <c r="B78" s="52"/>
      <c r="C78" s="52"/>
      <c r="D78" s="57"/>
      <c r="E78" s="211"/>
      <c r="F78" s="57"/>
      <c r="G78" s="57"/>
      <c r="H78" s="57"/>
      <c r="I78" s="2"/>
      <c r="J78" s="2"/>
      <c r="K78" s="2"/>
      <c r="L78" s="2"/>
      <c r="M78" s="2"/>
      <c r="N78" s="4"/>
      <c r="O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/>
      <c r="BM78" s="4"/>
      <c r="BN78" s="4"/>
      <c r="BO78" s="4"/>
      <c r="BP78" s="4"/>
      <c r="BQ78" s="4"/>
      <c r="BR78" s="4"/>
      <c r="BS78" s="4"/>
      <c r="BT78" s="4"/>
      <c r="BU78" s="4"/>
      <c r="BV78" s="4"/>
      <c r="BW78" s="4"/>
      <c r="BX78" s="4"/>
      <c r="BY78" s="4"/>
      <c r="BZ78" s="4"/>
      <c r="CA78" s="4"/>
      <c r="CB78" s="4"/>
      <c r="CC78" s="4"/>
      <c r="CD78" s="4"/>
      <c r="CE78" s="4"/>
      <c r="CF78" s="4"/>
      <c r="CG78" s="4"/>
      <c r="CH78" s="4"/>
      <c r="CI78" s="4"/>
      <c r="CJ78" s="4"/>
      <c r="CK78" s="4"/>
      <c r="CL78" s="4"/>
      <c r="CM78" s="4"/>
      <c r="CN78" s="4"/>
      <c r="CO78" s="4"/>
      <c r="CP78" s="4"/>
      <c r="CQ78" s="4"/>
      <c r="CR78" s="4"/>
      <c r="CS78" s="4"/>
      <c r="CT78" s="4"/>
      <c r="CU78" s="4"/>
      <c r="CV78" s="4"/>
      <c r="CW78" s="4"/>
      <c r="CX78" s="4"/>
      <c r="CY78" s="4"/>
      <c r="CZ78" s="4"/>
      <c r="DA78" s="4"/>
      <c r="DB78" s="4"/>
      <c r="DC78" s="4"/>
      <c r="DD78" s="4"/>
      <c r="DE78" s="4"/>
      <c r="DF78" s="4"/>
      <c r="DG78" s="4"/>
      <c r="DH78" s="4"/>
      <c r="DI78" s="4"/>
      <c r="DJ78" s="4"/>
      <c r="DK78" s="4"/>
      <c r="DL78" s="4"/>
      <c r="DM78" s="4"/>
      <c r="DN78" s="4"/>
      <c r="DO78" s="4"/>
      <c r="DP78" s="4"/>
      <c r="DQ78" s="4"/>
      <c r="DR78" s="4"/>
      <c r="DS78" s="4"/>
      <c r="DT78" s="4"/>
      <c r="DU78" s="4"/>
      <c r="DV78" s="4"/>
      <c r="DW78" s="4"/>
      <c r="DX78" s="4"/>
      <c r="DY78" s="4"/>
      <c r="DZ78" s="4"/>
      <c r="EA78" s="4"/>
      <c r="EB78" s="4"/>
      <c r="EC78" s="4"/>
      <c r="ED78" s="4"/>
      <c r="EE78" s="4"/>
      <c r="EF78" s="4"/>
      <c r="EG78" s="4"/>
      <c r="EH78" s="4"/>
      <c r="EI78" s="4"/>
      <c r="EJ78" s="4"/>
      <c r="EK78" s="4"/>
      <c r="EL78" s="4"/>
      <c r="EM78" s="4"/>
      <c r="EN78" s="4"/>
      <c r="EO78" s="4"/>
      <c r="EP78" s="4"/>
      <c r="EQ78" s="4"/>
      <c r="ER78" s="4"/>
      <c r="ES78" s="4"/>
      <c r="ET78" s="4"/>
      <c r="EU78" s="4"/>
      <c r="EV78" s="4"/>
      <c r="EW78" s="4"/>
      <c r="EX78" s="4"/>
      <c r="EY78" s="4"/>
      <c r="EZ78" s="4"/>
      <c r="FA78" s="4"/>
      <c r="FB78" s="4"/>
      <c r="FC78" s="4"/>
      <c r="FD78" s="4"/>
      <c r="FE78" s="4"/>
      <c r="FF78" s="4"/>
      <c r="FG78" s="4"/>
      <c r="FH78" s="4"/>
      <c r="FI78" s="4"/>
      <c r="FJ78" s="4"/>
      <c r="FK78" s="4"/>
      <c r="FL78" s="4"/>
      <c r="FM78" s="4"/>
      <c r="FN78" s="4"/>
      <c r="FO78" s="4"/>
      <c r="FP78" s="4"/>
      <c r="FQ78" s="4"/>
      <c r="FR78" s="4"/>
      <c r="FS78" s="4"/>
      <c r="FT78" s="4"/>
      <c r="FU78" s="4"/>
      <c r="FV78" s="4"/>
      <c r="FW78" s="4"/>
      <c r="FX78" s="4"/>
      <c r="FY78" s="4"/>
      <c r="FZ78" s="4"/>
      <c r="GA78" s="4"/>
      <c r="GB78" s="4"/>
      <c r="GC78" s="4"/>
      <c r="GD78" s="4"/>
      <c r="GE78" s="4"/>
      <c r="GF78" s="4"/>
      <c r="GG78" s="4"/>
      <c r="GH78" s="4"/>
      <c r="GI78" s="4"/>
      <c r="GJ78" s="4"/>
      <c r="GK78" s="4"/>
      <c r="GL78" s="4"/>
      <c r="GM78" s="4"/>
      <c r="GN78" s="4"/>
      <c r="GO78" s="4"/>
      <c r="GP78" s="4"/>
      <c r="GQ78" s="4"/>
      <c r="GR78" s="4"/>
      <c r="GS78" s="4"/>
      <c r="GT78" s="4"/>
      <c r="GU78" s="4"/>
      <c r="GV78" s="4"/>
      <c r="GW78" s="4"/>
      <c r="GX78" s="4"/>
      <c r="GY78" s="4"/>
      <c r="GZ78" s="4"/>
      <c r="HA78" s="4"/>
      <c r="HB78" s="4"/>
      <c r="HC78" s="4"/>
      <c r="HD78" s="4"/>
      <c r="HE78" s="4"/>
      <c r="HF78" s="4"/>
      <c r="HG78" s="4"/>
      <c r="HH78" s="4"/>
      <c r="HI78" s="4"/>
      <c r="HJ78" s="4"/>
      <c r="HK78" s="4"/>
      <c r="HL78" s="4"/>
      <c r="HM78" s="4"/>
      <c r="HN78" s="4"/>
      <c r="HO78" s="4"/>
      <c r="HP78" s="4"/>
      <c r="HQ78" s="4"/>
      <c r="HR78" s="4"/>
      <c r="HS78" s="4"/>
      <c r="HT78" s="4"/>
      <c r="HU78" s="4"/>
      <c r="HV78" s="4"/>
      <c r="HW78" s="4"/>
      <c r="HX78" s="4"/>
      <c r="HY78" s="4"/>
      <c r="HZ78" s="4"/>
      <c r="IA78" s="4"/>
      <c r="IB78" s="4"/>
      <c r="IC78" s="4"/>
      <c r="ID78" s="4"/>
      <c r="IE78" s="4"/>
      <c r="IF78" s="4"/>
      <c r="IG78" s="4"/>
      <c r="IH78" s="4"/>
      <c r="II78" s="4"/>
      <c r="IJ78" s="4"/>
      <c r="IK78" s="4"/>
      <c r="IL78" s="4"/>
      <c r="IM78" s="4"/>
      <c r="IN78" s="4"/>
      <c r="IO78" s="4"/>
      <c r="IP78" s="4"/>
      <c r="IQ78" s="4"/>
      <c r="IR78" s="4"/>
      <c r="IS78" s="4"/>
      <c r="IT78" s="4"/>
      <c r="IU78" s="4"/>
      <c r="IV78" s="4"/>
      <c r="IW78" s="4"/>
      <c r="IX78" s="4"/>
      <c r="IY78" s="4"/>
      <c r="IZ78" s="4"/>
    </row>
    <row r="79" spans="1:260" s="62" customFormat="1">
      <c r="A79" s="51"/>
      <c r="B79" s="52"/>
      <c r="C79" s="52"/>
      <c r="D79" s="58"/>
      <c r="E79" s="212"/>
      <c r="F79" s="58"/>
      <c r="G79" s="57"/>
      <c r="H79" s="57"/>
      <c r="I79" s="2"/>
      <c r="J79" s="2"/>
      <c r="K79" s="2"/>
      <c r="L79" s="2"/>
      <c r="N79" s="4"/>
      <c r="O79" s="4"/>
      <c r="P79" s="118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  <c r="BN79" s="4"/>
      <c r="BO79" s="4"/>
      <c r="BP79" s="4"/>
      <c r="BQ79" s="4"/>
      <c r="BR79" s="4"/>
      <c r="BS79" s="4"/>
      <c r="BT79" s="4"/>
      <c r="BU79" s="4"/>
      <c r="BV79" s="4"/>
      <c r="BW79" s="4"/>
      <c r="BX79" s="4"/>
      <c r="BY79" s="4"/>
      <c r="BZ79" s="4"/>
      <c r="CA79" s="4"/>
      <c r="CB79" s="4"/>
      <c r="CC79" s="4"/>
      <c r="CD79" s="4"/>
      <c r="CE79" s="4"/>
      <c r="CF79" s="4"/>
      <c r="CG79" s="4"/>
      <c r="CH79" s="4"/>
      <c r="CI79" s="4"/>
      <c r="CJ79" s="4"/>
      <c r="CK79" s="4"/>
      <c r="CL79" s="4"/>
      <c r="CM79" s="4"/>
      <c r="CN79" s="4"/>
      <c r="CO79" s="4"/>
      <c r="CP79" s="4"/>
      <c r="CQ79" s="4"/>
      <c r="CR79" s="4"/>
      <c r="CS79" s="4"/>
      <c r="CT79" s="4"/>
      <c r="CU79" s="4"/>
      <c r="CV79" s="4"/>
      <c r="CW79" s="4"/>
      <c r="CX79" s="4"/>
      <c r="CY79" s="4"/>
      <c r="CZ79" s="4"/>
      <c r="DA79" s="4"/>
      <c r="DB79" s="4"/>
      <c r="DC79" s="4"/>
      <c r="DD79" s="4"/>
      <c r="DE79" s="4"/>
      <c r="DF79" s="4"/>
      <c r="DG79" s="4"/>
      <c r="DH79" s="4"/>
      <c r="DI79" s="4"/>
      <c r="DJ79" s="4"/>
      <c r="DK79" s="4"/>
      <c r="DL79" s="4"/>
      <c r="DM79" s="4"/>
      <c r="DN79" s="4"/>
      <c r="DO79" s="4"/>
      <c r="DP79" s="4"/>
      <c r="DQ79" s="4"/>
      <c r="DR79" s="4"/>
      <c r="DS79" s="4"/>
      <c r="DT79" s="4"/>
      <c r="DU79" s="4"/>
      <c r="DV79" s="4"/>
      <c r="DW79" s="4"/>
      <c r="DX79" s="4"/>
      <c r="DY79" s="4"/>
      <c r="DZ79" s="4"/>
      <c r="EA79" s="4"/>
      <c r="EB79" s="4"/>
      <c r="EC79" s="4"/>
      <c r="ED79" s="4"/>
      <c r="EE79" s="4"/>
      <c r="EF79" s="4"/>
      <c r="EG79" s="4"/>
      <c r="EH79" s="4"/>
      <c r="EI79" s="4"/>
      <c r="EJ79" s="4"/>
      <c r="EK79" s="4"/>
      <c r="EL79" s="4"/>
      <c r="EM79" s="4"/>
      <c r="EN79" s="4"/>
      <c r="EO79" s="4"/>
      <c r="EP79" s="4"/>
      <c r="EQ79" s="4"/>
      <c r="ER79" s="4"/>
      <c r="ES79" s="4"/>
      <c r="ET79" s="4"/>
      <c r="EU79" s="4"/>
      <c r="EV79" s="4"/>
      <c r="EW79" s="4"/>
      <c r="EX79" s="4"/>
      <c r="EY79" s="4"/>
      <c r="EZ79" s="4"/>
      <c r="FA79" s="4"/>
      <c r="FB79" s="4"/>
      <c r="FC79" s="4"/>
      <c r="FD79" s="4"/>
      <c r="FE79" s="4"/>
      <c r="FF79" s="4"/>
      <c r="FG79" s="4"/>
      <c r="FH79" s="4"/>
      <c r="FI79" s="4"/>
      <c r="FJ79" s="4"/>
      <c r="FK79" s="4"/>
      <c r="FL79" s="4"/>
      <c r="FM79" s="4"/>
      <c r="FN79" s="4"/>
      <c r="FO79" s="4"/>
      <c r="FP79" s="4"/>
      <c r="FQ79" s="4"/>
      <c r="FR79" s="4"/>
      <c r="FS79" s="4"/>
      <c r="FT79" s="4"/>
      <c r="FU79" s="4"/>
      <c r="FV79" s="4"/>
      <c r="FW79" s="4"/>
      <c r="FX79" s="4"/>
      <c r="FY79" s="4"/>
      <c r="FZ79" s="4"/>
      <c r="GA79" s="4"/>
      <c r="GB79" s="4"/>
      <c r="GC79" s="4"/>
      <c r="GD79" s="4"/>
      <c r="GE79" s="4"/>
      <c r="GF79" s="4"/>
      <c r="GG79" s="4"/>
      <c r="GH79" s="4"/>
      <c r="GI79" s="4"/>
      <c r="GJ79" s="4"/>
      <c r="GK79" s="4"/>
      <c r="GL79" s="4"/>
      <c r="GM79" s="4"/>
      <c r="GN79" s="4"/>
      <c r="GO79" s="4"/>
      <c r="GP79" s="4"/>
      <c r="GQ79" s="4"/>
      <c r="GR79" s="4"/>
      <c r="GS79" s="4"/>
      <c r="GT79" s="4"/>
      <c r="GU79" s="4"/>
      <c r="GV79" s="4"/>
      <c r="GW79" s="4"/>
      <c r="GX79" s="4"/>
      <c r="GY79" s="4"/>
      <c r="GZ79" s="4"/>
      <c r="HA79" s="4"/>
      <c r="HB79" s="4"/>
      <c r="HC79" s="4"/>
      <c r="HD79" s="4"/>
      <c r="HE79" s="4"/>
      <c r="HF79" s="4"/>
      <c r="HG79" s="4"/>
      <c r="HH79" s="4"/>
      <c r="HI79" s="4"/>
      <c r="HJ79" s="4"/>
      <c r="HK79" s="4"/>
      <c r="HL79" s="4"/>
      <c r="HM79" s="4"/>
      <c r="HN79" s="4"/>
      <c r="HO79" s="4"/>
      <c r="HP79" s="4"/>
      <c r="HQ79" s="4"/>
      <c r="HR79" s="4"/>
      <c r="HS79" s="4"/>
      <c r="HT79" s="4"/>
      <c r="HU79" s="4"/>
      <c r="HV79" s="4"/>
      <c r="HW79" s="4"/>
      <c r="HX79" s="4"/>
      <c r="HY79" s="4"/>
      <c r="HZ79" s="4"/>
      <c r="IA79" s="4"/>
      <c r="IB79" s="4"/>
      <c r="IC79" s="4"/>
      <c r="ID79" s="4"/>
      <c r="IE79" s="4"/>
      <c r="IF79" s="4"/>
      <c r="IG79" s="4"/>
      <c r="IH79" s="4"/>
      <c r="II79" s="4"/>
      <c r="IJ79" s="4"/>
      <c r="IK79" s="4"/>
      <c r="IL79" s="4"/>
      <c r="IM79" s="4"/>
      <c r="IN79" s="4"/>
      <c r="IO79" s="4"/>
      <c r="IP79" s="4"/>
      <c r="IQ79" s="4"/>
      <c r="IR79" s="4"/>
      <c r="IS79" s="4"/>
      <c r="IT79" s="4"/>
      <c r="IU79" s="4"/>
      <c r="IV79" s="4"/>
      <c r="IW79" s="4"/>
      <c r="IX79" s="4"/>
      <c r="IY79" s="4"/>
      <c r="IZ79" s="4"/>
    </row>
    <row r="80" spans="1:260" s="62" customFormat="1">
      <c r="A80" s="51"/>
      <c r="B80" s="51"/>
      <c r="C80" s="51"/>
      <c r="D80" s="60"/>
      <c r="E80" s="213"/>
      <c r="F80" s="60"/>
      <c r="G80" s="60"/>
      <c r="H80" s="60"/>
      <c r="I80" s="2"/>
      <c r="J80" s="2"/>
      <c r="K80" s="2"/>
      <c r="L80" s="194" t="s">
        <v>201</v>
      </c>
      <c r="M80" s="2"/>
      <c r="N80" s="4"/>
      <c r="O80" s="4"/>
      <c r="P80" s="118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  <c r="BN80" s="4"/>
      <c r="BO80" s="4"/>
      <c r="BP80" s="4"/>
      <c r="BQ80" s="4"/>
      <c r="BR80" s="4"/>
      <c r="BS80" s="4"/>
      <c r="BT80" s="4"/>
      <c r="BU80" s="4"/>
      <c r="BV80" s="4"/>
      <c r="BW80" s="4"/>
      <c r="BX80" s="4"/>
      <c r="BY80" s="4"/>
      <c r="BZ80" s="4"/>
      <c r="CA80" s="4"/>
      <c r="CB80" s="4"/>
      <c r="CC80" s="4"/>
      <c r="CD80" s="4"/>
      <c r="CE80" s="4"/>
      <c r="CF80" s="4"/>
      <c r="CG80" s="4"/>
      <c r="CH80" s="4"/>
      <c r="CI80" s="4"/>
      <c r="CJ80" s="4"/>
      <c r="CK80" s="4"/>
      <c r="CL80" s="4"/>
      <c r="CM80" s="4"/>
      <c r="CN80" s="4"/>
      <c r="CO80" s="4"/>
      <c r="CP80" s="4"/>
      <c r="CQ80" s="4"/>
      <c r="CR80" s="4"/>
      <c r="CS80" s="4"/>
      <c r="CT80" s="4"/>
      <c r="CU80" s="4"/>
      <c r="CV80" s="4"/>
      <c r="CW80" s="4"/>
      <c r="CX80" s="4"/>
      <c r="CY80" s="4"/>
      <c r="CZ80" s="4"/>
      <c r="DA80" s="4"/>
      <c r="DB80" s="4"/>
      <c r="DC80" s="4"/>
      <c r="DD80" s="4"/>
      <c r="DE80" s="4"/>
      <c r="DF80" s="4"/>
      <c r="DG80" s="4"/>
      <c r="DH80" s="4"/>
      <c r="DI80" s="4"/>
      <c r="DJ80" s="4"/>
      <c r="DK80" s="4"/>
      <c r="DL80" s="4"/>
      <c r="DM80" s="4"/>
      <c r="DN80" s="4"/>
      <c r="DO80" s="4"/>
      <c r="DP80" s="4"/>
      <c r="DQ80" s="4"/>
      <c r="DR80" s="4"/>
      <c r="DS80" s="4"/>
      <c r="DT80" s="4"/>
      <c r="DU80" s="4"/>
      <c r="DV80" s="4"/>
      <c r="DW80" s="4"/>
      <c r="DX80" s="4"/>
      <c r="DY80" s="4"/>
      <c r="DZ80" s="4"/>
      <c r="EA80" s="4"/>
      <c r="EB80" s="4"/>
      <c r="EC80" s="4"/>
      <c r="ED80" s="4"/>
      <c r="EE80" s="4"/>
      <c r="EF80" s="4"/>
      <c r="EG80" s="4"/>
      <c r="EH80" s="4"/>
      <c r="EI80" s="4"/>
      <c r="EJ80" s="4"/>
      <c r="EK80" s="4"/>
      <c r="EL80" s="4"/>
      <c r="EM80" s="4"/>
      <c r="EN80" s="4"/>
      <c r="EO80" s="4"/>
      <c r="EP80" s="4"/>
      <c r="EQ80" s="4"/>
      <c r="ER80" s="4"/>
      <c r="ES80" s="4"/>
      <c r="ET80" s="4"/>
      <c r="EU80" s="4"/>
      <c r="EV80" s="4"/>
      <c r="EW80" s="4"/>
      <c r="EX80" s="4"/>
      <c r="EY80" s="4"/>
      <c r="EZ80" s="4"/>
      <c r="FA80" s="4"/>
      <c r="FB80" s="4"/>
      <c r="FC80" s="4"/>
      <c r="FD80" s="4"/>
      <c r="FE80" s="4"/>
      <c r="FF80" s="4"/>
      <c r="FG80" s="4"/>
      <c r="FH80" s="4"/>
      <c r="FI80" s="4"/>
      <c r="FJ80" s="4"/>
      <c r="FK80" s="4"/>
      <c r="FL80" s="4"/>
      <c r="FM80" s="4"/>
      <c r="FN80" s="4"/>
      <c r="FO80" s="4"/>
      <c r="FP80" s="4"/>
      <c r="FQ80" s="4"/>
      <c r="FR80" s="4"/>
      <c r="FS80" s="4"/>
      <c r="FT80" s="4"/>
      <c r="FU80" s="4"/>
      <c r="FV80" s="4"/>
      <c r="FW80" s="4"/>
      <c r="FX80" s="4"/>
      <c r="FY80" s="4"/>
      <c r="FZ80" s="4"/>
      <c r="GA80" s="4"/>
      <c r="GB80" s="4"/>
      <c r="GC80" s="4"/>
      <c r="GD80" s="4"/>
      <c r="GE80" s="4"/>
      <c r="GF80" s="4"/>
      <c r="GG80" s="4"/>
      <c r="GH80" s="4"/>
      <c r="GI80" s="4"/>
      <c r="GJ80" s="4"/>
      <c r="GK80" s="4"/>
      <c r="GL80" s="4"/>
      <c r="GM80" s="4"/>
      <c r="GN80" s="4"/>
      <c r="GO80" s="4"/>
      <c r="GP80" s="4"/>
      <c r="GQ80" s="4"/>
      <c r="GR80" s="4"/>
      <c r="GS80" s="4"/>
      <c r="GT80" s="4"/>
      <c r="GU80" s="4"/>
      <c r="GV80" s="4"/>
      <c r="GW80" s="4"/>
      <c r="GX80" s="4"/>
      <c r="GY80" s="4"/>
      <c r="GZ80" s="4"/>
      <c r="HA80" s="4"/>
      <c r="HB80" s="4"/>
      <c r="HC80" s="4"/>
      <c r="HD80" s="4"/>
      <c r="HE80" s="4"/>
      <c r="HF80" s="4"/>
      <c r="HG80" s="4"/>
      <c r="HH80" s="4"/>
      <c r="HI80" s="4"/>
      <c r="HJ80" s="4"/>
      <c r="HK80" s="4"/>
      <c r="HL80" s="4"/>
      <c r="HM80" s="4"/>
      <c r="HN80" s="4"/>
      <c r="HO80" s="4"/>
      <c r="HP80" s="4"/>
      <c r="HQ80" s="4"/>
      <c r="HR80" s="4"/>
      <c r="HS80" s="4"/>
      <c r="HT80" s="4"/>
      <c r="HU80" s="4"/>
      <c r="HV80" s="4"/>
      <c r="HW80" s="4"/>
      <c r="HX80" s="4"/>
      <c r="HY80" s="4"/>
      <c r="HZ80" s="4"/>
      <c r="IA80" s="4"/>
      <c r="IB80" s="4"/>
      <c r="IC80" s="4"/>
      <c r="ID80" s="4"/>
      <c r="IE80" s="4"/>
      <c r="IF80" s="4"/>
      <c r="IG80" s="4"/>
      <c r="IH80" s="4"/>
      <c r="II80" s="4"/>
      <c r="IJ80" s="4"/>
      <c r="IK80" s="4"/>
      <c r="IL80" s="4"/>
      <c r="IM80" s="4"/>
      <c r="IN80" s="4"/>
      <c r="IO80" s="4"/>
      <c r="IP80" s="4"/>
      <c r="IQ80" s="4"/>
      <c r="IR80" s="4"/>
      <c r="IS80" s="4"/>
      <c r="IT80" s="4"/>
      <c r="IU80" s="4"/>
      <c r="IV80" s="4"/>
      <c r="IW80" s="4"/>
      <c r="IX80" s="4"/>
      <c r="IY80" s="4"/>
      <c r="IZ80" s="4"/>
    </row>
    <row r="81" spans="9:13">
      <c r="I81" s="2"/>
      <c r="J81" s="2"/>
      <c r="K81" s="2"/>
    </row>
    <row r="82" spans="9:13">
      <c r="I82" s="2"/>
      <c r="J82" s="2"/>
      <c r="K82" s="2"/>
      <c r="L82" s="2"/>
    </row>
    <row r="83" spans="9:13">
      <c r="I83" s="2"/>
      <c r="J83" s="2"/>
      <c r="K83" s="2"/>
      <c r="L83" s="2"/>
      <c r="M83" s="2"/>
    </row>
  </sheetData>
  <sheetProtection algorithmName="SHA-512" hashValue="sadusPe6A7HADBy1rPeIFshzyx3dbqPsADvMh7MIQ9aFJwwX5EDSsufvmW/7j/dQQ0z0821AonIYBDcSyYtMnQ==" saltValue="JEqw04iGI+jLAqTWvTMYDA==" spinCount="100000" sheet="1" formatCells="0" formatColumns="0" formatRows="0" insertColumns="0" insertRows="0" deleteColumns="0" deleteRows="0"/>
  <mergeCells count="48">
    <mergeCell ref="C71:F71"/>
    <mergeCell ref="G71:H71"/>
    <mergeCell ref="G72:H72"/>
    <mergeCell ref="C73:F73"/>
    <mergeCell ref="G73:H73"/>
    <mergeCell ref="D38:E38"/>
    <mergeCell ref="V38:W38"/>
    <mergeCell ref="D39:E39"/>
    <mergeCell ref="R39:R40"/>
    <mergeCell ref="S39:S40"/>
    <mergeCell ref="D40:E40"/>
    <mergeCell ref="B59:H59"/>
    <mergeCell ref="D30:E30"/>
    <mergeCell ref="D31:E31"/>
    <mergeCell ref="D32:E32"/>
    <mergeCell ref="B35:B37"/>
    <mergeCell ref="C35:C37"/>
    <mergeCell ref="D35:F36"/>
    <mergeCell ref="D41:E41"/>
    <mergeCell ref="B47:L47"/>
    <mergeCell ref="B48:L48"/>
    <mergeCell ref="B49:L49"/>
    <mergeCell ref="B58:D58"/>
    <mergeCell ref="G35:H36"/>
    <mergeCell ref="I35:J36"/>
    <mergeCell ref="D37:E37"/>
    <mergeCell ref="K37:L37"/>
    <mergeCell ref="D29:E29"/>
    <mergeCell ref="B26:B28"/>
    <mergeCell ref="C26:C27"/>
    <mergeCell ref="D26:D27"/>
    <mergeCell ref="F26:F27"/>
    <mergeCell ref="H26:I27"/>
    <mergeCell ref="H28:I28"/>
    <mergeCell ref="G26:G27"/>
    <mergeCell ref="A1:L1"/>
    <mergeCell ref="A2:L2"/>
    <mergeCell ref="G14:N14"/>
    <mergeCell ref="J26:J27"/>
    <mergeCell ref="K26:K27"/>
    <mergeCell ref="L26:L27"/>
    <mergeCell ref="M26:M27"/>
    <mergeCell ref="N26:N27"/>
    <mergeCell ref="M37:N37"/>
    <mergeCell ref="K35:N36"/>
    <mergeCell ref="P21:P22"/>
    <mergeCell ref="Q21:Q22"/>
    <mergeCell ref="O23:P23"/>
  </mergeCells>
  <printOptions horizontalCentered="1"/>
  <pageMargins left="0.39370078740157499" right="0.23622047244094499" top="0.511811023622047" bottom="0.23622047244094499" header="0.23622047244094499" footer="0.23622047244094499"/>
  <pageSetup paperSize="9" scale="63" orientation="portrait" r:id="rId1"/>
  <headerFooter>
    <oddHeader>&amp;R&amp;"-,Regular"&amp;8SH.LHK - 049-18 / Rev : 1</oddHeader>
    <oddFooter>&amp;C&amp;8Dilarang keras mengutip/memperbanyak dan atau mempublikasikan sebagian isi sertifikat ini tanpa seijin LPFK Banjarbaru
Sertifikat ini sah apabila dibubuhi cap LPFK banjarbaru dan ditandatangani oleh pejabat yang berwenang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1918E-E675-4C52-A5BB-530EA81D8E8B}">
  <sheetPr>
    <tabColor rgb="FF00B050"/>
  </sheetPr>
  <dimension ref="A1:O58"/>
  <sheetViews>
    <sheetView zoomScaleNormal="100" zoomScaleSheetLayoutView="90" workbookViewId="0">
      <selection activeCell="D9" sqref="D9:F9"/>
    </sheetView>
  </sheetViews>
  <sheetFormatPr defaultColWidth="9.44140625" defaultRowHeight="13.2"/>
  <cols>
    <col min="1" max="1" width="18.44140625" style="537" customWidth="1"/>
    <col min="2" max="2" width="26.44140625" style="537" customWidth="1"/>
    <col min="3" max="3" width="3.44140625" style="537" customWidth="1"/>
    <col min="4" max="4" width="11.5546875" style="537" customWidth="1"/>
    <col min="5" max="5" width="9.44140625" style="537" customWidth="1"/>
    <col min="6" max="6" width="22.5546875" style="537" customWidth="1"/>
    <col min="7" max="7" width="9.44140625" style="537"/>
    <col min="8" max="8" width="18.5546875" style="537" customWidth="1"/>
    <col min="9" max="9" width="12.44140625" style="537" customWidth="1"/>
    <col min="10" max="16384" width="9.44140625" style="537"/>
  </cols>
  <sheetData>
    <row r="1" spans="1:15">
      <c r="H1" s="538" t="s">
        <v>412</v>
      </c>
      <c r="I1" s="539"/>
      <c r="J1" s="539"/>
    </row>
    <row r="2" spans="1:15" ht="30">
      <c r="A2" s="798" t="str">
        <f>B43</f>
        <v>SERTIFIKAT KALIBRASI</v>
      </c>
      <c r="B2" s="798"/>
      <c r="C2" s="798"/>
      <c r="D2" s="798"/>
      <c r="E2" s="798"/>
      <c r="F2" s="798"/>
      <c r="H2" s="540"/>
      <c r="I2" s="799"/>
      <c r="J2" s="800"/>
    </row>
    <row r="3" spans="1:15" ht="13.8">
      <c r="A3" s="801" t="str">
        <f>"Nomor : 79 /"&amp;" "&amp;[1]ID!I2</f>
        <v>Nomor : 79 / 1 / IV - 21 / E - 00.000 DL</v>
      </c>
      <c r="B3" s="801"/>
      <c r="C3" s="801"/>
      <c r="D3" s="801"/>
      <c r="E3" s="801"/>
      <c r="F3" s="801"/>
    </row>
    <row r="4" spans="1:15">
      <c r="C4" s="537" t="s">
        <v>390</v>
      </c>
      <c r="D4" s="802" t="str">
        <f>ID!E13</f>
        <v>MK 049-18</v>
      </c>
      <c r="E4" s="802"/>
      <c r="F4" s="802"/>
      <c r="H4" s="541"/>
      <c r="I4" s="541"/>
      <c r="J4" s="541"/>
    </row>
    <row r="5" spans="1:15" ht="14.4">
      <c r="H5" s="803"/>
      <c r="I5" s="803"/>
      <c r="J5" s="803"/>
    </row>
    <row r="6" spans="1:15" ht="13.8">
      <c r="A6" s="542" t="s">
        <v>391</v>
      </c>
      <c r="B6" s="543" t="s">
        <v>409</v>
      </c>
      <c r="C6" s="544"/>
      <c r="D6" s="796" t="s">
        <v>392</v>
      </c>
      <c r="E6" s="797"/>
      <c r="F6" s="545" t="str">
        <f>MID(A3,SEARCH("E - ",A3),LEN(A3))</f>
        <v>E - 00.000 DL</v>
      </c>
    </row>
    <row r="7" spans="1:15" ht="13.8">
      <c r="A7" s="546"/>
      <c r="B7" s="546"/>
      <c r="C7" s="546"/>
    </row>
    <row r="8" spans="1:15" ht="13.8">
      <c r="A8" s="805" t="s">
        <v>2</v>
      </c>
      <c r="B8" s="805"/>
      <c r="C8" s="547" t="s">
        <v>3</v>
      </c>
      <c r="D8" s="805" t="str">
        <f>ID!E4</f>
        <v>Extech</v>
      </c>
      <c r="E8" s="805"/>
      <c r="F8" s="805"/>
      <c r="I8" s="806"/>
      <c r="J8" s="806"/>
    </row>
    <row r="9" spans="1:15" ht="13.8">
      <c r="A9" s="805" t="s">
        <v>393</v>
      </c>
      <c r="B9" s="805"/>
      <c r="C9" s="547" t="s">
        <v>3</v>
      </c>
      <c r="D9" s="805" t="str">
        <f>ID!E5</f>
        <v>SD 700</v>
      </c>
      <c r="E9" s="805"/>
      <c r="F9" s="805"/>
      <c r="I9" s="806"/>
      <c r="J9" s="806"/>
    </row>
    <row r="10" spans="1:15" ht="14.4">
      <c r="A10" s="805" t="s">
        <v>394</v>
      </c>
      <c r="B10" s="805"/>
      <c r="C10" s="547" t="s">
        <v>3</v>
      </c>
      <c r="D10" s="805" t="str">
        <f>ID!E6</f>
        <v>A.100611</v>
      </c>
      <c r="E10" s="805"/>
      <c r="F10" s="805"/>
      <c r="I10" s="807"/>
      <c r="J10" s="804"/>
      <c r="O10" s="548"/>
    </row>
    <row r="11" spans="1:15" ht="14.4">
      <c r="A11" s="549"/>
      <c r="B11" s="549"/>
      <c r="C11" s="546"/>
      <c r="I11" s="808"/>
      <c r="J11" s="808"/>
      <c r="O11" s="548"/>
    </row>
    <row r="12" spans="1:15" ht="28.5" customHeight="1">
      <c r="A12" s="550" t="s">
        <v>395</v>
      </c>
      <c r="B12" s="551"/>
      <c r="C12" s="546"/>
      <c r="D12" s="796" t="s">
        <v>396</v>
      </c>
      <c r="E12" s="797"/>
      <c r="F12" s="552"/>
      <c r="I12" s="804"/>
      <c r="J12" s="804"/>
      <c r="O12" s="548"/>
    </row>
    <row r="13" spans="1:15" ht="14.4">
      <c r="A13" s="553"/>
      <c r="B13" s="546"/>
      <c r="C13" s="546"/>
      <c r="D13" s="546"/>
      <c r="E13" s="546"/>
      <c r="I13" s="809"/>
      <c r="J13" s="809"/>
    </row>
    <row r="14" spans="1:15" s="539" customFormat="1" ht="42.75" customHeight="1">
      <c r="A14" s="810" t="s">
        <v>397</v>
      </c>
      <c r="B14" s="810"/>
      <c r="C14" s="554" t="s">
        <v>3</v>
      </c>
      <c r="D14" s="811" t="s">
        <v>398</v>
      </c>
      <c r="E14" s="811"/>
      <c r="F14" s="811"/>
      <c r="H14" s="555"/>
      <c r="I14" s="812"/>
      <c r="J14" s="813"/>
    </row>
    <row r="15" spans="1:15" ht="14.4">
      <c r="A15" s="805" t="str">
        <f>"Nama Ruang "</f>
        <v xml:space="preserve">Nama Ruang </v>
      </c>
      <c r="B15" s="805"/>
      <c r="C15" s="547" t="s">
        <v>3</v>
      </c>
      <c r="D15" s="814" t="str">
        <f>ID!E12</f>
        <v>Laboratorium Kalibrasi LPFK Banjarbaru</v>
      </c>
      <c r="E15" s="814"/>
      <c r="F15" s="814"/>
      <c r="H15" s="815"/>
      <c r="I15" s="815"/>
      <c r="J15" s="815"/>
    </row>
    <row r="16" spans="1:15" ht="14.4">
      <c r="A16" s="805" t="s">
        <v>11</v>
      </c>
      <c r="B16" s="805"/>
      <c r="C16" s="547" t="s">
        <v>3</v>
      </c>
      <c r="D16" s="816" t="str">
        <f>ID!E9</f>
        <v>4 Januari 2023</v>
      </c>
      <c r="E16" s="816"/>
      <c r="F16" s="816"/>
      <c r="H16" s="556"/>
      <c r="I16" s="556"/>
      <c r="J16" s="556"/>
    </row>
    <row r="17" spans="1:8" ht="14.25" customHeight="1">
      <c r="A17" s="805" t="str">
        <f>"Tanggal "&amp;B47</f>
        <v xml:space="preserve">Tanggal </v>
      </c>
      <c r="B17" s="805"/>
      <c r="C17" s="547" t="s">
        <v>3</v>
      </c>
      <c r="D17" s="816" t="str">
        <f>ID!E10</f>
        <v>4 Januari 2023</v>
      </c>
      <c r="E17" s="816"/>
      <c r="F17" s="816"/>
    </row>
    <row r="18" spans="1:8" ht="13.8">
      <c r="A18" s="805" t="str">
        <f>"Penanggungjawab "&amp;B47</f>
        <v xml:space="preserve">Penanggungjawab </v>
      </c>
      <c r="B18" s="805"/>
      <c r="C18" s="547" t="s">
        <v>3</v>
      </c>
      <c r="D18" s="805" t="str">
        <f>ID!B101</f>
        <v>Muhammad Zaenuri Sugiasmoro</v>
      </c>
      <c r="E18" s="805"/>
      <c r="F18" s="805"/>
    </row>
    <row r="19" spans="1:8" ht="14.4">
      <c r="A19" s="805" t="str">
        <f>"Lokasi "&amp;B47</f>
        <v xml:space="preserve">Lokasi </v>
      </c>
      <c r="B19" s="805"/>
      <c r="C19" s="547" t="s">
        <v>3</v>
      </c>
      <c r="D19" s="814" t="str">
        <f>ID!E11</f>
        <v>Laboratorium Kalibrasi LPFK Banjarbaru</v>
      </c>
      <c r="E19" s="814"/>
      <c r="F19" s="814"/>
      <c r="H19" s="557"/>
    </row>
    <row r="20" spans="1:8" ht="13.8">
      <c r="A20" s="805" t="s">
        <v>15</v>
      </c>
      <c r="B20" s="805"/>
      <c r="C20" s="547" t="s">
        <v>3</v>
      </c>
      <c r="D20" s="805" t="str">
        <f>D4</f>
        <v>MK 049-18</v>
      </c>
      <c r="E20" s="805"/>
      <c r="F20" s="805"/>
    </row>
    <row r="23" spans="1:8" ht="26.25" customHeight="1">
      <c r="D23" s="558" t="s">
        <v>399</v>
      </c>
      <c r="E23" s="817">
        <f ca="1">TODAY()</f>
        <v>45211</v>
      </c>
      <c r="F23" s="817"/>
    </row>
    <row r="24" spans="1:8" ht="13.8">
      <c r="D24" s="805" t="s">
        <v>400</v>
      </c>
      <c r="E24" s="805"/>
      <c r="F24" s="805"/>
    </row>
    <row r="25" spans="1:8" ht="13.8">
      <c r="D25" s="805" t="s">
        <v>401</v>
      </c>
      <c r="E25" s="805"/>
      <c r="F25" s="805"/>
    </row>
    <row r="26" spans="1:8" ht="13.8">
      <c r="D26" s="559"/>
      <c r="E26" s="559"/>
    </row>
    <row r="27" spans="1:8" ht="13.8">
      <c r="D27" s="559"/>
      <c r="E27" s="559"/>
    </row>
    <row r="28" spans="1:8" ht="13.8">
      <c r="D28" s="559"/>
      <c r="E28" s="559"/>
    </row>
    <row r="29" spans="1:8" ht="13.8">
      <c r="D29" s="805" t="s">
        <v>402</v>
      </c>
      <c r="E29" s="805"/>
      <c r="F29" s="805"/>
    </row>
    <row r="30" spans="1:8" ht="13.8">
      <c r="D30" s="818" t="s">
        <v>403</v>
      </c>
      <c r="E30" s="818"/>
      <c r="F30" s="818"/>
    </row>
    <row r="33" spans="1:6">
      <c r="A33" s="560"/>
      <c r="B33" s="560"/>
      <c r="C33" s="560"/>
      <c r="D33" s="560"/>
      <c r="E33" s="560"/>
      <c r="F33" s="560"/>
    </row>
    <row r="39" spans="1:6" ht="13.8" thickBot="1"/>
    <row r="40" spans="1:6" ht="31.5" customHeight="1">
      <c r="A40" s="561"/>
      <c r="B40" s="562"/>
    </row>
    <row r="41" spans="1:6">
      <c r="A41" s="563"/>
      <c r="B41" s="564"/>
    </row>
    <row r="42" spans="1:6" ht="24" customHeight="1">
      <c r="A42" s="565" t="s">
        <v>404</v>
      </c>
      <c r="B42" s="566" t="str">
        <f>ID!A1</f>
        <v>INPUT DATA KALIBRASI THERMOHYGROMETER ANALOG</v>
      </c>
    </row>
    <row r="43" spans="1:6" ht="39" customHeight="1">
      <c r="A43" s="565" t="s">
        <v>405</v>
      </c>
      <c r="B43" s="567" t="str">
        <f>IF(B42=ID!A1,B44,B45)</f>
        <v>SERTIFIKAT KALIBRASI</v>
      </c>
    </row>
    <row r="44" spans="1:6" ht="22.5" customHeight="1">
      <c r="A44" s="565" t="s">
        <v>406</v>
      </c>
      <c r="B44" s="564" t="s">
        <v>407</v>
      </c>
    </row>
    <row r="45" spans="1:6">
      <c r="A45" s="563"/>
      <c r="B45" s="564" t="s">
        <v>408</v>
      </c>
    </row>
    <row r="46" spans="1:6">
      <c r="A46" s="563"/>
      <c r="B46" s="564"/>
    </row>
    <row r="47" spans="1:6" ht="48" customHeight="1">
      <c r="A47" s="565"/>
      <c r="B47" s="564"/>
    </row>
    <row r="48" spans="1:6">
      <c r="A48" s="563"/>
      <c r="B48" s="564"/>
    </row>
    <row r="49" spans="1:2" s="569" customFormat="1" ht="34.5" customHeight="1">
      <c r="A49" s="565"/>
      <c r="B49" s="568"/>
    </row>
    <row r="50" spans="1:2">
      <c r="A50" s="563"/>
      <c r="B50" s="564"/>
    </row>
    <row r="51" spans="1:2" ht="50.25" customHeight="1">
      <c r="A51" s="570"/>
      <c r="B51" s="571"/>
    </row>
    <row r="52" spans="1:2" ht="27" customHeight="1">
      <c r="A52" s="565"/>
      <c r="B52" s="572"/>
    </row>
    <row r="53" spans="1:2">
      <c r="A53" s="563"/>
      <c r="B53" s="564"/>
    </row>
    <row r="54" spans="1:2" ht="30" customHeight="1">
      <c r="A54" s="570"/>
      <c r="B54" s="573"/>
    </row>
    <row r="55" spans="1:2" ht="13.8">
      <c r="A55" s="563"/>
      <c r="B55" s="574"/>
    </row>
    <row r="56" spans="1:2" ht="13.8">
      <c r="A56" s="563"/>
      <c r="B56" s="574"/>
    </row>
    <row r="57" spans="1:2" ht="42" customHeight="1">
      <c r="A57" s="575"/>
      <c r="B57" s="574"/>
    </row>
    <row r="58" spans="1:2" ht="39.75" customHeight="1" thickBot="1">
      <c r="A58" s="576"/>
      <c r="B58" s="577"/>
    </row>
  </sheetData>
  <sheetProtection formatRows="0"/>
  <mergeCells count="40">
    <mergeCell ref="E23:F23"/>
    <mergeCell ref="D24:F24"/>
    <mergeCell ref="D25:F25"/>
    <mergeCell ref="D29:F29"/>
    <mergeCell ref="D30:F30"/>
    <mergeCell ref="A19:B19"/>
    <mergeCell ref="D19:F19"/>
    <mergeCell ref="A20:B20"/>
    <mergeCell ref="D20:F20"/>
    <mergeCell ref="A16:B16"/>
    <mergeCell ref="D16:F16"/>
    <mergeCell ref="A17:B17"/>
    <mergeCell ref="D17:F17"/>
    <mergeCell ref="A18:B18"/>
    <mergeCell ref="D18:F18"/>
    <mergeCell ref="I13:J13"/>
    <mergeCell ref="A14:B14"/>
    <mergeCell ref="D14:F14"/>
    <mergeCell ref="I14:J14"/>
    <mergeCell ref="A15:B15"/>
    <mergeCell ref="D15:F15"/>
    <mergeCell ref="H15:J15"/>
    <mergeCell ref="D12:E12"/>
    <mergeCell ref="I12:J12"/>
    <mergeCell ref="A8:B8"/>
    <mergeCell ref="D8:F8"/>
    <mergeCell ref="I8:J8"/>
    <mergeCell ref="A9:B9"/>
    <mergeCell ref="D9:F9"/>
    <mergeCell ref="I9:J9"/>
    <mergeCell ref="A10:B10"/>
    <mergeCell ref="D10:F10"/>
    <mergeCell ref="I10:J10"/>
    <mergeCell ref="I11:J11"/>
    <mergeCell ref="D6:E6"/>
    <mergeCell ref="A2:F2"/>
    <mergeCell ref="I2:J2"/>
    <mergeCell ref="A3:F3"/>
    <mergeCell ref="D4:F4"/>
    <mergeCell ref="H5:J5"/>
  </mergeCells>
  <dataValidations count="1">
    <dataValidation type="list" allowBlank="1" showInputMessage="1" showErrorMessage="1" sqref="A2:F2" xr:uid="{FFFB0A09-3A8B-47AD-80F1-1E96FB9B0AE6}">
      <formula1>"SERTIFIKAT KALIBRASI,SERTIFIKAT PENGUJIAN"</formula1>
    </dataValidation>
  </dataValidations>
  <pageMargins left="0.6" right="0.3" top="1.57" bottom="0" header="0.5" footer="0.6"/>
  <pageSetup paperSize="9" orientation="portrait" r:id="rId1"/>
  <headerFooter>
    <oddFooter>&amp;L&amp;"Times New Roman,Bold"Sertifikat ini terdiri dari 2 halaman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36E9B-22FF-4ED7-9CEC-65F68DB212B0}">
  <dimension ref="A1:CS408"/>
  <sheetViews>
    <sheetView topLeftCell="A294" zoomScale="70" zoomScaleNormal="70" workbookViewId="0">
      <selection activeCell="C297" sqref="C297"/>
    </sheetView>
  </sheetViews>
  <sheetFormatPr defaultColWidth="9" defaultRowHeight="13.2"/>
  <cols>
    <col min="1" max="1" width="9" style="391"/>
    <col min="2" max="2" width="13.5546875" style="396" customWidth="1"/>
    <col min="3" max="3" width="20.77734375" style="396" customWidth="1"/>
    <col min="4" max="4" width="21.21875" style="396" customWidth="1"/>
    <col min="5" max="5" width="18.5546875" style="396" customWidth="1"/>
    <col min="6" max="18" width="15.5546875" style="396" customWidth="1"/>
    <col min="19" max="19" width="14.77734375" style="396" customWidth="1"/>
    <col min="20" max="28" width="14.77734375" style="442" customWidth="1"/>
    <col min="29" max="29" width="14.77734375" style="396" customWidth="1"/>
    <col min="30" max="30" width="18.5546875" style="396" customWidth="1"/>
    <col min="31" max="31" width="17.21875" style="396" customWidth="1"/>
    <col min="32" max="33" width="18.5546875" style="396" customWidth="1"/>
    <col min="34" max="34" width="18.5546875" style="442" customWidth="1"/>
    <col min="35" max="35" width="10" style="396" customWidth="1"/>
    <col min="36" max="36" width="10" style="443" customWidth="1"/>
    <col min="37" max="37" width="11.5546875" style="396" customWidth="1"/>
    <col min="38" max="39" width="18.5546875" style="396" customWidth="1"/>
    <col min="40" max="40" width="18.5546875" style="442" customWidth="1"/>
    <col min="41" max="41" width="10" style="396" customWidth="1"/>
    <col min="42" max="42" width="10" style="443" customWidth="1"/>
    <col min="43" max="43" width="10" style="396" customWidth="1"/>
    <col min="44" max="45" width="18.5546875" style="396" customWidth="1"/>
    <col min="46" max="46" width="18.5546875" style="442" customWidth="1"/>
    <col min="47" max="47" width="10" style="396" customWidth="1"/>
    <col min="48" max="48" width="10" style="443" customWidth="1"/>
    <col min="49" max="49" width="10" style="396" customWidth="1"/>
    <col min="50" max="51" width="18.5546875" style="396" customWidth="1"/>
    <col min="52" max="52" width="18.5546875" style="442" customWidth="1"/>
    <col min="53" max="53" width="10" style="396" customWidth="1"/>
    <col min="54" max="54" width="10" style="443" customWidth="1"/>
    <col min="55" max="55" width="10" style="396" customWidth="1"/>
    <col min="56" max="57" width="18.5546875" style="396" customWidth="1"/>
    <col min="58" max="58" width="18.5546875" style="442" customWidth="1"/>
    <col min="59" max="59" width="10" style="396" customWidth="1"/>
    <col min="60" max="60" width="10" style="443" customWidth="1"/>
    <col min="61" max="61" width="10" style="396" customWidth="1"/>
    <col min="62" max="63" width="18.5546875" style="396" customWidth="1"/>
    <col min="64" max="64" width="18.5546875" style="442" customWidth="1"/>
    <col min="65" max="65" width="10" style="396" customWidth="1"/>
    <col min="66" max="66" width="10" style="443" customWidth="1"/>
    <col min="67" max="67" width="10" style="396" customWidth="1"/>
    <col min="68" max="69" width="18.5546875" style="396" customWidth="1"/>
    <col min="70" max="70" width="18.5546875" style="442" customWidth="1"/>
    <col min="71" max="71" width="10" style="396" customWidth="1"/>
    <col min="72" max="72" width="10" style="443" customWidth="1"/>
    <col min="73" max="73" width="10" style="396" customWidth="1"/>
    <col min="74" max="75" width="18.5546875" style="396" customWidth="1"/>
    <col min="76" max="76" width="18.5546875" style="442" customWidth="1"/>
    <col min="77" max="77" width="10" style="396" customWidth="1"/>
    <col min="78" max="78" width="10" style="443" customWidth="1"/>
    <col min="79" max="79" width="10" style="396" customWidth="1"/>
    <col min="80" max="84" width="11.44140625" style="396" customWidth="1"/>
    <col min="85" max="85" width="11.44140625" style="391" customWidth="1"/>
    <col min="86" max="90" width="11.44140625" style="396" customWidth="1"/>
    <col min="91" max="91" width="10" style="391" customWidth="1"/>
    <col min="92" max="94" width="10" style="396" customWidth="1"/>
    <col min="95" max="95" width="15.21875" style="396" customWidth="1"/>
    <col min="96" max="96" width="10" style="396" customWidth="1"/>
    <col min="97" max="97" width="10" style="391" customWidth="1"/>
    <col min="98" max="316" width="10" style="396" customWidth="1"/>
    <col min="317" max="16384" width="9" style="396"/>
  </cols>
  <sheetData>
    <row r="1" spans="2:96" s="391" customFormat="1" ht="27.6" customHeight="1">
      <c r="B1" s="822" t="s">
        <v>326</v>
      </c>
      <c r="C1" s="822"/>
      <c r="D1" s="822"/>
      <c r="E1" s="822"/>
      <c r="F1" s="822"/>
      <c r="H1" s="822" t="s">
        <v>326</v>
      </c>
      <c r="I1" s="822"/>
      <c r="J1" s="822"/>
      <c r="K1" s="822"/>
      <c r="L1" s="822"/>
      <c r="N1" s="822" t="s">
        <v>326</v>
      </c>
      <c r="O1" s="822"/>
      <c r="P1" s="822"/>
      <c r="Q1" s="822"/>
      <c r="R1" s="822"/>
      <c r="T1" s="822" t="s">
        <v>326</v>
      </c>
      <c r="U1" s="822"/>
      <c r="V1" s="822"/>
      <c r="W1" s="822"/>
      <c r="X1" s="822"/>
      <c r="Z1" s="822" t="s">
        <v>326</v>
      </c>
      <c r="AA1" s="822"/>
      <c r="AB1" s="822"/>
      <c r="AC1" s="822"/>
      <c r="AD1" s="822"/>
      <c r="AF1" s="822" t="s">
        <v>326</v>
      </c>
      <c r="AG1" s="822"/>
      <c r="AH1" s="822"/>
      <c r="AI1" s="822"/>
      <c r="AJ1" s="822"/>
      <c r="AL1" s="822" t="s">
        <v>326</v>
      </c>
      <c r="AM1" s="822"/>
      <c r="AN1" s="822"/>
      <c r="AO1" s="822"/>
      <c r="AP1" s="822"/>
      <c r="AR1" s="822" t="s">
        <v>326</v>
      </c>
      <c r="AS1" s="822"/>
      <c r="AT1" s="822"/>
      <c r="AU1" s="822"/>
      <c r="AV1" s="822"/>
      <c r="AX1" s="822" t="s">
        <v>326</v>
      </c>
      <c r="AY1" s="822"/>
      <c r="AZ1" s="822"/>
      <c r="BA1" s="822"/>
      <c r="BB1" s="822"/>
      <c r="BD1" s="822" t="s">
        <v>326</v>
      </c>
      <c r="BE1" s="822"/>
      <c r="BF1" s="822"/>
      <c r="BG1" s="822"/>
      <c r="BH1" s="822"/>
      <c r="BJ1" s="822" t="s">
        <v>326</v>
      </c>
      <c r="BK1" s="822"/>
      <c r="BL1" s="822"/>
      <c r="BM1" s="822"/>
      <c r="BN1" s="822"/>
      <c r="BP1" s="822" t="s">
        <v>326</v>
      </c>
      <c r="BQ1" s="822"/>
      <c r="BR1" s="822"/>
      <c r="BS1" s="822"/>
      <c r="BT1" s="822"/>
      <c r="BV1" s="822" t="s">
        <v>326</v>
      </c>
      <c r="BW1" s="822"/>
      <c r="BX1" s="822"/>
      <c r="BY1" s="822"/>
      <c r="BZ1" s="822"/>
      <c r="CB1" s="822" t="s">
        <v>326</v>
      </c>
      <c r="CC1" s="822"/>
      <c r="CD1" s="822"/>
      <c r="CE1" s="822"/>
      <c r="CF1" s="822"/>
      <c r="CH1" s="822" t="s">
        <v>326</v>
      </c>
      <c r="CI1" s="822"/>
      <c r="CJ1" s="822"/>
      <c r="CK1" s="822"/>
      <c r="CL1" s="822"/>
      <c r="CN1" s="822" t="s">
        <v>326</v>
      </c>
      <c r="CO1" s="822"/>
      <c r="CP1" s="822"/>
      <c r="CQ1" s="822"/>
      <c r="CR1" s="822"/>
    </row>
    <row r="2" spans="2:96" s="391" customFormat="1">
      <c r="P2" s="392"/>
      <c r="R2" s="393"/>
      <c r="V2" s="392"/>
      <c r="X2" s="393"/>
      <c r="AB2" s="392"/>
      <c r="AD2" s="393"/>
      <c r="AH2" s="392"/>
      <c r="AJ2" s="393"/>
      <c r="AN2" s="392"/>
      <c r="AP2" s="393"/>
      <c r="AT2" s="392"/>
      <c r="AV2" s="393"/>
      <c r="AZ2" s="392"/>
      <c r="BB2" s="393"/>
      <c r="BF2" s="392"/>
      <c r="BH2" s="393"/>
      <c r="BL2" s="392"/>
      <c r="BN2" s="393"/>
      <c r="BR2" s="392"/>
      <c r="BT2" s="393"/>
      <c r="BX2" s="392"/>
      <c r="BZ2" s="393"/>
      <c r="CD2" s="392"/>
      <c r="CF2" s="393"/>
      <c r="CJ2" s="392"/>
      <c r="CL2" s="393"/>
      <c r="CP2" s="392"/>
      <c r="CR2" s="393"/>
    </row>
    <row r="3" spans="2:96" ht="27.75" customHeight="1">
      <c r="B3" s="823" t="s">
        <v>327</v>
      </c>
      <c r="C3" s="825" t="s">
        <v>328</v>
      </c>
      <c r="D3" s="825"/>
      <c r="E3" s="825"/>
      <c r="F3" s="394" t="s">
        <v>329</v>
      </c>
      <c r="G3" s="395"/>
      <c r="H3" s="823" t="s">
        <v>327</v>
      </c>
      <c r="I3" s="825" t="s">
        <v>330</v>
      </c>
      <c r="J3" s="825"/>
      <c r="K3" s="825"/>
      <c r="L3" s="394" t="s">
        <v>329</v>
      </c>
      <c r="M3" s="395"/>
      <c r="N3" s="823" t="s">
        <v>327</v>
      </c>
      <c r="O3" s="825" t="s">
        <v>331</v>
      </c>
      <c r="P3" s="826"/>
      <c r="Q3" s="825"/>
      <c r="R3" s="394" t="s">
        <v>329</v>
      </c>
      <c r="S3" s="391"/>
      <c r="T3" s="823" t="s">
        <v>327</v>
      </c>
      <c r="U3" s="825" t="str">
        <f>F156</f>
        <v>Wireless Temperature Recorder : Merek : HIOKI, Model : LR 8510, SN : 200936000</v>
      </c>
      <c r="V3" s="826"/>
      <c r="W3" s="825"/>
      <c r="X3" s="394" t="s">
        <v>329</v>
      </c>
      <c r="Y3" s="391"/>
      <c r="Z3" s="823" t="s">
        <v>327</v>
      </c>
      <c r="AA3" s="825" t="str">
        <f>G156</f>
        <v>Wireless Temperature Recorder : Merek : HIOKI, Model : LR 8510, SN : 200936001</v>
      </c>
      <c r="AB3" s="826"/>
      <c r="AC3" s="825"/>
      <c r="AD3" s="394" t="s">
        <v>329</v>
      </c>
      <c r="AE3" s="391"/>
      <c r="AF3" s="823" t="s">
        <v>327</v>
      </c>
      <c r="AG3" s="825" t="str">
        <f>H156</f>
        <v>Wireless Temperature Recorder : Merek : HIOKI, Model : LR 8510, SN : 200821397</v>
      </c>
      <c r="AH3" s="826"/>
      <c r="AI3" s="825"/>
      <c r="AJ3" s="394" t="s">
        <v>329</v>
      </c>
      <c r="AK3" s="391"/>
      <c r="AL3" s="823" t="s">
        <v>327</v>
      </c>
      <c r="AM3" s="825" t="str">
        <f>I156</f>
        <v>Wireless Temperature Recorder : Merek : HIOKI, Model : LR 8510, SN : 210411983</v>
      </c>
      <c r="AN3" s="826"/>
      <c r="AO3" s="825"/>
      <c r="AP3" s="394" t="s">
        <v>329</v>
      </c>
      <c r="AQ3" s="391"/>
      <c r="AR3" s="823" t="s">
        <v>327</v>
      </c>
      <c r="AS3" s="825" t="str">
        <f>J156</f>
        <v>Wireless Temperature Recorder : Merek : HIOKI, Model : LR 8510, SN : 210411984</v>
      </c>
      <c r="AT3" s="826"/>
      <c r="AU3" s="825"/>
      <c r="AV3" s="394" t="s">
        <v>329</v>
      </c>
      <c r="AW3" s="391"/>
      <c r="AX3" s="823" t="s">
        <v>327</v>
      </c>
      <c r="AY3" s="825" t="str">
        <f>K156</f>
        <v>Wireless Temperature Recorder : Merek : HIOKI, Model : LR 8510, SN : 210411985</v>
      </c>
      <c r="AZ3" s="826"/>
      <c r="BA3" s="825"/>
      <c r="BB3" s="394" t="s">
        <v>329</v>
      </c>
      <c r="BC3" s="391"/>
      <c r="BD3" s="823" t="s">
        <v>327</v>
      </c>
      <c r="BE3" s="825" t="str">
        <f>L156</f>
        <v>Wireless Temperature Recorder : Merek : HIOKI, Model : LR 8510, SN : 210746054</v>
      </c>
      <c r="BF3" s="826"/>
      <c r="BG3" s="825"/>
      <c r="BH3" s="394" t="s">
        <v>329</v>
      </c>
      <c r="BI3" s="391"/>
      <c r="BJ3" s="823" t="s">
        <v>327</v>
      </c>
      <c r="BK3" s="825" t="str">
        <f>M156</f>
        <v>Wireless Temperature Recorder : Merek : HIOKI, Model : LR 8510, SN : 210746055</v>
      </c>
      <c r="BL3" s="826"/>
      <c r="BM3" s="825"/>
      <c r="BN3" s="394" t="s">
        <v>329</v>
      </c>
      <c r="BO3" s="391"/>
      <c r="BP3" s="823" t="s">
        <v>327</v>
      </c>
      <c r="BQ3" s="825" t="str">
        <f>N156</f>
        <v>Wireless Temperature Recorder : Merek : HIOKI, Model : LR 8510, SN : 210746056</v>
      </c>
      <c r="BR3" s="826"/>
      <c r="BS3" s="825"/>
      <c r="BT3" s="394" t="s">
        <v>329</v>
      </c>
      <c r="BU3" s="391"/>
      <c r="BV3" s="823" t="s">
        <v>327</v>
      </c>
      <c r="BW3" s="825" t="str">
        <f>O156</f>
        <v>Wireless Temperature Recorder : Merek : HIOKI, Model : LR 8510, SN : 200821396</v>
      </c>
      <c r="BX3" s="826"/>
      <c r="BY3" s="825"/>
      <c r="BZ3" s="394" t="s">
        <v>329</v>
      </c>
      <c r="CA3" s="391"/>
      <c r="CB3" s="823" t="s">
        <v>327</v>
      </c>
      <c r="CC3" s="825" t="str">
        <f>P156</f>
        <v>Reference Thermometer, Merek : APPA, Model : APPA51, SN : 03002948</v>
      </c>
      <c r="CD3" s="826"/>
      <c r="CE3" s="825"/>
      <c r="CF3" s="394" t="s">
        <v>329</v>
      </c>
      <c r="CH3" s="823" t="s">
        <v>327</v>
      </c>
      <c r="CI3" s="825" t="str">
        <f>Q156</f>
        <v>Reference Thermometer, Merek : FLUKE, Model : 1524, SN : 1803038</v>
      </c>
      <c r="CJ3" s="826"/>
      <c r="CK3" s="825"/>
      <c r="CL3" s="394" t="s">
        <v>329</v>
      </c>
      <c r="CN3" s="823" t="s">
        <v>327</v>
      </c>
      <c r="CO3" s="825" t="str">
        <f>R156</f>
        <v>Reference Thermometer, Merek : FLUKE, Model : 1524, SN : 1803037</v>
      </c>
      <c r="CP3" s="826"/>
      <c r="CQ3" s="825"/>
      <c r="CR3" s="394" t="s">
        <v>329</v>
      </c>
    </row>
    <row r="4" spans="2:96" ht="12.75" customHeight="1">
      <c r="B4" s="824"/>
      <c r="C4" s="397">
        <v>2021</v>
      </c>
      <c r="D4" s="397">
        <f>C155</f>
        <v>2022</v>
      </c>
      <c r="E4" s="398" t="s">
        <v>242</v>
      </c>
      <c r="F4" s="399"/>
      <c r="G4" s="400"/>
      <c r="H4" s="824"/>
      <c r="I4" s="401">
        <v>2021</v>
      </c>
      <c r="J4" s="402">
        <f>D155</f>
        <v>2022</v>
      </c>
      <c r="K4" s="398" t="s">
        <v>242</v>
      </c>
      <c r="L4" s="403"/>
      <c r="M4" s="400"/>
      <c r="N4" s="824"/>
      <c r="O4" s="401">
        <v>2021</v>
      </c>
      <c r="P4" s="402">
        <v>2023</v>
      </c>
      <c r="Q4" s="398" t="s">
        <v>242</v>
      </c>
      <c r="R4" s="404"/>
      <c r="S4" s="391"/>
      <c r="T4" s="824"/>
      <c r="U4" s="401">
        <f>F155</f>
        <v>2022</v>
      </c>
      <c r="V4" s="402"/>
      <c r="W4" s="398" t="s">
        <v>242</v>
      </c>
      <c r="X4" s="404"/>
      <c r="Y4" s="391"/>
      <c r="Z4" s="824"/>
      <c r="AA4" s="401">
        <v>2023</v>
      </c>
      <c r="AB4" s="402">
        <v>2021</v>
      </c>
      <c r="AC4" s="398" t="s">
        <v>242</v>
      </c>
      <c r="AD4" s="404"/>
      <c r="AE4" s="391"/>
      <c r="AF4" s="824"/>
      <c r="AG4" s="401">
        <v>2023</v>
      </c>
      <c r="AH4" s="402">
        <v>2021</v>
      </c>
      <c r="AI4" s="398" t="s">
        <v>242</v>
      </c>
      <c r="AJ4" s="404"/>
      <c r="AK4" s="391"/>
      <c r="AL4" s="824"/>
      <c r="AM4" s="401">
        <f>I155</f>
        <v>2023</v>
      </c>
      <c r="AN4" s="402"/>
      <c r="AO4" s="398" t="s">
        <v>242</v>
      </c>
      <c r="AP4" s="404"/>
      <c r="AQ4" s="391"/>
      <c r="AR4" s="824"/>
      <c r="AS4" s="401">
        <f>J155</f>
        <v>2023</v>
      </c>
      <c r="AT4" s="402"/>
      <c r="AU4" s="398" t="s">
        <v>242</v>
      </c>
      <c r="AV4" s="404"/>
      <c r="AW4" s="391"/>
      <c r="AX4" s="824"/>
      <c r="AY4" s="401">
        <f>K155</f>
        <v>2021</v>
      </c>
      <c r="AZ4" s="402"/>
      <c r="BA4" s="398" t="s">
        <v>242</v>
      </c>
      <c r="BB4" s="404"/>
      <c r="BC4" s="391"/>
      <c r="BD4" s="824"/>
      <c r="BE4" s="401">
        <f>L155</f>
        <v>2022</v>
      </c>
      <c r="BF4" s="402"/>
      <c r="BG4" s="398" t="s">
        <v>242</v>
      </c>
      <c r="BH4" s="404"/>
      <c r="BI4" s="391"/>
      <c r="BJ4" s="824"/>
      <c r="BK4" s="401">
        <f>M155</f>
        <v>2021</v>
      </c>
      <c r="BL4" s="402"/>
      <c r="BM4" s="398" t="s">
        <v>242</v>
      </c>
      <c r="BN4" s="404"/>
      <c r="BO4" s="391"/>
      <c r="BP4" s="824"/>
      <c r="BQ4" s="401">
        <f>N155</f>
        <v>2022</v>
      </c>
      <c r="BR4" s="402"/>
      <c r="BS4" s="398" t="s">
        <v>242</v>
      </c>
      <c r="BT4" s="404"/>
      <c r="BU4" s="391"/>
      <c r="BV4" s="824"/>
      <c r="BW4" s="401">
        <f>O155</f>
        <v>2022</v>
      </c>
      <c r="BX4" s="402"/>
      <c r="BY4" s="398" t="s">
        <v>242</v>
      </c>
      <c r="BZ4" s="404"/>
      <c r="CA4" s="391"/>
      <c r="CB4" s="824"/>
      <c r="CC4" s="401">
        <f>P155</f>
        <v>2022</v>
      </c>
      <c r="CD4" s="402">
        <f>CD19</f>
        <v>2020</v>
      </c>
      <c r="CE4" s="398" t="s">
        <v>242</v>
      </c>
      <c r="CF4" s="404"/>
      <c r="CH4" s="824"/>
      <c r="CI4" s="401">
        <f>Q155</f>
        <v>2021</v>
      </c>
      <c r="CJ4" s="402">
        <v>2019</v>
      </c>
      <c r="CK4" s="398" t="s">
        <v>242</v>
      </c>
      <c r="CL4" s="404"/>
      <c r="CN4" s="824"/>
      <c r="CO4" s="401">
        <f>R155</f>
        <v>2021</v>
      </c>
      <c r="CP4" s="402">
        <v>2020</v>
      </c>
      <c r="CQ4" s="398" t="s">
        <v>242</v>
      </c>
      <c r="CR4" s="404"/>
    </row>
    <row r="5" spans="2:96">
      <c r="B5" s="405">
        <v>-20</v>
      </c>
      <c r="C5" s="406">
        <v>-0.43</v>
      </c>
      <c r="D5" s="406">
        <f t="shared" ref="D5:D16" si="0">C158</f>
        <v>-0.77</v>
      </c>
      <c r="E5" s="407">
        <f t="shared" ref="E5:E16" si="1">IF(OR(C5=0,D5=0),$C$170/3,((MAX(C5:D5)-(MIN(C5:D5)))))</f>
        <v>0.34</v>
      </c>
      <c r="F5" s="408">
        <v>0.12</v>
      </c>
      <c r="G5" s="409"/>
      <c r="H5" s="405">
        <v>-20</v>
      </c>
      <c r="I5" s="406">
        <v>-0.69</v>
      </c>
      <c r="J5" s="406">
        <f t="shared" ref="J5:J16" si="2">D158</f>
        <v>-0.62</v>
      </c>
      <c r="K5" s="407">
        <f>IF(OR(I5=0,J5=0),$D$170/3,((MAX(I5:J5)-(MIN(I5:J5)))))</f>
        <v>6.9999999999999951E-2</v>
      </c>
      <c r="L5" s="408">
        <v>0.12</v>
      </c>
      <c r="M5" s="409"/>
      <c r="N5" s="405">
        <v>-20</v>
      </c>
      <c r="O5" s="410">
        <v>-0.56000000000000005</v>
      </c>
      <c r="P5" s="406">
        <f t="shared" ref="P5:P16" si="3">E158</f>
        <v>-0.57999999999999996</v>
      </c>
      <c r="Q5" s="407">
        <f t="shared" ref="Q5:Q16" si="4">IF(OR(O5=0,P5=0),$E$170/3,((MAX(O5:P5)-(MIN(O5:P5)))))</f>
        <v>1.9999999999999907E-2</v>
      </c>
      <c r="R5" s="404">
        <v>9.9999999999999995E-7</v>
      </c>
      <c r="S5" s="411"/>
      <c r="T5" s="405">
        <v>-20</v>
      </c>
      <c r="U5" s="410">
        <f t="shared" ref="U5:U16" si="5">F158</f>
        <v>-1.46</v>
      </c>
      <c r="V5" s="406"/>
      <c r="W5" s="407">
        <f t="shared" ref="W5:W16" si="6">IF(OR(U5=0,V5=0),$F$170/3,((MAX(U5:V5)-(MIN(U5:V5)))))</f>
        <v>8.3333333333333329E-2</v>
      </c>
      <c r="X5" s="404">
        <v>9.9999999999999995E-7</v>
      </c>
      <c r="Y5" s="411"/>
      <c r="Z5" s="405">
        <v>-20</v>
      </c>
      <c r="AA5" s="410">
        <f t="shared" ref="AA5:AA16" si="7">G158</f>
        <v>-0.03</v>
      </c>
      <c r="AB5" s="406">
        <v>-0.53</v>
      </c>
      <c r="AC5" s="407">
        <f t="shared" ref="AC5:AC16" si="8">IF(OR(AA5=0,AB5=0),$G$170/3,((MAX(AA5:AB5)-(MIN(AA5:AB5)))))</f>
        <v>0.5</v>
      </c>
      <c r="AD5" s="404">
        <v>9.9999999999999995E-7</v>
      </c>
      <c r="AE5" s="411"/>
      <c r="AF5" s="405">
        <v>-20</v>
      </c>
      <c r="AG5" s="410">
        <f t="shared" ref="AG5:AG16" si="9">H158</f>
        <v>-0.02</v>
      </c>
      <c r="AH5" s="406">
        <v>-0.05</v>
      </c>
      <c r="AI5" s="407">
        <f t="shared" ref="AI5:AI16" si="10">IF(OR(AG5=0,AH5=0),$H$170/3,((MAX(AG5:AH5)-(MIN(AG5:AH5)))))</f>
        <v>3.0000000000000002E-2</v>
      </c>
      <c r="AJ5" s="404">
        <v>9.9999999999999995E-7</v>
      </c>
      <c r="AK5" s="411"/>
      <c r="AL5" s="405">
        <v>-20</v>
      </c>
      <c r="AM5" s="410">
        <f t="shared" ref="AM5:AM16" si="11">I158</f>
        <v>0.4</v>
      </c>
      <c r="AN5" s="406"/>
      <c r="AO5" s="407">
        <f t="shared" ref="AO5:AO16" si="12">IF(OR(AM5=0,AN5=0),$I$170/3,((MAX(AM5:AN5)-(MIN(AM5:AN5)))))</f>
        <v>8.3333333333333329E-2</v>
      </c>
      <c r="AP5" s="404">
        <v>9.9999999999999995E-7</v>
      </c>
      <c r="AQ5" s="391"/>
      <c r="AR5" s="405">
        <v>-20</v>
      </c>
      <c r="AS5" s="410">
        <f t="shared" ref="AS5:AS15" si="13">J158</f>
        <v>0.33</v>
      </c>
      <c r="AT5" s="406"/>
      <c r="AU5" s="407">
        <f t="shared" ref="AU5:AU16" si="14">IF(OR(AS5=0,AT5=0),$J$170/3,((MAX(AS5:AT5)-(MIN(AS5:AT5)))))</f>
        <v>0.08</v>
      </c>
      <c r="AV5" s="404">
        <v>9.9999999999999995E-7</v>
      </c>
      <c r="AW5" s="391"/>
      <c r="AX5" s="405">
        <v>-20</v>
      </c>
      <c r="AY5" s="410">
        <f t="shared" ref="AY5:AY16" si="15">K158</f>
        <v>0.53</v>
      </c>
      <c r="AZ5" s="406"/>
      <c r="BA5" s="407">
        <f t="shared" ref="BA5:BA16" si="16">IF(OR(AY5=0,AZ5=0),$K$170/3,((MAX(AY5:AZ5)-(MIN(AY5:AZ5)))))</f>
        <v>0.26333333333333336</v>
      </c>
      <c r="BB5" s="404">
        <v>9.9999999999999995E-7</v>
      </c>
      <c r="BC5" s="391"/>
      <c r="BD5" s="405">
        <v>-20</v>
      </c>
      <c r="BE5" s="410">
        <f t="shared" ref="BE5:BE16" si="17">L158</f>
        <v>-1.02</v>
      </c>
      <c r="BF5" s="406"/>
      <c r="BG5" s="407">
        <f t="shared" ref="BG5:BG16" si="18">IF(OR(BE5=0,BF5=0),$L$170/3,((MAX(BE5:BF5)-(MIN(BE5:BF5)))))</f>
        <v>9.0000000000000011E-2</v>
      </c>
      <c r="BH5" s="404">
        <v>9.9999999999999995E-7</v>
      </c>
      <c r="BI5" s="391"/>
      <c r="BJ5" s="405">
        <v>-20</v>
      </c>
      <c r="BK5" s="410">
        <f t="shared" ref="BK5:BK16" si="19">M158</f>
        <v>0.53</v>
      </c>
      <c r="BL5" s="406"/>
      <c r="BM5" s="407">
        <f t="shared" ref="BM5:BM16" si="20">IF(OR(BK5=0,BL5=0),$M$170/3,((MAX(BK5:BL5)-(MIN(BK5:BL5)))))</f>
        <v>0.26333333333333336</v>
      </c>
      <c r="BN5" s="404">
        <v>9.9999999999999995E-7</v>
      </c>
      <c r="BO5" s="391"/>
      <c r="BP5" s="405">
        <v>-20</v>
      </c>
      <c r="BQ5" s="410">
        <f t="shared" ref="BQ5:BQ16" si="21">N158</f>
        <v>-1.4</v>
      </c>
      <c r="BR5" s="406"/>
      <c r="BS5" s="407">
        <f t="shared" ref="BS5:BS16" si="22">IF(OR(BQ5=0,BR5=0),$N$170/3,((MAX(BQ5:BR5)-(MIN(BQ5:BR5)))))</f>
        <v>8.666666666666667E-2</v>
      </c>
      <c r="BT5" s="404">
        <v>9.9999999999999995E-7</v>
      </c>
      <c r="BU5" s="391"/>
      <c r="BV5" s="405">
        <v>-20</v>
      </c>
      <c r="BW5" s="410">
        <f t="shared" ref="BW5:BW16" si="23">O158</f>
        <v>-1.5</v>
      </c>
      <c r="BX5" s="406"/>
      <c r="BY5" s="407">
        <f t="shared" ref="BY5:BY16" si="24">IF(OR(BW5=0,BX5=0),$O$170/3,((MAX(BW5:BX5)-(MIN(BW5:BX5)))))</f>
        <v>9.0000000000000011E-2</v>
      </c>
      <c r="BZ5" s="404">
        <v>9.9999999999999995E-7</v>
      </c>
      <c r="CA5" s="391"/>
      <c r="CB5" s="405">
        <v>-20</v>
      </c>
      <c r="CC5" s="410">
        <f t="shared" ref="CC5:CC16" si="25">P158</f>
        <v>-1.1000000000000001</v>
      </c>
      <c r="CD5" s="406">
        <f>CD20</f>
        <v>-0.7</v>
      </c>
      <c r="CE5" s="407">
        <f t="shared" ref="CE5:CE16" si="26">IF(OR(CC5=0,CD5=0),$P$170/3,((MAX(CC5:CD5)-(MIN(CC5:CD5)))))</f>
        <v>0.40000000000000013</v>
      </c>
      <c r="CF5" s="404">
        <v>9.9999999999999995E-7</v>
      </c>
      <c r="CH5" s="405">
        <v>-20</v>
      </c>
      <c r="CI5" s="410">
        <f t="shared" ref="CI5:CI16" si="27">Q158</f>
        <v>-0.15</v>
      </c>
      <c r="CJ5" s="406">
        <v>-0.32</v>
      </c>
      <c r="CK5" s="407">
        <f t="shared" ref="CK5:CK16" si="28">IF(OR(CI5=0,CJ5=0),$Q$170/3,((MAX(CI5:CJ5)-(MIN(CI5:CJ5)))))</f>
        <v>0.17</v>
      </c>
      <c r="CL5" s="404">
        <v>9.9999999999999995E-7</v>
      </c>
      <c r="CN5" s="405">
        <v>-20</v>
      </c>
      <c r="CO5" s="410">
        <f t="shared" ref="CO5:CO16" si="29">R158</f>
        <v>-1.8</v>
      </c>
      <c r="CP5" s="406">
        <v>-0.51</v>
      </c>
      <c r="CQ5" s="407">
        <f t="shared" ref="CQ5:CQ16" si="30">IF(OR(CO5=0,CP5=0),$R$170/3,((MAX(CO5:CP5)-(MIN(CO5:CP5)))))</f>
        <v>1.29</v>
      </c>
      <c r="CR5" s="404">
        <v>9.9999999999999995E-7</v>
      </c>
    </row>
    <row r="6" spans="2:96">
      <c r="B6" s="405">
        <v>-15</v>
      </c>
      <c r="C6" s="406">
        <v>-0.37</v>
      </c>
      <c r="D6" s="406">
        <f t="shared" si="0"/>
        <v>-0.67</v>
      </c>
      <c r="E6" s="407">
        <f t="shared" si="1"/>
        <v>0.30000000000000004</v>
      </c>
      <c r="F6" s="408">
        <f>(-0.69+1.31)/2</f>
        <v>0.31000000000000005</v>
      </c>
      <c r="G6" s="409"/>
      <c r="H6" s="405">
        <v>-15</v>
      </c>
      <c r="I6" s="406">
        <v>-0.56999999999999995</v>
      </c>
      <c r="J6" s="406">
        <f t="shared" si="2"/>
        <v>0.52</v>
      </c>
      <c r="K6" s="407">
        <f t="shared" ref="K6:K16" si="31">IF(OR(I6=0,J6=0),$D$170/3,((MAX(I6:J6)-(MIN(I6:J6)))))</f>
        <v>1.0899999999999999</v>
      </c>
      <c r="L6" s="408">
        <f t="shared" ref="L6:L11" si="32">(0+0.1)/2</f>
        <v>0.05</v>
      </c>
      <c r="M6" s="409"/>
      <c r="N6" s="405">
        <v>-15</v>
      </c>
      <c r="O6" s="410">
        <v>-0.45</v>
      </c>
      <c r="P6" s="406">
        <f t="shared" si="3"/>
        <v>-0.48</v>
      </c>
      <c r="Q6" s="407">
        <f t="shared" si="4"/>
        <v>2.9999999999999971E-2</v>
      </c>
      <c r="R6" s="404">
        <f>(0.03-0)/2</f>
        <v>1.4999999999999999E-2</v>
      </c>
      <c r="S6" s="391"/>
      <c r="T6" s="405">
        <v>-15</v>
      </c>
      <c r="U6" s="410">
        <f t="shared" si="5"/>
        <v>-1.26</v>
      </c>
      <c r="V6" s="406"/>
      <c r="W6" s="407">
        <f t="shared" si="6"/>
        <v>8.3333333333333329E-2</v>
      </c>
      <c r="X6" s="404">
        <f>(0.03-0)/2</f>
        <v>1.4999999999999999E-2</v>
      </c>
      <c r="Y6" s="391"/>
      <c r="Z6" s="405">
        <v>-15</v>
      </c>
      <c r="AA6" s="410">
        <f t="shared" si="7"/>
        <v>0.02</v>
      </c>
      <c r="AB6" s="406">
        <v>9.9999999999999995E-7</v>
      </c>
      <c r="AC6" s="407">
        <f t="shared" si="8"/>
        <v>1.9998999999999999E-2</v>
      </c>
      <c r="AD6" s="404">
        <f>(0.03-0)/2</f>
        <v>1.4999999999999999E-2</v>
      </c>
      <c r="AE6" s="391"/>
      <c r="AF6" s="405">
        <v>-15</v>
      </c>
      <c r="AG6" s="410">
        <f t="shared" si="9"/>
        <v>0.01</v>
      </c>
      <c r="AH6" s="406">
        <v>9.9999999999999995E-7</v>
      </c>
      <c r="AI6" s="407">
        <f t="shared" si="10"/>
        <v>9.9990000000000009E-3</v>
      </c>
      <c r="AJ6" s="404">
        <f>(0.03-0)/2</f>
        <v>1.4999999999999999E-2</v>
      </c>
      <c r="AK6" s="391"/>
      <c r="AL6" s="405">
        <v>-15</v>
      </c>
      <c r="AM6" s="410">
        <f t="shared" si="11"/>
        <v>0.42</v>
      </c>
      <c r="AN6" s="406"/>
      <c r="AO6" s="407">
        <f t="shared" si="12"/>
        <v>8.3333333333333329E-2</v>
      </c>
      <c r="AP6" s="404">
        <f>(0.03-0)/2</f>
        <v>1.4999999999999999E-2</v>
      </c>
      <c r="AQ6" s="391"/>
      <c r="AR6" s="405">
        <v>-15</v>
      </c>
      <c r="AS6" s="410">
        <f t="shared" si="13"/>
        <v>0.35</v>
      </c>
      <c r="AT6" s="406"/>
      <c r="AU6" s="407">
        <f t="shared" si="14"/>
        <v>0.08</v>
      </c>
      <c r="AV6" s="404">
        <f>(0.03-0)/2</f>
        <v>1.4999999999999999E-2</v>
      </c>
      <c r="AW6" s="391"/>
      <c r="AX6" s="405">
        <v>-15</v>
      </c>
      <c r="AY6" s="410">
        <f t="shared" si="15"/>
        <v>9.9999999999999995E-7</v>
      </c>
      <c r="AZ6" s="406"/>
      <c r="BA6" s="407">
        <f t="shared" si="16"/>
        <v>0.26333333333333336</v>
      </c>
      <c r="BB6" s="404">
        <f>(0.03-0)/2</f>
        <v>1.4999999999999999E-2</v>
      </c>
      <c r="BC6" s="391"/>
      <c r="BD6" s="405">
        <v>-15</v>
      </c>
      <c r="BE6" s="410">
        <f t="shared" si="17"/>
        <v>-0.76</v>
      </c>
      <c r="BF6" s="406"/>
      <c r="BG6" s="407">
        <f t="shared" si="18"/>
        <v>9.0000000000000011E-2</v>
      </c>
      <c r="BH6" s="404">
        <f>(0.03-0)/2</f>
        <v>1.4999999999999999E-2</v>
      </c>
      <c r="BI6" s="391"/>
      <c r="BJ6" s="405">
        <v>-15</v>
      </c>
      <c r="BK6" s="410">
        <f t="shared" si="19"/>
        <v>9.9999999999999995E-7</v>
      </c>
      <c r="BL6" s="406"/>
      <c r="BM6" s="407">
        <f t="shared" si="20"/>
        <v>0.26333333333333336</v>
      </c>
      <c r="BN6" s="404">
        <f>(0.03-0)/2</f>
        <v>1.4999999999999999E-2</v>
      </c>
      <c r="BO6" s="391"/>
      <c r="BP6" s="405">
        <v>-15</v>
      </c>
      <c r="BQ6" s="410">
        <f t="shared" si="21"/>
        <v>-1.1399999999999999</v>
      </c>
      <c r="BR6" s="406"/>
      <c r="BS6" s="407">
        <f t="shared" si="22"/>
        <v>8.666666666666667E-2</v>
      </c>
      <c r="BT6" s="404">
        <f>(0.03-0)/2</f>
        <v>1.4999999999999999E-2</v>
      </c>
      <c r="BU6" s="391"/>
      <c r="BV6" s="405">
        <v>-15</v>
      </c>
      <c r="BW6" s="410">
        <f t="shared" si="23"/>
        <v>-1.24</v>
      </c>
      <c r="BX6" s="406"/>
      <c r="BY6" s="407">
        <f t="shared" si="24"/>
        <v>9.0000000000000011E-2</v>
      </c>
      <c r="BZ6" s="404">
        <f>(0.03-0)/2</f>
        <v>1.4999999999999999E-2</v>
      </c>
      <c r="CA6" s="391"/>
      <c r="CB6" s="405">
        <v>-15</v>
      </c>
      <c r="CC6" s="410">
        <f t="shared" si="25"/>
        <v>-1.1000000000000001</v>
      </c>
      <c r="CD6" s="406">
        <f t="shared" ref="CD6:CD16" si="33">CD21</f>
        <v>-0.7</v>
      </c>
      <c r="CE6" s="407">
        <f t="shared" si="26"/>
        <v>0.40000000000000013</v>
      </c>
      <c r="CF6" s="404">
        <f>(0.03-0)/2</f>
        <v>1.4999999999999999E-2</v>
      </c>
      <c r="CH6" s="405">
        <v>-15</v>
      </c>
      <c r="CI6" s="410">
        <f t="shared" si="27"/>
        <v>-0.1</v>
      </c>
      <c r="CJ6" s="406">
        <v>-0.24</v>
      </c>
      <c r="CK6" s="407">
        <f t="shared" si="28"/>
        <v>0.13999999999999999</v>
      </c>
      <c r="CL6" s="404">
        <f>(0.03-0)/2</f>
        <v>1.4999999999999999E-2</v>
      </c>
      <c r="CN6" s="405">
        <v>-15</v>
      </c>
      <c r="CO6" s="410">
        <f t="shared" si="29"/>
        <v>-1.52</v>
      </c>
      <c r="CP6" s="406">
        <v>-0.39</v>
      </c>
      <c r="CQ6" s="407">
        <f t="shared" si="30"/>
        <v>1.1299999999999999</v>
      </c>
      <c r="CR6" s="404">
        <f>(0.03-0)/2</f>
        <v>1.4999999999999999E-2</v>
      </c>
    </row>
    <row r="7" spans="2:96">
      <c r="B7" s="405">
        <v>-10</v>
      </c>
      <c r="C7" s="406">
        <v>-0.32</v>
      </c>
      <c r="D7" s="406">
        <f t="shared" si="0"/>
        <v>-0.57999999999999996</v>
      </c>
      <c r="E7" s="407">
        <f t="shared" si="1"/>
        <v>0.25999999999999995</v>
      </c>
      <c r="F7" s="408">
        <f>(-0.62+1.12)/2</f>
        <v>0.25000000000000006</v>
      </c>
      <c r="G7" s="409"/>
      <c r="H7" s="405">
        <v>-10</v>
      </c>
      <c r="I7" s="406">
        <v>9.9999999999999995E-7</v>
      </c>
      <c r="J7" s="406">
        <f t="shared" si="2"/>
        <v>-0.43</v>
      </c>
      <c r="K7" s="407">
        <f t="shared" si="31"/>
        <v>0.43000099999999997</v>
      </c>
      <c r="L7" s="408">
        <f t="shared" si="32"/>
        <v>0.05</v>
      </c>
      <c r="M7" s="409"/>
      <c r="N7" s="405">
        <v>-10</v>
      </c>
      <c r="O7" s="410">
        <v>-0.34</v>
      </c>
      <c r="P7" s="406">
        <f t="shared" si="3"/>
        <v>-0.4</v>
      </c>
      <c r="Q7" s="407">
        <f t="shared" si="4"/>
        <v>0.06</v>
      </c>
      <c r="R7" s="404">
        <f>(0.04-0)/2</f>
        <v>0.02</v>
      </c>
      <c r="S7" s="391"/>
      <c r="T7" s="405">
        <v>-10</v>
      </c>
      <c r="U7" s="410">
        <f t="shared" si="5"/>
        <v>-1.04</v>
      </c>
      <c r="V7" s="406"/>
      <c r="W7" s="407">
        <f t="shared" si="6"/>
        <v>8.3333333333333329E-2</v>
      </c>
      <c r="X7" s="404">
        <f>(0.04-0)/2</f>
        <v>0.02</v>
      </c>
      <c r="Y7" s="391"/>
      <c r="Z7" s="405">
        <v>-10</v>
      </c>
      <c r="AA7" s="410">
        <f t="shared" si="7"/>
        <v>0.05</v>
      </c>
      <c r="AB7" s="406">
        <v>-0.25</v>
      </c>
      <c r="AC7" s="407">
        <f t="shared" si="8"/>
        <v>0.3</v>
      </c>
      <c r="AD7" s="404">
        <f>(0.04-0)/2</f>
        <v>0.02</v>
      </c>
      <c r="AE7" s="391"/>
      <c r="AF7" s="405">
        <v>-10</v>
      </c>
      <c r="AG7" s="410">
        <f t="shared" si="9"/>
        <v>0.04</v>
      </c>
      <c r="AH7" s="406">
        <v>0.17</v>
      </c>
      <c r="AI7" s="407">
        <f t="shared" si="10"/>
        <v>0.13</v>
      </c>
      <c r="AJ7" s="404">
        <f>(0.04-0)/2</f>
        <v>0.02</v>
      </c>
      <c r="AK7" s="391"/>
      <c r="AL7" s="405">
        <v>-10</v>
      </c>
      <c r="AM7" s="410">
        <f t="shared" si="11"/>
        <v>0.43</v>
      </c>
      <c r="AN7" s="406"/>
      <c r="AO7" s="407">
        <f t="shared" si="12"/>
        <v>8.3333333333333329E-2</v>
      </c>
      <c r="AP7" s="404">
        <f>(0.04-0)/2</f>
        <v>0.02</v>
      </c>
      <c r="AQ7" s="391"/>
      <c r="AR7" s="405">
        <v>-10</v>
      </c>
      <c r="AS7" s="410">
        <f t="shared" si="13"/>
        <v>0.36</v>
      </c>
      <c r="AT7" s="406"/>
      <c r="AU7" s="407">
        <f t="shared" si="14"/>
        <v>0.08</v>
      </c>
      <c r="AV7" s="404">
        <f>(0.04-0)/2</f>
        <v>0.02</v>
      </c>
      <c r="AW7" s="391"/>
      <c r="AX7" s="405">
        <v>-10</v>
      </c>
      <c r="AY7" s="410">
        <f t="shared" si="15"/>
        <v>0.5</v>
      </c>
      <c r="AZ7" s="406"/>
      <c r="BA7" s="407">
        <f t="shared" si="16"/>
        <v>0.26333333333333336</v>
      </c>
      <c r="BB7" s="404">
        <f>(0.04-0)/2</f>
        <v>0.02</v>
      </c>
      <c r="BC7" s="391"/>
      <c r="BD7" s="405">
        <v>-10</v>
      </c>
      <c r="BE7" s="410">
        <f t="shared" si="17"/>
        <v>-0.56999999999999995</v>
      </c>
      <c r="BF7" s="406"/>
      <c r="BG7" s="407">
        <f t="shared" si="18"/>
        <v>9.0000000000000011E-2</v>
      </c>
      <c r="BH7" s="404">
        <f>(0.04-0)/2</f>
        <v>0.02</v>
      </c>
      <c r="BI7" s="391"/>
      <c r="BJ7" s="405">
        <v>-10</v>
      </c>
      <c r="BK7" s="410">
        <f t="shared" si="19"/>
        <v>0.5</v>
      </c>
      <c r="BL7" s="406"/>
      <c r="BM7" s="407">
        <f t="shared" si="20"/>
        <v>0.26333333333333336</v>
      </c>
      <c r="BN7" s="404">
        <f>(0.04-0)/2</f>
        <v>0.02</v>
      </c>
      <c r="BO7" s="391"/>
      <c r="BP7" s="405">
        <v>-10</v>
      </c>
      <c r="BQ7" s="410">
        <f t="shared" si="21"/>
        <v>-0.91</v>
      </c>
      <c r="BR7" s="406"/>
      <c r="BS7" s="407">
        <f t="shared" si="22"/>
        <v>8.666666666666667E-2</v>
      </c>
      <c r="BT7" s="404">
        <f>(0.04-0)/2</f>
        <v>0.02</v>
      </c>
      <c r="BU7" s="391"/>
      <c r="BV7" s="405">
        <v>-10</v>
      </c>
      <c r="BW7" s="410">
        <f t="shared" si="23"/>
        <v>-1.01</v>
      </c>
      <c r="BX7" s="406"/>
      <c r="BY7" s="407">
        <f t="shared" si="24"/>
        <v>9.0000000000000011E-2</v>
      </c>
      <c r="BZ7" s="404">
        <f>(0.04-0)/2</f>
        <v>0.02</v>
      </c>
      <c r="CA7" s="391"/>
      <c r="CB7" s="405">
        <v>-10</v>
      </c>
      <c r="CC7" s="410">
        <f t="shared" si="25"/>
        <v>-1.2</v>
      </c>
      <c r="CD7" s="406">
        <f t="shared" si="33"/>
        <v>-0.7</v>
      </c>
      <c r="CE7" s="407">
        <f t="shared" si="26"/>
        <v>0.5</v>
      </c>
      <c r="CF7" s="404">
        <f>(0.04-0)/2</f>
        <v>0.02</v>
      </c>
      <c r="CH7" s="405">
        <v>-10</v>
      </c>
      <c r="CI7" s="410">
        <f t="shared" si="27"/>
        <v>-0.05</v>
      </c>
      <c r="CJ7" s="406">
        <v>-0.18</v>
      </c>
      <c r="CK7" s="407">
        <f t="shared" si="28"/>
        <v>0.13</v>
      </c>
      <c r="CL7" s="404">
        <f>(0.04-0)/2</f>
        <v>0.02</v>
      </c>
      <c r="CN7" s="405">
        <v>-10</v>
      </c>
      <c r="CO7" s="410">
        <f t="shared" si="29"/>
        <v>-1.26</v>
      </c>
      <c r="CP7" s="406">
        <v>-0.28000000000000003</v>
      </c>
      <c r="CQ7" s="407">
        <f t="shared" si="30"/>
        <v>0.98</v>
      </c>
      <c r="CR7" s="404">
        <f>(0.04-0)/2</f>
        <v>0.02</v>
      </c>
    </row>
    <row r="8" spans="2:96">
      <c r="B8" s="405">
        <v>9.9999999999999995E-7</v>
      </c>
      <c r="C8" s="406">
        <v>-0.23</v>
      </c>
      <c r="D8" s="406">
        <f t="shared" si="0"/>
        <v>-0.39</v>
      </c>
      <c r="E8" s="407">
        <f t="shared" si="1"/>
        <v>0.16</v>
      </c>
      <c r="F8" s="408">
        <f>(-0.49+0.75)/2</f>
        <v>0.13</v>
      </c>
      <c r="G8" s="409"/>
      <c r="H8" s="405">
        <v>9.9999999999999995E-7</v>
      </c>
      <c r="I8" s="406">
        <v>-0.28000000000000003</v>
      </c>
      <c r="J8" s="406">
        <f t="shared" si="2"/>
        <v>-0.26</v>
      </c>
      <c r="K8" s="407">
        <f t="shared" si="31"/>
        <v>2.0000000000000018E-2</v>
      </c>
      <c r="L8" s="408">
        <f t="shared" si="32"/>
        <v>0.05</v>
      </c>
      <c r="M8" s="409"/>
      <c r="N8" s="405">
        <v>9.9999999999999995E-7</v>
      </c>
      <c r="O8" s="410">
        <v>-0.35</v>
      </c>
      <c r="P8" s="406">
        <f t="shared" si="3"/>
        <v>-0.26</v>
      </c>
      <c r="Q8" s="407">
        <f t="shared" si="4"/>
        <v>8.9999999999999969E-2</v>
      </c>
      <c r="R8" s="404">
        <f>(0.06-0)/2</f>
        <v>0.03</v>
      </c>
      <c r="S8" s="391"/>
      <c r="T8" s="405">
        <v>9.9999999999999995E-7</v>
      </c>
      <c r="U8" s="410">
        <f t="shared" si="5"/>
        <v>-0.38</v>
      </c>
      <c r="V8" s="406"/>
      <c r="W8" s="407">
        <f t="shared" si="6"/>
        <v>8.3333333333333329E-2</v>
      </c>
      <c r="X8" s="404">
        <f>(0.06-0)/2</f>
        <v>0.03</v>
      </c>
      <c r="Y8" s="391"/>
      <c r="Z8" s="405">
        <v>9.9999999999999995E-7</v>
      </c>
      <c r="AA8" s="410">
        <f t="shared" si="7"/>
        <v>0.02</v>
      </c>
      <c r="AB8" s="406">
        <v>-0.01</v>
      </c>
      <c r="AC8" s="407">
        <f t="shared" si="8"/>
        <v>0.03</v>
      </c>
      <c r="AD8" s="404">
        <f>(0.06-0)/2</f>
        <v>0.03</v>
      </c>
      <c r="AE8" s="391"/>
      <c r="AF8" s="405">
        <v>9.9999999999999995E-7</v>
      </c>
      <c r="AG8" s="410">
        <f t="shared" si="9"/>
        <v>0.02</v>
      </c>
      <c r="AH8" s="406">
        <v>0.35</v>
      </c>
      <c r="AI8" s="407">
        <f t="shared" si="10"/>
        <v>0.32999999999999996</v>
      </c>
      <c r="AJ8" s="404">
        <f>(0.06-0)/2</f>
        <v>0.03</v>
      </c>
      <c r="AK8" s="391"/>
      <c r="AL8" s="405">
        <v>9.9999999999999995E-7</v>
      </c>
      <c r="AM8" s="410">
        <f t="shared" si="11"/>
        <v>0.38</v>
      </c>
      <c r="AN8" s="406"/>
      <c r="AO8" s="407">
        <f t="shared" si="12"/>
        <v>8.3333333333333329E-2</v>
      </c>
      <c r="AP8" s="404">
        <f>(0.06-0)/2</f>
        <v>0.03</v>
      </c>
      <c r="AQ8" s="391"/>
      <c r="AR8" s="405">
        <v>9.9999999999999995E-7</v>
      </c>
      <c r="AS8" s="410">
        <f t="shared" si="13"/>
        <v>0.34</v>
      </c>
      <c r="AT8" s="406"/>
      <c r="AU8" s="407">
        <f t="shared" si="14"/>
        <v>0.08</v>
      </c>
      <c r="AV8" s="404">
        <f>(0.06-0)/2</f>
        <v>0.03</v>
      </c>
      <c r="AW8" s="391"/>
      <c r="AX8" s="405">
        <v>9.9999999999999995E-7</v>
      </c>
      <c r="AY8" s="410">
        <f t="shared" si="15"/>
        <v>0.48</v>
      </c>
      <c r="AZ8" s="406"/>
      <c r="BA8" s="407">
        <f t="shared" si="16"/>
        <v>0.26333333333333336</v>
      </c>
      <c r="BB8" s="404">
        <f>(0.06-0)/2</f>
        <v>0.03</v>
      </c>
      <c r="BC8" s="391"/>
      <c r="BD8" s="405">
        <v>9.9999999999999995E-7</v>
      </c>
      <c r="BE8" s="410">
        <f t="shared" si="17"/>
        <v>-0.31</v>
      </c>
      <c r="BF8" s="406"/>
      <c r="BG8" s="407">
        <f t="shared" si="18"/>
        <v>9.0000000000000011E-2</v>
      </c>
      <c r="BH8" s="404">
        <f>(0.06-0)/2</f>
        <v>0.03</v>
      </c>
      <c r="BI8" s="391"/>
      <c r="BJ8" s="405">
        <v>9.9999999999999995E-7</v>
      </c>
      <c r="BK8" s="410">
        <f t="shared" si="19"/>
        <v>0.48</v>
      </c>
      <c r="BL8" s="406"/>
      <c r="BM8" s="407">
        <f t="shared" si="20"/>
        <v>0.26333333333333336</v>
      </c>
      <c r="BN8" s="404">
        <f>(0.06-0)/2</f>
        <v>0.03</v>
      </c>
      <c r="BO8" s="391"/>
      <c r="BP8" s="405">
        <v>9.9999999999999995E-7</v>
      </c>
      <c r="BQ8" s="410">
        <f t="shared" si="21"/>
        <v>-0.63</v>
      </c>
      <c r="BR8" s="406"/>
      <c r="BS8" s="407">
        <f t="shared" si="22"/>
        <v>8.666666666666667E-2</v>
      </c>
      <c r="BT8" s="404">
        <f>(0.06-0)/2</f>
        <v>0.03</v>
      </c>
      <c r="BU8" s="391"/>
      <c r="BV8" s="405">
        <v>9.9999999999999995E-7</v>
      </c>
      <c r="BW8" s="410">
        <f t="shared" si="23"/>
        <v>-0.6</v>
      </c>
      <c r="BX8" s="406"/>
      <c r="BY8" s="407">
        <f t="shared" si="24"/>
        <v>9.0000000000000011E-2</v>
      </c>
      <c r="BZ8" s="404">
        <f>(0.06-0)/2</f>
        <v>0.03</v>
      </c>
      <c r="CA8" s="391"/>
      <c r="CB8" s="405">
        <v>9.9999999999999995E-7</v>
      </c>
      <c r="CC8" s="410">
        <f t="shared" si="25"/>
        <v>-1.4</v>
      </c>
      <c r="CD8" s="406">
        <f t="shared" si="33"/>
        <v>-0.7</v>
      </c>
      <c r="CE8" s="407">
        <f t="shared" si="26"/>
        <v>0.7</v>
      </c>
      <c r="CF8" s="404">
        <f>(0.06-0)/2</f>
        <v>0.03</v>
      </c>
      <c r="CH8" s="405">
        <v>9.9999999999999995E-7</v>
      </c>
      <c r="CI8" s="410">
        <f t="shared" si="27"/>
        <v>0.03</v>
      </c>
      <c r="CJ8" s="406">
        <v>-0.06</v>
      </c>
      <c r="CK8" s="407">
        <f t="shared" si="28"/>
        <v>0.09</v>
      </c>
      <c r="CL8" s="404">
        <f>(0.06-0)/2</f>
        <v>0.03</v>
      </c>
      <c r="CN8" s="405">
        <v>9.9999999999999995E-7</v>
      </c>
      <c r="CO8" s="410">
        <f t="shared" si="29"/>
        <v>-0.79</v>
      </c>
      <c r="CP8" s="406">
        <v>-0.08</v>
      </c>
      <c r="CQ8" s="407">
        <f t="shared" si="30"/>
        <v>0.71000000000000008</v>
      </c>
      <c r="CR8" s="404">
        <f>(0.06-0)/2</f>
        <v>0.03</v>
      </c>
    </row>
    <row r="9" spans="2:96">
      <c r="B9" s="405">
        <v>2</v>
      </c>
      <c r="C9" s="406">
        <v>-0.21</v>
      </c>
      <c r="D9" s="406">
        <f t="shared" si="0"/>
        <v>-0.35</v>
      </c>
      <c r="E9" s="407">
        <f t="shared" si="1"/>
        <v>0.13999999999999999</v>
      </c>
      <c r="F9" s="408">
        <f>(-0.46+0.69)/2</f>
        <v>0.11499999999999996</v>
      </c>
      <c r="G9" s="409"/>
      <c r="H9" s="405">
        <v>2</v>
      </c>
      <c r="I9" s="406">
        <v>-0.25</v>
      </c>
      <c r="J9" s="406">
        <f t="shared" si="2"/>
        <v>-0.23</v>
      </c>
      <c r="K9" s="407">
        <f t="shared" si="31"/>
        <v>1.999999999999999E-2</v>
      </c>
      <c r="L9" s="408">
        <f t="shared" si="32"/>
        <v>0.05</v>
      </c>
      <c r="M9" s="409"/>
      <c r="N9" s="405">
        <v>2</v>
      </c>
      <c r="O9" s="410">
        <v>-0.35</v>
      </c>
      <c r="P9" s="406">
        <f t="shared" si="3"/>
        <v>-0.24</v>
      </c>
      <c r="Q9" s="407">
        <f t="shared" si="4"/>
        <v>0.10999999999999999</v>
      </c>
      <c r="R9" s="404">
        <f>(0.07-0)/2</f>
        <v>3.5000000000000003E-2</v>
      </c>
      <c r="S9" s="391"/>
      <c r="T9" s="405">
        <v>2</v>
      </c>
      <c r="U9" s="410">
        <f t="shared" si="5"/>
        <v>-0.59</v>
      </c>
      <c r="V9" s="406"/>
      <c r="W9" s="407">
        <f t="shared" si="6"/>
        <v>8.3333333333333329E-2</v>
      </c>
      <c r="X9" s="404">
        <f>(0.07-0)/2</f>
        <v>3.5000000000000003E-2</v>
      </c>
      <c r="Y9" s="391"/>
      <c r="Z9" s="405">
        <v>2</v>
      </c>
      <c r="AA9" s="410">
        <f t="shared" si="7"/>
        <v>0.05</v>
      </c>
      <c r="AB9" s="406">
        <v>0.03</v>
      </c>
      <c r="AC9" s="407">
        <f t="shared" si="8"/>
        <v>2.0000000000000004E-2</v>
      </c>
      <c r="AD9" s="404">
        <f>(0.07-0)/2</f>
        <v>3.5000000000000003E-2</v>
      </c>
      <c r="AE9" s="391"/>
      <c r="AF9" s="405">
        <v>2</v>
      </c>
      <c r="AG9" s="410">
        <f t="shared" si="9"/>
        <v>0.05</v>
      </c>
      <c r="AH9" s="406">
        <v>0.38</v>
      </c>
      <c r="AI9" s="407">
        <f t="shared" si="10"/>
        <v>0.33</v>
      </c>
      <c r="AJ9" s="404">
        <f>(0.07-0)/2</f>
        <v>3.5000000000000003E-2</v>
      </c>
      <c r="AK9" s="391"/>
      <c r="AL9" s="405">
        <v>2</v>
      </c>
      <c r="AM9" s="410">
        <f t="shared" si="11"/>
        <v>0.41</v>
      </c>
      <c r="AN9" s="406"/>
      <c r="AO9" s="407">
        <f t="shared" si="12"/>
        <v>8.3333333333333329E-2</v>
      </c>
      <c r="AP9" s="404">
        <f>(0.07-0)/2</f>
        <v>3.5000000000000003E-2</v>
      </c>
      <c r="AQ9" s="391"/>
      <c r="AR9" s="405">
        <v>2</v>
      </c>
      <c r="AS9" s="410">
        <f t="shared" si="13"/>
        <v>0.37</v>
      </c>
      <c r="AT9" s="406"/>
      <c r="AU9" s="407">
        <f t="shared" si="14"/>
        <v>0.08</v>
      </c>
      <c r="AV9" s="404">
        <f>(0.07-0)/2</f>
        <v>3.5000000000000003E-2</v>
      </c>
      <c r="AW9" s="391"/>
      <c r="AX9" s="405">
        <v>2</v>
      </c>
      <c r="AY9" s="410">
        <f t="shared" si="15"/>
        <v>0.48</v>
      </c>
      <c r="AZ9" s="406"/>
      <c r="BA9" s="407">
        <f t="shared" si="16"/>
        <v>0.26333333333333336</v>
      </c>
      <c r="BB9" s="404">
        <f>(0.07-0)/2</f>
        <v>3.5000000000000003E-2</v>
      </c>
      <c r="BC9" s="391"/>
      <c r="BD9" s="405">
        <v>2</v>
      </c>
      <c r="BE9" s="410">
        <f t="shared" si="17"/>
        <v>-0.43</v>
      </c>
      <c r="BF9" s="406"/>
      <c r="BG9" s="407">
        <f t="shared" si="18"/>
        <v>9.0000000000000011E-2</v>
      </c>
      <c r="BH9" s="404">
        <f>(0.07-0)/2</f>
        <v>3.5000000000000003E-2</v>
      </c>
      <c r="BI9" s="391"/>
      <c r="BJ9" s="405">
        <v>2</v>
      </c>
      <c r="BK9" s="410">
        <f t="shared" si="19"/>
        <v>0.48</v>
      </c>
      <c r="BL9" s="406"/>
      <c r="BM9" s="407">
        <f t="shared" si="20"/>
        <v>0.26333333333333336</v>
      </c>
      <c r="BN9" s="404">
        <f>(0.07-0)/2</f>
        <v>3.5000000000000003E-2</v>
      </c>
      <c r="BO9" s="391"/>
      <c r="BP9" s="405">
        <v>2</v>
      </c>
      <c r="BQ9" s="410">
        <f t="shared" si="21"/>
        <v>-0.67</v>
      </c>
      <c r="BR9" s="406"/>
      <c r="BS9" s="407">
        <f t="shared" si="22"/>
        <v>8.666666666666667E-2</v>
      </c>
      <c r="BT9" s="404">
        <f>(0.07-0)/2</f>
        <v>3.5000000000000003E-2</v>
      </c>
      <c r="BU9" s="391"/>
      <c r="BV9" s="405">
        <v>2</v>
      </c>
      <c r="BW9" s="410">
        <f t="shared" si="23"/>
        <v>-0.65</v>
      </c>
      <c r="BX9" s="406"/>
      <c r="BY9" s="407">
        <f t="shared" si="24"/>
        <v>9.0000000000000011E-2</v>
      </c>
      <c r="BZ9" s="404">
        <f>(0.07-0)/2</f>
        <v>3.5000000000000003E-2</v>
      </c>
      <c r="CA9" s="391"/>
      <c r="CB9" s="405">
        <v>2</v>
      </c>
      <c r="CC9" s="410">
        <f t="shared" si="25"/>
        <v>0</v>
      </c>
      <c r="CD9" s="406">
        <f t="shared" si="33"/>
        <v>-0.7</v>
      </c>
      <c r="CE9" s="407">
        <f t="shared" si="26"/>
        <v>0.19999999999999998</v>
      </c>
      <c r="CF9" s="404">
        <f>(0.07-0)/2</f>
        <v>3.5000000000000003E-2</v>
      </c>
      <c r="CH9" s="405">
        <v>2</v>
      </c>
      <c r="CI9" s="410">
        <f t="shared" si="27"/>
        <v>0.04</v>
      </c>
      <c r="CJ9" s="406">
        <v>-0.04</v>
      </c>
      <c r="CK9" s="407">
        <f t="shared" si="28"/>
        <v>0.08</v>
      </c>
      <c r="CL9" s="404">
        <f>(0.07-0)/2</f>
        <v>3.5000000000000003E-2</v>
      </c>
      <c r="CN9" s="405">
        <v>2</v>
      </c>
      <c r="CO9" s="410">
        <f t="shared" si="29"/>
        <v>-0.7</v>
      </c>
      <c r="CP9" s="406">
        <v>-0.05</v>
      </c>
      <c r="CQ9" s="407">
        <f t="shared" si="30"/>
        <v>0.64999999999999991</v>
      </c>
      <c r="CR9" s="404">
        <f>(0.07-0)/2</f>
        <v>3.5000000000000003E-2</v>
      </c>
    </row>
    <row r="10" spans="2:96">
      <c r="B10" s="405">
        <v>8</v>
      </c>
      <c r="C10" s="406">
        <v>-0.16</v>
      </c>
      <c r="D10" s="406">
        <f t="shared" si="0"/>
        <v>-0.25</v>
      </c>
      <c r="E10" s="407">
        <f t="shared" si="1"/>
        <v>0.09</v>
      </c>
      <c r="F10" s="408">
        <f>(-0.4+0.49)/2</f>
        <v>4.4999999999999984E-2</v>
      </c>
      <c r="G10" s="409"/>
      <c r="H10" s="405">
        <v>8</v>
      </c>
      <c r="I10" s="406">
        <v>-0.17</v>
      </c>
      <c r="J10" s="406">
        <f t="shared" si="2"/>
        <v>-0.13</v>
      </c>
      <c r="K10" s="407">
        <f t="shared" si="31"/>
        <v>4.0000000000000008E-2</v>
      </c>
      <c r="L10" s="408">
        <f t="shared" si="32"/>
        <v>0.05</v>
      </c>
      <c r="M10" s="409"/>
      <c r="N10" s="405">
        <v>8</v>
      </c>
      <c r="O10" s="410">
        <v>-0.15</v>
      </c>
      <c r="P10" s="406">
        <f t="shared" si="3"/>
        <v>-0.17</v>
      </c>
      <c r="Q10" s="407">
        <f t="shared" si="4"/>
        <v>2.0000000000000018E-2</v>
      </c>
      <c r="R10" s="404">
        <f>(0.08-0)/2</f>
        <v>0.04</v>
      </c>
      <c r="S10" s="391"/>
      <c r="T10" s="405">
        <v>8</v>
      </c>
      <c r="U10" s="410">
        <f t="shared" si="5"/>
        <v>-0.33</v>
      </c>
      <c r="V10" s="406"/>
      <c r="W10" s="407">
        <f t="shared" si="6"/>
        <v>8.3333333333333329E-2</v>
      </c>
      <c r="X10" s="404">
        <f>(0.08-0)/2</f>
        <v>0.04</v>
      </c>
      <c r="Y10" s="391"/>
      <c r="Z10" s="405">
        <v>8</v>
      </c>
      <c r="AA10" s="410">
        <f t="shared" si="7"/>
        <v>0.05</v>
      </c>
      <c r="AB10" s="406">
        <v>0.15</v>
      </c>
      <c r="AC10" s="407">
        <f t="shared" si="8"/>
        <v>9.9999999999999992E-2</v>
      </c>
      <c r="AD10" s="404">
        <f>(0.08-0)/2</f>
        <v>0.04</v>
      </c>
      <c r="AE10" s="391"/>
      <c r="AF10" s="405">
        <v>8</v>
      </c>
      <c r="AG10" s="410">
        <f t="shared" si="9"/>
        <v>0.04</v>
      </c>
      <c r="AH10" s="406">
        <v>0.47</v>
      </c>
      <c r="AI10" s="407">
        <f t="shared" si="10"/>
        <v>0.43</v>
      </c>
      <c r="AJ10" s="404">
        <f>(0.08-0)/2</f>
        <v>0.04</v>
      </c>
      <c r="AK10" s="391"/>
      <c r="AL10" s="405">
        <v>8</v>
      </c>
      <c r="AM10" s="410">
        <f t="shared" si="11"/>
        <v>0.41</v>
      </c>
      <c r="AN10" s="406"/>
      <c r="AO10" s="407">
        <f t="shared" si="12"/>
        <v>8.3333333333333329E-2</v>
      </c>
      <c r="AP10" s="404">
        <f>(0.08-0)/2</f>
        <v>0.04</v>
      </c>
      <c r="AQ10" s="391"/>
      <c r="AR10" s="405">
        <v>8</v>
      </c>
      <c r="AS10" s="410">
        <f t="shared" si="13"/>
        <v>0.36</v>
      </c>
      <c r="AT10" s="406"/>
      <c r="AU10" s="407">
        <f t="shared" si="14"/>
        <v>0.08</v>
      </c>
      <c r="AV10" s="404">
        <f>(0.08-0)/2</f>
        <v>0.04</v>
      </c>
      <c r="AW10" s="391"/>
      <c r="AX10" s="405">
        <v>8</v>
      </c>
      <c r="AY10" s="410">
        <f t="shared" si="15"/>
        <v>0.46</v>
      </c>
      <c r="AZ10" s="406"/>
      <c r="BA10" s="407">
        <f t="shared" si="16"/>
        <v>0.26333333333333336</v>
      </c>
      <c r="BB10" s="404">
        <f>(0.08-0)/2</f>
        <v>0.04</v>
      </c>
      <c r="BC10" s="391"/>
      <c r="BD10" s="405">
        <v>8</v>
      </c>
      <c r="BE10" s="410">
        <f t="shared" si="17"/>
        <v>-0.16</v>
      </c>
      <c r="BF10" s="406"/>
      <c r="BG10" s="407">
        <f t="shared" si="18"/>
        <v>9.0000000000000011E-2</v>
      </c>
      <c r="BH10" s="404">
        <f>(0.08-0)/2</f>
        <v>0.04</v>
      </c>
      <c r="BI10" s="391"/>
      <c r="BJ10" s="405">
        <v>8</v>
      </c>
      <c r="BK10" s="410">
        <f t="shared" si="19"/>
        <v>0.46</v>
      </c>
      <c r="BL10" s="406"/>
      <c r="BM10" s="407">
        <f t="shared" si="20"/>
        <v>0.26333333333333336</v>
      </c>
      <c r="BN10" s="404">
        <f>(0.08-0)/2</f>
        <v>0.04</v>
      </c>
      <c r="BO10" s="391"/>
      <c r="BP10" s="405">
        <v>8</v>
      </c>
      <c r="BQ10" s="410">
        <f t="shared" si="21"/>
        <v>-0.4</v>
      </c>
      <c r="BR10" s="406"/>
      <c r="BS10" s="407">
        <f t="shared" si="22"/>
        <v>8.666666666666667E-2</v>
      </c>
      <c r="BT10" s="404">
        <f>(0.08-0)/2</f>
        <v>0.04</v>
      </c>
      <c r="BU10" s="391"/>
      <c r="BV10" s="405">
        <v>8</v>
      </c>
      <c r="BW10" s="410">
        <f t="shared" si="23"/>
        <v>-0.38</v>
      </c>
      <c r="BX10" s="406"/>
      <c r="BY10" s="407">
        <f t="shared" si="24"/>
        <v>9.0000000000000011E-2</v>
      </c>
      <c r="BZ10" s="404">
        <f>(0.08-0)/2</f>
        <v>0.04</v>
      </c>
      <c r="CA10" s="391"/>
      <c r="CB10" s="405">
        <v>8</v>
      </c>
      <c r="CC10" s="410">
        <f t="shared" si="25"/>
        <v>0</v>
      </c>
      <c r="CD10" s="406">
        <f t="shared" si="33"/>
        <v>-0.7</v>
      </c>
      <c r="CE10" s="407">
        <f t="shared" si="26"/>
        <v>0.19999999999999998</v>
      </c>
      <c r="CF10" s="404">
        <f>(0.08-0)/2</f>
        <v>0.04</v>
      </c>
      <c r="CH10" s="405">
        <v>8</v>
      </c>
      <c r="CI10" s="410">
        <f t="shared" si="27"/>
        <v>0.08</v>
      </c>
      <c r="CJ10" s="406">
        <v>0.01</v>
      </c>
      <c r="CK10" s="407">
        <f t="shared" si="28"/>
        <v>7.0000000000000007E-2</v>
      </c>
      <c r="CL10" s="404">
        <f>(0.08-0)/2</f>
        <v>0.04</v>
      </c>
      <c r="CN10" s="405">
        <v>8</v>
      </c>
      <c r="CO10" s="410">
        <f t="shared" si="29"/>
        <v>-0.46</v>
      </c>
      <c r="CP10" s="406">
        <v>0.06</v>
      </c>
      <c r="CQ10" s="407">
        <f t="shared" si="30"/>
        <v>0.52</v>
      </c>
      <c r="CR10" s="404">
        <f>(0.08-0)/2</f>
        <v>0.04</v>
      </c>
    </row>
    <row r="11" spans="2:96">
      <c r="B11" s="405">
        <v>37</v>
      </c>
      <c r="C11" s="406">
        <v>9.9999999999999995E-7</v>
      </c>
      <c r="D11" s="406">
        <f t="shared" si="0"/>
        <v>0.2</v>
      </c>
      <c r="E11" s="407">
        <f t="shared" si="1"/>
        <v>0.19999900000000001</v>
      </c>
      <c r="F11" s="408">
        <f>(0.23+0.2)/2</f>
        <v>0.21500000000000002</v>
      </c>
      <c r="G11" s="409"/>
      <c r="H11" s="405">
        <v>37</v>
      </c>
      <c r="I11" s="406">
        <v>0.04</v>
      </c>
      <c r="J11" s="406">
        <f t="shared" si="2"/>
        <v>0.21</v>
      </c>
      <c r="K11" s="407">
        <f t="shared" si="31"/>
        <v>0.16999999999999998</v>
      </c>
      <c r="L11" s="408">
        <f t="shared" si="32"/>
        <v>0.05</v>
      </c>
      <c r="M11" s="409"/>
      <c r="N11" s="405">
        <v>37</v>
      </c>
      <c r="O11" s="410">
        <v>-0.15</v>
      </c>
      <c r="P11" s="406">
        <f t="shared" si="3"/>
        <v>0</v>
      </c>
      <c r="Q11" s="407">
        <f t="shared" si="4"/>
        <v>9.3333333333333338E-2</v>
      </c>
      <c r="R11" s="404">
        <f>(0.13-0)/2</f>
        <v>6.5000000000000002E-2</v>
      </c>
      <c r="S11" s="391"/>
      <c r="T11" s="405">
        <v>37</v>
      </c>
      <c r="U11" s="410">
        <f t="shared" si="5"/>
        <v>0.5</v>
      </c>
      <c r="V11" s="406"/>
      <c r="W11" s="407">
        <f t="shared" si="6"/>
        <v>8.3333333333333329E-2</v>
      </c>
      <c r="X11" s="404">
        <f>(0.13-0)/2</f>
        <v>6.5000000000000002E-2</v>
      </c>
      <c r="Y11" s="391"/>
      <c r="Z11" s="405">
        <v>37</v>
      </c>
      <c r="AA11" s="410">
        <f t="shared" si="7"/>
        <v>0.05</v>
      </c>
      <c r="AB11" s="406">
        <v>0.56000000000000005</v>
      </c>
      <c r="AC11" s="407">
        <f t="shared" si="8"/>
        <v>0.51</v>
      </c>
      <c r="AD11" s="404">
        <f>(0.13-0)/2</f>
        <v>6.5000000000000002E-2</v>
      </c>
      <c r="AE11" s="391"/>
      <c r="AF11" s="405">
        <v>37</v>
      </c>
      <c r="AG11" s="410">
        <f t="shared" si="9"/>
        <v>0.05</v>
      </c>
      <c r="AH11" s="406">
        <v>0.72</v>
      </c>
      <c r="AI11" s="407">
        <f t="shared" si="10"/>
        <v>0.66999999999999993</v>
      </c>
      <c r="AJ11" s="404">
        <f>(0.13-0)/2</f>
        <v>6.5000000000000002E-2</v>
      </c>
      <c r="AK11" s="391"/>
      <c r="AL11" s="405">
        <v>37</v>
      </c>
      <c r="AM11" s="410">
        <f t="shared" si="11"/>
        <v>0.41</v>
      </c>
      <c r="AN11" s="406"/>
      <c r="AO11" s="407">
        <f t="shared" si="12"/>
        <v>8.3333333333333329E-2</v>
      </c>
      <c r="AP11" s="404">
        <f>(0.13-0)/2</f>
        <v>6.5000000000000002E-2</v>
      </c>
      <c r="AQ11" s="391"/>
      <c r="AR11" s="405">
        <v>37</v>
      </c>
      <c r="AS11" s="410">
        <f t="shared" si="13"/>
        <v>0.33</v>
      </c>
      <c r="AT11" s="406"/>
      <c r="AU11" s="407">
        <f t="shared" si="14"/>
        <v>0.08</v>
      </c>
      <c r="AV11" s="404">
        <f>(0.13-0)/2</f>
        <v>6.5000000000000002E-2</v>
      </c>
      <c r="AW11" s="391"/>
      <c r="AX11" s="405">
        <v>37</v>
      </c>
      <c r="AY11" s="410">
        <f t="shared" si="15"/>
        <v>0.38</v>
      </c>
      <c r="AZ11" s="406"/>
      <c r="BA11" s="407">
        <f t="shared" si="16"/>
        <v>0.26333333333333336</v>
      </c>
      <c r="BB11" s="404">
        <f>(0.13-0)/2</f>
        <v>6.5000000000000002E-2</v>
      </c>
      <c r="BC11" s="391"/>
      <c r="BD11" s="405">
        <v>37</v>
      </c>
      <c r="BE11" s="410">
        <f t="shared" si="17"/>
        <v>0.65</v>
      </c>
      <c r="BF11" s="406"/>
      <c r="BG11" s="407">
        <f t="shared" si="18"/>
        <v>9.0000000000000011E-2</v>
      </c>
      <c r="BH11" s="404">
        <f>(0.13-0)/2</f>
        <v>6.5000000000000002E-2</v>
      </c>
      <c r="BI11" s="391"/>
      <c r="BJ11" s="405">
        <v>37</v>
      </c>
      <c r="BK11" s="410">
        <f t="shared" si="19"/>
        <v>0.38</v>
      </c>
      <c r="BL11" s="406"/>
      <c r="BM11" s="407">
        <f t="shared" si="20"/>
        <v>0.26333333333333336</v>
      </c>
      <c r="BN11" s="404">
        <f>(0.13-0)/2</f>
        <v>6.5000000000000002E-2</v>
      </c>
      <c r="BO11" s="391"/>
      <c r="BP11" s="405">
        <v>37</v>
      </c>
      <c r="BQ11" s="410">
        <f t="shared" si="21"/>
        <v>0.45</v>
      </c>
      <c r="BR11" s="406"/>
      <c r="BS11" s="407">
        <f t="shared" si="22"/>
        <v>8.666666666666667E-2</v>
      </c>
      <c r="BT11" s="404">
        <f>(0.13-0)/2</f>
        <v>6.5000000000000002E-2</v>
      </c>
      <c r="BU11" s="391"/>
      <c r="BV11" s="405">
        <v>37</v>
      </c>
      <c r="BW11" s="410">
        <f t="shared" si="23"/>
        <v>0.52</v>
      </c>
      <c r="BX11" s="406"/>
      <c r="BY11" s="407">
        <f t="shared" si="24"/>
        <v>9.0000000000000011E-2</v>
      </c>
      <c r="BZ11" s="404">
        <f>(0.13-0)/2</f>
        <v>6.5000000000000002E-2</v>
      </c>
      <c r="CA11" s="391"/>
      <c r="CB11" s="405">
        <v>37</v>
      </c>
      <c r="CC11" s="410">
        <f t="shared" si="25"/>
        <v>0</v>
      </c>
      <c r="CD11" s="406">
        <f t="shared" si="33"/>
        <v>-0.6</v>
      </c>
      <c r="CE11" s="407">
        <f t="shared" si="26"/>
        <v>0.19999999999999998</v>
      </c>
      <c r="CF11" s="404">
        <f>(0.13-0)/2</f>
        <v>6.5000000000000002E-2</v>
      </c>
      <c r="CH11" s="405">
        <v>37</v>
      </c>
      <c r="CI11" s="410">
        <f t="shared" si="27"/>
        <v>0.23</v>
      </c>
      <c r="CJ11" s="406">
        <v>0.19</v>
      </c>
      <c r="CK11" s="407">
        <f t="shared" si="28"/>
        <v>4.0000000000000008E-2</v>
      </c>
      <c r="CL11" s="404">
        <f>(0.13-0)/2</f>
        <v>6.5000000000000002E-2</v>
      </c>
      <c r="CN11" s="405">
        <v>37</v>
      </c>
      <c r="CO11" s="410">
        <f t="shared" si="29"/>
        <v>0.42</v>
      </c>
      <c r="CP11" s="406">
        <v>0.45</v>
      </c>
      <c r="CQ11" s="407">
        <f t="shared" si="30"/>
        <v>3.0000000000000027E-2</v>
      </c>
      <c r="CR11" s="404">
        <f>(0.13-0)/2</f>
        <v>6.5000000000000002E-2</v>
      </c>
    </row>
    <row r="12" spans="2:96">
      <c r="B12" s="405">
        <v>44</v>
      </c>
      <c r="C12" s="406">
        <v>0.02</v>
      </c>
      <c r="D12" s="406">
        <f t="shared" si="0"/>
        <v>0.28999999999999998</v>
      </c>
      <c r="E12" s="407">
        <f t="shared" si="1"/>
        <v>0.26999999999999996</v>
      </c>
      <c r="F12" s="408">
        <f>(0.36+0.17)/2</f>
        <v>0.26500000000000001</v>
      </c>
      <c r="G12" s="409"/>
      <c r="H12" s="405">
        <v>44</v>
      </c>
      <c r="I12" s="406">
        <v>0.06</v>
      </c>
      <c r="J12" s="406">
        <f t="shared" si="2"/>
        <v>0.28000000000000003</v>
      </c>
      <c r="K12" s="407">
        <f t="shared" si="31"/>
        <v>0.22000000000000003</v>
      </c>
      <c r="L12" s="408">
        <f>(0+0.09)/2</f>
        <v>4.4999999999999998E-2</v>
      </c>
      <c r="M12" s="409"/>
      <c r="N12" s="405">
        <v>44</v>
      </c>
      <c r="O12" s="410">
        <v>-0.18</v>
      </c>
      <c r="P12" s="406">
        <f t="shared" si="3"/>
        <v>0.02</v>
      </c>
      <c r="Q12" s="407">
        <f t="shared" si="4"/>
        <v>0.19999999999999998</v>
      </c>
      <c r="R12" s="404">
        <f>(0.14-0)/2</f>
        <v>7.0000000000000007E-2</v>
      </c>
      <c r="S12" s="391"/>
      <c r="T12" s="405">
        <v>44</v>
      </c>
      <c r="U12" s="410">
        <f t="shared" si="5"/>
        <v>0.62</v>
      </c>
      <c r="V12" s="406"/>
      <c r="W12" s="407">
        <f t="shared" si="6"/>
        <v>8.3333333333333329E-2</v>
      </c>
      <c r="X12" s="404">
        <f>(0.14-0)/2</f>
        <v>7.0000000000000007E-2</v>
      </c>
      <c r="Y12" s="391"/>
      <c r="Z12" s="405">
        <v>44</v>
      </c>
      <c r="AA12" s="410">
        <f t="shared" si="7"/>
        <v>0.06</v>
      </c>
      <c r="AB12" s="406">
        <v>0.62</v>
      </c>
      <c r="AC12" s="407">
        <f t="shared" si="8"/>
        <v>0.56000000000000005</v>
      </c>
      <c r="AD12" s="404">
        <f>(0.14-0)/2</f>
        <v>7.0000000000000007E-2</v>
      </c>
      <c r="AE12" s="391"/>
      <c r="AF12" s="405">
        <v>44</v>
      </c>
      <c r="AG12" s="410">
        <f t="shared" si="9"/>
        <v>0.06</v>
      </c>
      <c r="AH12" s="406">
        <v>0.75</v>
      </c>
      <c r="AI12" s="407">
        <f t="shared" si="10"/>
        <v>0.69</v>
      </c>
      <c r="AJ12" s="404">
        <f>(0.14-0)/2</f>
        <v>7.0000000000000007E-2</v>
      </c>
      <c r="AK12" s="391"/>
      <c r="AL12" s="405">
        <v>44</v>
      </c>
      <c r="AM12" s="410">
        <f t="shared" si="11"/>
        <v>0.41</v>
      </c>
      <c r="AN12" s="406"/>
      <c r="AO12" s="407">
        <f t="shared" si="12"/>
        <v>8.3333333333333329E-2</v>
      </c>
      <c r="AP12" s="404">
        <f>(0.14-0)/2</f>
        <v>7.0000000000000007E-2</v>
      </c>
      <c r="AQ12" s="391"/>
      <c r="AR12" s="405">
        <v>44</v>
      </c>
      <c r="AS12" s="410">
        <f t="shared" si="13"/>
        <v>0.33</v>
      </c>
      <c r="AT12" s="406"/>
      <c r="AU12" s="407">
        <f t="shared" si="14"/>
        <v>0.08</v>
      </c>
      <c r="AV12" s="404">
        <f>(0.14-0)/2</f>
        <v>7.0000000000000007E-2</v>
      </c>
      <c r="AW12" s="391"/>
      <c r="AX12" s="405">
        <v>44</v>
      </c>
      <c r="AY12" s="410">
        <f t="shared" si="15"/>
        <v>0.36</v>
      </c>
      <c r="AZ12" s="406"/>
      <c r="BA12" s="407">
        <f t="shared" si="16"/>
        <v>0.26333333333333336</v>
      </c>
      <c r="BB12" s="404">
        <f>(0.14-0)/2</f>
        <v>7.0000000000000007E-2</v>
      </c>
      <c r="BC12" s="391"/>
      <c r="BD12" s="405">
        <v>44</v>
      </c>
      <c r="BE12" s="410">
        <f t="shared" si="17"/>
        <v>0.75</v>
      </c>
      <c r="BF12" s="406"/>
      <c r="BG12" s="407">
        <f t="shared" si="18"/>
        <v>9.0000000000000011E-2</v>
      </c>
      <c r="BH12" s="404">
        <f>(0.14-0)/2</f>
        <v>7.0000000000000007E-2</v>
      </c>
      <c r="BI12" s="391"/>
      <c r="BJ12" s="405">
        <v>44</v>
      </c>
      <c r="BK12" s="410">
        <f t="shared" si="19"/>
        <v>0.36</v>
      </c>
      <c r="BL12" s="406"/>
      <c r="BM12" s="407">
        <f t="shared" si="20"/>
        <v>0.26333333333333336</v>
      </c>
      <c r="BN12" s="404">
        <f>(0.14-0)/2</f>
        <v>7.0000000000000007E-2</v>
      </c>
      <c r="BO12" s="391"/>
      <c r="BP12" s="405">
        <v>44</v>
      </c>
      <c r="BQ12" s="410">
        <f t="shared" si="21"/>
        <v>0.56000000000000005</v>
      </c>
      <c r="BR12" s="406"/>
      <c r="BS12" s="407">
        <f t="shared" si="22"/>
        <v>8.666666666666667E-2</v>
      </c>
      <c r="BT12" s="404">
        <f>(0.14-0)/2</f>
        <v>7.0000000000000007E-2</v>
      </c>
      <c r="BU12" s="391"/>
      <c r="BV12" s="405">
        <v>44</v>
      </c>
      <c r="BW12" s="410">
        <f t="shared" si="23"/>
        <v>0.65</v>
      </c>
      <c r="BX12" s="406"/>
      <c r="BY12" s="407">
        <f t="shared" si="24"/>
        <v>9.0000000000000011E-2</v>
      </c>
      <c r="BZ12" s="404">
        <f>(0.14-0)/2</f>
        <v>7.0000000000000007E-2</v>
      </c>
      <c r="CA12" s="391"/>
      <c r="CB12" s="405">
        <v>44</v>
      </c>
      <c r="CC12" s="410">
        <f t="shared" si="25"/>
        <v>0</v>
      </c>
      <c r="CD12" s="406">
        <f t="shared" si="33"/>
        <v>-0.7</v>
      </c>
      <c r="CE12" s="407">
        <f t="shared" si="26"/>
        <v>0.19999999999999998</v>
      </c>
      <c r="CF12" s="404">
        <f>(0.14-0)/2</f>
        <v>7.0000000000000007E-2</v>
      </c>
      <c r="CH12" s="405">
        <v>44</v>
      </c>
      <c r="CI12" s="410">
        <f t="shared" si="27"/>
        <v>0.25</v>
      </c>
      <c r="CJ12" s="406">
        <v>0.21</v>
      </c>
      <c r="CK12" s="407">
        <f t="shared" si="28"/>
        <v>4.0000000000000008E-2</v>
      </c>
      <c r="CL12" s="404">
        <f>(0.14-0)/2</f>
        <v>7.0000000000000007E-2</v>
      </c>
      <c r="CN12" s="405">
        <v>44</v>
      </c>
      <c r="CO12" s="410">
        <f t="shared" si="29"/>
        <v>0.56999999999999995</v>
      </c>
      <c r="CP12" s="406">
        <v>0.52</v>
      </c>
      <c r="CQ12" s="407">
        <f t="shared" si="30"/>
        <v>4.9999999999999933E-2</v>
      </c>
      <c r="CR12" s="404">
        <f>(0.14-0)/2</f>
        <v>7.0000000000000007E-2</v>
      </c>
    </row>
    <row r="13" spans="2:96">
      <c r="B13" s="405">
        <v>50</v>
      </c>
      <c r="C13" s="406">
        <v>0.04</v>
      </c>
      <c r="D13" s="406">
        <f t="shared" si="0"/>
        <v>0.37</v>
      </c>
      <c r="E13" s="407">
        <f t="shared" si="1"/>
        <v>0.33</v>
      </c>
      <c r="F13" s="408">
        <f>(0.46+0.15)/2</f>
        <v>0.30499999999999999</v>
      </c>
      <c r="G13" s="409"/>
      <c r="H13" s="405">
        <v>50</v>
      </c>
      <c r="I13" s="406">
        <v>0.06</v>
      </c>
      <c r="J13" s="406">
        <f t="shared" si="2"/>
        <v>0.33</v>
      </c>
      <c r="K13" s="407">
        <f t="shared" si="31"/>
        <v>0.27</v>
      </c>
      <c r="L13" s="408">
        <f>(0+0.06)/2</f>
        <v>0.03</v>
      </c>
      <c r="M13" s="409"/>
      <c r="N13" s="405">
        <v>50</v>
      </c>
      <c r="O13" s="410">
        <v>0.36</v>
      </c>
      <c r="P13" s="406">
        <f t="shared" si="3"/>
        <v>0.02</v>
      </c>
      <c r="Q13" s="407">
        <f t="shared" si="4"/>
        <v>0.33999999999999997</v>
      </c>
      <c r="R13" s="404">
        <f>(0.15-0)/2</f>
        <v>7.4999999999999997E-2</v>
      </c>
      <c r="S13" s="391"/>
      <c r="T13" s="405">
        <v>50</v>
      </c>
      <c r="U13" s="410">
        <f t="shared" si="5"/>
        <v>0.65</v>
      </c>
      <c r="V13" s="406"/>
      <c r="W13" s="407">
        <f t="shared" si="6"/>
        <v>8.3333333333333329E-2</v>
      </c>
      <c r="X13" s="404">
        <f>(0.15-0)/2</f>
        <v>7.4999999999999997E-2</v>
      </c>
      <c r="Y13" s="391"/>
      <c r="Z13" s="405">
        <v>50</v>
      </c>
      <c r="AA13" s="410">
        <f t="shared" si="7"/>
        <v>7.0000000000000007E-2</v>
      </c>
      <c r="AB13" s="406">
        <v>0.66</v>
      </c>
      <c r="AC13" s="407">
        <f t="shared" si="8"/>
        <v>0.59000000000000008</v>
      </c>
      <c r="AD13" s="404">
        <f>(0.15-0)/2</f>
        <v>7.4999999999999997E-2</v>
      </c>
      <c r="AE13" s="391"/>
      <c r="AF13" s="405">
        <v>50</v>
      </c>
      <c r="AG13" s="410">
        <f t="shared" si="9"/>
        <v>7.0000000000000007E-2</v>
      </c>
      <c r="AH13" s="406">
        <v>0.76</v>
      </c>
      <c r="AI13" s="407">
        <f t="shared" si="10"/>
        <v>0.69</v>
      </c>
      <c r="AJ13" s="404">
        <f>(0.15-0)/2</f>
        <v>7.4999999999999997E-2</v>
      </c>
      <c r="AK13" s="391"/>
      <c r="AL13" s="405">
        <v>50</v>
      </c>
      <c r="AM13" s="410">
        <f t="shared" si="11"/>
        <v>0.41</v>
      </c>
      <c r="AN13" s="406"/>
      <c r="AO13" s="407">
        <f t="shared" si="12"/>
        <v>8.3333333333333329E-2</v>
      </c>
      <c r="AP13" s="404">
        <f>(0.15-0)/2</f>
        <v>7.4999999999999997E-2</v>
      </c>
      <c r="AQ13" s="391"/>
      <c r="AR13" s="405">
        <v>50</v>
      </c>
      <c r="AS13" s="410">
        <f t="shared" si="13"/>
        <v>0.33</v>
      </c>
      <c r="AT13" s="406"/>
      <c r="AU13" s="407">
        <f t="shared" si="14"/>
        <v>0.08</v>
      </c>
      <c r="AV13" s="404">
        <f>(0.15-0)/2</f>
        <v>7.4999999999999997E-2</v>
      </c>
      <c r="AW13" s="391"/>
      <c r="AX13" s="405">
        <v>50</v>
      </c>
      <c r="AY13" s="410">
        <f t="shared" si="15"/>
        <v>0.34</v>
      </c>
      <c r="AZ13" s="406"/>
      <c r="BA13" s="407">
        <f t="shared" si="16"/>
        <v>0.26333333333333336</v>
      </c>
      <c r="BB13" s="404">
        <f>(0.15-0)/2</f>
        <v>7.4999999999999997E-2</v>
      </c>
      <c r="BC13" s="391"/>
      <c r="BD13" s="405">
        <v>50</v>
      </c>
      <c r="BE13" s="410">
        <f t="shared" si="17"/>
        <v>0.8</v>
      </c>
      <c r="BF13" s="406"/>
      <c r="BG13" s="407">
        <f t="shared" si="18"/>
        <v>9.0000000000000011E-2</v>
      </c>
      <c r="BH13" s="404">
        <f>(0.15-0)/2</f>
        <v>7.4999999999999997E-2</v>
      </c>
      <c r="BI13" s="391"/>
      <c r="BJ13" s="405">
        <v>50</v>
      </c>
      <c r="BK13" s="410">
        <f t="shared" si="19"/>
        <v>0.34</v>
      </c>
      <c r="BL13" s="406"/>
      <c r="BM13" s="407">
        <f t="shared" si="20"/>
        <v>0.26333333333333336</v>
      </c>
      <c r="BN13" s="404">
        <f>(0.15-0)/2</f>
        <v>7.4999999999999997E-2</v>
      </c>
      <c r="BO13" s="391"/>
      <c r="BP13" s="405">
        <v>50</v>
      </c>
      <c r="BQ13" s="410">
        <f t="shared" si="21"/>
        <v>0.64</v>
      </c>
      <c r="BR13" s="406"/>
      <c r="BS13" s="407">
        <f t="shared" si="22"/>
        <v>8.666666666666667E-2</v>
      </c>
      <c r="BT13" s="404">
        <f>(0.15-0)/2</f>
        <v>7.4999999999999997E-2</v>
      </c>
      <c r="BU13" s="391"/>
      <c r="BV13" s="405">
        <v>50</v>
      </c>
      <c r="BW13" s="410">
        <f t="shared" si="23"/>
        <v>0.74</v>
      </c>
      <c r="BX13" s="406"/>
      <c r="BY13" s="407">
        <f t="shared" si="24"/>
        <v>9.0000000000000011E-2</v>
      </c>
      <c r="BZ13" s="404">
        <f>(0.15-0)/2</f>
        <v>7.4999999999999997E-2</v>
      </c>
      <c r="CA13" s="391"/>
      <c r="CB13" s="405">
        <v>50</v>
      </c>
      <c r="CC13" s="410">
        <f t="shared" si="25"/>
        <v>-1</v>
      </c>
      <c r="CD13" s="406">
        <f t="shared" si="33"/>
        <v>-0.7</v>
      </c>
      <c r="CE13" s="407">
        <f t="shared" si="26"/>
        <v>0.30000000000000004</v>
      </c>
      <c r="CF13" s="404">
        <f>(0.15-0)/2</f>
        <v>7.4999999999999997E-2</v>
      </c>
      <c r="CH13" s="405">
        <v>50</v>
      </c>
      <c r="CI13" s="410">
        <f t="shared" si="27"/>
        <v>0.27</v>
      </c>
      <c r="CJ13" s="406">
        <v>0.22</v>
      </c>
      <c r="CK13" s="407">
        <f t="shared" si="28"/>
        <v>5.0000000000000017E-2</v>
      </c>
      <c r="CL13" s="404">
        <f>(0.15-0)/2</f>
        <v>7.4999999999999997E-2</v>
      </c>
      <c r="CN13" s="405">
        <v>50</v>
      </c>
      <c r="CO13" s="410">
        <f t="shared" si="29"/>
        <v>0.67</v>
      </c>
      <c r="CP13" s="406">
        <v>0.56999999999999995</v>
      </c>
      <c r="CQ13" s="407">
        <f t="shared" si="30"/>
        <v>0.10000000000000009</v>
      </c>
      <c r="CR13" s="404">
        <f>(0.15-0)/2</f>
        <v>7.4999999999999997E-2</v>
      </c>
    </row>
    <row r="14" spans="2:96">
      <c r="B14" s="405">
        <v>100</v>
      </c>
      <c r="C14" s="406">
        <v>0.08</v>
      </c>
      <c r="D14" s="406">
        <f t="shared" si="0"/>
        <v>0.76</v>
      </c>
      <c r="E14" s="407">
        <f t="shared" si="1"/>
        <v>0.68</v>
      </c>
      <c r="F14" s="408">
        <f>(0.78+0.12)/2</f>
        <v>0.45</v>
      </c>
      <c r="G14" s="409"/>
      <c r="H14" s="405">
        <v>100</v>
      </c>
      <c r="I14" s="406">
        <v>-0.1</v>
      </c>
      <c r="J14" s="406">
        <f t="shared" si="2"/>
        <v>0.55000000000000004</v>
      </c>
      <c r="K14" s="407">
        <f t="shared" si="31"/>
        <v>0.65</v>
      </c>
      <c r="L14" s="408">
        <f>(0.06-0)/2</f>
        <v>0.03</v>
      </c>
      <c r="M14" s="409"/>
      <c r="N14" s="405">
        <v>100</v>
      </c>
      <c r="O14" s="410">
        <v>0.15</v>
      </c>
      <c r="P14" s="406">
        <f t="shared" si="3"/>
        <v>-0.1</v>
      </c>
      <c r="Q14" s="407">
        <f t="shared" si="4"/>
        <v>0.25</v>
      </c>
      <c r="R14" s="404">
        <f>(0.2-0)/2</f>
        <v>0.1</v>
      </c>
      <c r="S14" s="391"/>
      <c r="T14" s="405">
        <v>100</v>
      </c>
      <c r="U14" s="410">
        <f t="shared" si="5"/>
        <v>0.65</v>
      </c>
      <c r="V14" s="406"/>
      <c r="W14" s="407">
        <f t="shared" si="6"/>
        <v>8.3333333333333329E-2</v>
      </c>
      <c r="X14" s="404">
        <f>(0.2-0)/2</f>
        <v>0.1</v>
      </c>
      <c r="Y14" s="391"/>
      <c r="Z14" s="405">
        <v>100</v>
      </c>
      <c r="AA14" s="410">
        <f t="shared" si="7"/>
        <v>0.18</v>
      </c>
      <c r="AB14" s="406">
        <v>0.66</v>
      </c>
      <c r="AC14" s="407">
        <f t="shared" si="8"/>
        <v>0.48000000000000004</v>
      </c>
      <c r="AD14" s="404">
        <f>(0.2-0)/2</f>
        <v>0.1</v>
      </c>
      <c r="AE14" s="391"/>
      <c r="AF14" s="405">
        <v>100</v>
      </c>
      <c r="AG14" s="410">
        <f t="shared" si="9"/>
        <v>0.19</v>
      </c>
      <c r="AH14" s="406">
        <v>0.56999999999999995</v>
      </c>
      <c r="AI14" s="407">
        <f t="shared" si="10"/>
        <v>0.37999999999999995</v>
      </c>
      <c r="AJ14" s="404">
        <f>(0.2-0)/2</f>
        <v>0.1</v>
      </c>
      <c r="AK14" s="391"/>
      <c r="AL14" s="405">
        <v>100</v>
      </c>
      <c r="AM14" s="410">
        <f t="shared" si="11"/>
        <v>0.49</v>
      </c>
      <c r="AN14" s="406"/>
      <c r="AO14" s="407">
        <f t="shared" si="12"/>
        <v>8.3333333333333329E-2</v>
      </c>
      <c r="AP14" s="404">
        <f>(0.2-0)/2</f>
        <v>0.1</v>
      </c>
      <c r="AQ14" s="391"/>
      <c r="AR14" s="405">
        <v>100</v>
      </c>
      <c r="AS14" s="410">
        <f t="shared" si="13"/>
        <v>0.41</v>
      </c>
      <c r="AT14" s="406"/>
      <c r="AU14" s="407">
        <f t="shared" si="14"/>
        <v>0.08</v>
      </c>
      <c r="AV14" s="404">
        <f>(0.2-0)/2</f>
        <v>0.1</v>
      </c>
      <c r="AW14" s="391"/>
      <c r="AX14" s="405">
        <v>100</v>
      </c>
      <c r="AY14" s="410">
        <f t="shared" si="15"/>
        <v>0.17</v>
      </c>
      <c r="AZ14" s="406"/>
      <c r="BA14" s="407">
        <f t="shared" si="16"/>
        <v>0.26333333333333336</v>
      </c>
      <c r="BB14" s="404">
        <f>(0.2-0)/2</f>
        <v>0.1</v>
      </c>
      <c r="BC14" s="391"/>
      <c r="BD14" s="405">
        <v>100</v>
      </c>
      <c r="BE14" s="410">
        <f t="shared" si="17"/>
        <v>0.53</v>
      </c>
      <c r="BF14" s="406"/>
      <c r="BG14" s="407">
        <f t="shared" si="18"/>
        <v>9.0000000000000011E-2</v>
      </c>
      <c r="BH14" s="404">
        <f>(0.2-0)/2</f>
        <v>0.1</v>
      </c>
      <c r="BI14" s="391"/>
      <c r="BJ14" s="405">
        <v>100</v>
      </c>
      <c r="BK14" s="410">
        <f t="shared" si="19"/>
        <v>0.17</v>
      </c>
      <c r="BL14" s="406"/>
      <c r="BM14" s="407">
        <f t="shared" si="20"/>
        <v>0.26333333333333336</v>
      </c>
      <c r="BN14" s="404">
        <f>(0.2-0)/2</f>
        <v>0.1</v>
      </c>
      <c r="BO14" s="391"/>
      <c r="BP14" s="405">
        <v>100</v>
      </c>
      <c r="BQ14" s="410">
        <f t="shared" si="21"/>
        <v>0.56999999999999995</v>
      </c>
      <c r="BR14" s="406"/>
      <c r="BS14" s="407">
        <f t="shared" si="22"/>
        <v>8.666666666666667E-2</v>
      </c>
      <c r="BT14" s="404">
        <f>(0.2-0)/2</f>
        <v>0.1</v>
      </c>
      <c r="BU14" s="391"/>
      <c r="BV14" s="405">
        <v>100</v>
      </c>
      <c r="BW14" s="410">
        <f t="shared" si="23"/>
        <v>0.71</v>
      </c>
      <c r="BX14" s="406"/>
      <c r="BY14" s="407">
        <f t="shared" si="24"/>
        <v>9.0000000000000011E-2</v>
      </c>
      <c r="BZ14" s="404">
        <f>(0.2-0)/2</f>
        <v>0.1</v>
      </c>
      <c r="CA14" s="391"/>
      <c r="CB14" s="405">
        <v>100</v>
      </c>
      <c r="CC14" s="410">
        <f t="shared" si="25"/>
        <v>-1.6</v>
      </c>
      <c r="CD14" s="406">
        <f t="shared" si="33"/>
        <v>-0.7</v>
      </c>
      <c r="CE14" s="407">
        <f t="shared" si="26"/>
        <v>0.90000000000000013</v>
      </c>
      <c r="CF14" s="404">
        <f>(0.2-0)/2</f>
        <v>0.1</v>
      </c>
      <c r="CH14" s="405">
        <v>100</v>
      </c>
      <c r="CI14" s="410">
        <f t="shared" si="27"/>
        <v>0.31</v>
      </c>
      <c r="CJ14" s="406">
        <v>0.23</v>
      </c>
      <c r="CK14" s="407">
        <f t="shared" si="28"/>
        <v>7.9999999999999988E-2</v>
      </c>
      <c r="CL14" s="404">
        <f>(0.2-0)/2</f>
        <v>0.1</v>
      </c>
      <c r="CN14" s="405">
        <v>100</v>
      </c>
      <c r="CO14" s="410">
        <f t="shared" si="29"/>
        <v>0.95</v>
      </c>
      <c r="CP14" s="406">
        <v>0.81</v>
      </c>
      <c r="CQ14" s="407">
        <f t="shared" si="30"/>
        <v>0.1399999999999999</v>
      </c>
      <c r="CR14" s="404">
        <f>(0.2-0)/2</f>
        <v>0.1</v>
      </c>
    </row>
    <row r="15" spans="2:96">
      <c r="B15" s="405">
        <v>150</v>
      </c>
      <c r="C15" s="406">
        <v>0.08</v>
      </c>
      <c r="D15" s="406">
        <f t="shared" si="0"/>
        <v>0.73</v>
      </c>
      <c r="E15" s="407">
        <f t="shared" si="1"/>
        <v>0.65</v>
      </c>
      <c r="F15" s="408">
        <f>(0.36+0.1)/2</f>
        <v>0.22999999999999998</v>
      </c>
      <c r="G15" s="409"/>
      <c r="H15" s="405">
        <v>150</v>
      </c>
      <c r="I15" s="406">
        <v>-0.16</v>
      </c>
      <c r="J15" s="406">
        <f t="shared" si="2"/>
        <v>0.53</v>
      </c>
      <c r="K15" s="407">
        <f t="shared" si="31"/>
        <v>0.69000000000000006</v>
      </c>
      <c r="L15" s="408">
        <f>(0.25-0)/2</f>
        <v>0.125</v>
      </c>
      <c r="M15" s="409"/>
      <c r="N15" s="405">
        <v>150</v>
      </c>
      <c r="O15" s="410">
        <v>-0.1</v>
      </c>
      <c r="P15" s="406">
        <f t="shared" si="3"/>
        <v>-0.22</v>
      </c>
      <c r="Q15" s="407">
        <f t="shared" si="4"/>
        <v>0.12</v>
      </c>
      <c r="R15" s="404">
        <f>(0.21-0)/2</f>
        <v>0.105</v>
      </c>
      <c r="S15" s="391"/>
      <c r="T15" s="405">
        <v>150</v>
      </c>
      <c r="U15" s="410">
        <f t="shared" si="5"/>
        <v>-7.0000000000000007E-2</v>
      </c>
      <c r="V15" s="406"/>
      <c r="W15" s="407">
        <f t="shared" si="6"/>
        <v>8.3333333333333329E-2</v>
      </c>
      <c r="X15" s="404">
        <f>(0.21-0)/2</f>
        <v>0.105</v>
      </c>
      <c r="Y15" s="391"/>
      <c r="Z15" s="405">
        <v>150</v>
      </c>
      <c r="AA15" s="410">
        <f t="shared" si="7"/>
        <v>0.37</v>
      </c>
      <c r="AB15" s="406">
        <v>0.28999999999999998</v>
      </c>
      <c r="AC15" s="407">
        <f t="shared" si="8"/>
        <v>8.0000000000000016E-2</v>
      </c>
      <c r="AD15" s="404">
        <f>(0.21-0)/2</f>
        <v>0.105</v>
      </c>
      <c r="AE15" s="391"/>
      <c r="AF15" s="405">
        <v>150</v>
      </c>
      <c r="AG15" s="410">
        <f t="shared" si="9"/>
        <v>0.39</v>
      </c>
      <c r="AH15" s="406">
        <v>0.08</v>
      </c>
      <c r="AI15" s="407">
        <f t="shared" si="10"/>
        <v>0.31</v>
      </c>
      <c r="AJ15" s="404">
        <f>(0.21-0)/2</f>
        <v>0.105</v>
      </c>
      <c r="AK15" s="391"/>
      <c r="AL15" s="405">
        <v>150</v>
      </c>
      <c r="AM15" s="410">
        <f t="shared" si="11"/>
        <v>0.65</v>
      </c>
      <c r="AN15" s="406"/>
      <c r="AO15" s="407">
        <f t="shared" si="12"/>
        <v>8.3333333333333329E-2</v>
      </c>
      <c r="AP15" s="404">
        <f>(0.21-0)/2</f>
        <v>0.105</v>
      </c>
      <c r="AQ15" s="391"/>
      <c r="AR15" s="405">
        <v>150</v>
      </c>
      <c r="AS15" s="410">
        <f t="shared" si="13"/>
        <v>0.57999999999999996</v>
      </c>
      <c r="AT15" s="406"/>
      <c r="AU15" s="407">
        <f t="shared" si="14"/>
        <v>0.08</v>
      </c>
      <c r="AV15" s="404">
        <f>(0.21-0)/2</f>
        <v>0.105</v>
      </c>
      <c r="AW15" s="391"/>
      <c r="AX15" s="405">
        <v>150</v>
      </c>
      <c r="AY15" s="410">
        <f t="shared" si="15"/>
        <v>-0.04</v>
      </c>
      <c r="AZ15" s="406"/>
      <c r="BA15" s="407">
        <f t="shared" si="16"/>
        <v>0.26333333333333336</v>
      </c>
      <c r="BB15" s="404">
        <f>(0.21-0)/2</f>
        <v>0.105</v>
      </c>
      <c r="BC15" s="391"/>
      <c r="BD15" s="405">
        <v>150</v>
      </c>
      <c r="BE15" s="410">
        <f t="shared" si="17"/>
        <v>-0.15</v>
      </c>
      <c r="BF15" s="406"/>
      <c r="BG15" s="407">
        <f t="shared" si="18"/>
        <v>9.0000000000000011E-2</v>
      </c>
      <c r="BH15" s="404">
        <f>(0.21-0)/2</f>
        <v>0.105</v>
      </c>
      <c r="BI15" s="391"/>
      <c r="BJ15" s="405">
        <v>150</v>
      </c>
      <c r="BK15" s="410">
        <f t="shared" si="19"/>
        <v>-0.04</v>
      </c>
      <c r="BL15" s="406"/>
      <c r="BM15" s="407">
        <f t="shared" si="20"/>
        <v>0.26333333333333336</v>
      </c>
      <c r="BN15" s="404">
        <f>(0.21-0)/2</f>
        <v>0.105</v>
      </c>
      <c r="BO15" s="391"/>
      <c r="BP15" s="405">
        <v>150</v>
      </c>
      <c r="BQ15" s="410">
        <f t="shared" si="21"/>
        <v>-0.12</v>
      </c>
      <c r="BR15" s="406"/>
      <c r="BS15" s="407">
        <f t="shared" si="22"/>
        <v>8.666666666666667E-2</v>
      </c>
      <c r="BT15" s="404">
        <f>(0.21-0)/2</f>
        <v>0.105</v>
      </c>
      <c r="BU15" s="391"/>
      <c r="BV15" s="405">
        <v>150</v>
      </c>
      <c r="BW15" s="410">
        <f t="shared" si="23"/>
        <v>-0.17</v>
      </c>
      <c r="BX15" s="406"/>
      <c r="BY15" s="407">
        <f t="shared" si="24"/>
        <v>9.0000000000000011E-2</v>
      </c>
      <c r="BZ15" s="404">
        <f>(0.21-0)/2</f>
        <v>0.105</v>
      </c>
      <c r="CA15" s="391"/>
      <c r="CB15" s="405">
        <v>150</v>
      </c>
      <c r="CC15" s="410">
        <f t="shared" si="25"/>
        <v>-1.7</v>
      </c>
      <c r="CD15" s="406">
        <f t="shared" si="33"/>
        <v>-0.7</v>
      </c>
      <c r="CE15" s="407">
        <f t="shared" si="26"/>
        <v>1</v>
      </c>
      <c r="CF15" s="404">
        <f>(0.21-0)/2</f>
        <v>0.105</v>
      </c>
      <c r="CH15" s="405">
        <v>150</v>
      </c>
      <c r="CI15" s="410">
        <f t="shared" si="27"/>
        <v>0.3</v>
      </c>
      <c r="CJ15" s="406">
        <v>0.22</v>
      </c>
      <c r="CK15" s="407">
        <f t="shared" si="28"/>
        <v>7.9999999999999988E-2</v>
      </c>
      <c r="CL15" s="404">
        <f>(0.21-0)/2</f>
        <v>0.105</v>
      </c>
      <c r="CN15" s="405">
        <v>150</v>
      </c>
      <c r="CO15" s="410">
        <f t="shared" si="29"/>
        <v>0.49</v>
      </c>
      <c r="CP15" s="406">
        <v>0.87</v>
      </c>
      <c r="CQ15" s="407">
        <f t="shared" si="30"/>
        <v>0.38</v>
      </c>
      <c r="CR15" s="404">
        <f>(0.21-0)/2</f>
        <v>0.105</v>
      </c>
    </row>
    <row r="16" spans="2:96">
      <c r="B16" s="405">
        <v>200</v>
      </c>
      <c r="C16" s="406">
        <v>0.22</v>
      </c>
      <c r="D16" s="406">
        <f t="shared" si="0"/>
        <v>0.2</v>
      </c>
      <c r="E16" s="407">
        <f t="shared" si="1"/>
        <v>1.999999999999999E-2</v>
      </c>
      <c r="F16" s="408">
        <f>(0.19+0.65)/2</f>
        <v>0.42000000000000004</v>
      </c>
      <c r="G16" s="409"/>
      <c r="H16" s="405">
        <v>200</v>
      </c>
      <c r="I16" s="406">
        <v>0.47</v>
      </c>
      <c r="J16" s="406">
        <f t="shared" si="2"/>
        <v>0.39</v>
      </c>
      <c r="K16" s="407">
        <f t="shared" si="31"/>
        <v>7.999999999999996E-2</v>
      </c>
      <c r="L16" s="408">
        <f>(0.53-0)/2</f>
        <v>0.26500000000000001</v>
      </c>
      <c r="M16" s="409"/>
      <c r="N16" s="405">
        <v>200</v>
      </c>
      <c r="O16" s="410">
        <v>0.31</v>
      </c>
      <c r="P16" s="406">
        <f t="shared" si="3"/>
        <v>0.06</v>
      </c>
      <c r="Q16" s="407">
        <f t="shared" si="4"/>
        <v>0.25</v>
      </c>
      <c r="R16" s="404">
        <f>(0.19-0)/2</f>
        <v>9.5000000000000001E-2</v>
      </c>
      <c r="S16" s="391"/>
      <c r="T16" s="405">
        <v>200</v>
      </c>
      <c r="U16" s="410">
        <f t="shared" si="5"/>
        <v>-0.7</v>
      </c>
      <c r="V16" s="406"/>
      <c r="W16" s="407">
        <f t="shared" si="6"/>
        <v>8.3333333333333329E-2</v>
      </c>
      <c r="X16" s="404">
        <f>(0.19-0)/2</f>
        <v>9.5000000000000001E-2</v>
      </c>
      <c r="Y16" s="391"/>
      <c r="Z16" s="405">
        <v>200</v>
      </c>
      <c r="AA16" s="410">
        <f t="shared" si="7"/>
        <v>0.61</v>
      </c>
      <c r="AB16" s="406">
        <v>-0.16</v>
      </c>
      <c r="AC16" s="407">
        <f t="shared" si="8"/>
        <v>0.77</v>
      </c>
      <c r="AD16" s="404">
        <f>(0.19-0)/2</f>
        <v>9.5000000000000001E-2</v>
      </c>
      <c r="AE16" s="391"/>
      <c r="AF16" s="405">
        <v>200</v>
      </c>
      <c r="AG16" s="410">
        <f t="shared" si="9"/>
        <v>0.66</v>
      </c>
      <c r="AH16" s="406">
        <v>-0.38</v>
      </c>
      <c r="AI16" s="407">
        <f t="shared" si="10"/>
        <v>1.04</v>
      </c>
      <c r="AJ16" s="404">
        <f>(0.19-0)/2</f>
        <v>9.5000000000000001E-2</v>
      </c>
      <c r="AK16" s="391"/>
      <c r="AL16" s="405">
        <v>200</v>
      </c>
      <c r="AM16" s="410">
        <f t="shared" si="11"/>
        <v>0.9</v>
      </c>
      <c r="AN16" s="406"/>
      <c r="AO16" s="407">
        <f t="shared" si="12"/>
        <v>8.3333333333333329E-2</v>
      </c>
      <c r="AP16" s="404">
        <f>(0.19-0)/2</f>
        <v>9.5000000000000001E-2</v>
      </c>
      <c r="AQ16" s="391"/>
      <c r="AR16" s="405">
        <v>200</v>
      </c>
      <c r="AS16" s="410">
        <f>J169</f>
        <v>0.81</v>
      </c>
      <c r="AT16" s="406"/>
      <c r="AU16" s="407">
        <f t="shared" si="14"/>
        <v>0.08</v>
      </c>
      <c r="AV16" s="404">
        <f>(0.19-0)/2</f>
        <v>9.5000000000000001E-2</v>
      </c>
      <c r="AW16" s="391"/>
      <c r="AX16" s="405">
        <v>200</v>
      </c>
      <c r="AY16" s="410">
        <f t="shared" si="15"/>
        <v>-0.28000000000000003</v>
      </c>
      <c r="AZ16" s="406"/>
      <c r="BA16" s="407">
        <f t="shared" si="16"/>
        <v>0.26333333333333336</v>
      </c>
      <c r="BB16" s="404">
        <f>(0.19-0)/2</f>
        <v>9.5000000000000001E-2</v>
      </c>
      <c r="BC16" s="391"/>
      <c r="BD16" s="405">
        <v>200</v>
      </c>
      <c r="BE16" s="410">
        <f t="shared" si="17"/>
        <v>-0.01</v>
      </c>
      <c r="BF16" s="406"/>
      <c r="BG16" s="407">
        <f t="shared" si="18"/>
        <v>9.0000000000000011E-2</v>
      </c>
      <c r="BH16" s="404">
        <f>(0.19-0)/2</f>
        <v>9.5000000000000001E-2</v>
      </c>
      <c r="BI16" s="391"/>
      <c r="BJ16" s="405">
        <v>200</v>
      </c>
      <c r="BK16" s="410">
        <f t="shared" si="19"/>
        <v>-0.28000000000000003</v>
      </c>
      <c r="BL16" s="406"/>
      <c r="BM16" s="407">
        <f t="shared" si="20"/>
        <v>0.26333333333333336</v>
      </c>
      <c r="BN16" s="404">
        <f>(0.19-0)/2</f>
        <v>9.5000000000000001E-2</v>
      </c>
      <c r="BO16" s="391"/>
      <c r="BP16" s="405">
        <v>200</v>
      </c>
      <c r="BQ16" s="410">
        <f t="shared" si="21"/>
        <v>-0.59</v>
      </c>
      <c r="BR16" s="406"/>
      <c r="BS16" s="407">
        <f t="shared" si="22"/>
        <v>8.666666666666667E-2</v>
      </c>
      <c r="BT16" s="404">
        <f>(0.19-0)/2</f>
        <v>9.5000000000000001E-2</v>
      </c>
      <c r="BU16" s="391"/>
      <c r="BV16" s="405">
        <v>200</v>
      </c>
      <c r="BW16" s="410">
        <f t="shared" si="23"/>
        <v>-1.27</v>
      </c>
      <c r="BX16" s="406"/>
      <c r="BY16" s="407">
        <f t="shared" si="24"/>
        <v>9.0000000000000011E-2</v>
      </c>
      <c r="BZ16" s="404">
        <f>(0.19-0)/2</f>
        <v>9.5000000000000001E-2</v>
      </c>
      <c r="CA16" s="391"/>
      <c r="CB16" s="405">
        <v>200</v>
      </c>
      <c r="CC16" s="410">
        <f t="shared" si="25"/>
        <v>-0.9</v>
      </c>
      <c r="CD16" s="406">
        <f t="shared" si="33"/>
        <v>-0.6</v>
      </c>
      <c r="CE16" s="407">
        <f t="shared" si="26"/>
        <v>0.30000000000000004</v>
      </c>
      <c r="CF16" s="404">
        <f>(0.19-0)/2</f>
        <v>9.5000000000000001E-2</v>
      </c>
      <c r="CH16" s="405">
        <v>200</v>
      </c>
      <c r="CI16" s="410">
        <f t="shared" si="27"/>
        <v>0.34</v>
      </c>
      <c r="CJ16" s="406">
        <v>0.47</v>
      </c>
      <c r="CK16" s="407">
        <f t="shared" si="28"/>
        <v>0.12999999999999995</v>
      </c>
      <c r="CL16" s="404">
        <f>(0.19-0)/2</f>
        <v>9.5000000000000001E-2</v>
      </c>
      <c r="CN16" s="405">
        <v>200</v>
      </c>
      <c r="CO16" s="410">
        <f t="shared" si="29"/>
        <v>-0.26</v>
      </c>
      <c r="CP16" s="406">
        <v>0.99</v>
      </c>
      <c r="CQ16" s="407">
        <f t="shared" si="30"/>
        <v>1.25</v>
      </c>
      <c r="CR16" s="404">
        <f>(0.19-0)/2</f>
        <v>9.5000000000000001E-2</v>
      </c>
    </row>
    <row r="17" spans="2:96" s="391" customFormat="1" ht="13.8" thickBot="1">
      <c r="B17" s="412"/>
      <c r="C17" s="412"/>
      <c r="D17" s="413"/>
      <c r="E17" s="412"/>
      <c r="F17" s="409"/>
      <c r="G17" s="409"/>
      <c r="H17" s="412"/>
      <c r="I17" s="412"/>
      <c r="J17" s="412"/>
      <c r="K17" s="412"/>
      <c r="L17" s="393"/>
      <c r="M17" s="409"/>
      <c r="N17" s="412"/>
      <c r="O17" s="412"/>
      <c r="P17" s="412"/>
      <c r="Q17" s="412"/>
      <c r="R17" s="393"/>
      <c r="T17" s="412"/>
      <c r="U17" s="412"/>
      <c r="V17" s="412"/>
      <c r="W17" s="412"/>
      <c r="X17" s="393"/>
      <c r="Z17" s="412"/>
      <c r="AA17" s="412"/>
      <c r="AB17" s="412"/>
      <c r="AC17" s="412"/>
      <c r="AD17" s="393"/>
      <c r="AF17" s="412"/>
      <c r="AG17" s="412"/>
      <c r="AH17" s="412"/>
      <c r="AI17" s="412"/>
      <c r="AJ17" s="393"/>
      <c r="AL17" s="412"/>
      <c r="AM17" s="412"/>
      <c r="AN17" s="412"/>
      <c r="AO17" s="412"/>
      <c r="AP17" s="393"/>
      <c r="AR17" s="412"/>
      <c r="AS17" s="412"/>
      <c r="AT17" s="412"/>
      <c r="AU17" s="412"/>
      <c r="AV17" s="393"/>
      <c r="AX17" s="412"/>
      <c r="AY17" s="412"/>
      <c r="AZ17" s="412"/>
      <c r="BA17" s="412"/>
      <c r="BB17" s="393"/>
      <c r="BD17" s="412"/>
      <c r="BE17" s="412"/>
      <c r="BF17" s="412"/>
      <c r="BG17" s="412"/>
      <c r="BH17" s="393"/>
      <c r="BJ17" s="412"/>
      <c r="BK17" s="412"/>
      <c r="BL17" s="412"/>
      <c r="BM17" s="412"/>
      <c r="BN17" s="393"/>
      <c r="BP17" s="412"/>
      <c r="BQ17" s="412"/>
      <c r="BR17" s="412"/>
      <c r="BS17" s="412"/>
      <c r="BT17" s="393"/>
      <c r="BV17" s="412"/>
      <c r="BW17" s="412"/>
      <c r="BX17" s="412"/>
      <c r="BY17" s="412"/>
      <c r="BZ17" s="393"/>
      <c r="CB17" s="412"/>
      <c r="CC17" s="412"/>
      <c r="CD17" s="412"/>
      <c r="CE17" s="412"/>
      <c r="CF17" s="393"/>
      <c r="CH17" s="412"/>
      <c r="CI17" s="412"/>
      <c r="CJ17" s="412"/>
      <c r="CK17" s="412"/>
      <c r="CL17" s="393"/>
      <c r="CN17" s="412"/>
      <c r="CO17" s="412"/>
      <c r="CP17" s="412"/>
      <c r="CQ17" s="412"/>
      <c r="CR17" s="393"/>
    </row>
    <row r="18" spans="2:96" ht="22.5" customHeight="1">
      <c r="B18" s="823" t="s">
        <v>332</v>
      </c>
      <c r="C18" s="825" t="str">
        <f>C3</f>
        <v>Thermocouple Data Logger, Merek : MADGETECH, Model : OctTemp 2000, SN : P40270</v>
      </c>
      <c r="D18" s="825"/>
      <c r="E18" s="825"/>
      <c r="F18" s="394" t="s">
        <v>329</v>
      </c>
      <c r="G18" s="395"/>
      <c r="H18" s="823" t="s">
        <v>332</v>
      </c>
      <c r="I18" s="825" t="str">
        <f>I3</f>
        <v>Thermocouple Data Logger, Merek : MADGETECH, Model : OctTemp 2000, SN : P41878</v>
      </c>
      <c r="J18" s="825"/>
      <c r="K18" s="825"/>
      <c r="L18" s="394" t="s">
        <v>329</v>
      </c>
      <c r="M18" s="395"/>
      <c r="N18" s="823" t="s">
        <v>332</v>
      </c>
      <c r="O18" s="825" t="str">
        <f>O3</f>
        <v>Mobile Corder, Merek : Yokogawa, Model : GP 10, SN : S5T810599</v>
      </c>
      <c r="P18" s="826"/>
      <c r="Q18" s="825"/>
      <c r="R18" s="394" t="s">
        <v>329</v>
      </c>
      <c r="S18" s="391"/>
      <c r="T18" s="823" t="s">
        <v>332</v>
      </c>
      <c r="U18" s="825" t="str">
        <f>U3</f>
        <v>Wireless Temperature Recorder : Merek : HIOKI, Model : LR 8510, SN : 200936000</v>
      </c>
      <c r="V18" s="826"/>
      <c r="W18" s="825"/>
      <c r="X18" s="394" t="s">
        <v>329</v>
      </c>
      <c r="Y18" s="391"/>
      <c r="Z18" s="823" t="s">
        <v>332</v>
      </c>
      <c r="AA18" s="825" t="str">
        <f>AA3</f>
        <v>Wireless Temperature Recorder : Merek : HIOKI, Model : LR 8510, SN : 200936001</v>
      </c>
      <c r="AB18" s="826"/>
      <c r="AC18" s="825"/>
      <c r="AD18" s="394" t="s">
        <v>329</v>
      </c>
      <c r="AE18" s="391"/>
      <c r="AF18" s="823" t="s">
        <v>332</v>
      </c>
      <c r="AG18" s="825" t="str">
        <f>AG3</f>
        <v>Wireless Temperature Recorder : Merek : HIOKI, Model : LR 8510, SN : 200821397</v>
      </c>
      <c r="AH18" s="826"/>
      <c r="AI18" s="825"/>
      <c r="AJ18" s="394" t="s">
        <v>329</v>
      </c>
      <c r="AK18" s="391"/>
      <c r="AL18" s="823" t="s">
        <v>332</v>
      </c>
      <c r="AM18" s="825" t="str">
        <f>AM3</f>
        <v>Wireless Temperature Recorder : Merek : HIOKI, Model : LR 8510, SN : 210411983</v>
      </c>
      <c r="AN18" s="826"/>
      <c r="AO18" s="825"/>
      <c r="AP18" s="394" t="s">
        <v>329</v>
      </c>
      <c r="AQ18" s="391"/>
      <c r="AR18" s="823" t="s">
        <v>332</v>
      </c>
      <c r="AS18" s="825" t="str">
        <f>AS3</f>
        <v>Wireless Temperature Recorder : Merek : HIOKI, Model : LR 8510, SN : 210411984</v>
      </c>
      <c r="AT18" s="826"/>
      <c r="AU18" s="825"/>
      <c r="AV18" s="394" t="s">
        <v>329</v>
      </c>
      <c r="AW18" s="391"/>
      <c r="AX18" s="823" t="s">
        <v>332</v>
      </c>
      <c r="AY18" s="825" t="str">
        <f>AY3</f>
        <v>Wireless Temperature Recorder : Merek : HIOKI, Model : LR 8510, SN : 210411985</v>
      </c>
      <c r="AZ18" s="826"/>
      <c r="BA18" s="825"/>
      <c r="BB18" s="394" t="s">
        <v>329</v>
      </c>
      <c r="BC18" s="391"/>
      <c r="BD18" s="823" t="s">
        <v>332</v>
      </c>
      <c r="BE18" s="825" t="str">
        <f>BE3</f>
        <v>Wireless Temperature Recorder : Merek : HIOKI, Model : LR 8510, SN : 210746054</v>
      </c>
      <c r="BF18" s="826"/>
      <c r="BG18" s="825"/>
      <c r="BH18" s="394" t="s">
        <v>329</v>
      </c>
      <c r="BI18" s="391"/>
      <c r="BJ18" s="823" t="s">
        <v>332</v>
      </c>
      <c r="BK18" s="825" t="str">
        <f>BK3</f>
        <v>Wireless Temperature Recorder : Merek : HIOKI, Model : LR 8510, SN : 210746055</v>
      </c>
      <c r="BL18" s="826"/>
      <c r="BM18" s="825"/>
      <c r="BN18" s="394" t="s">
        <v>329</v>
      </c>
      <c r="BO18" s="391"/>
      <c r="BP18" s="823" t="s">
        <v>332</v>
      </c>
      <c r="BQ18" s="825" t="str">
        <f>BQ3</f>
        <v>Wireless Temperature Recorder : Merek : HIOKI, Model : LR 8510, SN : 210746056</v>
      </c>
      <c r="BR18" s="826"/>
      <c r="BS18" s="825"/>
      <c r="BT18" s="394" t="s">
        <v>329</v>
      </c>
      <c r="BU18" s="391"/>
      <c r="BV18" s="823" t="s">
        <v>332</v>
      </c>
      <c r="BW18" s="825" t="str">
        <f>BW3</f>
        <v>Wireless Temperature Recorder : Merek : HIOKI, Model : LR 8510, SN : 200821396</v>
      </c>
      <c r="BX18" s="826"/>
      <c r="BY18" s="825"/>
      <c r="BZ18" s="394" t="s">
        <v>329</v>
      </c>
      <c r="CA18" s="391"/>
      <c r="CB18" s="823" t="s">
        <v>332</v>
      </c>
      <c r="CC18" s="825" t="str">
        <f t="shared" ref="CC18:CC31" si="34">CC3</f>
        <v>Reference Thermometer, Merek : APPA, Model : APPA51, SN : 03002948</v>
      </c>
      <c r="CD18" s="826"/>
      <c r="CE18" s="825"/>
      <c r="CF18" s="394" t="s">
        <v>329</v>
      </c>
      <c r="CH18" s="823" t="s">
        <v>332</v>
      </c>
      <c r="CI18" s="825" t="str">
        <f t="shared" ref="CI18:CJ31" si="35">CI3</f>
        <v>Reference Thermometer, Merek : FLUKE, Model : 1524, SN : 1803038</v>
      </c>
      <c r="CJ18" s="826"/>
      <c r="CK18" s="825"/>
      <c r="CL18" s="394" t="s">
        <v>329</v>
      </c>
      <c r="CN18" s="823" t="s">
        <v>332</v>
      </c>
      <c r="CO18" s="825" t="str">
        <f t="shared" ref="CO18:CP31" si="36">CO3</f>
        <v>Reference Thermometer, Merek : FLUKE, Model : 1524, SN : 1803037</v>
      </c>
      <c r="CP18" s="826"/>
      <c r="CQ18" s="825"/>
      <c r="CR18" s="394" t="s">
        <v>329</v>
      </c>
    </row>
    <row r="19" spans="2:96">
      <c r="B19" s="824"/>
      <c r="C19" s="397">
        <f>C4</f>
        <v>2021</v>
      </c>
      <c r="D19" s="397">
        <f>D4</f>
        <v>2022</v>
      </c>
      <c r="E19" s="398" t="s">
        <v>242</v>
      </c>
      <c r="F19" s="399"/>
      <c r="G19" s="400"/>
      <c r="H19" s="824"/>
      <c r="I19" s="401">
        <f>I4</f>
        <v>2021</v>
      </c>
      <c r="J19" s="402">
        <f>J4</f>
        <v>2022</v>
      </c>
      <c r="K19" s="398" t="s">
        <v>242</v>
      </c>
      <c r="L19" s="403"/>
      <c r="M19" s="400"/>
      <c r="N19" s="824"/>
      <c r="O19" s="401">
        <f>O4</f>
        <v>2021</v>
      </c>
      <c r="P19" s="402">
        <f>P4</f>
        <v>2023</v>
      </c>
      <c r="Q19" s="398" t="s">
        <v>242</v>
      </c>
      <c r="R19" s="404"/>
      <c r="S19" s="391"/>
      <c r="T19" s="824"/>
      <c r="U19" s="401">
        <f>U4</f>
        <v>2022</v>
      </c>
      <c r="V19" s="402"/>
      <c r="W19" s="398" t="s">
        <v>242</v>
      </c>
      <c r="X19" s="404"/>
      <c r="Y19" s="391"/>
      <c r="Z19" s="824"/>
      <c r="AA19" s="401">
        <f>AA4</f>
        <v>2023</v>
      </c>
      <c r="AB19" s="402">
        <f>AB4</f>
        <v>2021</v>
      </c>
      <c r="AC19" s="398" t="s">
        <v>242</v>
      </c>
      <c r="AD19" s="404"/>
      <c r="AE19" s="391"/>
      <c r="AF19" s="824"/>
      <c r="AG19" s="401">
        <f>AG4</f>
        <v>2023</v>
      </c>
      <c r="AH19" s="401">
        <f>AH4</f>
        <v>2021</v>
      </c>
      <c r="AI19" s="398" t="s">
        <v>242</v>
      </c>
      <c r="AJ19" s="404"/>
      <c r="AK19" s="391"/>
      <c r="AL19" s="824"/>
      <c r="AM19" s="401">
        <f>AM4</f>
        <v>2023</v>
      </c>
      <c r="AN19" s="402"/>
      <c r="AO19" s="398" t="s">
        <v>242</v>
      </c>
      <c r="AP19" s="404"/>
      <c r="AQ19" s="391"/>
      <c r="AR19" s="824"/>
      <c r="AS19" s="401">
        <f>AS4</f>
        <v>2023</v>
      </c>
      <c r="AT19" s="402"/>
      <c r="AU19" s="398" t="s">
        <v>242</v>
      </c>
      <c r="AV19" s="404"/>
      <c r="AW19" s="391"/>
      <c r="AX19" s="824"/>
      <c r="AY19" s="401">
        <f>AY4</f>
        <v>2021</v>
      </c>
      <c r="AZ19" s="402"/>
      <c r="BA19" s="398" t="s">
        <v>242</v>
      </c>
      <c r="BB19" s="404"/>
      <c r="BC19" s="391"/>
      <c r="BD19" s="824"/>
      <c r="BE19" s="401">
        <f>BE4</f>
        <v>2022</v>
      </c>
      <c r="BF19" s="402"/>
      <c r="BG19" s="398" t="s">
        <v>242</v>
      </c>
      <c r="BH19" s="404">
        <f>$B$289</f>
        <v>1.9000000000000001</v>
      </c>
      <c r="BJ19" s="824"/>
      <c r="BK19" s="401">
        <f>BK4</f>
        <v>2021</v>
      </c>
      <c r="BL19" s="402"/>
      <c r="BM19" s="398" t="s">
        <v>242</v>
      </c>
      <c r="BN19" s="404"/>
      <c r="BO19" s="391"/>
      <c r="BP19" s="824"/>
      <c r="BQ19" s="401">
        <f>BQ4</f>
        <v>2022</v>
      </c>
      <c r="BR19" s="402"/>
      <c r="BS19" s="398" t="s">
        <v>242</v>
      </c>
      <c r="BT19" s="404"/>
      <c r="BU19" s="391"/>
      <c r="BV19" s="824"/>
      <c r="BW19" s="401">
        <f>BW4</f>
        <v>2022</v>
      </c>
      <c r="BX19" s="402"/>
      <c r="BY19" s="398" t="s">
        <v>242</v>
      </c>
      <c r="BZ19" s="404"/>
      <c r="CA19" s="391"/>
      <c r="CB19" s="824"/>
      <c r="CC19" s="401">
        <f t="shared" si="34"/>
        <v>2022</v>
      </c>
      <c r="CD19" s="402">
        <f>CD34</f>
        <v>2020</v>
      </c>
      <c r="CE19" s="398" t="s">
        <v>242</v>
      </c>
      <c r="CF19" s="404"/>
      <c r="CH19" s="824"/>
      <c r="CI19" s="401">
        <f t="shared" si="35"/>
        <v>2021</v>
      </c>
      <c r="CJ19" s="402">
        <f>CJ4</f>
        <v>2019</v>
      </c>
      <c r="CK19" s="398" t="s">
        <v>242</v>
      </c>
      <c r="CL19" s="404"/>
      <c r="CN19" s="824"/>
      <c r="CO19" s="401">
        <f t="shared" si="36"/>
        <v>2021</v>
      </c>
      <c r="CP19" s="402">
        <f>CP4</f>
        <v>2020</v>
      </c>
      <c r="CQ19" s="398" t="s">
        <v>242</v>
      </c>
      <c r="CR19" s="404"/>
    </row>
    <row r="20" spans="2:96" ht="12" customHeight="1">
      <c r="B20" s="405">
        <v>-20</v>
      </c>
      <c r="C20" s="406">
        <v>-0.48</v>
      </c>
      <c r="D20" s="406">
        <f t="shared" ref="D20:D31" si="37">U158</f>
        <v>-0.67</v>
      </c>
      <c r="E20" s="407">
        <f t="shared" ref="E20:E31" si="38">IF(OR(C20=0,D20=0),$U$170/3,((MAX(C20:D20)-(MIN(C20:D20)))))</f>
        <v>0.19000000000000006</v>
      </c>
      <c r="F20" s="408">
        <v>0.12</v>
      </c>
      <c r="G20" s="409"/>
      <c r="H20" s="405">
        <v>-20</v>
      </c>
      <c r="I20" s="406">
        <v>-0.69</v>
      </c>
      <c r="J20" s="406">
        <f t="shared" ref="J20:J31" si="39">V158</f>
        <v>-0.59</v>
      </c>
      <c r="K20" s="407">
        <f t="shared" ref="K20:K31" si="40">IF(OR(I20=0,J20=0),$V$170/3,((MAX(I20:J20)-(MIN(I20:J20)))))</f>
        <v>9.9999999999999978E-2</v>
      </c>
      <c r="L20" s="408">
        <v>0.12</v>
      </c>
      <c r="M20" s="409"/>
      <c r="N20" s="405">
        <v>-20</v>
      </c>
      <c r="O20" s="406">
        <v>-0.53</v>
      </c>
      <c r="P20" s="406">
        <f t="shared" ref="P20:P31" si="41">W158</f>
        <v>-0.5</v>
      </c>
      <c r="Q20" s="407">
        <f t="shared" ref="Q20:Q31" si="42">IF(OR(O20=0,P20=0),$W$170/3,((MAX(O20:P20)-(MIN(O20:P20)))))</f>
        <v>3.0000000000000027E-2</v>
      </c>
      <c r="R20" s="404">
        <v>9.9999999999999995E-7</v>
      </c>
      <c r="S20" s="391"/>
      <c r="T20" s="405">
        <v>-20</v>
      </c>
      <c r="U20" s="406">
        <f t="shared" ref="U20:U31" si="43">X158</f>
        <v>-1.45</v>
      </c>
      <c r="V20" s="406"/>
      <c r="W20" s="407">
        <f t="shared" ref="W20:W31" si="44">IF(OR(U20=0,V20=0),$X$170/3,((MAX(U20:V20)-(MIN(U20:V20)))))</f>
        <v>9.0000000000000011E-2</v>
      </c>
      <c r="X20" s="404">
        <v>9.9999999999999995E-7</v>
      </c>
      <c r="Y20" s="391"/>
      <c r="Z20" s="405">
        <v>-20</v>
      </c>
      <c r="AA20" s="406">
        <f t="shared" ref="AA20:AA31" si="45">Y158</f>
        <v>0.01</v>
      </c>
      <c r="AB20" s="406">
        <v>-0.54</v>
      </c>
      <c r="AC20" s="407">
        <f t="shared" ref="AC20:AC31" si="46">IF(OR(AA20=0,AB20=0),$Y$170/3,((MAX(AA20:AB20)-(MIN(AA20:AB20)))))</f>
        <v>0.55000000000000004</v>
      </c>
      <c r="AD20" s="404">
        <v>9.9999999999999995E-7</v>
      </c>
      <c r="AE20" s="391"/>
      <c r="AF20" s="405">
        <v>-20</v>
      </c>
      <c r="AG20" s="406">
        <f t="shared" ref="AG20:AG31" si="47">Z158</f>
        <v>0.02</v>
      </c>
      <c r="AH20" s="406">
        <v>-0.14000000000000001</v>
      </c>
      <c r="AI20" s="407">
        <f t="shared" ref="AI20:AI31" si="48">IF(OR(AG20=0,AH20=0),$Z$170/3,((MAX(AG20:AH20)-(MIN(AG20:AH20)))))</f>
        <v>0.16</v>
      </c>
      <c r="AJ20" s="404">
        <v>9.9999999999999995E-7</v>
      </c>
      <c r="AK20" s="391"/>
      <c r="AL20" s="405">
        <v>-20</v>
      </c>
      <c r="AM20" s="406">
        <f t="shared" ref="AM20:AM31" si="49">AA158</f>
        <v>0.42</v>
      </c>
      <c r="AN20" s="406"/>
      <c r="AO20" s="407">
        <f t="shared" ref="AO20:AO31" si="50">IF(OR(AM20=0,AN20=0),$AA$170/3,((MAX(AM20:AN20)-(MIN(AM20:AN20)))))</f>
        <v>8.3333333333333329E-2</v>
      </c>
      <c r="AP20" s="404">
        <v>9.9999999999999995E-7</v>
      </c>
      <c r="AQ20" s="391"/>
      <c r="AR20" s="405">
        <v>-20</v>
      </c>
      <c r="AS20" s="406">
        <f t="shared" ref="AS20:AS31" si="51">AB158</f>
        <v>0.3</v>
      </c>
      <c r="AT20" s="406"/>
      <c r="AU20" s="407">
        <f t="shared" ref="AU20:AU31" si="52">IF(OR(AS20=0,AT20=0),$AB$170/3,((MAX(AS20:AT20)-(MIN(AS20:AT20)))))</f>
        <v>0.08</v>
      </c>
      <c r="AV20" s="404">
        <v>9.9999999999999995E-7</v>
      </c>
      <c r="AW20" s="391"/>
      <c r="AX20" s="405">
        <v>-20</v>
      </c>
      <c r="AY20" s="406">
        <f t="shared" ref="AY20:AY31" si="53">AC158</f>
        <v>0.62</v>
      </c>
      <c r="AZ20" s="406"/>
      <c r="BA20" s="407">
        <f t="shared" ref="BA20:BA31" si="54">IF(OR(AY20=0,AZ20=0),$AC$170/3,((MAX(AY20:AZ20)-(MIN(AY20:AZ20)))))</f>
        <v>0.26333333333333336</v>
      </c>
      <c r="BB20" s="404">
        <v>9.9999999999999995E-7</v>
      </c>
      <c r="BC20" s="391"/>
      <c r="BD20" s="405">
        <v>-20</v>
      </c>
      <c r="BE20" s="459">
        <v>-0.97</v>
      </c>
      <c r="BF20" s="406"/>
      <c r="BG20" s="407">
        <f>IF(OR(BE20=0,BF20=0),$AD$170/3,((MAX(BE20:BF20)-(MIN(BE20:BF20)))))</f>
        <v>9.3333333333333338E-2</v>
      </c>
      <c r="BH20" s="655">
        <f>IF($BH$19&lt;=$BD$21,$BD$20,IF($BH$19&lt;=$BD$22,$BD$21,IF($BH$19&lt;=$BD$23,$BD$22,IF($BH$19&lt;=$BD$24,$BD$23,IF($BH$19&lt;=$BD$25,$BD$24)))))</f>
        <v>9.9999999999999995E-7</v>
      </c>
      <c r="BJ20" s="405">
        <v>-20</v>
      </c>
      <c r="BK20" s="406">
        <f t="shared" ref="BK20:BK31" si="55">AE158</f>
        <v>0.62</v>
      </c>
      <c r="BL20" s="406"/>
      <c r="BM20" s="407">
        <f t="shared" ref="BM20:BM31" si="56">IF(OR(BK20=0,BL20=0),$AE$170/3,((MAX(BK20:BL20)-(MIN(BK20:BL20)))))</f>
        <v>0.26333333333333336</v>
      </c>
      <c r="BN20" s="404">
        <v>9.9999999999999995E-7</v>
      </c>
      <c r="BO20" s="391"/>
      <c r="BP20" s="405">
        <v>-20</v>
      </c>
      <c r="BQ20" s="406">
        <f t="shared" ref="BQ20:BQ31" si="57">AF158</f>
        <v>-1.29</v>
      </c>
      <c r="BR20" s="406"/>
      <c r="BS20" s="407">
        <f t="shared" ref="BS20:BS31" si="58">IF(OR(BQ20=0,BR20=0),$AF$170/3,((MAX(BQ20:BR20)-(MIN(BQ20:BR20)))))</f>
        <v>8.3333333333333329E-2</v>
      </c>
      <c r="BT20" s="404">
        <v>9.9999999999999995E-7</v>
      </c>
      <c r="BU20" s="391"/>
      <c r="BV20" s="405">
        <v>-20</v>
      </c>
      <c r="BW20" s="406">
        <f t="shared" ref="BW20:BW31" si="59">AG158</f>
        <v>-1.45</v>
      </c>
      <c r="BX20" s="406"/>
      <c r="BY20" s="407">
        <f t="shared" ref="BY20:BY31" si="60">IF(OR(BW20=0,BX20=0),$AG$170/3,((MAX(BW20:BX20)-(MIN(BW20:BX20)))))</f>
        <v>9.0000000000000011E-2</v>
      </c>
      <c r="BZ20" s="404">
        <v>9.9999999999999995E-7</v>
      </c>
      <c r="CA20" s="391"/>
      <c r="CB20" s="405">
        <v>-20</v>
      </c>
      <c r="CC20" s="406">
        <f t="shared" si="34"/>
        <v>-1.1000000000000001</v>
      </c>
      <c r="CD20" s="406">
        <f>CD35</f>
        <v>-0.7</v>
      </c>
      <c r="CE20" s="407">
        <f t="shared" ref="CE20:CE31" si="61">CE5</f>
        <v>0.40000000000000013</v>
      </c>
      <c r="CF20" s="404">
        <v>9.9999999999999995E-7</v>
      </c>
      <c r="CH20" s="405">
        <v>-20</v>
      </c>
      <c r="CI20" s="406">
        <f t="shared" si="35"/>
        <v>-0.15</v>
      </c>
      <c r="CJ20" s="406">
        <f>CJ5</f>
        <v>-0.32</v>
      </c>
      <c r="CK20" s="407">
        <f t="shared" ref="CK20:CK31" si="62">CK5</f>
        <v>0.17</v>
      </c>
      <c r="CL20" s="404">
        <v>9.9999999999999995E-7</v>
      </c>
      <c r="CN20" s="405">
        <v>-20</v>
      </c>
      <c r="CO20" s="406">
        <f t="shared" si="36"/>
        <v>-1.8</v>
      </c>
      <c r="CP20" s="406">
        <f>CP5</f>
        <v>-0.51</v>
      </c>
      <c r="CQ20" s="407">
        <f t="shared" ref="CQ20:CQ31" si="63">CQ5</f>
        <v>1.29</v>
      </c>
      <c r="CR20" s="404">
        <v>9.9999999999999995E-7</v>
      </c>
    </row>
    <row r="21" spans="2:96" ht="12" customHeight="1">
      <c r="B21" s="405">
        <v>-15</v>
      </c>
      <c r="C21" s="406">
        <v>-0.4</v>
      </c>
      <c r="D21" s="406">
        <f t="shared" si="37"/>
        <v>-0.57999999999999996</v>
      </c>
      <c r="E21" s="407">
        <f t="shared" si="38"/>
        <v>0.17999999999999994</v>
      </c>
      <c r="F21" s="408">
        <f>(-0.45+1.66)/2</f>
        <v>0.60499999999999998</v>
      </c>
      <c r="G21" s="409"/>
      <c r="H21" s="405">
        <v>-15</v>
      </c>
      <c r="I21" s="406">
        <v>-0.56000000000000005</v>
      </c>
      <c r="J21" s="406">
        <f t="shared" si="39"/>
        <v>-0.51</v>
      </c>
      <c r="K21" s="407">
        <f t="shared" si="40"/>
        <v>5.0000000000000044E-2</v>
      </c>
      <c r="L21" s="408">
        <f t="shared" ref="L21:L26" si="64">(0+0.1)/2</f>
        <v>0.05</v>
      </c>
      <c r="M21" s="409"/>
      <c r="N21" s="405">
        <v>-15</v>
      </c>
      <c r="O21" s="406">
        <v>-0.44</v>
      </c>
      <c r="P21" s="406">
        <f t="shared" si="41"/>
        <v>-0.41</v>
      </c>
      <c r="Q21" s="407">
        <f t="shared" si="42"/>
        <v>3.0000000000000027E-2</v>
      </c>
      <c r="R21" s="404">
        <f>(0.05-0)/2</f>
        <v>2.5000000000000001E-2</v>
      </c>
      <c r="S21" s="391"/>
      <c r="T21" s="405">
        <v>-15</v>
      </c>
      <c r="U21" s="406">
        <f t="shared" si="43"/>
        <v>-1.23</v>
      </c>
      <c r="V21" s="406"/>
      <c r="W21" s="407">
        <f t="shared" si="44"/>
        <v>9.0000000000000011E-2</v>
      </c>
      <c r="X21" s="404">
        <f>(0.05-0)/2</f>
        <v>2.5000000000000001E-2</v>
      </c>
      <c r="Y21" s="391"/>
      <c r="Z21" s="405">
        <v>-15</v>
      </c>
      <c r="AA21" s="406">
        <f t="shared" si="45"/>
        <v>0.05</v>
      </c>
      <c r="AB21" s="406">
        <v>9.9999999999999995E-7</v>
      </c>
      <c r="AC21" s="407">
        <f t="shared" si="46"/>
        <v>4.9999000000000002E-2</v>
      </c>
      <c r="AD21" s="404">
        <f>(0.05-0)/2</f>
        <v>2.5000000000000001E-2</v>
      </c>
      <c r="AE21" s="391"/>
      <c r="AF21" s="405">
        <v>-15</v>
      </c>
      <c r="AG21" s="406">
        <f t="shared" si="47"/>
        <v>0.05</v>
      </c>
      <c r="AH21" s="406">
        <v>9.9999999999999995E-7</v>
      </c>
      <c r="AI21" s="407">
        <f t="shared" si="48"/>
        <v>4.9999000000000002E-2</v>
      </c>
      <c r="AJ21" s="404">
        <f>(0.05-0)/2</f>
        <v>2.5000000000000001E-2</v>
      </c>
      <c r="AK21" s="391"/>
      <c r="AL21" s="405">
        <v>-15</v>
      </c>
      <c r="AM21" s="406">
        <f t="shared" si="49"/>
        <v>0.44</v>
      </c>
      <c r="AN21" s="406"/>
      <c r="AO21" s="407">
        <f t="shared" si="50"/>
        <v>8.3333333333333329E-2</v>
      </c>
      <c r="AP21" s="404">
        <f>(0.05-0)/2</f>
        <v>2.5000000000000001E-2</v>
      </c>
      <c r="AQ21" s="391"/>
      <c r="AR21" s="405">
        <v>-15</v>
      </c>
      <c r="AS21" s="406">
        <f t="shared" si="51"/>
        <v>0.33</v>
      </c>
      <c r="AT21" s="406"/>
      <c r="AU21" s="407">
        <f t="shared" si="52"/>
        <v>0.08</v>
      </c>
      <c r="AV21" s="404">
        <f>(0.05-0)/2</f>
        <v>2.5000000000000001E-2</v>
      </c>
      <c r="AW21" s="391"/>
      <c r="AX21" s="405">
        <v>-15</v>
      </c>
      <c r="AY21" s="406">
        <f t="shared" si="53"/>
        <v>9.9999999999999995E-7</v>
      </c>
      <c r="AZ21" s="406"/>
      <c r="BA21" s="407">
        <f t="shared" si="54"/>
        <v>0.26333333333333336</v>
      </c>
      <c r="BB21" s="404">
        <f>(0.05-0)/2</f>
        <v>2.5000000000000001E-2</v>
      </c>
      <c r="BC21" s="391"/>
      <c r="BD21" s="405">
        <v>-15</v>
      </c>
      <c r="BE21" s="459">
        <v>-0.72</v>
      </c>
      <c r="BF21" s="406"/>
      <c r="BG21" s="407">
        <f t="shared" ref="BG21:BG31" si="65">IF(OR(BE21=0,BF21=0),$AD$170/3,((MAX(BE21:BF21)-(MIN(BE21:BF21)))))</f>
        <v>9.3333333333333338E-2</v>
      </c>
      <c r="BH21" s="656"/>
      <c r="BJ21" s="405">
        <v>-15</v>
      </c>
      <c r="BK21" s="406">
        <f t="shared" si="55"/>
        <v>9.9999999999999995E-7</v>
      </c>
      <c r="BL21" s="406"/>
      <c r="BM21" s="407">
        <f t="shared" si="56"/>
        <v>0.26333333333333336</v>
      </c>
      <c r="BN21" s="404">
        <f>(0.05-0)/2</f>
        <v>2.5000000000000001E-2</v>
      </c>
      <c r="BO21" s="391"/>
      <c r="BP21" s="405">
        <v>-15</v>
      </c>
      <c r="BQ21" s="406">
        <f t="shared" si="57"/>
        <v>-1.04</v>
      </c>
      <c r="BR21" s="406"/>
      <c r="BS21" s="407">
        <f t="shared" si="58"/>
        <v>8.3333333333333329E-2</v>
      </c>
      <c r="BT21" s="404">
        <f>(0.05-0)/2</f>
        <v>2.5000000000000001E-2</v>
      </c>
      <c r="BU21" s="391"/>
      <c r="BV21" s="405">
        <v>-15</v>
      </c>
      <c r="BW21" s="406">
        <f t="shared" si="59"/>
        <v>-1.18</v>
      </c>
      <c r="BX21" s="406"/>
      <c r="BY21" s="407">
        <f t="shared" si="60"/>
        <v>9.0000000000000011E-2</v>
      </c>
      <c r="BZ21" s="404">
        <f>(0.05-0)/2</f>
        <v>2.5000000000000001E-2</v>
      </c>
      <c r="CA21" s="391"/>
      <c r="CB21" s="405">
        <v>-15</v>
      </c>
      <c r="CC21" s="406">
        <f t="shared" si="34"/>
        <v>-1.1000000000000001</v>
      </c>
      <c r="CD21" s="406">
        <f t="shared" ref="CD21:CD31" si="66">CD36</f>
        <v>-0.7</v>
      </c>
      <c r="CE21" s="407">
        <f t="shared" si="61"/>
        <v>0.40000000000000013</v>
      </c>
      <c r="CF21" s="404">
        <f>(0.05-0)/2</f>
        <v>2.5000000000000001E-2</v>
      </c>
      <c r="CH21" s="405">
        <v>-15</v>
      </c>
      <c r="CI21" s="406">
        <f t="shared" si="35"/>
        <v>-0.1</v>
      </c>
      <c r="CJ21" s="406">
        <f t="shared" si="35"/>
        <v>-0.24</v>
      </c>
      <c r="CK21" s="407">
        <f t="shared" si="62"/>
        <v>0.13999999999999999</v>
      </c>
      <c r="CL21" s="404">
        <f>(0.05-0)/2</f>
        <v>2.5000000000000001E-2</v>
      </c>
      <c r="CN21" s="405">
        <v>-15</v>
      </c>
      <c r="CO21" s="406">
        <f t="shared" si="36"/>
        <v>-1.52</v>
      </c>
      <c r="CP21" s="406">
        <f t="shared" si="36"/>
        <v>-0.39</v>
      </c>
      <c r="CQ21" s="407">
        <f t="shared" si="63"/>
        <v>1.1299999999999999</v>
      </c>
      <c r="CR21" s="404">
        <f>(0.05-0)/2</f>
        <v>2.5000000000000001E-2</v>
      </c>
    </row>
    <row r="22" spans="2:96" ht="12" customHeight="1">
      <c r="B22" s="405">
        <v>-10</v>
      </c>
      <c r="C22" s="406">
        <v>-0.33</v>
      </c>
      <c r="D22" s="406">
        <f t="shared" si="37"/>
        <v>-0.5</v>
      </c>
      <c r="E22" s="407">
        <f t="shared" si="38"/>
        <v>0.16999999999999998</v>
      </c>
      <c r="F22" s="408">
        <f>(-0.4+1.37)/2</f>
        <v>0.48500000000000004</v>
      </c>
      <c r="G22" s="409"/>
      <c r="H22" s="405">
        <v>-10</v>
      </c>
      <c r="I22" s="406">
        <v>0</v>
      </c>
      <c r="J22" s="406">
        <f t="shared" si="39"/>
        <v>-0.42</v>
      </c>
      <c r="K22" s="407">
        <f t="shared" si="40"/>
        <v>0.18666666666666668</v>
      </c>
      <c r="L22" s="408">
        <f t="shared" si="64"/>
        <v>0.05</v>
      </c>
      <c r="M22" s="409"/>
      <c r="N22" s="405">
        <v>-10</v>
      </c>
      <c r="O22" s="406">
        <v>-0.34</v>
      </c>
      <c r="P22" s="406">
        <f t="shared" si="41"/>
        <v>-0.34</v>
      </c>
      <c r="Q22" s="407">
        <f t="shared" si="42"/>
        <v>0</v>
      </c>
      <c r="R22" s="404">
        <f>(0.06-0)/2</f>
        <v>0.03</v>
      </c>
      <c r="S22" s="414"/>
      <c r="T22" s="405">
        <v>-10</v>
      </c>
      <c r="U22" s="406">
        <f t="shared" si="43"/>
        <v>-0.99</v>
      </c>
      <c r="V22" s="406"/>
      <c r="W22" s="407">
        <f t="shared" si="44"/>
        <v>9.0000000000000011E-2</v>
      </c>
      <c r="X22" s="404">
        <f>(0.06-0)/2</f>
        <v>0.03</v>
      </c>
      <c r="Y22" s="414"/>
      <c r="Z22" s="405">
        <v>-10</v>
      </c>
      <c r="AA22" s="406">
        <f t="shared" si="45"/>
        <v>0.08</v>
      </c>
      <c r="AB22" s="406">
        <v>-0.28000000000000003</v>
      </c>
      <c r="AC22" s="407">
        <f t="shared" si="46"/>
        <v>0.36000000000000004</v>
      </c>
      <c r="AD22" s="404">
        <f>(0.06-0)/2</f>
        <v>0.03</v>
      </c>
      <c r="AE22" s="414"/>
      <c r="AF22" s="405">
        <v>-10</v>
      </c>
      <c r="AG22" s="406">
        <f t="shared" si="47"/>
        <v>0.08</v>
      </c>
      <c r="AH22" s="406">
        <v>0.1</v>
      </c>
      <c r="AI22" s="407">
        <f t="shared" si="48"/>
        <v>2.0000000000000004E-2</v>
      </c>
      <c r="AJ22" s="404">
        <f>(0.06-0)/2</f>
        <v>0.03</v>
      </c>
      <c r="AK22" s="414"/>
      <c r="AL22" s="405">
        <v>-10</v>
      </c>
      <c r="AM22" s="406">
        <f t="shared" si="49"/>
        <v>0.44</v>
      </c>
      <c r="AN22" s="406"/>
      <c r="AO22" s="407">
        <f t="shared" si="50"/>
        <v>8.3333333333333329E-2</v>
      </c>
      <c r="AP22" s="404">
        <f>(0.06-0)/2</f>
        <v>0.03</v>
      </c>
      <c r="AQ22" s="391"/>
      <c r="AR22" s="405">
        <v>-10</v>
      </c>
      <c r="AS22" s="406">
        <f t="shared" si="51"/>
        <v>0.35</v>
      </c>
      <c r="AT22" s="406"/>
      <c r="AU22" s="407">
        <f t="shared" si="52"/>
        <v>0.08</v>
      </c>
      <c r="AV22" s="404">
        <f>(0.06-0)/2</f>
        <v>0.03</v>
      </c>
      <c r="AW22" s="391"/>
      <c r="AX22" s="405">
        <v>-10</v>
      </c>
      <c r="AY22" s="406">
        <f t="shared" si="53"/>
        <v>0.59</v>
      </c>
      <c r="AZ22" s="406"/>
      <c r="BA22" s="407">
        <f t="shared" si="54"/>
        <v>0.26333333333333336</v>
      </c>
      <c r="BB22" s="404">
        <f>(0.06-0)/2</f>
        <v>0.03</v>
      </c>
      <c r="BC22" s="391"/>
      <c r="BD22" s="405">
        <v>-10</v>
      </c>
      <c r="BE22" s="459">
        <v>-0.52</v>
      </c>
      <c r="BF22" s="406"/>
      <c r="BG22" s="407">
        <f t="shared" si="65"/>
        <v>9.3333333333333338E-2</v>
      </c>
      <c r="BH22" s="655">
        <f>IF($BH$19&lt;=$BD$20,$BD$20,IF($BH$19&lt;=$BD$21,$BD$21,IF($BH$19&lt;=$BD$22,$BD$22,IF($BH$19&lt;=$BD$23,$BD$23,IF($BH$19&lt;=$BD$24,$BD$24,IF($BH$19&lt;=$BD$25,$BD$25))))))</f>
        <v>2</v>
      </c>
      <c r="BJ22" s="405">
        <v>-10</v>
      </c>
      <c r="BK22" s="406">
        <f t="shared" si="55"/>
        <v>0.59</v>
      </c>
      <c r="BL22" s="406"/>
      <c r="BM22" s="407">
        <f t="shared" si="56"/>
        <v>0.26333333333333336</v>
      </c>
      <c r="BN22" s="404">
        <f>(0.06-0)/2</f>
        <v>0.03</v>
      </c>
      <c r="BO22" s="391"/>
      <c r="BP22" s="405">
        <v>-10</v>
      </c>
      <c r="BQ22" s="406">
        <f t="shared" si="57"/>
        <v>-0.83</v>
      </c>
      <c r="BR22" s="406"/>
      <c r="BS22" s="407">
        <f t="shared" si="58"/>
        <v>8.3333333333333329E-2</v>
      </c>
      <c r="BT22" s="404">
        <f>(0.06-0)/2</f>
        <v>0.03</v>
      </c>
      <c r="BU22" s="391"/>
      <c r="BV22" s="405">
        <v>-10</v>
      </c>
      <c r="BW22" s="406">
        <f t="shared" si="59"/>
        <v>-0.94</v>
      </c>
      <c r="BX22" s="406"/>
      <c r="BY22" s="407">
        <f t="shared" si="60"/>
        <v>9.0000000000000011E-2</v>
      </c>
      <c r="BZ22" s="404">
        <f>(0.06-0)/2</f>
        <v>0.03</v>
      </c>
      <c r="CA22" s="391"/>
      <c r="CB22" s="405">
        <v>-10</v>
      </c>
      <c r="CC22" s="406">
        <f t="shared" si="34"/>
        <v>-1.2</v>
      </c>
      <c r="CD22" s="406">
        <f t="shared" si="66"/>
        <v>-0.7</v>
      </c>
      <c r="CE22" s="407">
        <f t="shared" si="61"/>
        <v>0.5</v>
      </c>
      <c r="CF22" s="404">
        <f>(0.06-0)/2</f>
        <v>0.03</v>
      </c>
      <c r="CH22" s="405">
        <v>-10</v>
      </c>
      <c r="CI22" s="406">
        <f t="shared" si="35"/>
        <v>-0.05</v>
      </c>
      <c r="CJ22" s="406">
        <f t="shared" si="35"/>
        <v>-0.18</v>
      </c>
      <c r="CK22" s="407">
        <f t="shared" si="62"/>
        <v>0.13</v>
      </c>
      <c r="CL22" s="404">
        <f>(0.06-0)/2</f>
        <v>0.03</v>
      </c>
      <c r="CN22" s="405">
        <v>-10</v>
      </c>
      <c r="CO22" s="406">
        <f t="shared" si="36"/>
        <v>-1.26</v>
      </c>
      <c r="CP22" s="406">
        <f t="shared" si="36"/>
        <v>-0.28000000000000003</v>
      </c>
      <c r="CQ22" s="407">
        <f t="shared" si="63"/>
        <v>0.98</v>
      </c>
      <c r="CR22" s="404">
        <f>(0.06-0)/2</f>
        <v>0.03</v>
      </c>
    </row>
    <row r="23" spans="2:96">
      <c r="B23" s="405">
        <v>9.9999999999999995E-7</v>
      </c>
      <c r="C23" s="406">
        <v>-0.2</v>
      </c>
      <c r="D23" s="406">
        <f t="shared" si="37"/>
        <v>-0.34</v>
      </c>
      <c r="E23" s="407">
        <f t="shared" si="38"/>
        <v>0.14000000000000001</v>
      </c>
      <c r="F23" s="408">
        <f>(-0.31+0.86)/2</f>
        <v>0.27500000000000002</v>
      </c>
      <c r="G23" s="409"/>
      <c r="H23" s="405">
        <v>9.9999999999999995E-7</v>
      </c>
      <c r="I23" s="406">
        <v>-0.25</v>
      </c>
      <c r="J23" s="406">
        <f t="shared" si="39"/>
        <v>-0.26</v>
      </c>
      <c r="K23" s="407">
        <f t="shared" si="40"/>
        <v>1.0000000000000009E-2</v>
      </c>
      <c r="L23" s="408">
        <f t="shared" si="64"/>
        <v>0.05</v>
      </c>
      <c r="M23" s="409"/>
      <c r="N23" s="405">
        <v>9.9999999999999995E-7</v>
      </c>
      <c r="O23" s="406">
        <v>-0.32</v>
      </c>
      <c r="P23" s="406">
        <f t="shared" si="41"/>
        <v>-0.21</v>
      </c>
      <c r="Q23" s="407">
        <f t="shared" si="42"/>
        <v>0.11000000000000001</v>
      </c>
      <c r="R23" s="404">
        <f>(0.08-0)/2</f>
        <v>0.04</v>
      </c>
      <c r="S23" s="411"/>
      <c r="T23" s="405">
        <v>9.9999999999999995E-7</v>
      </c>
      <c r="U23" s="406">
        <f t="shared" si="43"/>
        <v>-0.34</v>
      </c>
      <c r="V23" s="406"/>
      <c r="W23" s="407">
        <f t="shared" si="44"/>
        <v>9.0000000000000011E-2</v>
      </c>
      <c r="X23" s="404">
        <f>(0.08-0)/2</f>
        <v>0.04</v>
      </c>
      <c r="Y23" s="411"/>
      <c r="Z23" s="405">
        <v>9.9999999999999995E-7</v>
      </c>
      <c r="AA23" s="406">
        <f t="shared" si="45"/>
        <v>0.05</v>
      </c>
      <c r="AB23" s="406">
        <v>-0.06</v>
      </c>
      <c r="AC23" s="407">
        <f t="shared" si="46"/>
        <v>0.11</v>
      </c>
      <c r="AD23" s="404">
        <f>(0.08-0)/2</f>
        <v>0.04</v>
      </c>
      <c r="AE23" s="411"/>
      <c r="AF23" s="405">
        <v>9.9999999999999995E-7</v>
      </c>
      <c r="AG23" s="406">
        <f t="shared" si="47"/>
        <v>0.06</v>
      </c>
      <c r="AH23" s="406">
        <v>0.28999999999999998</v>
      </c>
      <c r="AI23" s="407">
        <f t="shared" si="48"/>
        <v>0.22999999999999998</v>
      </c>
      <c r="AJ23" s="404">
        <f>(0.08-0)/2</f>
        <v>0.04</v>
      </c>
      <c r="AK23" s="411"/>
      <c r="AL23" s="405">
        <v>9.9999999999999995E-7</v>
      </c>
      <c r="AM23" s="406">
        <f t="shared" si="49"/>
        <v>0.38</v>
      </c>
      <c r="AN23" s="406"/>
      <c r="AO23" s="407">
        <f t="shared" si="50"/>
        <v>8.3333333333333329E-2</v>
      </c>
      <c r="AP23" s="404">
        <f>(0.08-0)/2</f>
        <v>0.04</v>
      </c>
      <c r="AQ23" s="391"/>
      <c r="AR23" s="405">
        <v>9.9999999999999995E-7</v>
      </c>
      <c r="AS23" s="406">
        <f t="shared" si="51"/>
        <v>0.35</v>
      </c>
      <c r="AT23" s="406"/>
      <c r="AU23" s="407">
        <f t="shared" si="52"/>
        <v>0.08</v>
      </c>
      <c r="AV23" s="404">
        <f>(0.08-0)/2</f>
        <v>0.04</v>
      </c>
      <c r="AW23" s="391"/>
      <c r="AX23" s="405">
        <v>9.9999999999999995E-7</v>
      </c>
      <c r="AY23" s="406">
        <f t="shared" si="53"/>
        <v>0.56000000000000005</v>
      </c>
      <c r="AZ23" s="406"/>
      <c r="BA23" s="407">
        <f t="shared" si="54"/>
        <v>0.26333333333333336</v>
      </c>
      <c r="BB23" s="404">
        <f>(0.08-0)/2</f>
        <v>0.04</v>
      </c>
      <c r="BC23" s="391"/>
      <c r="BD23" s="405">
        <v>9.9999999999999995E-7</v>
      </c>
      <c r="BE23" s="459">
        <v>-0.28000000000000003</v>
      </c>
      <c r="BF23" s="406"/>
      <c r="BG23" s="407">
        <f t="shared" si="65"/>
        <v>9.3333333333333338E-2</v>
      </c>
      <c r="BH23" s="656"/>
      <c r="BJ23" s="405">
        <v>9.9999999999999995E-7</v>
      </c>
      <c r="BK23" s="406">
        <f t="shared" si="55"/>
        <v>0.56000000000000005</v>
      </c>
      <c r="BL23" s="406"/>
      <c r="BM23" s="407">
        <f t="shared" si="56"/>
        <v>0.26333333333333336</v>
      </c>
      <c r="BN23" s="404">
        <f>(0.08-0)/2</f>
        <v>0.04</v>
      </c>
      <c r="BO23" s="391"/>
      <c r="BP23" s="405">
        <v>9.9999999999999995E-7</v>
      </c>
      <c r="BQ23" s="406">
        <f t="shared" si="57"/>
        <v>-0.56999999999999995</v>
      </c>
      <c r="BR23" s="406"/>
      <c r="BS23" s="407">
        <f t="shared" si="58"/>
        <v>8.3333333333333329E-2</v>
      </c>
      <c r="BT23" s="404">
        <f>(0.08-0)/2</f>
        <v>0.04</v>
      </c>
      <c r="BU23" s="391"/>
      <c r="BV23" s="405">
        <v>9.9999999999999995E-7</v>
      </c>
      <c r="BW23" s="406">
        <f t="shared" si="59"/>
        <v>-0.56000000000000005</v>
      </c>
      <c r="BX23" s="406"/>
      <c r="BY23" s="407">
        <f t="shared" si="60"/>
        <v>9.0000000000000011E-2</v>
      </c>
      <c r="BZ23" s="404">
        <f>(0.08-0)/2</f>
        <v>0.04</v>
      </c>
      <c r="CA23" s="391"/>
      <c r="CB23" s="405">
        <v>9.9999999999999995E-7</v>
      </c>
      <c r="CC23" s="406">
        <f t="shared" si="34"/>
        <v>-1.4</v>
      </c>
      <c r="CD23" s="406">
        <f t="shared" si="66"/>
        <v>-0.7</v>
      </c>
      <c r="CE23" s="407">
        <f t="shared" si="61"/>
        <v>0.7</v>
      </c>
      <c r="CF23" s="404">
        <f>(0.08-0)/2</f>
        <v>0.04</v>
      </c>
      <c r="CH23" s="405">
        <v>9.9999999999999995E-7</v>
      </c>
      <c r="CI23" s="406">
        <f t="shared" si="35"/>
        <v>0.03</v>
      </c>
      <c r="CJ23" s="406">
        <f t="shared" si="35"/>
        <v>-0.06</v>
      </c>
      <c r="CK23" s="407">
        <f t="shared" si="62"/>
        <v>0.09</v>
      </c>
      <c r="CL23" s="404">
        <f>(0.08-0)/2</f>
        <v>0.04</v>
      </c>
      <c r="CN23" s="405">
        <v>9.9999999999999995E-7</v>
      </c>
      <c r="CO23" s="406">
        <f t="shared" si="36"/>
        <v>-0.79</v>
      </c>
      <c r="CP23" s="406">
        <f t="shared" si="36"/>
        <v>-0.08</v>
      </c>
      <c r="CQ23" s="407">
        <f t="shared" si="63"/>
        <v>0.71000000000000008</v>
      </c>
      <c r="CR23" s="404">
        <f>(0.08-0)/2</f>
        <v>0.04</v>
      </c>
    </row>
    <row r="24" spans="2:96">
      <c r="B24" s="405">
        <v>2</v>
      </c>
      <c r="C24" s="406">
        <v>-0.18</v>
      </c>
      <c r="D24" s="406">
        <f t="shared" si="37"/>
        <v>-0.31</v>
      </c>
      <c r="E24" s="407">
        <f t="shared" si="38"/>
        <v>0.13</v>
      </c>
      <c r="F24" s="408">
        <f>(-0.3+0.77)/2</f>
        <v>0.23500000000000001</v>
      </c>
      <c r="G24" s="409"/>
      <c r="H24" s="405">
        <v>2</v>
      </c>
      <c r="I24" s="406">
        <v>-0.22</v>
      </c>
      <c r="J24" s="406">
        <f t="shared" si="39"/>
        <v>-0.23</v>
      </c>
      <c r="K24" s="407">
        <f t="shared" si="40"/>
        <v>1.0000000000000009E-2</v>
      </c>
      <c r="L24" s="408">
        <f t="shared" si="64"/>
        <v>0.05</v>
      </c>
      <c r="M24" s="409"/>
      <c r="N24" s="405">
        <v>2</v>
      </c>
      <c r="O24" s="406">
        <v>-0.32</v>
      </c>
      <c r="P24" s="406">
        <f t="shared" si="41"/>
        <v>-0.19</v>
      </c>
      <c r="Q24" s="407">
        <f t="shared" si="42"/>
        <v>0.13</v>
      </c>
      <c r="R24" s="404">
        <f>(0.08-0)/2</f>
        <v>0.04</v>
      </c>
      <c r="S24" s="414"/>
      <c r="T24" s="405">
        <v>2</v>
      </c>
      <c r="U24" s="406">
        <f t="shared" si="43"/>
        <v>-0.62</v>
      </c>
      <c r="V24" s="406"/>
      <c r="W24" s="407">
        <f t="shared" si="44"/>
        <v>9.0000000000000011E-2</v>
      </c>
      <c r="X24" s="404">
        <f>(0.08-0)/2</f>
        <v>0.04</v>
      </c>
      <c r="Y24" s="414"/>
      <c r="Z24" s="405">
        <v>2</v>
      </c>
      <c r="AA24" s="406">
        <f t="shared" si="45"/>
        <v>7.0000000000000007E-2</v>
      </c>
      <c r="AB24" s="406">
        <v>-0.02</v>
      </c>
      <c r="AC24" s="407">
        <f t="shared" si="46"/>
        <v>9.0000000000000011E-2</v>
      </c>
      <c r="AD24" s="404">
        <f>(0.08-0)/2</f>
        <v>0.04</v>
      </c>
      <c r="AE24" s="414"/>
      <c r="AF24" s="405">
        <v>2</v>
      </c>
      <c r="AG24" s="406">
        <f t="shared" si="47"/>
        <v>0.08</v>
      </c>
      <c r="AH24" s="406">
        <v>0.33</v>
      </c>
      <c r="AI24" s="407">
        <f t="shared" si="48"/>
        <v>0.25</v>
      </c>
      <c r="AJ24" s="404">
        <f>(0.08-0)/2</f>
        <v>0.04</v>
      </c>
      <c r="AK24" s="414"/>
      <c r="AL24" s="405">
        <v>2</v>
      </c>
      <c r="AM24" s="406">
        <f t="shared" si="49"/>
        <v>0.41</v>
      </c>
      <c r="AN24" s="406"/>
      <c r="AO24" s="407">
        <f t="shared" si="50"/>
        <v>8.3333333333333329E-2</v>
      </c>
      <c r="AP24" s="404">
        <f>(0.08-0)/2</f>
        <v>0.04</v>
      </c>
      <c r="AQ24" s="391"/>
      <c r="AR24" s="405">
        <v>2</v>
      </c>
      <c r="AS24" s="406">
        <f t="shared" si="51"/>
        <v>0.36</v>
      </c>
      <c r="AT24" s="406"/>
      <c r="AU24" s="407">
        <f t="shared" si="52"/>
        <v>0.08</v>
      </c>
      <c r="AV24" s="404">
        <f>(0.08-0)/2</f>
        <v>0.04</v>
      </c>
      <c r="AW24" s="391"/>
      <c r="AX24" s="405">
        <v>2</v>
      </c>
      <c r="AY24" s="406">
        <f t="shared" si="53"/>
        <v>0.55000000000000004</v>
      </c>
      <c r="AZ24" s="406"/>
      <c r="BA24" s="407">
        <f t="shared" si="54"/>
        <v>0.26333333333333336</v>
      </c>
      <c r="BB24" s="404">
        <f>(0.08-0)/2</f>
        <v>0.04</v>
      </c>
      <c r="BC24" s="391"/>
      <c r="BD24" s="405">
        <v>2</v>
      </c>
      <c r="BE24" s="459">
        <v>-0.41</v>
      </c>
      <c r="BF24" s="406"/>
      <c r="BG24" s="407">
        <f t="shared" si="65"/>
        <v>9.3333333333333338E-2</v>
      </c>
      <c r="BH24" s="657">
        <f>VLOOKUP($BH$20,$BD$20:$BG$25,4)</f>
        <v>9.3333333333333338E-2</v>
      </c>
      <c r="BJ24" s="405">
        <v>2</v>
      </c>
      <c r="BK24" s="406">
        <f t="shared" si="55"/>
        <v>0.55000000000000004</v>
      </c>
      <c r="BL24" s="406"/>
      <c r="BM24" s="407">
        <f t="shared" si="56"/>
        <v>0.26333333333333336</v>
      </c>
      <c r="BN24" s="404">
        <f>(0.08-0)/2</f>
        <v>0.04</v>
      </c>
      <c r="BO24" s="391"/>
      <c r="BP24" s="405">
        <v>2</v>
      </c>
      <c r="BQ24" s="406">
        <f t="shared" si="57"/>
        <v>-0.57999999999999996</v>
      </c>
      <c r="BR24" s="406"/>
      <c r="BS24" s="407">
        <f t="shared" si="58"/>
        <v>8.3333333333333329E-2</v>
      </c>
      <c r="BT24" s="404">
        <f>(0.08-0)/2</f>
        <v>0.04</v>
      </c>
      <c r="BU24" s="391"/>
      <c r="BV24" s="405">
        <v>2</v>
      </c>
      <c r="BW24" s="406">
        <f t="shared" si="59"/>
        <v>-0.64</v>
      </c>
      <c r="BX24" s="406"/>
      <c r="BY24" s="407">
        <f t="shared" si="60"/>
        <v>9.0000000000000011E-2</v>
      </c>
      <c r="BZ24" s="404">
        <f>(0.08-0)/2</f>
        <v>0.04</v>
      </c>
      <c r="CA24" s="391"/>
      <c r="CB24" s="405">
        <v>2</v>
      </c>
      <c r="CC24" s="406">
        <f t="shared" si="34"/>
        <v>0</v>
      </c>
      <c r="CD24" s="406">
        <f t="shared" si="66"/>
        <v>-0.7</v>
      </c>
      <c r="CE24" s="407">
        <f t="shared" si="61"/>
        <v>0.19999999999999998</v>
      </c>
      <c r="CF24" s="404">
        <f>(0.08-0)/2</f>
        <v>0.04</v>
      </c>
      <c r="CH24" s="405">
        <v>2</v>
      </c>
      <c r="CI24" s="406">
        <f t="shared" si="35"/>
        <v>0.04</v>
      </c>
      <c r="CJ24" s="406">
        <f t="shared" si="35"/>
        <v>-0.04</v>
      </c>
      <c r="CK24" s="407">
        <f t="shared" si="62"/>
        <v>0.08</v>
      </c>
      <c r="CL24" s="404">
        <f>(0.08-0)/2</f>
        <v>0.04</v>
      </c>
      <c r="CN24" s="405">
        <v>2</v>
      </c>
      <c r="CO24" s="406">
        <f t="shared" si="36"/>
        <v>-0.7</v>
      </c>
      <c r="CP24" s="406">
        <f t="shared" si="36"/>
        <v>-0.05</v>
      </c>
      <c r="CQ24" s="407">
        <f t="shared" si="63"/>
        <v>0.64999999999999991</v>
      </c>
      <c r="CR24" s="404">
        <f>(0.08-0)/2</f>
        <v>0.04</v>
      </c>
    </row>
    <row r="25" spans="2:96">
      <c r="B25" s="405">
        <v>8</v>
      </c>
      <c r="C25" s="406">
        <v>-0.11</v>
      </c>
      <c r="D25" s="406">
        <f t="shared" si="37"/>
        <v>-0.22</v>
      </c>
      <c r="E25" s="407">
        <f t="shared" si="38"/>
        <v>0.11</v>
      </c>
      <c r="F25" s="408">
        <f>(-0.26+0.51)/2</f>
        <v>0.125</v>
      </c>
      <c r="G25" s="409"/>
      <c r="H25" s="405">
        <v>8</v>
      </c>
      <c r="I25" s="406">
        <v>-0.13</v>
      </c>
      <c r="J25" s="406">
        <f t="shared" si="39"/>
        <v>-0.14000000000000001</v>
      </c>
      <c r="K25" s="407">
        <f t="shared" si="40"/>
        <v>1.0000000000000009E-2</v>
      </c>
      <c r="L25" s="408">
        <f t="shared" si="64"/>
        <v>0.05</v>
      </c>
      <c r="M25" s="409"/>
      <c r="N25" s="405">
        <v>8</v>
      </c>
      <c r="O25" s="406">
        <v>-0.18</v>
      </c>
      <c r="P25" s="406">
        <f t="shared" si="41"/>
        <v>-0.13</v>
      </c>
      <c r="Q25" s="407">
        <f t="shared" si="42"/>
        <v>4.9999999999999989E-2</v>
      </c>
      <c r="R25" s="404">
        <f>(0.09-0)/2</f>
        <v>4.4999999999999998E-2</v>
      </c>
      <c r="S25" s="391"/>
      <c r="T25" s="405">
        <v>8</v>
      </c>
      <c r="U25" s="406">
        <f t="shared" si="43"/>
        <v>-0.37</v>
      </c>
      <c r="V25" s="406"/>
      <c r="W25" s="407">
        <f t="shared" si="44"/>
        <v>9.0000000000000011E-2</v>
      </c>
      <c r="X25" s="404">
        <f>(0.09-0)/2</f>
        <v>4.4999999999999998E-2</v>
      </c>
      <c r="Y25" s="391"/>
      <c r="Z25" s="405">
        <v>8</v>
      </c>
      <c r="AA25" s="406">
        <f t="shared" si="45"/>
        <v>7.0000000000000007E-2</v>
      </c>
      <c r="AB25" s="406">
        <v>0.09</v>
      </c>
      <c r="AC25" s="407">
        <f t="shared" si="46"/>
        <v>1.999999999999999E-2</v>
      </c>
      <c r="AD25" s="404">
        <f>(0.09-0)/2</f>
        <v>4.4999999999999998E-2</v>
      </c>
      <c r="AE25" s="391"/>
      <c r="AF25" s="405">
        <v>8</v>
      </c>
      <c r="AG25" s="406">
        <f t="shared" si="47"/>
        <v>0.08</v>
      </c>
      <c r="AH25" s="406">
        <v>0.42</v>
      </c>
      <c r="AI25" s="407">
        <f t="shared" si="48"/>
        <v>0.33999999999999997</v>
      </c>
      <c r="AJ25" s="404">
        <f>(0.09-0)/2</f>
        <v>4.4999999999999998E-2</v>
      </c>
      <c r="AK25" s="391"/>
      <c r="AL25" s="405">
        <v>8</v>
      </c>
      <c r="AM25" s="406">
        <f t="shared" si="49"/>
        <v>0.41</v>
      </c>
      <c r="AN25" s="406"/>
      <c r="AO25" s="407">
        <f t="shared" si="50"/>
        <v>8.3333333333333329E-2</v>
      </c>
      <c r="AP25" s="404">
        <f>(0.09-0)/2</f>
        <v>4.4999999999999998E-2</v>
      </c>
      <c r="AQ25" s="391"/>
      <c r="AR25" s="405">
        <v>8</v>
      </c>
      <c r="AS25" s="406">
        <f t="shared" si="51"/>
        <v>0.35</v>
      </c>
      <c r="AT25" s="406"/>
      <c r="AU25" s="407">
        <f t="shared" si="52"/>
        <v>0.08</v>
      </c>
      <c r="AV25" s="404">
        <f>(0.09-0)/2</f>
        <v>4.4999999999999998E-2</v>
      </c>
      <c r="AW25" s="391"/>
      <c r="AX25" s="405">
        <v>8</v>
      </c>
      <c r="AY25" s="406">
        <f t="shared" si="53"/>
        <v>0.53</v>
      </c>
      <c r="AZ25" s="406"/>
      <c r="BA25" s="407">
        <f t="shared" si="54"/>
        <v>0.26333333333333336</v>
      </c>
      <c r="BB25" s="404">
        <f>(0.09-0)/2</f>
        <v>4.4999999999999998E-2</v>
      </c>
      <c r="BC25" s="391"/>
      <c r="BD25" s="405">
        <v>8</v>
      </c>
      <c r="BE25" s="459">
        <v>-0.13</v>
      </c>
      <c r="BF25" s="406"/>
      <c r="BG25" s="407">
        <f t="shared" si="65"/>
        <v>9.3333333333333338E-2</v>
      </c>
      <c r="BH25" s="656"/>
      <c r="BJ25" s="405">
        <v>8</v>
      </c>
      <c r="BK25" s="406">
        <f t="shared" si="55"/>
        <v>0.53</v>
      </c>
      <c r="BL25" s="406"/>
      <c r="BM25" s="407">
        <f t="shared" si="56"/>
        <v>0.26333333333333336</v>
      </c>
      <c r="BN25" s="404">
        <f>(0.09-0)/2</f>
        <v>4.4999999999999998E-2</v>
      </c>
      <c r="BO25" s="391"/>
      <c r="BP25" s="405">
        <v>8</v>
      </c>
      <c r="BQ25" s="406">
        <f t="shared" si="57"/>
        <v>-0.34</v>
      </c>
      <c r="BR25" s="406"/>
      <c r="BS25" s="407">
        <f t="shared" si="58"/>
        <v>8.3333333333333329E-2</v>
      </c>
      <c r="BT25" s="404">
        <f>(0.09-0)/2</f>
        <v>4.4999999999999998E-2</v>
      </c>
      <c r="BU25" s="391"/>
      <c r="BV25" s="405">
        <v>8</v>
      </c>
      <c r="BW25" s="406">
        <f t="shared" si="59"/>
        <v>-0.37</v>
      </c>
      <c r="BX25" s="406"/>
      <c r="BY25" s="407">
        <f t="shared" si="60"/>
        <v>9.0000000000000011E-2</v>
      </c>
      <c r="BZ25" s="404">
        <f>(0.09-0)/2</f>
        <v>4.4999999999999998E-2</v>
      </c>
      <c r="CA25" s="391"/>
      <c r="CB25" s="405">
        <v>8</v>
      </c>
      <c r="CC25" s="406">
        <f t="shared" si="34"/>
        <v>0</v>
      </c>
      <c r="CD25" s="406">
        <f t="shared" si="66"/>
        <v>-0.7</v>
      </c>
      <c r="CE25" s="407">
        <f t="shared" si="61"/>
        <v>0.19999999999999998</v>
      </c>
      <c r="CF25" s="404">
        <f>(0.09-0)/2</f>
        <v>4.4999999999999998E-2</v>
      </c>
      <c r="CH25" s="405">
        <v>8</v>
      </c>
      <c r="CI25" s="406">
        <f t="shared" si="35"/>
        <v>0.08</v>
      </c>
      <c r="CJ25" s="406">
        <f t="shared" si="35"/>
        <v>0.01</v>
      </c>
      <c r="CK25" s="407">
        <f t="shared" si="62"/>
        <v>7.0000000000000007E-2</v>
      </c>
      <c r="CL25" s="404">
        <f>(0.09-0)/2</f>
        <v>4.4999999999999998E-2</v>
      </c>
      <c r="CN25" s="405">
        <v>8</v>
      </c>
      <c r="CO25" s="406">
        <f t="shared" si="36"/>
        <v>-0.46</v>
      </c>
      <c r="CP25" s="406">
        <f t="shared" si="36"/>
        <v>0.06</v>
      </c>
      <c r="CQ25" s="407">
        <f t="shared" si="63"/>
        <v>0.52</v>
      </c>
      <c r="CR25" s="404">
        <f>(0.09-0)/2</f>
        <v>4.4999999999999998E-2</v>
      </c>
    </row>
    <row r="26" spans="2:96">
      <c r="B26" s="405">
        <v>37</v>
      </c>
      <c r="C26" s="406">
        <v>0.11</v>
      </c>
      <c r="D26" s="406">
        <f t="shared" si="37"/>
        <v>0.19</v>
      </c>
      <c r="E26" s="407">
        <f t="shared" si="38"/>
        <v>0.08</v>
      </c>
      <c r="F26" s="408">
        <f>(0.42+0.17)/2</f>
        <v>0.29499999999999998</v>
      </c>
      <c r="G26" s="409"/>
      <c r="H26" s="405">
        <v>37</v>
      </c>
      <c r="I26" s="406">
        <v>0.12</v>
      </c>
      <c r="J26" s="406">
        <f t="shared" si="39"/>
        <v>0.21</v>
      </c>
      <c r="K26" s="407">
        <f t="shared" si="40"/>
        <v>0.09</v>
      </c>
      <c r="L26" s="408">
        <f t="shared" si="64"/>
        <v>0.05</v>
      </c>
      <c r="M26" s="409"/>
      <c r="N26" s="405">
        <v>37</v>
      </c>
      <c r="O26" s="406">
        <v>-0.17</v>
      </c>
      <c r="P26" s="406">
        <f t="shared" si="41"/>
        <v>0.01</v>
      </c>
      <c r="Q26" s="407">
        <f t="shared" si="42"/>
        <v>0.18000000000000002</v>
      </c>
      <c r="R26" s="404">
        <f>(0.14-0)/2</f>
        <v>7.0000000000000007E-2</v>
      </c>
      <c r="S26" s="391"/>
      <c r="T26" s="405">
        <v>37</v>
      </c>
      <c r="U26" s="406">
        <f t="shared" si="43"/>
        <v>0.49</v>
      </c>
      <c r="V26" s="406"/>
      <c r="W26" s="407">
        <f t="shared" si="44"/>
        <v>9.0000000000000011E-2</v>
      </c>
      <c r="X26" s="404">
        <f>(0.14-0)/2</f>
        <v>7.0000000000000007E-2</v>
      </c>
      <c r="Y26" s="391"/>
      <c r="Z26" s="405">
        <v>37</v>
      </c>
      <c r="AA26" s="406">
        <f t="shared" si="45"/>
        <v>0.08</v>
      </c>
      <c r="AB26" s="406">
        <v>0.47</v>
      </c>
      <c r="AC26" s="407">
        <f t="shared" si="46"/>
        <v>0.38999999999999996</v>
      </c>
      <c r="AD26" s="404">
        <f>(0.14-0)/2</f>
        <v>7.0000000000000007E-2</v>
      </c>
      <c r="AE26" s="391"/>
      <c r="AF26" s="405">
        <v>37</v>
      </c>
      <c r="AG26" s="406">
        <f t="shared" si="47"/>
        <v>0.09</v>
      </c>
      <c r="AH26" s="406">
        <v>0.69</v>
      </c>
      <c r="AI26" s="407">
        <f t="shared" si="48"/>
        <v>0.6</v>
      </c>
      <c r="AJ26" s="404">
        <f>(0.14-0)/2</f>
        <v>7.0000000000000007E-2</v>
      </c>
      <c r="AK26" s="391"/>
      <c r="AL26" s="405">
        <v>37</v>
      </c>
      <c r="AM26" s="406">
        <f t="shared" si="49"/>
        <v>0.42</v>
      </c>
      <c r="AN26" s="406"/>
      <c r="AO26" s="407">
        <f t="shared" si="50"/>
        <v>8.3333333333333329E-2</v>
      </c>
      <c r="AP26" s="404">
        <f>(0.14-0)/2</f>
        <v>7.0000000000000007E-2</v>
      </c>
      <c r="AQ26" s="391"/>
      <c r="AR26" s="405">
        <v>37</v>
      </c>
      <c r="AS26" s="406">
        <f t="shared" si="51"/>
        <v>0.33</v>
      </c>
      <c r="AT26" s="406"/>
      <c r="AU26" s="407">
        <f t="shared" si="52"/>
        <v>0.08</v>
      </c>
      <c r="AV26" s="404">
        <f>(0.14-0)/2</f>
        <v>7.0000000000000007E-2</v>
      </c>
      <c r="AW26" s="391"/>
      <c r="AX26" s="405">
        <v>37</v>
      </c>
      <c r="AY26" s="406">
        <f t="shared" si="53"/>
        <v>0.43</v>
      </c>
      <c r="AZ26" s="406"/>
      <c r="BA26" s="407">
        <f t="shared" si="54"/>
        <v>0.26333333333333336</v>
      </c>
      <c r="BB26" s="404">
        <f>(0.14-0)/2</f>
        <v>7.0000000000000007E-2</v>
      </c>
      <c r="BC26" s="391"/>
      <c r="BD26" s="405">
        <v>37</v>
      </c>
      <c r="BE26" s="459">
        <v>0.65</v>
      </c>
      <c r="BF26" s="406"/>
      <c r="BG26" s="407">
        <f t="shared" si="65"/>
        <v>9.3333333333333338E-2</v>
      </c>
      <c r="BH26" s="657">
        <f>VLOOKUP($BH$19,$BD$20:$BG$25,4)</f>
        <v>9.3333333333333338E-2</v>
      </c>
      <c r="BJ26" s="405">
        <v>37</v>
      </c>
      <c r="BK26" s="406">
        <f t="shared" si="55"/>
        <v>0.43</v>
      </c>
      <c r="BL26" s="406"/>
      <c r="BM26" s="407">
        <f t="shared" si="56"/>
        <v>0.26333333333333336</v>
      </c>
      <c r="BN26" s="404">
        <f>(0.14-0)/2</f>
        <v>7.0000000000000007E-2</v>
      </c>
      <c r="BO26" s="391"/>
      <c r="BP26" s="405">
        <v>37</v>
      </c>
      <c r="BQ26" s="406">
        <f t="shared" si="57"/>
        <v>0.41</v>
      </c>
      <c r="BR26" s="406"/>
      <c r="BS26" s="407">
        <f t="shared" si="58"/>
        <v>8.3333333333333329E-2</v>
      </c>
      <c r="BT26" s="404">
        <f>(0.14-0)/2</f>
        <v>7.0000000000000007E-2</v>
      </c>
      <c r="BU26" s="391"/>
      <c r="BV26" s="405">
        <v>37</v>
      </c>
      <c r="BW26" s="406">
        <f t="shared" si="59"/>
        <v>0.51</v>
      </c>
      <c r="BX26" s="406"/>
      <c r="BY26" s="407">
        <f t="shared" si="60"/>
        <v>9.0000000000000011E-2</v>
      </c>
      <c r="BZ26" s="404">
        <f>(0.14-0)/2</f>
        <v>7.0000000000000007E-2</v>
      </c>
      <c r="CA26" s="391"/>
      <c r="CB26" s="405">
        <v>37</v>
      </c>
      <c r="CC26" s="406">
        <f t="shared" si="34"/>
        <v>0</v>
      </c>
      <c r="CD26" s="406">
        <f t="shared" si="66"/>
        <v>-0.6</v>
      </c>
      <c r="CE26" s="407">
        <f t="shared" si="61"/>
        <v>0.19999999999999998</v>
      </c>
      <c r="CF26" s="404">
        <f>(0.14-0)/2</f>
        <v>7.0000000000000007E-2</v>
      </c>
      <c r="CH26" s="405">
        <v>37</v>
      </c>
      <c r="CI26" s="406">
        <f t="shared" si="35"/>
        <v>0.23</v>
      </c>
      <c r="CJ26" s="406">
        <f t="shared" si="35"/>
        <v>0.19</v>
      </c>
      <c r="CK26" s="407">
        <f t="shared" si="62"/>
        <v>4.0000000000000008E-2</v>
      </c>
      <c r="CL26" s="404">
        <f>(0.14-0)/2</f>
        <v>7.0000000000000007E-2</v>
      </c>
      <c r="CN26" s="405">
        <v>37</v>
      </c>
      <c r="CO26" s="406">
        <f t="shared" si="36"/>
        <v>0.42</v>
      </c>
      <c r="CP26" s="406">
        <f t="shared" si="36"/>
        <v>0.45</v>
      </c>
      <c r="CQ26" s="407">
        <f t="shared" si="63"/>
        <v>3.0000000000000027E-2</v>
      </c>
      <c r="CR26" s="404">
        <f>(0.14-0)/2</f>
        <v>7.0000000000000007E-2</v>
      </c>
    </row>
    <row r="27" spans="2:96">
      <c r="B27" s="405">
        <v>44</v>
      </c>
      <c r="C27" s="406">
        <v>0.14000000000000001</v>
      </c>
      <c r="D27" s="406">
        <f t="shared" si="37"/>
        <v>0.28000000000000003</v>
      </c>
      <c r="E27" s="407">
        <f t="shared" si="38"/>
        <v>0.14000000000000001</v>
      </c>
      <c r="F27" s="408">
        <f>(0.56+0.17)/2</f>
        <v>0.36500000000000005</v>
      </c>
      <c r="G27" s="409"/>
      <c r="H27" s="405">
        <v>44</v>
      </c>
      <c r="I27" s="406">
        <v>0.15</v>
      </c>
      <c r="J27" s="406">
        <f t="shared" si="39"/>
        <v>0.27</v>
      </c>
      <c r="K27" s="407">
        <f t="shared" si="40"/>
        <v>0.12000000000000002</v>
      </c>
      <c r="L27" s="408">
        <f>(0+0.07)/2</f>
        <v>3.5000000000000003E-2</v>
      </c>
      <c r="M27" s="409"/>
      <c r="N27" s="405">
        <v>44</v>
      </c>
      <c r="O27" s="406">
        <v>-0.2</v>
      </c>
      <c r="P27" s="406">
        <f t="shared" si="41"/>
        <v>0.02</v>
      </c>
      <c r="Q27" s="407">
        <f t="shared" si="42"/>
        <v>0.22</v>
      </c>
      <c r="R27" s="404">
        <f>(0.15-0)/2</f>
        <v>7.4999999999999997E-2</v>
      </c>
      <c r="S27" s="391"/>
      <c r="T27" s="405">
        <v>44</v>
      </c>
      <c r="U27" s="406">
        <f t="shared" si="43"/>
        <v>0.61</v>
      </c>
      <c r="V27" s="406"/>
      <c r="W27" s="407">
        <f t="shared" si="44"/>
        <v>9.0000000000000011E-2</v>
      </c>
      <c r="X27" s="404">
        <f>(0.15-0)/2</f>
        <v>7.4999999999999997E-2</v>
      </c>
      <c r="Y27" s="391"/>
      <c r="Z27" s="405">
        <v>44</v>
      </c>
      <c r="AA27" s="406">
        <f t="shared" si="45"/>
        <v>0.08</v>
      </c>
      <c r="AB27" s="406">
        <v>0.52</v>
      </c>
      <c r="AC27" s="407">
        <f t="shared" si="46"/>
        <v>0.44</v>
      </c>
      <c r="AD27" s="404">
        <f>(0.15-0)/2</f>
        <v>7.4999999999999997E-2</v>
      </c>
      <c r="AE27" s="391"/>
      <c r="AF27" s="405">
        <v>44</v>
      </c>
      <c r="AG27" s="406">
        <f t="shared" si="47"/>
        <v>0.1</v>
      </c>
      <c r="AH27" s="406">
        <v>0.72</v>
      </c>
      <c r="AI27" s="407">
        <f t="shared" si="48"/>
        <v>0.62</v>
      </c>
      <c r="AJ27" s="404">
        <f>(0.15-0)/2</f>
        <v>7.4999999999999997E-2</v>
      </c>
      <c r="AK27" s="391"/>
      <c r="AL27" s="405">
        <v>44</v>
      </c>
      <c r="AM27" s="406">
        <f t="shared" si="49"/>
        <v>0.42</v>
      </c>
      <c r="AN27" s="406"/>
      <c r="AO27" s="407">
        <f t="shared" si="50"/>
        <v>8.3333333333333329E-2</v>
      </c>
      <c r="AP27" s="404">
        <f>(0.15-0)/2</f>
        <v>7.4999999999999997E-2</v>
      </c>
      <c r="AQ27" s="391"/>
      <c r="AR27" s="405">
        <v>44</v>
      </c>
      <c r="AS27" s="406">
        <f t="shared" si="51"/>
        <v>0.33</v>
      </c>
      <c r="AT27" s="406"/>
      <c r="AU27" s="407">
        <f t="shared" si="52"/>
        <v>0.08</v>
      </c>
      <c r="AV27" s="404">
        <f>(0.15-0)/2</f>
        <v>7.4999999999999997E-2</v>
      </c>
      <c r="AW27" s="391"/>
      <c r="AX27" s="405">
        <v>44</v>
      </c>
      <c r="AY27" s="406">
        <f t="shared" si="53"/>
        <v>0.41</v>
      </c>
      <c r="AZ27" s="406"/>
      <c r="BA27" s="407">
        <f t="shared" si="54"/>
        <v>0.26333333333333336</v>
      </c>
      <c r="BB27" s="404">
        <f>(0.15-0)/2</f>
        <v>7.4999999999999997E-2</v>
      </c>
      <c r="BC27" s="391"/>
      <c r="BD27" s="405">
        <v>44</v>
      </c>
      <c r="BE27" s="459">
        <v>0.72</v>
      </c>
      <c r="BF27" s="406"/>
      <c r="BG27" s="407">
        <f t="shared" si="65"/>
        <v>9.3333333333333338E-2</v>
      </c>
      <c r="BH27" s="658"/>
      <c r="BJ27" s="405">
        <v>44</v>
      </c>
      <c r="BK27" s="406">
        <f t="shared" si="55"/>
        <v>0.41</v>
      </c>
      <c r="BL27" s="406"/>
      <c r="BM27" s="407">
        <f t="shared" si="56"/>
        <v>0.26333333333333336</v>
      </c>
      <c r="BN27" s="404">
        <f>(0.15-0)/2</f>
        <v>7.4999999999999997E-2</v>
      </c>
      <c r="BO27" s="391"/>
      <c r="BP27" s="405">
        <v>44</v>
      </c>
      <c r="BQ27" s="406">
        <f t="shared" si="57"/>
        <v>0.51</v>
      </c>
      <c r="BR27" s="406"/>
      <c r="BS27" s="407">
        <f t="shared" si="58"/>
        <v>8.3333333333333329E-2</v>
      </c>
      <c r="BT27" s="404">
        <f>(0.15-0)/2</f>
        <v>7.4999999999999997E-2</v>
      </c>
      <c r="BU27" s="391"/>
      <c r="BV27" s="405">
        <v>44</v>
      </c>
      <c r="BW27" s="406">
        <f t="shared" si="59"/>
        <v>0.63</v>
      </c>
      <c r="BX27" s="406"/>
      <c r="BY27" s="407">
        <f t="shared" si="60"/>
        <v>9.0000000000000011E-2</v>
      </c>
      <c r="BZ27" s="404">
        <f>(0.15-0)/2</f>
        <v>7.4999999999999997E-2</v>
      </c>
      <c r="CA27" s="391"/>
      <c r="CB27" s="405">
        <v>44</v>
      </c>
      <c r="CC27" s="406">
        <f t="shared" si="34"/>
        <v>0</v>
      </c>
      <c r="CD27" s="406">
        <f t="shared" si="66"/>
        <v>-0.7</v>
      </c>
      <c r="CE27" s="407">
        <f t="shared" si="61"/>
        <v>0.19999999999999998</v>
      </c>
      <c r="CF27" s="404">
        <f>(0.15-0)/2</f>
        <v>7.4999999999999997E-2</v>
      </c>
      <c r="CH27" s="405">
        <v>44</v>
      </c>
      <c r="CI27" s="406">
        <f t="shared" si="35"/>
        <v>0.25</v>
      </c>
      <c r="CJ27" s="406">
        <f t="shared" si="35"/>
        <v>0.21</v>
      </c>
      <c r="CK27" s="407">
        <f t="shared" si="62"/>
        <v>4.0000000000000008E-2</v>
      </c>
      <c r="CL27" s="404">
        <f>(0.15-0)/2</f>
        <v>7.4999999999999997E-2</v>
      </c>
      <c r="CN27" s="405">
        <v>44</v>
      </c>
      <c r="CO27" s="406">
        <f t="shared" si="36"/>
        <v>0.56999999999999995</v>
      </c>
      <c r="CP27" s="406">
        <f t="shared" si="36"/>
        <v>0.52</v>
      </c>
      <c r="CQ27" s="407">
        <f t="shared" si="63"/>
        <v>4.9999999999999933E-2</v>
      </c>
      <c r="CR27" s="404">
        <f>(0.15-0)/2</f>
        <v>7.4999999999999997E-2</v>
      </c>
    </row>
    <row r="28" spans="2:96">
      <c r="B28" s="405">
        <v>50</v>
      </c>
      <c r="C28" s="406">
        <v>0.16</v>
      </c>
      <c r="D28" s="406">
        <f t="shared" si="37"/>
        <v>0.35</v>
      </c>
      <c r="E28" s="407">
        <f t="shared" si="38"/>
        <v>0.18999999999999997</v>
      </c>
      <c r="F28" s="408">
        <f>(0.67+0.17)/2</f>
        <v>0.42000000000000004</v>
      </c>
      <c r="G28" s="409"/>
      <c r="H28" s="405">
        <v>50</v>
      </c>
      <c r="I28" s="406">
        <v>0.16</v>
      </c>
      <c r="J28" s="406">
        <f t="shared" si="39"/>
        <v>0.33</v>
      </c>
      <c r="K28" s="407">
        <f t="shared" si="40"/>
        <v>0.17</v>
      </c>
      <c r="L28" s="408">
        <f>(0+0.05)/2</f>
        <v>2.5000000000000001E-2</v>
      </c>
      <c r="M28" s="409"/>
      <c r="N28" s="405">
        <v>50</v>
      </c>
      <c r="O28" s="406">
        <v>0.16</v>
      </c>
      <c r="P28" s="406">
        <f t="shared" si="41"/>
        <v>0.01</v>
      </c>
      <c r="Q28" s="407">
        <f t="shared" si="42"/>
        <v>0.15</v>
      </c>
      <c r="R28" s="404">
        <f>(0.16-0)/2</f>
        <v>0.08</v>
      </c>
      <c r="S28" s="391"/>
      <c r="T28" s="405">
        <v>50</v>
      </c>
      <c r="U28" s="406">
        <f t="shared" si="43"/>
        <v>0.69</v>
      </c>
      <c r="V28" s="406"/>
      <c r="W28" s="407">
        <f t="shared" si="44"/>
        <v>9.0000000000000011E-2</v>
      </c>
      <c r="X28" s="404">
        <f>(0.16-0)/2</f>
        <v>0.08</v>
      </c>
      <c r="Y28" s="391"/>
      <c r="Z28" s="405">
        <v>50</v>
      </c>
      <c r="AA28" s="406">
        <f t="shared" si="45"/>
        <v>0.09</v>
      </c>
      <c r="AB28" s="406">
        <v>0.55000000000000004</v>
      </c>
      <c r="AC28" s="407">
        <f t="shared" si="46"/>
        <v>0.46000000000000008</v>
      </c>
      <c r="AD28" s="404">
        <f>(0.16-0)/2</f>
        <v>0.08</v>
      </c>
      <c r="AE28" s="391"/>
      <c r="AF28" s="405">
        <v>50</v>
      </c>
      <c r="AG28" s="406">
        <f t="shared" si="47"/>
        <v>0.11</v>
      </c>
      <c r="AH28" s="406">
        <v>0.73</v>
      </c>
      <c r="AI28" s="407">
        <f t="shared" si="48"/>
        <v>0.62</v>
      </c>
      <c r="AJ28" s="404">
        <f>(0.16-0)/2</f>
        <v>0.08</v>
      </c>
      <c r="AK28" s="391"/>
      <c r="AL28" s="405">
        <v>50</v>
      </c>
      <c r="AM28" s="406">
        <f t="shared" si="49"/>
        <v>0.43</v>
      </c>
      <c r="AN28" s="406"/>
      <c r="AO28" s="407">
        <f t="shared" si="50"/>
        <v>8.3333333333333329E-2</v>
      </c>
      <c r="AP28" s="404">
        <f>(0.16-0)/2</f>
        <v>0.08</v>
      </c>
      <c r="AQ28" s="391"/>
      <c r="AR28" s="405">
        <v>50</v>
      </c>
      <c r="AS28" s="406">
        <f t="shared" si="51"/>
        <v>0.34</v>
      </c>
      <c r="AT28" s="406"/>
      <c r="AU28" s="407">
        <f t="shared" si="52"/>
        <v>0.08</v>
      </c>
      <c r="AV28" s="404">
        <f>(0.16-0)/2</f>
        <v>0.08</v>
      </c>
      <c r="AW28" s="391"/>
      <c r="AX28" s="405">
        <v>50</v>
      </c>
      <c r="AY28" s="406">
        <f t="shared" si="53"/>
        <v>0.39</v>
      </c>
      <c r="AZ28" s="406"/>
      <c r="BA28" s="407">
        <f t="shared" si="54"/>
        <v>0.26333333333333336</v>
      </c>
      <c r="BB28" s="404">
        <f>(0.16-0)/2</f>
        <v>0.08</v>
      </c>
      <c r="BC28" s="391"/>
      <c r="BD28" s="405">
        <v>50</v>
      </c>
      <c r="BE28" s="459">
        <v>0.76</v>
      </c>
      <c r="BF28" s="406"/>
      <c r="BG28" s="407">
        <f t="shared" si="65"/>
        <v>9.3333333333333338E-2</v>
      </c>
      <c r="BH28" s="659">
        <f>((($BH$26-$BH$24)/($BH$22-$BH$20))*($BH$19-$BH$20))+$BH$24</f>
        <v>9.3333333333333338E-2</v>
      </c>
      <c r="BJ28" s="405">
        <v>50</v>
      </c>
      <c r="BK28" s="406">
        <f t="shared" si="55"/>
        <v>0.39</v>
      </c>
      <c r="BL28" s="406"/>
      <c r="BM28" s="407">
        <f t="shared" si="56"/>
        <v>0.26333333333333336</v>
      </c>
      <c r="BN28" s="404">
        <f>(0.16-0)/2</f>
        <v>0.08</v>
      </c>
      <c r="BO28" s="391"/>
      <c r="BP28" s="405">
        <v>50</v>
      </c>
      <c r="BQ28" s="406">
        <f t="shared" si="57"/>
        <v>0.56999999999999995</v>
      </c>
      <c r="BR28" s="406"/>
      <c r="BS28" s="407">
        <f t="shared" si="58"/>
        <v>8.3333333333333329E-2</v>
      </c>
      <c r="BT28" s="404">
        <f>(0.16-0)/2</f>
        <v>0.08</v>
      </c>
      <c r="BU28" s="391"/>
      <c r="BV28" s="405">
        <v>50</v>
      </c>
      <c r="BW28" s="406">
        <f t="shared" si="59"/>
        <v>0.71</v>
      </c>
      <c r="BX28" s="406"/>
      <c r="BY28" s="407">
        <f t="shared" si="60"/>
        <v>9.0000000000000011E-2</v>
      </c>
      <c r="BZ28" s="404">
        <f>(0.16-0)/2</f>
        <v>0.08</v>
      </c>
      <c r="CA28" s="391"/>
      <c r="CB28" s="405">
        <v>50</v>
      </c>
      <c r="CC28" s="406">
        <f t="shared" si="34"/>
        <v>-1</v>
      </c>
      <c r="CD28" s="406">
        <f t="shared" si="66"/>
        <v>-0.7</v>
      </c>
      <c r="CE28" s="407">
        <f t="shared" si="61"/>
        <v>0.30000000000000004</v>
      </c>
      <c r="CF28" s="404">
        <f>(0.16-0)/2</f>
        <v>0.08</v>
      </c>
      <c r="CH28" s="405">
        <v>50</v>
      </c>
      <c r="CI28" s="406">
        <f t="shared" si="35"/>
        <v>0.27</v>
      </c>
      <c r="CJ28" s="406">
        <f t="shared" si="35"/>
        <v>0.22</v>
      </c>
      <c r="CK28" s="407">
        <f t="shared" si="62"/>
        <v>5.0000000000000017E-2</v>
      </c>
      <c r="CL28" s="404">
        <f>(0.16-0)/2</f>
        <v>0.08</v>
      </c>
      <c r="CN28" s="405">
        <v>50</v>
      </c>
      <c r="CO28" s="406">
        <f t="shared" si="36"/>
        <v>0.67</v>
      </c>
      <c r="CP28" s="406">
        <f t="shared" si="36"/>
        <v>0.56999999999999995</v>
      </c>
      <c r="CQ28" s="407">
        <f t="shared" si="63"/>
        <v>0.10000000000000009</v>
      </c>
      <c r="CR28" s="404">
        <f>(0.16-0)/2</f>
        <v>0.08</v>
      </c>
    </row>
    <row r="29" spans="2:96">
      <c r="B29" s="405">
        <v>100</v>
      </c>
      <c r="C29" s="406">
        <v>0.23</v>
      </c>
      <c r="D29" s="406">
        <f t="shared" si="37"/>
        <v>0.74</v>
      </c>
      <c r="E29" s="407">
        <f t="shared" si="38"/>
        <v>0.51</v>
      </c>
      <c r="F29" s="408">
        <f>(0.85+0.27)/2</f>
        <v>0.56000000000000005</v>
      </c>
      <c r="G29" s="409"/>
      <c r="H29" s="405">
        <v>100</v>
      </c>
      <c r="I29" s="406">
        <v>0.03</v>
      </c>
      <c r="J29" s="406">
        <f t="shared" si="39"/>
        <v>0.59</v>
      </c>
      <c r="K29" s="407">
        <f t="shared" si="40"/>
        <v>0.55999999999999994</v>
      </c>
      <c r="L29" s="408">
        <f>(0.04-0)/2</f>
        <v>0.02</v>
      </c>
      <c r="M29" s="409"/>
      <c r="N29" s="405">
        <v>100</v>
      </c>
      <c r="O29" s="406">
        <v>-0.11</v>
      </c>
      <c r="P29" s="406">
        <f t="shared" si="41"/>
        <v>-0.14000000000000001</v>
      </c>
      <c r="Q29" s="407">
        <f t="shared" si="42"/>
        <v>3.0000000000000013E-2</v>
      </c>
      <c r="R29" s="404">
        <f>(0.2-0)/2</f>
        <v>0.1</v>
      </c>
      <c r="S29" s="391"/>
      <c r="T29" s="405">
        <v>100</v>
      </c>
      <c r="U29" s="406">
        <f t="shared" si="43"/>
        <v>0.67</v>
      </c>
      <c r="V29" s="406"/>
      <c r="W29" s="407">
        <f t="shared" si="44"/>
        <v>9.0000000000000011E-2</v>
      </c>
      <c r="X29" s="404">
        <f>(0.2-0)/2</f>
        <v>0.1</v>
      </c>
      <c r="Y29" s="391"/>
      <c r="Z29" s="405">
        <v>100</v>
      </c>
      <c r="AA29" s="406">
        <f t="shared" si="45"/>
        <v>0.21</v>
      </c>
      <c r="AB29" s="406">
        <v>0.54</v>
      </c>
      <c r="AC29" s="407">
        <f t="shared" si="46"/>
        <v>0.33000000000000007</v>
      </c>
      <c r="AD29" s="404">
        <f>(0.2-0)/2</f>
        <v>0.1</v>
      </c>
      <c r="AE29" s="391"/>
      <c r="AF29" s="405">
        <v>100</v>
      </c>
      <c r="AG29" s="406">
        <f t="shared" si="47"/>
        <v>0.22</v>
      </c>
      <c r="AH29" s="406">
        <v>0.52</v>
      </c>
      <c r="AI29" s="407">
        <f t="shared" si="48"/>
        <v>0.30000000000000004</v>
      </c>
      <c r="AJ29" s="404">
        <f>(0.2-0)/2</f>
        <v>0.1</v>
      </c>
      <c r="AK29" s="391"/>
      <c r="AL29" s="405">
        <v>100</v>
      </c>
      <c r="AM29" s="406">
        <f t="shared" si="49"/>
        <v>0.54</v>
      </c>
      <c r="AN29" s="406"/>
      <c r="AO29" s="407">
        <f t="shared" si="50"/>
        <v>8.3333333333333329E-2</v>
      </c>
      <c r="AP29" s="404">
        <f>(0.2-0)/2</f>
        <v>0.1</v>
      </c>
      <c r="AQ29" s="391"/>
      <c r="AR29" s="405">
        <v>100</v>
      </c>
      <c r="AS29" s="406">
        <f t="shared" si="51"/>
        <v>0.45</v>
      </c>
      <c r="AT29" s="406"/>
      <c r="AU29" s="407">
        <f t="shared" si="52"/>
        <v>0.08</v>
      </c>
      <c r="AV29" s="404">
        <f>(0.2-0)/2</f>
        <v>0.1</v>
      </c>
      <c r="AW29" s="391"/>
      <c r="AX29" s="405">
        <v>100</v>
      </c>
      <c r="AY29" s="406">
        <f t="shared" si="53"/>
        <v>0.19</v>
      </c>
      <c r="AZ29" s="406"/>
      <c r="BA29" s="407">
        <f t="shared" si="54"/>
        <v>0.26333333333333336</v>
      </c>
      <c r="BB29" s="404">
        <f>(0.2-0)/2</f>
        <v>0.1</v>
      </c>
      <c r="BC29" s="391"/>
      <c r="BD29" s="405">
        <v>100</v>
      </c>
      <c r="BE29" s="459">
        <v>0.26</v>
      </c>
      <c r="BF29" s="406"/>
      <c r="BG29" s="407">
        <f t="shared" si="65"/>
        <v>9.3333333333333338E-2</v>
      </c>
      <c r="BH29" s="404"/>
      <c r="BJ29" s="405">
        <v>100</v>
      </c>
      <c r="BK29" s="406">
        <f t="shared" si="55"/>
        <v>0.19</v>
      </c>
      <c r="BL29" s="406"/>
      <c r="BM29" s="407">
        <f t="shared" si="56"/>
        <v>0.26333333333333336</v>
      </c>
      <c r="BN29" s="404">
        <f>(0.2-0)/2</f>
        <v>0.1</v>
      </c>
      <c r="BO29" s="391"/>
      <c r="BP29" s="405">
        <v>100</v>
      </c>
      <c r="BQ29" s="406">
        <f t="shared" si="57"/>
        <v>0.39</v>
      </c>
      <c r="BR29" s="406"/>
      <c r="BS29" s="407">
        <f t="shared" si="58"/>
        <v>8.3333333333333329E-2</v>
      </c>
      <c r="BT29" s="404">
        <f>(0.2-0)/2</f>
        <v>0.1</v>
      </c>
      <c r="BU29" s="391"/>
      <c r="BV29" s="405">
        <v>100</v>
      </c>
      <c r="BW29" s="406">
        <f t="shared" si="59"/>
        <v>0.64</v>
      </c>
      <c r="BX29" s="406"/>
      <c r="BY29" s="407">
        <f t="shared" si="60"/>
        <v>9.0000000000000011E-2</v>
      </c>
      <c r="BZ29" s="404">
        <f>(0.2-0)/2</f>
        <v>0.1</v>
      </c>
      <c r="CA29" s="391"/>
      <c r="CB29" s="405">
        <v>100</v>
      </c>
      <c r="CC29" s="406">
        <f t="shared" si="34"/>
        <v>-1.6</v>
      </c>
      <c r="CD29" s="406">
        <f t="shared" si="66"/>
        <v>-0.7</v>
      </c>
      <c r="CE29" s="407">
        <f t="shared" si="61"/>
        <v>0.90000000000000013</v>
      </c>
      <c r="CF29" s="404">
        <f>(0.2-0)/2</f>
        <v>0.1</v>
      </c>
      <c r="CH29" s="405">
        <v>100</v>
      </c>
      <c r="CI29" s="406">
        <f t="shared" si="35"/>
        <v>0.31</v>
      </c>
      <c r="CJ29" s="406">
        <f t="shared" si="35"/>
        <v>0.23</v>
      </c>
      <c r="CK29" s="407">
        <f t="shared" si="62"/>
        <v>7.9999999999999988E-2</v>
      </c>
      <c r="CL29" s="404">
        <f>(0.2-0)/2</f>
        <v>0.1</v>
      </c>
      <c r="CN29" s="405">
        <v>100</v>
      </c>
      <c r="CO29" s="406">
        <f t="shared" si="36"/>
        <v>0.95</v>
      </c>
      <c r="CP29" s="406">
        <f t="shared" si="36"/>
        <v>0.81</v>
      </c>
      <c r="CQ29" s="407">
        <f t="shared" si="63"/>
        <v>0.1399999999999999</v>
      </c>
      <c r="CR29" s="404">
        <f>(0.2-0)/2</f>
        <v>0.1</v>
      </c>
    </row>
    <row r="30" spans="2:96">
      <c r="B30" s="405">
        <v>150</v>
      </c>
      <c r="C30" s="406">
        <v>0.28000000000000003</v>
      </c>
      <c r="D30" s="406">
        <f t="shared" si="37"/>
        <v>0.71</v>
      </c>
      <c r="E30" s="407">
        <f t="shared" si="38"/>
        <v>0.42999999999999994</v>
      </c>
      <c r="F30" s="408">
        <f>(0.2+0.35)/2</f>
        <v>0.27500000000000002</v>
      </c>
      <c r="G30" s="409"/>
      <c r="H30" s="405">
        <v>150</v>
      </c>
      <c r="I30" s="406">
        <v>-0.06</v>
      </c>
      <c r="J30" s="406">
        <f t="shared" si="39"/>
        <v>0.56000000000000005</v>
      </c>
      <c r="K30" s="407">
        <f t="shared" si="40"/>
        <v>0.62000000000000011</v>
      </c>
      <c r="L30" s="408">
        <f>(0.17-0)/2</f>
        <v>8.5000000000000006E-2</v>
      </c>
      <c r="M30" s="409"/>
      <c r="N30" s="405">
        <v>150</v>
      </c>
      <c r="O30" s="406">
        <v>-0.44</v>
      </c>
      <c r="P30" s="406">
        <f t="shared" si="41"/>
        <v>-0.27</v>
      </c>
      <c r="Q30" s="407">
        <f t="shared" si="42"/>
        <v>0.16999999999999998</v>
      </c>
      <c r="R30" s="404">
        <f>(0.21-0)/2</f>
        <v>0.105</v>
      </c>
      <c r="S30" s="391"/>
      <c r="T30" s="405">
        <v>150</v>
      </c>
      <c r="U30" s="406">
        <f t="shared" si="43"/>
        <v>-0.12</v>
      </c>
      <c r="V30" s="406"/>
      <c r="W30" s="407">
        <f t="shared" si="44"/>
        <v>9.0000000000000011E-2</v>
      </c>
      <c r="X30" s="404">
        <f>(0.21-0)/2</f>
        <v>0.105</v>
      </c>
      <c r="Y30" s="391"/>
      <c r="Z30" s="405">
        <v>150</v>
      </c>
      <c r="AA30" s="406">
        <f t="shared" si="45"/>
        <v>0.4</v>
      </c>
      <c r="AB30" s="406">
        <v>0.18</v>
      </c>
      <c r="AC30" s="407">
        <f t="shared" si="46"/>
        <v>0.22000000000000003</v>
      </c>
      <c r="AD30" s="404">
        <f>(0.21-0)/2</f>
        <v>0.105</v>
      </c>
      <c r="AE30" s="391"/>
      <c r="AF30" s="405">
        <v>150</v>
      </c>
      <c r="AG30" s="406">
        <f t="shared" si="47"/>
        <v>0.42</v>
      </c>
      <c r="AH30" s="406">
        <v>9.9999999999999995E-7</v>
      </c>
      <c r="AI30" s="407">
        <f t="shared" si="48"/>
        <v>0.41999900000000001</v>
      </c>
      <c r="AJ30" s="404">
        <f>(0.21-0)/2</f>
        <v>0.105</v>
      </c>
      <c r="AK30" s="391"/>
      <c r="AL30" s="405">
        <v>150</v>
      </c>
      <c r="AM30" s="406">
        <f t="shared" si="49"/>
        <v>0.72</v>
      </c>
      <c r="AN30" s="406"/>
      <c r="AO30" s="407">
        <f t="shared" si="50"/>
        <v>8.3333333333333329E-2</v>
      </c>
      <c r="AP30" s="404">
        <f>(0.21-0)/2</f>
        <v>0.105</v>
      </c>
      <c r="AQ30" s="391"/>
      <c r="AR30" s="405">
        <v>150</v>
      </c>
      <c r="AS30" s="406">
        <f t="shared" si="51"/>
        <v>0.66</v>
      </c>
      <c r="AT30" s="406"/>
      <c r="AU30" s="407">
        <f t="shared" si="52"/>
        <v>0.08</v>
      </c>
      <c r="AV30" s="404">
        <f>(0.21-0)/2</f>
        <v>0.105</v>
      </c>
      <c r="AW30" s="391"/>
      <c r="AX30" s="405">
        <v>150</v>
      </c>
      <c r="AY30" s="406">
        <f t="shared" si="53"/>
        <v>-0.03</v>
      </c>
      <c r="AZ30" s="406"/>
      <c r="BA30" s="407">
        <f t="shared" si="54"/>
        <v>0.26333333333333336</v>
      </c>
      <c r="BB30" s="404">
        <f>(0.21-0)/2</f>
        <v>0.105</v>
      </c>
      <c r="BC30" s="391"/>
      <c r="BD30" s="405">
        <v>150</v>
      </c>
      <c r="BE30" s="459">
        <v>-0.57999999999999996</v>
      </c>
      <c r="BF30" s="406"/>
      <c r="BG30" s="407">
        <f t="shared" si="65"/>
        <v>9.3333333333333338E-2</v>
      </c>
      <c r="BH30" s="404"/>
      <c r="BJ30" s="405">
        <v>150</v>
      </c>
      <c r="BK30" s="406">
        <f t="shared" si="55"/>
        <v>-0.03</v>
      </c>
      <c r="BL30" s="406"/>
      <c r="BM30" s="407">
        <f t="shared" si="56"/>
        <v>0.26333333333333336</v>
      </c>
      <c r="BN30" s="404">
        <f>(0.21-0)/2</f>
        <v>0.105</v>
      </c>
      <c r="BO30" s="391"/>
      <c r="BP30" s="405">
        <v>150</v>
      </c>
      <c r="BQ30" s="406">
        <f t="shared" si="57"/>
        <v>-0.36</v>
      </c>
      <c r="BR30" s="406"/>
      <c r="BS30" s="407">
        <f t="shared" si="58"/>
        <v>8.3333333333333329E-2</v>
      </c>
      <c r="BT30" s="404">
        <f>(0.21-0)/2</f>
        <v>0.105</v>
      </c>
      <c r="BU30" s="391"/>
      <c r="BV30" s="405">
        <v>150</v>
      </c>
      <c r="BW30" s="406">
        <f t="shared" si="59"/>
        <v>-0.28000000000000003</v>
      </c>
      <c r="BX30" s="406"/>
      <c r="BY30" s="407">
        <f t="shared" si="60"/>
        <v>9.0000000000000011E-2</v>
      </c>
      <c r="BZ30" s="404">
        <f>(0.21-0)/2</f>
        <v>0.105</v>
      </c>
      <c r="CA30" s="391"/>
      <c r="CB30" s="405">
        <v>150</v>
      </c>
      <c r="CC30" s="406">
        <f t="shared" si="34"/>
        <v>-1.7</v>
      </c>
      <c r="CD30" s="406">
        <f t="shared" si="66"/>
        <v>-0.7</v>
      </c>
      <c r="CE30" s="407">
        <f t="shared" si="61"/>
        <v>1</v>
      </c>
      <c r="CF30" s="404">
        <f>(0.21-0)/2</f>
        <v>0.105</v>
      </c>
      <c r="CH30" s="405">
        <v>150</v>
      </c>
      <c r="CI30" s="406">
        <f t="shared" si="35"/>
        <v>0.3</v>
      </c>
      <c r="CJ30" s="406">
        <f t="shared" si="35"/>
        <v>0.22</v>
      </c>
      <c r="CK30" s="407">
        <f t="shared" si="62"/>
        <v>7.9999999999999988E-2</v>
      </c>
      <c r="CL30" s="404">
        <f>(0.21-0)/2</f>
        <v>0.105</v>
      </c>
      <c r="CN30" s="405">
        <v>150</v>
      </c>
      <c r="CO30" s="406">
        <f t="shared" si="36"/>
        <v>0.49</v>
      </c>
      <c r="CP30" s="406">
        <f t="shared" si="36"/>
        <v>0.87</v>
      </c>
      <c r="CQ30" s="407">
        <f t="shared" si="63"/>
        <v>0.38</v>
      </c>
      <c r="CR30" s="404">
        <f>(0.21-0)/2</f>
        <v>0.105</v>
      </c>
    </row>
    <row r="31" spans="2:96">
      <c r="B31" s="405">
        <v>200</v>
      </c>
      <c r="C31" s="406">
        <v>0.56000000000000005</v>
      </c>
      <c r="D31" s="406">
        <f t="shared" si="37"/>
        <v>0.13</v>
      </c>
      <c r="E31" s="407">
        <f t="shared" si="38"/>
        <v>0.43000000000000005</v>
      </c>
      <c r="F31" s="408">
        <f>(-0.13+0.76)/2</f>
        <v>0.315</v>
      </c>
      <c r="G31" s="409"/>
      <c r="H31" s="405">
        <v>200</v>
      </c>
      <c r="I31" s="406">
        <v>0.45</v>
      </c>
      <c r="J31" s="406">
        <f t="shared" si="39"/>
        <v>0.28000000000000003</v>
      </c>
      <c r="K31" s="407">
        <f t="shared" si="40"/>
        <v>0.16999999999999998</v>
      </c>
      <c r="L31" s="408">
        <f>(0.32-0)/2</f>
        <v>0.16</v>
      </c>
      <c r="M31" s="409"/>
      <c r="N31" s="405">
        <v>200</v>
      </c>
      <c r="O31" s="406">
        <v>-0.1</v>
      </c>
      <c r="P31" s="406">
        <f t="shared" si="41"/>
        <v>0.05</v>
      </c>
      <c r="Q31" s="407">
        <f t="shared" si="42"/>
        <v>0.15000000000000002</v>
      </c>
      <c r="R31" s="404">
        <f>(0.18-0)/2</f>
        <v>0.09</v>
      </c>
      <c r="S31" s="391"/>
      <c r="T31" s="405">
        <v>200</v>
      </c>
      <c r="U31" s="406">
        <f t="shared" si="43"/>
        <v>-1.01</v>
      </c>
      <c r="V31" s="406"/>
      <c r="W31" s="407">
        <f t="shared" si="44"/>
        <v>9.0000000000000011E-2</v>
      </c>
      <c r="X31" s="404">
        <f>(0.18-0)/2</f>
        <v>0.09</v>
      </c>
      <c r="Y31" s="391"/>
      <c r="Z31" s="405">
        <v>200</v>
      </c>
      <c r="AA31" s="406">
        <f t="shared" si="45"/>
        <v>0.64</v>
      </c>
      <c r="AB31" s="406">
        <v>-0.25</v>
      </c>
      <c r="AC31" s="407">
        <f t="shared" si="46"/>
        <v>0.89</v>
      </c>
      <c r="AD31" s="404">
        <f>(0.18-0)/2</f>
        <v>0.09</v>
      </c>
      <c r="AE31" s="391"/>
      <c r="AF31" s="405">
        <v>200</v>
      </c>
      <c r="AG31" s="406">
        <f t="shared" si="47"/>
        <v>0.66</v>
      </c>
      <c r="AH31" s="406">
        <v>-0.47</v>
      </c>
      <c r="AI31" s="407">
        <f t="shared" si="48"/>
        <v>1.1299999999999999</v>
      </c>
      <c r="AJ31" s="404">
        <f>(0.18-0)/2</f>
        <v>0.09</v>
      </c>
      <c r="AK31" s="391"/>
      <c r="AL31" s="405">
        <v>200</v>
      </c>
      <c r="AM31" s="406">
        <f t="shared" si="49"/>
        <v>0.96</v>
      </c>
      <c r="AN31" s="406"/>
      <c r="AO31" s="407">
        <f t="shared" si="50"/>
        <v>8.3333333333333329E-2</v>
      </c>
      <c r="AP31" s="404">
        <f>(0.18-0)/2</f>
        <v>0.09</v>
      </c>
      <c r="AQ31" s="391"/>
      <c r="AR31" s="405">
        <v>200</v>
      </c>
      <c r="AS31" s="406">
        <f t="shared" si="51"/>
        <v>0.9</v>
      </c>
      <c r="AT31" s="406"/>
      <c r="AU31" s="407">
        <f t="shared" si="52"/>
        <v>0.08</v>
      </c>
      <c r="AV31" s="404">
        <f>(0.18-0)/2</f>
        <v>0.09</v>
      </c>
      <c r="AW31" s="391"/>
      <c r="AX31" s="405">
        <v>200</v>
      </c>
      <c r="AY31" s="406">
        <f t="shared" si="53"/>
        <v>-0.28000000000000003</v>
      </c>
      <c r="AZ31" s="406"/>
      <c r="BA31" s="407">
        <f t="shared" si="54"/>
        <v>0.26333333333333336</v>
      </c>
      <c r="BB31" s="404">
        <f>(0.18-0)/2</f>
        <v>0.09</v>
      </c>
      <c r="BC31" s="391"/>
      <c r="BD31" s="405">
        <v>200</v>
      </c>
      <c r="BE31" s="459">
        <v>-0.38</v>
      </c>
      <c r="BF31" s="406"/>
      <c r="BG31" s="407">
        <f t="shared" si="65"/>
        <v>9.3333333333333338E-2</v>
      </c>
      <c r="BH31" s="404"/>
      <c r="BJ31" s="405">
        <v>200</v>
      </c>
      <c r="BK31" s="406">
        <f t="shared" si="55"/>
        <v>-0.28000000000000003</v>
      </c>
      <c r="BL31" s="406"/>
      <c r="BM31" s="407">
        <f t="shared" si="56"/>
        <v>0.26333333333333336</v>
      </c>
      <c r="BN31" s="404">
        <f>(0.18-0)/2</f>
        <v>0.09</v>
      </c>
      <c r="BO31" s="391"/>
      <c r="BP31" s="405">
        <v>200</v>
      </c>
      <c r="BQ31" s="406">
        <f t="shared" si="57"/>
        <v>-0.85</v>
      </c>
      <c r="BR31" s="406"/>
      <c r="BS31" s="407">
        <f t="shared" si="58"/>
        <v>8.3333333333333329E-2</v>
      </c>
      <c r="BT31" s="404">
        <f>(0.18-0)/2</f>
        <v>0.09</v>
      </c>
      <c r="BU31" s="391"/>
      <c r="BV31" s="405">
        <v>200</v>
      </c>
      <c r="BW31" s="406">
        <f t="shared" si="59"/>
        <v>-1.34</v>
      </c>
      <c r="BX31" s="406"/>
      <c r="BY31" s="407">
        <f t="shared" si="60"/>
        <v>9.0000000000000011E-2</v>
      </c>
      <c r="BZ31" s="404">
        <f>(0.18-0)/2</f>
        <v>0.09</v>
      </c>
      <c r="CA31" s="391"/>
      <c r="CB31" s="405">
        <v>200</v>
      </c>
      <c r="CC31" s="406">
        <f t="shared" si="34"/>
        <v>-0.9</v>
      </c>
      <c r="CD31" s="406">
        <f t="shared" si="66"/>
        <v>-0.6</v>
      </c>
      <c r="CE31" s="407">
        <f t="shared" si="61"/>
        <v>0.30000000000000004</v>
      </c>
      <c r="CF31" s="404">
        <f>(0.18-0)/2</f>
        <v>0.09</v>
      </c>
      <c r="CH31" s="405">
        <v>200</v>
      </c>
      <c r="CI31" s="406">
        <f t="shared" si="35"/>
        <v>0.34</v>
      </c>
      <c r="CJ31" s="406">
        <f t="shared" si="35"/>
        <v>0.47</v>
      </c>
      <c r="CK31" s="407">
        <f t="shared" si="62"/>
        <v>0.12999999999999995</v>
      </c>
      <c r="CL31" s="404">
        <f>(0.18-0)/2</f>
        <v>0.09</v>
      </c>
      <c r="CN31" s="405">
        <v>200</v>
      </c>
      <c r="CO31" s="406">
        <f t="shared" si="36"/>
        <v>-0.26</v>
      </c>
      <c r="CP31" s="406">
        <f t="shared" si="36"/>
        <v>0.99</v>
      </c>
      <c r="CQ31" s="407">
        <f t="shared" si="63"/>
        <v>1.25</v>
      </c>
      <c r="CR31" s="404">
        <f>(0.18-0)/2</f>
        <v>0.09</v>
      </c>
    </row>
    <row r="32" spans="2:96" s="391" customFormat="1">
      <c r="B32" s="415"/>
      <c r="C32" s="392"/>
      <c r="D32" s="392"/>
      <c r="E32" s="412"/>
      <c r="F32" s="409"/>
      <c r="G32" s="409"/>
      <c r="H32" s="415"/>
      <c r="I32" s="392"/>
      <c r="J32" s="392"/>
      <c r="K32" s="412"/>
      <c r="L32" s="393"/>
      <c r="M32" s="409"/>
      <c r="N32" s="415"/>
      <c r="O32" s="392"/>
      <c r="P32" s="392"/>
      <c r="Q32" s="412"/>
      <c r="R32" s="393"/>
      <c r="T32" s="415"/>
      <c r="U32" s="392"/>
      <c r="V32" s="392"/>
      <c r="W32" s="412"/>
      <c r="X32" s="393"/>
      <c r="Z32" s="415"/>
      <c r="AA32" s="392"/>
      <c r="AB32" s="392"/>
      <c r="AC32" s="412"/>
      <c r="AD32" s="393"/>
      <c r="AF32" s="415"/>
      <c r="AG32" s="392"/>
      <c r="AH32" s="392"/>
      <c r="AI32" s="412"/>
      <c r="AJ32" s="393"/>
      <c r="AL32" s="415"/>
      <c r="AM32" s="392"/>
      <c r="AN32" s="392"/>
      <c r="AO32" s="412"/>
      <c r="AP32" s="393"/>
      <c r="AR32" s="415"/>
      <c r="AS32" s="392"/>
      <c r="AT32" s="392"/>
      <c r="AU32" s="412"/>
      <c r="AV32" s="393"/>
      <c r="AX32" s="415"/>
      <c r="AY32" s="392"/>
      <c r="AZ32" s="392"/>
      <c r="BA32" s="412"/>
      <c r="BB32" s="393"/>
      <c r="BD32" s="415"/>
      <c r="BE32" s="392"/>
      <c r="BF32" s="392"/>
      <c r="BG32" s="412"/>
      <c r="BH32" s="393"/>
      <c r="BJ32" s="415"/>
      <c r="BK32" s="392"/>
      <c r="BL32" s="392"/>
      <c r="BM32" s="412"/>
      <c r="BN32" s="393"/>
      <c r="BP32" s="415"/>
      <c r="BQ32" s="392"/>
      <c r="BR32" s="392"/>
      <c r="BS32" s="412"/>
      <c r="BT32" s="393"/>
      <c r="BV32" s="415"/>
      <c r="BW32" s="392"/>
      <c r="BX32" s="392"/>
      <c r="BY32" s="412"/>
      <c r="BZ32" s="393"/>
      <c r="CB32" s="415"/>
      <c r="CC32" s="392"/>
      <c r="CD32" s="392"/>
      <c r="CE32" s="412"/>
      <c r="CF32" s="393"/>
      <c r="CH32" s="415"/>
      <c r="CI32" s="392"/>
      <c r="CJ32" s="392"/>
      <c r="CK32" s="412"/>
      <c r="CL32" s="393"/>
      <c r="CN32" s="415"/>
      <c r="CO32" s="392"/>
      <c r="CP32" s="392"/>
      <c r="CQ32" s="412"/>
      <c r="CR32" s="393"/>
    </row>
    <row r="33" spans="2:96" ht="24" customHeight="1">
      <c r="B33" s="823" t="s">
        <v>333</v>
      </c>
      <c r="C33" s="825" t="str">
        <f>C18</f>
        <v>Thermocouple Data Logger, Merek : MADGETECH, Model : OctTemp 2000, SN : P40270</v>
      </c>
      <c r="D33" s="825"/>
      <c r="E33" s="825"/>
      <c r="F33" s="394" t="s">
        <v>329</v>
      </c>
      <c r="G33" s="395"/>
      <c r="H33" s="823" t="s">
        <v>333</v>
      </c>
      <c r="I33" s="825" t="str">
        <f>I18</f>
        <v>Thermocouple Data Logger, Merek : MADGETECH, Model : OctTemp 2000, SN : P41878</v>
      </c>
      <c r="J33" s="825"/>
      <c r="K33" s="825"/>
      <c r="L33" s="394" t="s">
        <v>329</v>
      </c>
      <c r="M33" s="395"/>
      <c r="N33" s="823" t="s">
        <v>333</v>
      </c>
      <c r="O33" s="825" t="str">
        <f>O18</f>
        <v>Mobile Corder, Merek : Yokogawa, Model : GP 10, SN : S5T810599</v>
      </c>
      <c r="P33" s="826"/>
      <c r="Q33" s="825"/>
      <c r="R33" s="394" t="s">
        <v>329</v>
      </c>
      <c r="S33" s="391"/>
      <c r="T33" s="823" t="s">
        <v>333</v>
      </c>
      <c r="U33" s="825" t="str">
        <f>U18</f>
        <v>Wireless Temperature Recorder : Merek : HIOKI, Model : LR 8510, SN : 200936000</v>
      </c>
      <c r="V33" s="826"/>
      <c r="W33" s="825"/>
      <c r="X33" s="394" t="s">
        <v>329</v>
      </c>
      <c r="Y33" s="391"/>
      <c r="Z33" s="823" t="s">
        <v>333</v>
      </c>
      <c r="AA33" s="825" t="str">
        <f>AA18</f>
        <v>Wireless Temperature Recorder : Merek : HIOKI, Model : LR 8510, SN : 200936001</v>
      </c>
      <c r="AB33" s="826"/>
      <c r="AC33" s="825"/>
      <c r="AD33" s="394" t="s">
        <v>329</v>
      </c>
      <c r="AE33" s="391"/>
      <c r="AF33" s="823" t="s">
        <v>333</v>
      </c>
      <c r="AG33" s="825" t="str">
        <f>AG18</f>
        <v>Wireless Temperature Recorder : Merek : HIOKI, Model : LR 8510, SN : 200821397</v>
      </c>
      <c r="AH33" s="826"/>
      <c r="AI33" s="825"/>
      <c r="AJ33" s="394" t="s">
        <v>329</v>
      </c>
      <c r="AK33" s="391"/>
      <c r="AL33" s="823" t="s">
        <v>333</v>
      </c>
      <c r="AM33" s="825" t="str">
        <f>AM18</f>
        <v>Wireless Temperature Recorder : Merek : HIOKI, Model : LR 8510, SN : 210411983</v>
      </c>
      <c r="AN33" s="826"/>
      <c r="AO33" s="825"/>
      <c r="AP33" s="394" t="s">
        <v>329</v>
      </c>
      <c r="AQ33" s="391"/>
      <c r="AR33" s="823" t="s">
        <v>333</v>
      </c>
      <c r="AS33" s="825" t="str">
        <f>AS18</f>
        <v>Wireless Temperature Recorder : Merek : HIOKI, Model : LR 8510, SN : 210411984</v>
      </c>
      <c r="AT33" s="826"/>
      <c r="AU33" s="825"/>
      <c r="AV33" s="394" t="s">
        <v>329</v>
      </c>
      <c r="AW33" s="391"/>
      <c r="AX33" s="823" t="s">
        <v>333</v>
      </c>
      <c r="AY33" s="825" t="str">
        <f>AY18</f>
        <v>Wireless Temperature Recorder : Merek : HIOKI, Model : LR 8510, SN : 210411985</v>
      </c>
      <c r="AZ33" s="826"/>
      <c r="BA33" s="825"/>
      <c r="BB33" s="394" t="s">
        <v>329</v>
      </c>
      <c r="BC33" s="391"/>
      <c r="BD33" s="823" t="s">
        <v>333</v>
      </c>
      <c r="BE33" s="825" t="str">
        <f>BE18</f>
        <v>Wireless Temperature Recorder : Merek : HIOKI, Model : LR 8510, SN : 210746054</v>
      </c>
      <c r="BF33" s="826"/>
      <c r="BG33" s="825"/>
      <c r="BH33" s="394" t="s">
        <v>329</v>
      </c>
      <c r="BI33" s="391"/>
      <c r="BJ33" s="823" t="s">
        <v>333</v>
      </c>
      <c r="BK33" s="825" t="str">
        <f>BK18</f>
        <v>Wireless Temperature Recorder : Merek : HIOKI, Model : LR 8510, SN : 210746055</v>
      </c>
      <c r="BL33" s="826"/>
      <c r="BM33" s="825"/>
      <c r="BN33" s="394" t="s">
        <v>329</v>
      </c>
      <c r="BO33" s="391"/>
      <c r="BP33" s="823" t="s">
        <v>333</v>
      </c>
      <c r="BQ33" s="825" t="str">
        <f>BQ18</f>
        <v>Wireless Temperature Recorder : Merek : HIOKI, Model : LR 8510, SN : 210746056</v>
      </c>
      <c r="BR33" s="826"/>
      <c r="BS33" s="825"/>
      <c r="BT33" s="394" t="s">
        <v>329</v>
      </c>
      <c r="BU33" s="391"/>
      <c r="BV33" s="823" t="s">
        <v>333</v>
      </c>
      <c r="BW33" s="825" t="str">
        <f>BW18</f>
        <v>Wireless Temperature Recorder : Merek : HIOKI, Model : LR 8510, SN : 200821396</v>
      </c>
      <c r="BX33" s="826"/>
      <c r="BY33" s="825"/>
      <c r="BZ33" s="394" t="s">
        <v>329</v>
      </c>
      <c r="CA33" s="391"/>
      <c r="CB33" s="823" t="s">
        <v>333</v>
      </c>
      <c r="CC33" s="825" t="str">
        <f>CC18</f>
        <v>Reference Thermometer, Merek : APPA, Model : APPA51, SN : 03002948</v>
      </c>
      <c r="CD33" s="826"/>
      <c r="CE33" s="825"/>
      <c r="CF33" s="394" t="s">
        <v>329</v>
      </c>
      <c r="CH33" s="823" t="s">
        <v>333</v>
      </c>
      <c r="CI33" s="825" t="str">
        <f t="shared" ref="CI33:CJ46" si="67">CI18</f>
        <v>Reference Thermometer, Merek : FLUKE, Model : 1524, SN : 1803038</v>
      </c>
      <c r="CJ33" s="826"/>
      <c r="CK33" s="825"/>
      <c r="CL33" s="394" t="s">
        <v>329</v>
      </c>
      <c r="CN33" s="823" t="s">
        <v>333</v>
      </c>
      <c r="CO33" s="825" t="str">
        <f t="shared" ref="CO33:CP46" si="68">CO18</f>
        <v>Reference Thermometer, Merek : FLUKE, Model : 1524, SN : 1803037</v>
      </c>
      <c r="CP33" s="826"/>
      <c r="CQ33" s="825"/>
      <c r="CR33" s="394" t="s">
        <v>329</v>
      </c>
    </row>
    <row r="34" spans="2:96">
      <c r="B34" s="824"/>
      <c r="C34" s="402">
        <f>C19</f>
        <v>2021</v>
      </c>
      <c r="D34" s="402">
        <f>D19</f>
        <v>2022</v>
      </c>
      <c r="E34" s="398" t="s">
        <v>242</v>
      </c>
      <c r="F34" s="399"/>
      <c r="G34" s="400"/>
      <c r="H34" s="824"/>
      <c r="I34" s="401">
        <f>I19</f>
        <v>2021</v>
      </c>
      <c r="J34" s="402">
        <f>J19</f>
        <v>2022</v>
      </c>
      <c r="K34" s="398" t="s">
        <v>242</v>
      </c>
      <c r="L34" s="403"/>
      <c r="M34" s="400"/>
      <c r="N34" s="824"/>
      <c r="O34" s="401">
        <f>O4</f>
        <v>2021</v>
      </c>
      <c r="P34" s="402">
        <f>P4</f>
        <v>2023</v>
      </c>
      <c r="Q34" s="398" t="s">
        <v>242</v>
      </c>
      <c r="R34" s="404"/>
      <c r="S34" s="391"/>
      <c r="T34" s="824"/>
      <c r="U34" s="401">
        <f>U19</f>
        <v>2022</v>
      </c>
      <c r="V34" s="402"/>
      <c r="W34" s="398" t="s">
        <v>242</v>
      </c>
      <c r="X34" s="404"/>
      <c r="Y34" s="391"/>
      <c r="Z34" s="824"/>
      <c r="AA34" s="401">
        <f>AA19</f>
        <v>2023</v>
      </c>
      <c r="AB34" s="402">
        <f>AB19</f>
        <v>2021</v>
      </c>
      <c r="AC34" s="398" t="s">
        <v>242</v>
      </c>
      <c r="AD34" s="404"/>
      <c r="AE34" s="391"/>
      <c r="AF34" s="824"/>
      <c r="AG34" s="401">
        <f>AG19</f>
        <v>2023</v>
      </c>
      <c r="AH34" s="401">
        <f>AH19</f>
        <v>2021</v>
      </c>
      <c r="AI34" s="398" t="s">
        <v>242</v>
      </c>
      <c r="AJ34" s="404"/>
      <c r="AK34" s="391"/>
      <c r="AL34" s="824"/>
      <c r="AM34" s="401">
        <f>AM19</f>
        <v>2023</v>
      </c>
      <c r="AN34" s="402"/>
      <c r="AO34" s="398" t="s">
        <v>242</v>
      </c>
      <c r="AP34" s="404"/>
      <c r="AQ34" s="391"/>
      <c r="AR34" s="824"/>
      <c r="AS34" s="401">
        <f>AS19</f>
        <v>2023</v>
      </c>
      <c r="AT34" s="402"/>
      <c r="AU34" s="398" t="s">
        <v>242</v>
      </c>
      <c r="AV34" s="404"/>
      <c r="AW34" s="391"/>
      <c r="AX34" s="824"/>
      <c r="AY34" s="401">
        <f>AY19</f>
        <v>2021</v>
      </c>
      <c r="AZ34" s="402"/>
      <c r="BA34" s="398" t="s">
        <v>242</v>
      </c>
      <c r="BB34" s="404"/>
      <c r="BC34" s="391"/>
      <c r="BD34" s="824"/>
      <c r="BE34" s="401">
        <f>BE19</f>
        <v>2022</v>
      </c>
      <c r="BF34" s="402"/>
      <c r="BG34" s="398" t="s">
        <v>242</v>
      </c>
      <c r="BH34" s="404"/>
      <c r="BI34" s="391"/>
      <c r="BJ34" s="824"/>
      <c r="BK34" s="401">
        <f>BK19</f>
        <v>2021</v>
      </c>
      <c r="BL34" s="402"/>
      <c r="BM34" s="398" t="s">
        <v>242</v>
      </c>
      <c r="BN34" s="404"/>
      <c r="BO34" s="391"/>
      <c r="BP34" s="824"/>
      <c r="BQ34" s="401">
        <f>BQ19</f>
        <v>2022</v>
      </c>
      <c r="BR34" s="402"/>
      <c r="BS34" s="398" t="s">
        <v>242</v>
      </c>
      <c r="BT34" s="404"/>
      <c r="BU34" s="391"/>
      <c r="BV34" s="824"/>
      <c r="BW34" s="401">
        <f>BW19</f>
        <v>2022</v>
      </c>
      <c r="BX34" s="402"/>
      <c r="BY34" s="398" t="s">
        <v>242</v>
      </c>
      <c r="BZ34" s="404"/>
      <c r="CA34" s="391"/>
      <c r="CB34" s="824"/>
      <c r="CC34" s="401">
        <f>CC19</f>
        <v>2022</v>
      </c>
      <c r="CD34" s="402">
        <f>CD49</f>
        <v>2020</v>
      </c>
      <c r="CE34" s="398" t="s">
        <v>242</v>
      </c>
      <c r="CF34" s="404"/>
      <c r="CH34" s="824"/>
      <c r="CI34" s="401">
        <f t="shared" si="67"/>
        <v>2021</v>
      </c>
      <c r="CJ34" s="402">
        <f>CJ19</f>
        <v>2019</v>
      </c>
      <c r="CK34" s="398" t="s">
        <v>242</v>
      </c>
      <c r="CL34" s="404"/>
      <c r="CN34" s="824"/>
      <c r="CO34" s="401">
        <f t="shared" si="68"/>
        <v>2021</v>
      </c>
      <c r="CP34" s="402">
        <f>CP19</f>
        <v>2020</v>
      </c>
      <c r="CQ34" s="398" t="s">
        <v>242</v>
      </c>
      <c r="CR34" s="404"/>
    </row>
    <row r="35" spans="2:96">
      <c r="B35" s="405">
        <v>-20</v>
      </c>
      <c r="C35" s="406">
        <v>-0.43</v>
      </c>
      <c r="D35" s="406">
        <f t="shared" ref="D35:D46" si="69">C175</f>
        <v>-0.6</v>
      </c>
      <c r="E35" s="407">
        <f t="shared" ref="E35:E46" si="70">IF(OR(C35=0,D35=0),$C$187/3,((MAX(C35:D35)-(MIN(C35:D35)))))</f>
        <v>0.16999999999999998</v>
      </c>
      <c r="F35" s="408">
        <v>0.12</v>
      </c>
      <c r="G35" s="409"/>
      <c r="H35" s="405">
        <v>-20</v>
      </c>
      <c r="I35" s="406">
        <v>-0.77</v>
      </c>
      <c r="J35" s="406">
        <f t="shared" ref="J35:J46" si="71">D175</f>
        <v>-0.48</v>
      </c>
      <c r="K35" s="407">
        <f t="shared" ref="K35:K46" si="72">IF(OR(I35=0,J35=0),$D$187/3,((MAX(I35:J35)-(MIN(I35:J35)))))</f>
        <v>0.29000000000000004</v>
      </c>
      <c r="L35" s="408">
        <v>0.11</v>
      </c>
      <c r="M35" s="409"/>
      <c r="N35" s="405">
        <v>-20</v>
      </c>
      <c r="O35" s="406">
        <v>-0.7</v>
      </c>
      <c r="P35" s="406">
        <f t="shared" ref="P35:P46" si="73">E175</f>
        <v>-0.47</v>
      </c>
      <c r="Q35" s="407">
        <f t="shared" ref="Q35:Q46" si="74">IF(OR(O35=0,P35=0),$E$187/3,((MAX(O35:P35)-(MIN(O35:P35)))))</f>
        <v>0.22999999999999998</v>
      </c>
      <c r="R35" s="404">
        <v>9.9999999999999995E-7</v>
      </c>
      <c r="S35" s="391"/>
      <c r="T35" s="405">
        <v>-20</v>
      </c>
      <c r="U35" s="406">
        <f t="shared" ref="U35:U46" si="75">F175</f>
        <v>-1.45</v>
      </c>
      <c r="V35" s="406"/>
      <c r="W35" s="407">
        <f t="shared" ref="W35:W46" si="76">IF(OR(U35=0,V35=0),$F$187/3,((MAX(U35:V35)-(MIN(U35:V35)))))</f>
        <v>8.3333333333333329E-2</v>
      </c>
      <c r="X35" s="404">
        <v>9.9999999999999995E-7</v>
      </c>
      <c r="Y35" s="391"/>
      <c r="Z35" s="405">
        <v>-20</v>
      </c>
      <c r="AA35" s="406">
        <f t="shared" ref="AA35:AA46" si="77">G175</f>
        <v>0.05</v>
      </c>
      <c r="AB35" s="406">
        <v>-0.39</v>
      </c>
      <c r="AC35" s="407">
        <f t="shared" ref="AC35:AC46" si="78">IF(OR(AA35=0,AB35=0),$G$187/3,((MAX(AA35:AB35)-(MIN(AA35:AB35)))))</f>
        <v>0.44</v>
      </c>
      <c r="AD35" s="404">
        <v>9.9999999999999995E-7</v>
      </c>
      <c r="AE35" s="391"/>
      <c r="AF35" s="405">
        <v>-20</v>
      </c>
      <c r="AG35" s="406">
        <f t="shared" ref="AG35:AG46" si="79">H175</f>
        <v>0.05</v>
      </c>
      <c r="AH35" s="406">
        <v>0.01</v>
      </c>
      <c r="AI35" s="407">
        <f t="shared" ref="AI35:AI46" si="80">IF(OR(AG35=0,AH35=0),$H$187/3,((MAX(AG35:AH35)-(MIN(AG35:AH35)))))</f>
        <v>0.04</v>
      </c>
      <c r="AJ35" s="404">
        <v>9.9999999999999995E-7</v>
      </c>
      <c r="AK35" s="391"/>
      <c r="AL35" s="405">
        <v>-20</v>
      </c>
      <c r="AM35" s="406">
        <f t="shared" ref="AM35:AM46" si="81">I175</f>
        <v>0.43</v>
      </c>
      <c r="AN35" s="406"/>
      <c r="AO35" s="407">
        <f t="shared" ref="AO35:AO46" si="82">IF(OR(AM35=0,AN35=0),$I$187/3,((MAX(AM35:AN35)-(MIN(AM35:AN35)))))</f>
        <v>0.08</v>
      </c>
      <c r="AP35" s="404">
        <v>9.9999999999999995E-7</v>
      </c>
      <c r="AQ35" s="391"/>
      <c r="AR35" s="405">
        <v>-20</v>
      </c>
      <c r="AS35" s="406">
        <f t="shared" ref="AS35:AS46" si="83">J175</f>
        <v>0.33</v>
      </c>
      <c r="AT35" s="406"/>
      <c r="AU35" s="407">
        <f t="shared" ref="AU35:AU46" si="84">IF(OR(AS35=0,AT35=0),$J$187/3,((MAX(AS35:AT35)-(MIN(AS35:AT35)))))</f>
        <v>0.08</v>
      </c>
      <c r="AV35" s="404">
        <v>9.9999999999999995E-7</v>
      </c>
      <c r="AW35" s="391"/>
      <c r="AX35" s="405">
        <v>-20</v>
      </c>
      <c r="AY35" s="406">
        <f t="shared" ref="AY35:AY46" si="85">K175</f>
        <v>0.57999999999999996</v>
      </c>
      <c r="AZ35" s="406"/>
      <c r="BA35" s="407">
        <f t="shared" ref="BA35:BA46" si="86">IF(OR(AY35=0,AZ35=0),$K$187/3,((MAX(AY35:AZ35)-(MIN(AY35:AZ35)))))</f>
        <v>0.26333333333333336</v>
      </c>
      <c r="BB35" s="404">
        <v>9.9999999999999995E-7</v>
      </c>
      <c r="BC35" s="391"/>
      <c r="BD35" s="405">
        <v>-20</v>
      </c>
      <c r="BE35" s="406">
        <f t="shared" ref="BE35:BE46" si="87">L175</f>
        <v>-0.93</v>
      </c>
      <c r="BF35" s="406"/>
      <c r="BG35" s="407">
        <f t="shared" ref="BG35:BG46" si="88">IF(OR(BE35=0,BF35=0),$L$187/3,((MAX(BE35:BF35)-(MIN(BE35:BF35)))))</f>
        <v>9.0000000000000011E-2</v>
      </c>
      <c r="BH35" s="404">
        <v>9.9999999999999995E-7</v>
      </c>
      <c r="BI35" s="391"/>
      <c r="BJ35" s="405">
        <v>-20</v>
      </c>
      <c r="BK35" s="406">
        <f t="shared" ref="BK35:BK46" si="89">M175</f>
        <v>0.57999999999999996</v>
      </c>
      <c r="BL35" s="406"/>
      <c r="BM35" s="407">
        <f t="shared" ref="BM35:BM46" si="90">IF(OR(BK35=0,BL35=0),$M$187/3,((MAX(BK35:BL35)-(MIN(BK35:BL35)))))</f>
        <v>0.26333333333333336</v>
      </c>
      <c r="BN35" s="404">
        <v>9.9999999999999995E-7</v>
      </c>
      <c r="BO35" s="391"/>
      <c r="BP35" s="405">
        <v>-20</v>
      </c>
      <c r="BQ35" s="406">
        <f t="shared" ref="BQ35:BQ46" si="91">N175</f>
        <v>-1.33</v>
      </c>
      <c r="BR35" s="406"/>
      <c r="BS35" s="407">
        <f t="shared" ref="BS35:BS46" si="92">IF(OR(BQ35=0,BR35=0),$N$187/3,((MAX(BQ35:BR35)-(MIN(BQ35:BR35)))))</f>
        <v>8.3333333333333329E-2</v>
      </c>
      <c r="BT35" s="404">
        <v>9.9999999999999995E-7</v>
      </c>
      <c r="BU35" s="391"/>
      <c r="BV35" s="405">
        <v>-20</v>
      </c>
      <c r="BW35" s="406">
        <f t="shared" ref="BW35:BW46" si="93">O175</f>
        <v>-1.47</v>
      </c>
      <c r="BX35" s="406"/>
      <c r="BY35" s="407">
        <f t="shared" ref="BY35:BY46" si="94">IF(OR(BW35=0,BX35=0),$O$187/3,((MAX(BW35:BX35)-(MIN(BW35:BX35)))))</f>
        <v>9.0000000000000011E-2</v>
      </c>
      <c r="BZ35" s="404">
        <v>9.9999999999999995E-7</v>
      </c>
      <c r="CA35" s="391"/>
      <c r="CB35" s="405">
        <v>-20</v>
      </c>
      <c r="CC35" s="406">
        <f t="shared" ref="CC35:CC46" si="95">CC5</f>
        <v>-1.1000000000000001</v>
      </c>
      <c r="CD35" s="406">
        <f>CD50</f>
        <v>-0.7</v>
      </c>
      <c r="CE35" s="407">
        <f t="shared" ref="CE35:CE46" si="96">CE20</f>
        <v>0.40000000000000013</v>
      </c>
      <c r="CF35" s="404">
        <v>9.9999999999999995E-7</v>
      </c>
      <c r="CH35" s="405">
        <v>-20</v>
      </c>
      <c r="CI35" s="406">
        <f t="shared" si="67"/>
        <v>-0.15</v>
      </c>
      <c r="CJ35" s="406">
        <f>CJ20</f>
        <v>-0.32</v>
      </c>
      <c r="CK35" s="407">
        <f t="shared" ref="CK35:CK46" si="97">CK20</f>
        <v>0.17</v>
      </c>
      <c r="CL35" s="404">
        <v>9.9999999999999995E-7</v>
      </c>
      <c r="CN35" s="405">
        <v>-20</v>
      </c>
      <c r="CO35" s="406">
        <f t="shared" si="68"/>
        <v>-1.8</v>
      </c>
      <c r="CP35" s="406">
        <f>CP20</f>
        <v>-0.51</v>
      </c>
      <c r="CQ35" s="407">
        <f t="shared" ref="CQ35:CQ46" si="98">CQ20</f>
        <v>1.29</v>
      </c>
      <c r="CR35" s="404">
        <v>9.9999999999999995E-7</v>
      </c>
    </row>
    <row r="36" spans="2:96">
      <c r="B36" s="405">
        <v>-15</v>
      </c>
      <c r="C36" s="406">
        <v>-0.34</v>
      </c>
      <c r="D36" s="406">
        <f t="shared" si="69"/>
        <v>-0.53</v>
      </c>
      <c r="E36" s="407">
        <f t="shared" si="70"/>
        <v>0.19</v>
      </c>
      <c r="F36" s="408">
        <f>(-0.6+1.56)/2</f>
        <v>0.48000000000000004</v>
      </c>
      <c r="G36" s="409"/>
      <c r="H36" s="405">
        <v>-15</v>
      </c>
      <c r="I36" s="406">
        <v>-0.63</v>
      </c>
      <c r="J36" s="406">
        <f t="shared" si="71"/>
        <v>-0.41</v>
      </c>
      <c r="K36" s="407">
        <f t="shared" si="72"/>
        <v>0.22000000000000003</v>
      </c>
      <c r="L36" s="408">
        <f>(0.04-0)/2</f>
        <v>0.02</v>
      </c>
      <c r="M36" s="409"/>
      <c r="N36" s="405">
        <v>-15</v>
      </c>
      <c r="O36" s="406">
        <v>-0.56000000000000005</v>
      </c>
      <c r="P36" s="406">
        <f t="shared" si="73"/>
        <v>-0.39</v>
      </c>
      <c r="Q36" s="407">
        <f t="shared" si="74"/>
        <v>0.17000000000000004</v>
      </c>
      <c r="R36" s="404">
        <f>(0.05-0)/2</f>
        <v>2.5000000000000001E-2</v>
      </c>
      <c r="S36" s="391"/>
      <c r="T36" s="405">
        <v>-15</v>
      </c>
      <c r="U36" s="406">
        <f t="shared" si="75"/>
        <v>-1.23</v>
      </c>
      <c r="V36" s="406"/>
      <c r="W36" s="407">
        <f t="shared" si="76"/>
        <v>8.3333333333333329E-2</v>
      </c>
      <c r="X36" s="404">
        <f>(0.05-0)/2</f>
        <v>2.5000000000000001E-2</v>
      </c>
      <c r="Y36" s="391"/>
      <c r="Z36" s="405">
        <v>-15</v>
      </c>
      <c r="AA36" s="406">
        <f t="shared" si="77"/>
        <v>0.1</v>
      </c>
      <c r="AB36" s="406">
        <v>9.9999999999999995E-7</v>
      </c>
      <c r="AC36" s="407">
        <f t="shared" si="78"/>
        <v>9.9999000000000005E-2</v>
      </c>
      <c r="AD36" s="404">
        <f>(0.05-0)/2</f>
        <v>2.5000000000000001E-2</v>
      </c>
      <c r="AE36" s="391"/>
      <c r="AF36" s="405">
        <v>-15</v>
      </c>
      <c r="AG36" s="406">
        <f t="shared" si="79"/>
        <v>0.09</v>
      </c>
      <c r="AH36" s="406">
        <v>9.9999999999999995E-7</v>
      </c>
      <c r="AI36" s="407">
        <f t="shared" si="80"/>
        <v>8.9998999999999996E-2</v>
      </c>
      <c r="AJ36" s="404">
        <f>(0.05-0)/2</f>
        <v>2.5000000000000001E-2</v>
      </c>
      <c r="AK36" s="391"/>
      <c r="AL36" s="405">
        <v>-15</v>
      </c>
      <c r="AM36" s="406">
        <f t="shared" si="81"/>
        <v>0.45</v>
      </c>
      <c r="AN36" s="406"/>
      <c r="AO36" s="407">
        <f t="shared" si="82"/>
        <v>0.08</v>
      </c>
      <c r="AP36" s="404">
        <f>(0.05-0)/2</f>
        <v>2.5000000000000001E-2</v>
      </c>
      <c r="AQ36" s="391"/>
      <c r="AR36" s="405">
        <v>-15</v>
      </c>
      <c r="AS36" s="406">
        <f t="shared" si="83"/>
        <v>0.36</v>
      </c>
      <c r="AT36" s="406"/>
      <c r="AU36" s="407">
        <f t="shared" si="84"/>
        <v>0.08</v>
      </c>
      <c r="AV36" s="404">
        <f>(0.05-0)/2</f>
        <v>2.5000000000000001E-2</v>
      </c>
      <c r="AW36" s="391"/>
      <c r="AX36" s="405">
        <v>-15</v>
      </c>
      <c r="AY36" s="406">
        <f t="shared" si="85"/>
        <v>9.9999999999999995E-7</v>
      </c>
      <c r="AZ36" s="406"/>
      <c r="BA36" s="407">
        <f t="shared" si="86"/>
        <v>0.26333333333333336</v>
      </c>
      <c r="BB36" s="404">
        <f>(0.05-0)/2</f>
        <v>2.5000000000000001E-2</v>
      </c>
      <c r="BC36" s="391"/>
      <c r="BD36" s="405">
        <v>-15</v>
      </c>
      <c r="BE36" s="406">
        <f t="shared" si="87"/>
        <v>-0.69</v>
      </c>
      <c r="BF36" s="406"/>
      <c r="BG36" s="407">
        <f t="shared" si="88"/>
        <v>9.0000000000000011E-2</v>
      </c>
      <c r="BH36" s="404">
        <f>(0.05-0)/2</f>
        <v>2.5000000000000001E-2</v>
      </c>
      <c r="BI36" s="391"/>
      <c r="BJ36" s="405">
        <v>-15</v>
      </c>
      <c r="BK36" s="406">
        <f t="shared" si="89"/>
        <v>9.9999999999999995E-7</v>
      </c>
      <c r="BL36" s="406"/>
      <c r="BM36" s="407">
        <f t="shared" si="90"/>
        <v>0.26333333333333336</v>
      </c>
      <c r="BN36" s="404">
        <f>(0.05-0)/2</f>
        <v>2.5000000000000001E-2</v>
      </c>
      <c r="BO36" s="391"/>
      <c r="BP36" s="405">
        <v>-15</v>
      </c>
      <c r="BQ36" s="406">
        <f t="shared" si="91"/>
        <v>-1.08</v>
      </c>
      <c r="BR36" s="406"/>
      <c r="BS36" s="407">
        <f t="shared" si="92"/>
        <v>8.3333333333333329E-2</v>
      </c>
      <c r="BT36" s="404">
        <f>(0.05-0)/2</f>
        <v>2.5000000000000001E-2</v>
      </c>
      <c r="BU36" s="391"/>
      <c r="BV36" s="405">
        <v>-15</v>
      </c>
      <c r="BW36" s="406">
        <f t="shared" si="93"/>
        <v>-1.22</v>
      </c>
      <c r="BX36" s="406"/>
      <c r="BY36" s="407">
        <f t="shared" si="94"/>
        <v>9.0000000000000011E-2</v>
      </c>
      <c r="BZ36" s="404">
        <f>(0.05-0)/2</f>
        <v>2.5000000000000001E-2</v>
      </c>
      <c r="CA36" s="391"/>
      <c r="CB36" s="405">
        <v>-15</v>
      </c>
      <c r="CC36" s="406">
        <f t="shared" si="95"/>
        <v>-1.1000000000000001</v>
      </c>
      <c r="CD36" s="406">
        <f t="shared" ref="CD36:CD46" si="99">CD51</f>
        <v>-0.7</v>
      </c>
      <c r="CE36" s="407">
        <f t="shared" si="96"/>
        <v>0.40000000000000013</v>
      </c>
      <c r="CF36" s="404">
        <f>(0.05-0)/2</f>
        <v>2.5000000000000001E-2</v>
      </c>
      <c r="CH36" s="405">
        <v>-15</v>
      </c>
      <c r="CI36" s="406">
        <f t="shared" si="67"/>
        <v>-0.1</v>
      </c>
      <c r="CJ36" s="406">
        <f t="shared" si="67"/>
        <v>-0.24</v>
      </c>
      <c r="CK36" s="407">
        <f t="shared" si="97"/>
        <v>0.13999999999999999</v>
      </c>
      <c r="CL36" s="404">
        <f>(0.05-0)/2</f>
        <v>2.5000000000000001E-2</v>
      </c>
      <c r="CN36" s="405">
        <v>-15</v>
      </c>
      <c r="CO36" s="406">
        <f t="shared" si="68"/>
        <v>-1.52</v>
      </c>
      <c r="CP36" s="406">
        <f t="shared" si="68"/>
        <v>-0.39</v>
      </c>
      <c r="CQ36" s="407">
        <f t="shared" si="98"/>
        <v>1.1299999999999999</v>
      </c>
      <c r="CR36" s="404">
        <f>(0.05-0)/2</f>
        <v>2.5000000000000001E-2</v>
      </c>
    </row>
    <row r="37" spans="2:96">
      <c r="B37" s="405">
        <v>-10</v>
      </c>
      <c r="C37" s="406">
        <v>-0.27</v>
      </c>
      <c r="D37" s="406">
        <f t="shared" si="69"/>
        <v>-0.46</v>
      </c>
      <c r="E37" s="407">
        <f t="shared" si="70"/>
        <v>0.19</v>
      </c>
      <c r="F37" s="408">
        <f>(-0.52+1.29)/2</f>
        <v>0.38500000000000001</v>
      </c>
      <c r="G37" s="409"/>
      <c r="H37" s="405">
        <v>-10</v>
      </c>
      <c r="I37" s="406">
        <v>0</v>
      </c>
      <c r="J37" s="406">
        <f t="shared" si="71"/>
        <v>-0.35</v>
      </c>
      <c r="K37" s="407">
        <f t="shared" si="72"/>
        <v>0.18666666666666668</v>
      </c>
      <c r="L37" s="408">
        <f>(0.03-0)/2</f>
        <v>1.4999999999999999E-2</v>
      </c>
      <c r="M37" s="409"/>
      <c r="N37" s="405">
        <v>-10</v>
      </c>
      <c r="O37" s="406">
        <v>-0.46</v>
      </c>
      <c r="P37" s="406">
        <f t="shared" si="73"/>
        <v>-0.32</v>
      </c>
      <c r="Q37" s="407">
        <f t="shared" si="74"/>
        <v>0.14000000000000001</v>
      </c>
      <c r="R37" s="404">
        <f>(0.06-0)/2</f>
        <v>0.03</v>
      </c>
      <c r="S37" s="391"/>
      <c r="T37" s="405">
        <v>-10</v>
      </c>
      <c r="U37" s="406">
        <f t="shared" si="75"/>
        <v>-0.98</v>
      </c>
      <c r="V37" s="406"/>
      <c r="W37" s="407">
        <f t="shared" si="76"/>
        <v>8.3333333333333329E-2</v>
      </c>
      <c r="X37" s="404">
        <f>(0.06-0)/2</f>
        <v>0.03</v>
      </c>
      <c r="Y37" s="391"/>
      <c r="Z37" s="405">
        <v>-10</v>
      </c>
      <c r="AA37" s="406">
        <f t="shared" si="77"/>
        <v>0.13</v>
      </c>
      <c r="AB37" s="406">
        <v>-0.14000000000000001</v>
      </c>
      <c r="AC37" s="407">
        <f t="shared" si="78"/>
        <v>0.27</v>
      </c>
      <c r="AD37" s="404">
        <f>(0.06-0)/2</f>
        <v>0.03</v>
      </c>
      <c r="AE37" s="391"/>
      <c r="AF37" s="405">
        <v>-10</v>
      </c>
      <c r="AG37" s="406">
        <f t="shared" si="79"/>
        <v>0.12</v>
      </c>
      <c r="AH37" s="406">
        <v>0.19</v>
      </c>
      <c r="AI37" s="407">
        <f t="shared" si="80"/>
        <v>7.0000000000000007E-2</v>
      </c>
      <c r="AJ37" s="404">
        <f>(0.06-0)/2</f>
        <v>0.03</v>
      </c>
      <c r="AK37" s="391"/>
      <c r="AL37" s="405">
        <v>-10</v>
      </c>
      <c r="AM37" s="406">
        <f t="shared" si="81"/>
        <v>0.46</v>
      </c>
      <c r="AN37" s="406"/>
      <c r="AO37" s="407">
        <f t="shared" si="82"/>
        <v>0.08</v>
      </c>
      <c r="AP37" s="404">
        <f>(0.06-0)/2</f>
        <v>0.03</v>
      </c>
      <c r="AQ37" s="391"/>
      <c r="AR37" s="405">
        <v>-10</v>
      </c>
      <c r="AS37" s="406">
        <f t="shared" si="83"/>
        <v>0.37</v>
      </c>
      <c r="AT37" s="406"/>
      <c r="AU37" s="407">
        <f t="shared" si="84"/>
        <v>0.08</v>
      </c>
      <c r="AV37" s="404">
        <f>(0.06-0)/2</f>
        <v>0.03</v>
      </c>
      <c r="AW37" s="391"/>
      <c r="AX37" s="405">
        <v>-10</v>
      </c>
      <c r="AY37" s="406">
        <f t="shared" si="85"/>
        <v>0.55000000000000004</v>
      </c>
      <c r="AZ37" s="406"/>
      <c r="BA37" s="407">
        <f t="shared" si="86"/>
        <v>0.26333333333333336</v>
      </c>
      <c r="BB37" s="404">
        <f>(0.06-0)/2</f>
        <v>0.03</v>
      </c>
      <c r="BC37" s="391"/>
      <c r="BD37" s="405">
        <v>-10</v>
      </c>
      <c r="BE37" s="406">
        <f t="shared" si="87"/>
        <v>-0.52</v>
      </c>
      <c r="BF37" s="406"/>
      <c r="BG37" s="407">
        <f t="shared" si="88"/>
        <v>9.0000000000000011E-2</v>
      </c>
      <c r="BH37" s="404">
        <f>(0.06-0)/2</f>
        <v>0.03</v>
      </c>
      <c r="BI37" s="391"/>
      <c r="BJ37" s="405">
        <v>-10</v>
      </c>
      <c r="BK37" s="406">
        <f t="shared" si="89"/>
        <v>0.55000000000000004</v>
      </c>
      <c r="BL37" s="406"/>
      <c r="BM37" s="407">
        <f t="shared" si="90"/>
        <v>0.26333333333333336</v>
      </c>
      <c r="BN37" s="404">
        <f>(0.06-0)/2</f>
        <v>0.03</v>
      </c>
      <c r="BO37" s="391"/>
      <c r="BP37" s="405">
        <v>-10</v>
      </c>
      <c r="BQ37" s="406">
        <f t="shared" si="91"/>
        <v>-0.86</v>
      </c>
      <c r="BR37" s="406"/>
      <c r="BS37" s="407">
        <f t="shared" si="92"/>
        <v>8.3333333333333329E-2</v>
      </c>
      <c r="BT37" s="404">
        <f>(0.06-0)/2</f>
        <v>0.03</v>
      </c>
      <c r="BU37" s="391"/>
      <c r="BV37" s="405">
        <v>-10</v>
      </c>
      <c r="BW37" s="406">
        <f t="shared" si="93"/>
        <v>-0.99</v>
      </c>
      <c r="BX37" s="406"/>
      <c r="BY37" s="407">
        <f t="shared" si="94"/>
        <v>9.0000000000000011E-2</v>
      </c>
      <c r="BZ37" s="404">
        <f>(0.06-0)/2</f>
        <v>0.03</v>
      </c>
      <c r="CA37" s="391"/>
      <c r="CB37" s="405">
        <v>-10</v>
      </c>
      <c r="CC37" s="406">
        <f t="shared" si="95"/>
        <v>-1.2</v>
      </c>
      <c r="CD37" s="406">
        <f t="shared" si="99"/>
        <v>-0.7</v>
      </c>
      <c r="CE37" s="407">
        <f t="shared" si="96"/>
        <v>0.5</v>
      </c>
      <c r="CF37" s="404">
        <f>(0.06-0)/2</f>
        <v>0.03</v>
      </c>
      <c r="CH37" s="405">
        <v>-10</v>
      </c>
      <c r="CI37" s="406">
        <f t="shared" si="67"/>
        <v>-0.05</v>
      </c>
      <c r="CJ37" s="406">
        <f t="shared" si="67"/>
        <v>-0.18</v>
      </c>
      <c r="CK37" s="407">
        <f t="shared" si="97"/>
        <v>0.13</v>
      </c>
      <c r="CL37" s="404">
        <f>(0.06-0)/2</f>
        <v>0.03</v>
      </c>
      <c r="CN37" s="405">
        <v>-10</v>
      </c>
      <c r="CO37" s="406">
        <f t="shared" si="68"/>
        <v>-1.26</v>
      </c>
      <c r="CP37" s="406">
        <f t="shared" si="68"/>
        <v>-0.28000000000000003</v>
      </c>
      <c r="CQ37" s="407">
        <f t="shared" si="98"/>
        <v>0.98</v>
      </c>
      <c r="CR37" s="404">
        <f>(0.06-0)/2</f>
        <v>0.03</v>
      </c>
    </row>
    <row r="38" spans="2:96">
      <c r="B38" s="405">
        <v>9.9999999999999995E-7</v>
      </c>
      <c r="C38" s="406">
        <v>-0.13</v>
      </c>
      <c r="D38" s="406">
        <f t="shared" si="69"/>
        <v>-0.32</v>
      </c>
      <c r="E38" s="407">
        <f t="shared" si="70"/>
        <v>0.19</v>
      </c>
      <c r="F38" s="408">
        <f>(-0.39+0.8)/2</f>
        <v>0.20500000000000002</v>
      </c>
      <c r="G38" s="409"/>
      <c r="H38" s="405">
        <v>9.9999999999999995E-7</v>
      </c>
      <c r="I38" s="406">
        <v>-0.28999999999999998</v>
      </c>
      <c r="J38" s="406">
        <f t="shared" si="71"/>
        <v>-0.23</v>
      </c>
      <c r="K38" s="407">
        <f t="shared" si="72"/>
        <v>5.999999999999997E-2</v>
      </c>
      <c r="L38" s="408">
        <f>(0.02-0)/2</f>
        <v>0.01</v>
      </c>
      <c r="M38" s="409"/>
      <c r="N38" s="405">
        <v>9.9999999999999995E-7</v>
      </c>
      <c r="O38" s="406">
        <v>-0.38</v>
      </c>
      <c r="P38" s="406">
        <f t="shared" si="73"/>
        <v>-0.2</v>
      </c>
      <c r="Q38" s="407">
        <f t="shared" si="74"/>
        <v>0.18</v>
      </c>
      <c r="R38" s="404">
        <f>(0.08-0)/2</f>
        <v>0.04</v>
      </c>
      <c r="S38" s="391"/>
      <c r="T38" s="405">
        <v>9.9999999999999995E-7</v>
      </c>
      <c r="U38" s="406">
        <f t="shared" si="75"/>
        <v>-0.32</v>
      </c>
      <c r="V38" s="406"/>
      <c r="W38" s="407">
        <f t="shared" si="76"/>
        <v>8.3333333333333329E-2</v>
      </c>
      <c r="X38" s="404">
        <f>(0.08-0)/2</f>
        <v>0.04</v>
      </c>
      <c r="Y38" s="391"/>
      <c r="Z38" s="405">
        <v>9.9999999999999995E-7</v>
      </c>
      <c r="AA38" s="406">
        <f t="shared" si="77"/>
        <v>0.1</v>
      </c>
      <c r="AB38" s="406">
        <v>7.0000000000000007E-2</v>
      </c>
      <c r="AC38" s="407">
        <f t="shared" si="78"/>
        <v>0.03</v>
      </c>
      <c r="AD38" s="404">
        <f>(0.08-0)/2</f>
        <v>0.04</v>
      </c>
      <c r="AE38" s="391"/>
      <c r="AF38" s="405">
        <v>9.9999999999999995E-7</v>
      </c>
      <c r="AG38" s="406">
        <f t="shared" si="79"/>
        <v>0.1</v>
      </c>
      <c r="AH38" s="406">
        <v>0.34</v>
      </c>
      <c r="AI38" s="407">
        <f t="shared" si="80"/>
        <v>0.24000000000000002</v>
      </c>
      <c r="AJ38" s="404">
        <f>(0.08-0)/2</f>
        <v>0.04</v>
      </c>
      <c r="AK38" s="391"/>
      <c r="AL38" s="405">
        <v>9.9999999999999995E-7</v>
      </c>
      <c r="AM38" s="406">
        <f t="shared" si="81"/>
        <v>0.4</v>
      </c>
      <c r="AN38" s="406"/>
      <c r="AO38" s="407">
        <f t="shared" si="82"/>
        <v>0.08</v>
      </c>
      <c r="AP38" s="404">
        <f>(0.08-0)/2</f>
        <v>0.04</v>
      </c>
      <c r="AQ38" s="391"/>
      <c r="AR38" s="405">
        <v>9.9999999999999995E-7</v>
      </c>
      <c r="AS38" s="406">
        <f t="shared" si="83"/>
        <v>0.37</v>
      </c>
      <c r="AT38" s="406"/>
      <c r="AU38" s="407">
        <f t="shared" si="84"/>
        <v>0.08</v>
      </c>
      <c r="AV38" s="404">
        <f>(0.08-0)/2</f>
        <v>0.04</v>
      </c>
      <c r="AW38" s="391"/>
      <c r="AX38" s="405">
        <v>9.9999999999999995E-7</v>
      </c>
      <c r="AY38" s="406">
        <f t="shared" si="85"/>
        <v>0.52</v>
      </c>
      <c r="AZ38" s="406"/>
      <c r="BA38" s="407">
        <f t="shared" si="86"/>
        <v>0.26333333333333336</v>
      </c>
      <c r="BB38" s="404">
        <f>(0.08-0)/2</f>
        <v>0.04</v>
      </c>
      <c r="BC38" s="391"/>
      <c r="BD38" s="405">
        <v>9.9999999999999995E-7</v>
      </c>
      <c r="BE38" s="406">
        <f t="shared" si="87"/>
        <v>-0.26</v>
      </c>
      <c r="BF38" s="406"/>
      <c r="BG38" s="407">
        <f t="shared" si="88"/>
        <v>9.0000000000000011E-2</v>
      </c>
      <c r="BH38" s="404">
        <f>(0.08-0)/2</f>
        <v>0.04</v>
      </c>
      <c r="BI38" s="391"/>
      <c r="BJ38" s="405">
        <v>9.9999999999999995E-7</v>
      </c>
      <c r="BK38" s="406">
        <f t="shared" si="89"/>
        <v>0.52</v>
      </c>
      <c r="BL38" s="406"/>
      <c r="BM38" s="407">
        <f t="shared" si="90"/>
        <v>0.26333333333333336</v>
      </c>
      <c r="BN38" s="404">
        <f>(0.08-0)/2</f>
        <v>0.04</v>
      </c>
      <c r="BO38" s="391"/>
      <c r="BP38" s="405">
        <v>9.9999999999999995E-7</v>
      </c>
      <c r="BQ38" s="406">
        <f t="shared" si="91"/>
        <v>-0.59</v>
      </c>
      <c r="BR38" s="406"/>
      <c r="BS38" s="407">
        <f t="shared" si="92"/>
        <v>8.3333333333333329E-2</v>
      </c>
      <c r="BT38" s="404">
        <f>(0.08-0)/2</f>
        <v>0.04</v>
      </c>
      <c r="BU38" s="391"/>
      <c r="BV38" s="405">
        <v>9.9999999999999995E-7</v>
      </c>
      <c r="BW38" s="406">
        <f t="shared" si="93"/>
        <v>-0.6</v>
      </c>
      <c r="BX38" s="406"/>
      <c r="BY38" s="407">
        <f t="shared" si="94"/>
        <v>9.0000000000000011E-2</v>
      </c>
      <c r="BZ38" s="404">
        <f>(0.08-0)/2</f>
        <v>0.04</v>
      </c>
      <c r="CA38" s="391"/>
      <c r="CB38" s="405">
        <v>9.9999999999999995E-7</v>
      </c>
      <c r="CC38" s="406">
        <f t="shared" si="95"/>
        <v>-1.4</v>
      </c>
      <c r="CD38" s="406">
        <f t="shared" si="99"/>
        <v>-0.7</v>
      </c>
      <c r="CE38" s="407">
        <f t="shared" si="96"/>
        <v>0.7</v>
      </c>
      <c r="CF38" s="404">
        <f>(0.08-0)/2</f>
        <v>0.04</v>
      </c>
      <c r="CH38" s="405">
        <v>9.9999999999999995E-7</v>
      </c>
      <c r="CI38" s="406">
        <f t="shared" si="67"/>
        <v>0.03</v>
      </c>
      <c r="CJ38" s="406">
        <f t="shared" si="67"/>
        <v>-0.06</v>
      </c>
      <c r="CK38" s="407">
        <f t="shared" si="97"/>
        <v>0.09</v>
      </c>
      <c r="CL38" s="404">
        <f>(0.08-0)/2</f>
        <v>0.04</v>
      </c>
      <c r="CN38" s="405">
        <v>9.9999999999999995E-7</v>
      </c>
      <c r="CO38" s="406">
        <f t="shared" si="68"/>
        <v>-0.79</v>
      </c>
      <c r="CP38" s="406">
        <f t="shared" si="68"/>
        <v>-0.08</v>
      </c>
      <c r="CQ38" s="407">
        <f t="shared" si="98"/>
        <v>0.71000000000000008</v>
      </c>
      <c r="CR38" s="404">
        <f>(0.08-0)/2</f>
        <v>0.04</v>
      </c>
    </row>
    <row r="39" spans="2:96">
      <c r="B39" s="405">
        <v>2</v>
      </c>
      <c r="C39" s="406">
        <v>-0.11</v>
      </c>
      <c r="D39" s="406">
        <f t="shared" si="69"/>
        <v>-0.28999999999999998</v>
      </c>
      <c r="E39" s="407">
        <f t="shared" si="70"/>
        <v>0.18</v>
      </c>
      <c r="F39" s="408">
        <f>(-0.36+0.72)/2</f>
        <v>0.18</v>
      </c>
      <c r="G39" s="409"/>
      <c r="H39" s="405">
        <v>2</v>
      </c>
      <c r="I39" s="406">
        <v>-0.25</v>
      </c>
      <c r="J39" s="406">
        <f t="shared" si="71"/>
        <v>-0.2</v>
      </c>
      <c r="K39" s="407">
        <f t="shared" si="72"/>
        <v>4.9999999999999989E-2</v>
      </c>
      <c r="L39" s="408">
        <f>(0.02-0)/2</f>
        <v>0.01</v>
      </c>
      <c r="M39" s="409"/>
      <c r="N39" s="405">
        <v>2</v>
      </c>
      <c r="O39" s="406">
        <v>-0.37</v>
      </c>
      <c r="P39" s="406">
        <f t="shared" si="73"/>
        <v>-0.18</v>
      </c>
      <c r="Q39" s="407">
        <f t="shared" si="74"/>
        <v>0.19</v>
      </c>
      <c r="R39" s="404">
        <f>(0.08-0)/2</f>
        <v>0.04</v>
      </c>
      <c r="S39" s="391"/>
      <c r="T39" s="405">
        <v>2</v>
      </c>
      <c r="U39" s="406">
        <f t="shared" si="75"/>
        <v>-0.56000000000000005</v>
      </c>
      <c r="V39" s="406"/>
      <c r="W39" s="407">
        <f t="shared" si="76"/>
        <v>8.3333333333333329E-2</v>
      </c>
      <c r="X39" s="404">
        <f>(0.08-0)/2</f>
        <v>0.04</v>
      </c>
      <c r="Y39" s="391"/>
      <c r="Z39" s="405">
        <v>2</v>
      </c>
      <c r="AA39" s="406">
        <f t="shared" si="77"/>
        <v>0.12</v>
      </c>
      <c r="AB39" s="406">
        <v>0.11</v>
      </c>
      <c r="AC39" s="407">
        <f t="shared" si="78"/>
        <v>9.999999999999995E-3</v>
      </c>
      <c r="AD39" s="404">
        <f>(0.08-0)/2</f>
        <v>0.04</v>
      </c>
      <c r="AE39" s="391"/>
      <c r="AF39" s="405">
        <v>2</v>
      </c>
      <c r="AG39" s="406">
        <f t="shared" si="79"/>
        <v>0.12</v>
      </c>
      <c r="AH39" s="406">
        <v>0.37</v>
      </c>
      <c r="AI39" s="407">
        <f t="shared" si="80"/>
        <v>0.25</v>
      </c>
      <c r="AJ39" s="404">
        <f>(0.08-0)/2</f>
        <v>0.04</v>
      </c>
      <c r="AK39" s="391"/>
      <c r="AL39" s="405">
        <v>2</v>
      </c>
      <c r="AM39" s="406">
        <f t="shared" si="81"/>
        <v>0.43</v>
      </c>
      <c r="AN39" s="406"/>
      <c r="AO39" s="407">
        <f t="shared" si="82"/>
        <v>0.08</v>
      </c>
      <c r="AP39" s="404">
        <f>(0.08-0)/2</f>
        <v>0.04</v>
      </c>
      <c r="AQ39" s="391"/>
      <c r="AR39" s="405">
        <v>2</v>
      </c>
      <c r="AS39" s="406">
        <f t="shared" si="83"/>
        <v>0.37</v>
      </c>
      <c r="AT39" s="406"/>
      <c r="AU39" s="407">
        <f t="shared" si="84"/>
        <v>0.08</v>
      </c>
      <c r="AV39" s="404">
        <f>(0.08-0)/2</f>
        <v>0.04</v>
      </c>
      <c r="AW39" s="391"/>
      <c r="AX39" s="405">
        <v>2</v>
      </c>
      <c r="AY39" s="406">
        <f t="shared" si="85"/>
        <v>0.52</v>
      </c>
      <c r="AZ39" s="406"/>
      <c r="BA39" s="407">
        <f t="shared" si="86"/>
        <v>0.26333333333333336</v>
      </c>
      <c r="BB39" s="404">
        <f>(0.08-0)/2</f>
        <v>0.04</v>
      </c>
      <c r="BC39" s="391"/>
      <c r="BD39" s="405">
        <v>2</v>
      </c>
      <c r="BE39" s="406">
        <f t="shared" si="87"/>
        <v>-0.35</v>
      </c>
      <c r="BF39" s="406"/>
      <c r="BG39" s="407">
        <f t="shared" si="88"/>
        <v>9.0000000000000011E-2</v>
      </c>
      <c r="BH39" s="404">
        <f>(0.08-0)/2</f>
        <v>0.04</v>
      </c>
      <c r="BI39" s="391"/>
      <c r="BJ39" s="405">
        <v>2</v>
      </c>
      <c r="BK39" s="406">
        <f t="shared" si="89"/>
        <v>0.52</v>
      </c>
      <c r="BL39" s="406"/>
      <c r="BM39" s="407">
        <f t="shared" si="90"/>
        <v>0.26333333333333336</v>
      </c>
      <c r="BN39" s="404">
        <f>(0.08-0)/2</f>
        <v>0.04</v>
      </c>
      <c r="BO39" s="391"/>
      <c r="BP39" s="405">
        <v>2</v>
      </c>
      <c r="BQ39" s="406">
        <f t="shared" si="91"/>
        <v>-0.56999999999999995</v>
      </c>
      <c r="BR39" s="406"/>
      <c r="BS39" s="407">
        <f t="shared" si="92"/>
        <v>8.3333333333333329E-2</v>
      </c>
      <c r="BT39" s="404">
        <f>(0.08-0)/2</f>
        <v>0.04</v>
      </c>
      <c r="BU39" s="391"/>
      <c r="BV39" s="405">
        <v>2</v>
      </c>
      <c r="BW39" s="406">
        <f t="shared" si="93"/>
        <v>-0.67</v>
      </c>
      <c r="BX39" s="406"/>
      <c r="BY39" s="407">
        <f t="shared" si="94"/>
        <v>9.0000000000000011E-2</v>
      </c>
      <c r="BZ39" s="404">
        <f>(0.08-0)/2</f>
        <v>0.04</v>
      </c>
      <c r="CA39" s="391"/>
      <c r="CB39" s="405">
        <v>2</v>
      </c>
      <c r="CC39" s="406">
        <f t="shared" si="95"/>
        <v>0</v>
      </c>
      <c r="CD39" s="406">
        <f t="shared" si="99"/>
        <v>-0.7</v>
      </c>
      <c r="CE39" s="407">
        <f t="shared" si="96"/>
        <v>0.19999999999999998</v>
      </c>
      <c r="CF39" s="404">
        <f>(0.08-0)/2</f>
        <v>0.04</v>
      </c>
      <c r="CH39" s="405">
        <v>2</v>
      </c>
      <c r="CI39" s="406">
        <f t="shared" si="67"/>
        <v>0.04</v>
      </c>
      <c r="CJ39" s="406">
        <f t="shared" si="67"/>
        <v>-0.04</v>
      </c>
      <c r="CK39" s="407">
        <f t="shared" si="97"/>
        <v>0.08</v>
      </c>
      <c r="CL39" s="404">
        <f>(0.08-0)/2</f>
        <v>0.04</v>
      </c>
      <c r="CN39" s="405">
        <v>2</v>
      </c>
      <c r="CO39" s="406">
        <f t="shared" si="68"/>
        <v>-0.7</v>
      </c>
      <c r="CP39" s="406">
        <f t="shared" si="68"/>
        <v>-0.05</v>
      </c>
      <c r="CQ39" s="407">
        <f t="shared" si="98"/>
        <v>0.64999999999999991</v>
      </c>
      <c r="CR39" s="404">
        <f>(0.08-0)/2</f>
        <v>0.04</v>
      </c>
    </row>
    <row r="40" spans="2:96">
      <c r="B40" s="405">
        <v>8</v>
      </c>
      <c r="C40" s="406">
        <v>-0.04</v>
      </c>
      <c r="D40" s="406">
        <f t="shared" si="69"/>
        <v>-0.2</v>
      </c>
      <c r="E40" s="407">
        <f t="shared" si="70"/>
        <v>0.16</v>
      </c>
      <c r="F40" s="408">
        <f>(-0.3+0.47)/2</f>
        <v>8.4999999999999992E-2</v>
      </c>
      <c r="G40" s="409"/>
      <c r="H40" s="405">
        <v>8</v>
      </c>
      <c r="I40" s="406">
        <v>-0.15</v>
      </c>
      <c r="J40" s="406">
        <f t="shared" si="71"/>
        <v>-0.13</v>
      </c>
      <c r="K40" s="407">
        <f t="shared" si="72"/>
        <v>1.999999999999999E-2</v>
      </c>
      <c r="L40" s="408">
        <f>(0.01-0)/2</f>
        <v>5.0000000000000001E-3</v>
      </c>
      <c r="M40" s="409"/>
      <c r="N40" s="405">
        <v>8</v>
      </c>
      <c r="O40" s="406">
        <v>-0.22</v>
      </c>
      <c r="P40" s="406">
        <f t="shared" si="73"/>
        <v>-0.13</v>
      </c>
      <c r="Q40" s="407">
        <f t="shared" si="74"/>
        <v>0.09</v>
      </c>
      <c r="R40" s="404">
        <f>(0.09-0)/2</f>
        <v>4.4999999999999998E-2</v>
      </c>
      <c r="S40" s="391"/>
      <c r="T40" s="405">
        <v>8</v>
      </c>
      <c r="U40" s="406">
        <f t="shared" si="75"/>
        <v>-0.32</v>
      </c>
      <c r="V40" s="406"/>
      <c r="W40" s="407">
        <f t="shared" si="76"/>
        <v>8.3333333333333329E-2</v>
      </c>
      <c r="X40" s="404">
        <f>(0.09-0)/2</f>
        <v>4.4999999999999998E-2</v>
      </c>
      <c r="Y40" s="391"/>
      <c r="Z40" s="405">
        <v>8</v>
      </c>
      <c r="AA40" s="406">
        <f t="shared" si="77"/>
        <v>0.11</v>
      </c>
      <c r="AB40" s="406">
        <v>0.21</v>
      </c>
      <c r="AC40" s="407">
        <f t="shared" si="78"/>
        <v>9.9999999999999992E-2</v>
      </c>
      <c r="AD40" s="404">
        <f>(0.09-0)/2</f>
        <v>4.4999999999999998E-2</v>
      </c>
      <c r="AE40" s="391"/>
      <c r="AF40" s="405">
        <v>8</v>
      </c>
      <c r="AG40" s="406">
        <f t="shared" si="79"/>
        <v>0.12</v>
      </c>
      <c r="AH40" s="406">
        <v>0.44</v>
      </c>
      <c r="AI40" s="407">
        <f t="shared" si="80"/>
        <v>0.32</v>
      </c>
      <c r="AJ40" s="404">
        <f>(0.09-0)/2</f>
        <v>4.4999999999999998E-2</v>
      </c>
      <c r="AK40" s="391"/>
      <c r="AL40" s="405">
        <v>8</v>
      </c>
      <c r="AM40" s="406">
        <f t="shared" si="81"/>
        <v>0.42</v>
      </c>
      <c r="AN40" s="406"/>
      <c r="AO40" s="407">
        <f t="shared" si="82"/>
        <v>0.08</v>
      </c>
      <c r="AP40" s="404">
        <f>(0.09-0)/2</f>
        <v>4.4999999999999998E-2</v>
      </c>
      <c r="AQ40" s="391"/>
      <c r="AR40" s="405">
        <v>8</v>
      </c>
      <c r="AS40" s="406">
        <f t="shared" si="83"/>
        <v>0.36</v>
      </c>
      <c r="AT40" s="406"/>
      <c r="AU40" s="407">
        <f t="shared" si="84"/>
        <v>0.08</v>
      </c>
      <c r="AV40" s="404">
        <f>(0.09-0)/2</f>
        <v>4.4999999999999998E-2</v>
      </c>
      <c r="AW40" s="391"/>
      <c r="AX40" s="405">
        <v>8</v>
      </c>
      <c r="AY40" s="406">
        <f t="shared" si="85"/>
        <v>0.5</v>
      </c>
      <c r="AZ40" s="406"/>
      <c r="BA40" s="407">
        <f t="shared" si="86"/>
        <v>0.26333333333333336</v>
      </c>
      <c r="BB40" s="404">
        <f>(0.09-0)/2</f>
        <v>4.4999999999999998E-2</v>
      </c>
      <c r="BC40" s="391"/>
      <c r="BD40" s="405">
        <v>8</v>
      </c>
      <c r="BE40" s="406">
        <f t="shared" si="87"/>
        <v>-0.1</v>
      </c>
      <c r="BF40" s="406"/>
      <c r="BG40" s="407">
        <f t="shared" si="88"/>
        <v>9.0000000000000011E-2</v>
      </c>
      <c r="BH40" s="404">
        <f>(0.09-0)/2</f>
        <v>4.4999999999999998E-2</v>
      </c>
      <c r="BI40" s="391"/>
      <c r="BJ40" s="405">
        <v>8</v>
      </c>
      <c r="BK40" s="406">
        <f t="shared" si="89"/>
        <v>0.5</v>
      </c>
      <c r="BL40" s="406"/>
      <c r="BM40" s="407">
        <f t="shared" si="90"/>
        <v>0.26333333333333336</v>
      </c>
      <c r="BN40" s="404">
        <f>(0.09-0)/2</f>
        <v>4.4999999999999998E-2</v>
      </c>
      <c r="BO40" s="391"/>
      <c r="BP40" s="405">
        <v>8</v>
      </c>
      <c r="BQ40" s="406">
        <f t="shared" si="91"/>
        <v>-0.34</v>
      </c>
      <c r="BR40" s="406"/>
      <c r="BS40" s="407">
        <f t="shared" si="92"/>
        <v>8.3333333333333329E-2</v>
      </c>
      <c r="BT40" s="404">
        <f>(0.09-0)/2</f>
        <v>4.4999999999999998E-2</v>
      </c>
      <c r="BU40" s="391"/>
      <c r="BV40" s="405">
        <v>8</v>
      </c>
      <c r="BW40" s="406">
        <f t="shared" si="93"/>
        <v>-0.39</v>
      </c>
      <c r="BX40" s="406"/>
      <c r="BY40" s="407">
        <f t="shared" si="94"/>
        <v>9.0000000000000011E-2</v>
      </c>
      <c r="BZ40" s="404">
        <f>(0.09-0)/2</f>
        <v>4.4999999999999998E-2</v>
      </c>
      <c r="CA40" s="391"/>
      <c r="CB40" s="405">
        <v>8</v>
      </c>
      <c r="CC40" s="406">
        <f t="shared" si="95"/>
        <v>0</v>
      </c>
      <c r="CD40" s="406">
        <f t="shared" si="99"/>
        <v>-0.7</v>
      </c>
      <c r="CE40" s="407">
        <f t="shared" si="96"/>
        <v>0.19999999999999998</v>
      </c>
      <c r="CF40" s="404">
        <f>(0.09-0)/2</f>
        <v>4.4999999999999998E-2</v>
      </c>
      <c r="CH40" s="405">
        <v>8</v>
      </c>
      <c r="CI40" s="406">
        <f t="shared" si="67"/>
        <v>0.08</v>
      </c>
      <c r="CJ40" s="406">
        <f t="shared" si="67"/>
        <v>0.01</v>
      </c>
      <c r="CK40" s="407">
        <f t="shared" si="97"/>
        <v>7.0000000000000007E-2</v>
      </c>
      <c r="CL40" s="404">
        <f>(0.09-0)/2</f>
        <v>4.4999999999999998E-2</v>
      </c>
      <c r="CN40" s="405">
        <v>8</v>
      </c>
      <c r="CO40" s="406">
        <f t="shared" si="68"/>
        <v>-0.46</v>
      </c>
      <c r="CP40" s="406">
        <f t="shared" si="68"/>
        <v>0.06</v>
      </c>
      <c r="CQ40" s="407">
        <f t="shared" si="98"/>
        <v>0.52</v>
      </c>
      <c r="CR40" s="404">
        <f>(0.09-0)/2</f>
        <v>4.4999999999999998E-2</v>
      </c>
    </row>
    <row r="41" spans="2:96">
      <c r="B41" s="405">
        <v>37</v>
      </c>
      <c r="C41" s="406">
        <v>0.19</v>
      </c>
      <c r="D41" s="406">
        <f t="shared" si="69"/>
        <v>0.19</v>
      </c>
      <c r="E41" s="407">
        <f t="shared" si="70"/>
        <v>0</v>
      </c>
      <c r="F41" s="408">
        <f>(0.36+0.09)/2</f>
        <v>0.22499999999999998</v>
      </c>
      <c r="G41" s="409"/>
      <c r="H41" s="405">
        <v>37</v>
      </c>
      <c r="I41" s="406">
        <v>0.17</v>
      </c>
      <c r="J41" s="406">
        <f t="shared" si="71"/>
        <v>0.18</v>
      </c>
      <c r="K41" s="407">
        <f t="shared" si="72"/>
        <v>9.9999999999999811E-3</v>
      </c>
      <c r="L41" s="408">
        <f>(0-0)/2</f>
        <v>0</v>
      </c>
      <c r="M41" s="409"/>
      <c r="N41" s="405">
        <v>37</v>
      </c>
      <c r="O41" s="406">
        <v>-0.13</v>
      </c>
      <c r="P41" s="406">
        <f t="shared" si="73"/>
        <v>0</v>
      </c>
      <c r="Q41" s="407">
        <f t="shared" si="74"/>
        <v>9.3333333333333338E-2</v>
      </c>
      <c r="R41" s="404">
        <f>(0.14-0)/2</f>
        <v>7.0000000000000007E-2</v>
      </c>
      <c r="S41" s="391"/>
      <c r="T41" s="405">
        <v>37</v>
      </c>
      <c r="U41" s="406">
        <f t="shared" si="75"/>
        <v>0.49</v>
      </c>
      <c r="V41" s="406"/>
      <c r="W41" s="407">
        <f t="shared" si="76"/>
        <v>8.3333333333333329E-2</v>
      </c>
      <c r="X41" s="404">
        <f>(0.14-0)/2</f>
        <v>7.0000000000000007E-2</v>
      </c>
      <c r="Y41" s="391"/>
      <c r="Z41" s="405">
        <v>37</v>
      </c>
      <c r="AA41" s="406">
        <f t="shared" si="77"/>
        <v>0.1</v>
      </c>
      <c r="AB41" s="406">
        <v>0.56000000000000005</v>
      </c>
      <c r="AC41" s="407">
        <f t="shared" si="78"/>
        <v>0.46000000000000008</v>
      </c>
      <c r="AD41" s="404">
        <f>(0.14-0)/2</f>
        <v>7.0000000000000007E-2</v>
      </c>
      <c r="AE41" s="391"/>
      <c r="AF41" s="405">
        <v>37</v>
      </c>
      <c r="AG41" s="406">
        <f t="shared" si="79"/>
        <v>0.12</v>
      </c>
      <c r="AH41" s="406">
        <v>0.64</v>
      </c>
      <c r="AI41" s="407">
        <f t="shared" si="80"/>
        <v>0.52</v>
      </c>
      <c r="AJ41" s="404">
        <f>(0.14-0)/2</f>
        <v>7.0000000000000007E-2</v>
      </c>
      <c r="AK41" s="391"/>
      <c r="AL41" s="405">
        <v>37</v>
      </c>
      <c r="AM41" s="406">
        <f t="shared" si="81"/>
        <v>0.42</v>
      </c>
      <c r="AN41" s="406"/>
      <c r="AO41" s="407">
        <f t="shared" si="82"/>
        <v>0.08</v>
      </c>
      <c r="AP41" s="404">
        <f>(0.14-0)/2</f>
        <v>7.0000000000000007E-2</v>
      </c>
      <c r="AQ41" s="391"/>
      <c r="AR41" s="405">
        <v>37</v>
      </c>
      <c r="AS41" s="406">
        <f t="shared" si="83"/>
        <v>0.32</v>
      </c>
      <c r="AT41" s="406"/>
      <c r="AU41" s="407">
        <f t="shared" si="84"/>
        <v>0.08</v>
      </c>
      <c r="AV41" s="404">
        <f>(0.14-0)/2</f>
        <v>7.0000000000000007E-2</v>
      </c>
      <c r="AW41" s="391"/>
      <c r="AX41" s="405">
        <v>37</v>
      </c>
      <c r="AY41" s="406">
        <f t="shared" si="85"/>
        <v>0.41</v>
      </c>
      <c r="AZ41" s="406"/>
      <c r="BA41" s="407">
        <f t="shared" si="86"/>
        <v>0.26333333333333336</v>
      </c>
      <c r="BB41" s="404">
        <f>(0.14-0)/2</f>
        <v>7.0000000000000007E-2</v>
      </c>
      <c r="BC41" s="391"/>
      <c r="BD41" s="405">
        <v>37</v>
      </c>
      <c r="BE41" s="406">
        <f t="shared" si="87"/>
        <v>0.66</v>
      </c>
      <c r="BF41" s="406"/>
      <c r="BG41" s="407">
        <f t="shared" si="88"/>
        <v>9.0000000000000011E-2</v>
      </c>
      <c r="BH41" s="404">
        <f>(0.14-0)/2</f>
        <v>7.0000000000000007E-2</v>
      </c>
      <c r="BI41" s="391"/>
      <c r="BJ41" s="405">
        <v>37</v>
      </c>
      <c r="BK41" s="406">
        <f t="shared" si="89"/>
        <v>0.41</v>
      </c>
      <c r="BL41" s="406"/>
      <c r="BM41" s="407">
        <f t="shared" si="90"/>
        <v>0.26333333333333336</v>
      </c>
      <c r="BN41" s="404">
        <f>(0.14-0)/2</f>
        <v>7.0000000000000007E-2</v>
      </c>
      <c r="BO41" s="391"/>
      <c r="BP41" s="405">
        <v>37</v>
      </c>
      <c r="BQ41" s="406">
        <f t="shared" si="91"/>
        <v>0.43</v>
      </c>
      <c r="BR41" s="406"/>
      <c r="BS41" s="407">
        <f t="shared" si="92"/>
        <v>8.3333333333333329E-2</v>
      </c>
      <c r="BT41" s="404">
        <f>(0.14-0)/2</f>
        <v>7.0000000000000007E-2</v>
      </c>
      <c r="BU41" s="391"/>
      <c r="BV41" s="405">
        <v>37</v>
      </c>
      <c r="BW41" s="406">
        <f t="shared" si="93"/>
        <v>0.53</v>
      </c>
      <c r="BX41" s="406"/>
      <c r="BY41" s="407">
        <f t="shared" si="94"/>
        <v>9.0000000000000011E-2</v>
      </c>
      <c r="BZ41" s="404">
        <f>(0.14-0)/2</f>
        <v>7.0000000000000007E-2</v>
      </c>
      <c r="CA41" s="391"/>
      <c r="CB41" s="405">
        <v>37</v>
      </c>
      <c r="CC41" s="406">
        <f t="shared" si="95"/>
        <v>0</v>
      </c>
      <c r="CD41" s="406">
        <f t="shared" si="99"/>
        <v>-0.6</v>
      </c>
      <c r="CE41" s="407">
        <f t="shared" si="96"/>
        <v>0.19999999999999998</v>
      </c>
      <c r="CF41" s="404">
        <f>(0.14-0)/2</f>
        <v>7.0000000000000007E-2</v>
      </c>
      <c r="CH41" s="405">
        <v>37</v>
      </c>
      <c r="CI41" s="406">
        <f t="shared" si="67"/>
        <v>0.23</v>
      </c>
      <c r="CJ41" s="406">
        <f t="shared" si="67"/>
        <v>0.19</v>
      </c>
      <c r="CK41" s="407">
        <f t="shared" si="97"/>
        <v>4.0000000000000008E-2</v>
      </c>
      <c r="CL41" s="404">
        <f>(0.14-0)/2</f>
        <v>7.0000000000000007E-2</v>
      </c>
      <c r="CN41" s="405">
        <v>37</v>
      </c>
      <c r="CO41" s="406">
        <f t="shared" si="68"/>
        <v>0.42</v>
      </c>
      <c r="CP41" s="406">
        <f t="shared" si="68"/>
        <v>0.45</v>
      </c>
      <c r="CQ41" s="407">
        <f t="shared" si="98"/>
        <v>3.0000000000000027E-2</v>
      </c>
      <c r="CR41" s="404">
        <f>(0.14-0)/2</f>
        <v>7.0000000000000007E-2</v>
      </c>
    </row>
    <row r="42" spans="2:96">
      <c r="B42" s="405">
        <v>44</v>
      </c>
      <c r="C42" s="406">
        <v>0.22</v>
      </c>
      <c r="D42" s="406">
        <f t="shared" si="69"/>
        <v>0.27</v>
      </c>
      <c r="E42" s="407">
        <f t="shared" si="70"/>
        <v>5.0000000000000017E-2</v>
      </c>
      <c r="F42" s="408">
        <f>(0.48+0.06)/2</f>
        <v>0.27</v>
      </c>
      <c r="G42" s="409"/>
      <c r="H42" s="405">
        <v>44</v>
      </c>
      <c r="I42" s="406">
        <v>0.21</v>
      </c>
      <c r="J42" s="406">
        <f t="shared" si="71"/>
        <v>0.25</v>
      </c>
      <c r="K42" s="407">
        <f t="shared" si="72"/>
        <v>4.0000000000000008E-2</v>
      </c>
      <c r="L42" s="408">
        <f>(0+0.16)/2</f>
        <v>0.08</v>
      </c>
      <c r="M42" s="409"/>
      <c r="N42" s="405">
        <v>44</v>
      </c>
      <c r="O42" s="406">
        <v>-0.15</v>
      </c>
      <c r="P42" s="406">
        <f t="shared" si="73"/>
        <v>0</v>
      </c>
      <c r="Q42" s="407">
        <f t="shared" si="74"/>
        <v>9.3333333333333338E-2</v>
      </c>
      <c r="R42" s="404">
        <f>(0.15-0)/2</f>
        <v>7.4999999999999997E-2</v>
      </c>
      <c r="S42" s="391"/>
      <c r="T42" s="405">
        <v>44</v>
      </c>
      <c r="U42" s="406">
        <f t="shared" si="75"/>
        <v>0.61</v>
      </c>
      <c r="V42" s="406"/>
      <c r="W42" s="407">
        <f t="shared" si="76"/>
        <v>8.3333333333333329E-2</v>
      </c>
      <c r="X42" s="404">
        <f>(0.15-0)/2</f>
        <v>7.4999999999999997E-2</v>
      </c>
      <c r="Y42" s="391"/>
      <c r="Z42" s="405">
        <v>44</v>
      </c>
      <c r="AA42" s="406">
        <f t="shared" si="77"/>
        <v>0.1</v>
      </c>
      <c r="AB42" s="406">
        <v>0.6</v>
      </c>
      <c r="AC42" s="407">
        <f t="shared" si="78"/>
        <v>0.5</v>
      </c>
      <c r="AD42" s="404">
        <f>(0.15-0)/2</f>
        <v>7.4999999999999997E-2</v>
      </c>
      <c r="AE42" s="391"/>
      <c r="AF42" s="405">
        <v>44</v>
      </c>
      <c r="AG42" s="406">
        <f t="shared" si="79"/>
        <v>0.13</v>
      </c>
      <c r="AH42" s="406">
        <v>0.65</v>
      </c>
      <c r="AI42" s="407">
        <f t="shared" si="80"/>
        <v>0.52</v>
      </c>
      <c r="AJ42" s="404">
        <f>(0.15-0)/2</f>
        <v>7.4999999999999997E-2</v>
      </c>
      <c r="AK42" s="391"/>
      <c r="AL42" s="405">
        <v>44</v>
      </c>
      <c r="AM42" s="406">
        <f t="shared" si="81"/>
        <v>0.42</v>
      </c>
      <c r="AN42" s="406"/>
      <c r="AO42" s="407">
        <f t="shared" si="82"/>
        <v>0.08</v>
      </c>
      <c r="AP42" s="404">
        <f>(0.15-0)/2</f>
        <v>7.4999999999999997E-2</v>
      </c>
      <c r="AQ42" s="391"/>
      <c r="AR42" s="405">
        <v>44</v>
      </c>
      <c r="AS42" s="406">
        <f t="shared" si="83"/>
        <v>0.32</v>
      </c>
      <c r="AT42" s="406"/>
      <c r="AU42" s="407">
        <f t="shared" si="84"/>
        <v>0.08</v>
      </c>
      <c r="AV42" s="404">
        <f>(0.15-0)/2</f>
        <v>7.4999999999999997E-2</v>
      </c>
      <c r="AW42" s="391"/>
      <c r="AX42" s="405">
        <v>44</v>
      </c>
      <c r="AY42" s="406">
        <f t="shared" si="85"/>
        <v>0.39</v>
      </c>
      <c r="AZ42" s="406"/>
      <c r="BA42" s="407">
        <f t="shared" si="86"/>
        <v>0.26333333333333336</v>
      </c>
      <c r="BB42" s="404">
        <f>(0.15-0)/2</f>
        <v>7.4999999999999997E-2</v>
      </c>
      <c r="BC42" s="391"/>
      <c r="BD42" s="405">
        <v>44</v>
      </c>
      <c r="BE42" s="406">
        <f t="shared" si="87"/>
        <v>0.74</v>
      </c>
      <c r="BF42" s="406"/>
      <c r="BG42" s="407">
        <f t="shared" si="88"/>
        <v>9.0000000000000011E-2</v>
      </c>
      <c r="BH42" s="404">
        <f>(0.15-0)/2</f>
        <v>7.4999999999999997E-2</v>
      </c>
      <c r="BI42" s="391"/>
      <c r="BJ42" s="405">
        <v>44</v>
      </c>
      <c r="BK42" s="406">
        <f t="shared" si="89"/>
        <v>0.39</v>
      </c>
      <c r="BL42" s="406"/>
      <c r="BM42" s="407">
        <f t="shared" si="90"/>
        <v>0.26333333333333336</v>
      </c>
      <c r="BN42" s="404">
        <f>(0.15-0)/2</f>
        <v>7.4999999999999997E-2</v>
      </c>
      <c r="BO42" s="391"/>
      <c r="BP42" s="405">
        <v>44</v>
      </c>
      <c r="BQ42" s="406">
        <f t="shared" si="91"/>
        <v>0.54</v>
      </c>
      <c r="BR42" s="406"/>
      <c r="BS42" s="407">
        <f t="shared" si="92"/>
        <v>8.3333333333333329E-2</v>
      </c>
      <c r="BT42" s="404">
        <f>(0.15-0)/2</f>
        <v>7.4999999999999997E-2</v>
      </c>
      <c r="BU42" s="391"/>
      <c r="BV42" s="405">
        <v>44</v>
      </c>
      <c r="BW42" s="406">
        <f t="shared" si="93"/>
        <v>0.66</v>
      </c>
      <c r="BX42" s="406"/>
      <c r="BY42" s="407">
        <f t="shared" si="94"/>
        <v>9.0000000000000011E-2</v>
      </c>
      <c r="BZ42" s="404">
        <f>(0.15-0)/2</f>
        <v>7.4999999999999997E-2</v>
      </c>
      <c r="CA42" s="391"/>
      <c r="CB42" s="405">
        <v>44</v>
      </c>
      <c r="CC42" s="406">
        <f t="shared" si="95"/>
        <v>0</v>
      </c>
      <c r="CD42" s="406">
        <f t="shared" si="99"/>
        <v>-0.7</v>
      </c>
      <c r="CE42" s="407">
        <f t="shared" si="96"/>
        <v>0.19999999999999998</v>
      </c>
      <c r="CF42" s="404">
        <f>(0.15-0)/2</f>
        <v>7.4999999999999997E-2</v>
      </c>
      <c r="CH42" s="405">
        <v>44</v>
      </c>
      <c r="CI42" s="406">
        <f t="shared" si="67"/>
        <v>0.25</v>
      </c>
      <c r="CJ42" s="406">
        <f t="shared" si="67"/>
        <v>0.21</v>
      </c>
      <c r="CK42" s="407">
        <f t="shared" si="97"/>
        <v>4.0000000000000008E-2</v>
      </c>
      <c r="CL42" s="404">
        <f>(0.15-0)/2</f>
        <v>7.4999999999999997E-2</v>
      </c>
      <c r="CN42" s="405">
        <v>44</v>
      </c>
      <c r="CO42" s="406">
        <f t="shared" si="68"/>
        <v>0.56999999999999995</v>
      </c>
      <c r="CP42" s="406">
        <f t="shared" si="68"/>
        <v>0.52</v>
      </c>
      <c r="CQ42" s="407">
        <f t="shared" si="98"/>
        <v>4.9999999999999933E-2</v>
      </c>
      <c r="CR42" s="404">
        <f>(0.15-0)/2</f>
        <v>7.4999999999999997E-2</v>
      </c>
    </row>
    <row r="43" spans="2:96">
      <c r="B43" s="405">
        <v>50</v>
      </c>
      <c r="C43" s="406">
        <v>0.25</v>
      </c>
      <c r="D43" s="406">
        <f t="shared" si="69"/>
        <v>0.34</v>
      </c>
      <c r="E43" s="407">
        <f t="shared" si="70"/>
        <v>9.0000000000000024E-2</v>
      </c>
      <c r="F43" s="408">
        <f>(0.56+0.04)/2</f>
        <v>0.30000000000000004</v>
      </c>
      <c r="G43" s="409"/>
      <c r="H43" s="405">
        <v>50</v>
      </c>
      <c r="I43" s="406">
        <v>0.23</v>
      </c>
      <c r="J43" s="406">
        <f t="shared" si="71"/>
        <v>0.3</v>
      </c>
      <c r="K43" s="407">
        <f t="shared" si="72"/>
        <v>6.9999999999999979E-2</v>
      </c>
      <c r="L43" s="408">
        <f>(0+0.25)/2</f>
        <v>0.125</v>
      </c>
      <c r="M43" s="409"/>
      <c r="N43" s="405">
        <v>50</v>
      </c>
      <c r="O43" s="406">
        <v>0.2</v>
      </c>
      <c r="P43" s="406">
        <f t="shared" si="73"/>
        <v>0</v>
      </c>
      <c r="Q43" s="407">
        <f t="shared" si="74"/>
        <v>9.3333333333333338E-2</v>
      </c>
      <c r="R43" s="404">
        <f>(0.16-0)/2</f>
        <v>0.08</v>
      </c>
      <c r="S43" s="391"/>
      <c r="T43" s="405">
        <v>50</v>
      </c>
      <c r="U43" s="406">
        <f t="shared" si="75"/>
        <v>0.7</v>
      </c>
      <c r="V43" s="406"/>
      <c r="W43" s="407">
        <f t="shared" si="76"/>
        <v>8.3333333333333329E-2</v>
      </c>
      <c r="X43" s="404">
        <f>(0.16-0)/2</f>
        <v>0.08</v>
      </c>
      <c r="Y43" s="391"/>
      <c r="Z43" s="405">
        <v>50</v>
      </c>
      <c r="AA43" s="406">
        <f t="shared" si="77"/>
        <v>0.11</v>
      </c>
      <c r="AB43" s="406">
        <v>0.64</v>
      </c>
      <c r="AC43" s="407">
        <f t="shared" si="78"/>
        <v>0.53</v>
      </c>
      <c r="AD43" s="404">
        <f>(0.16-0)/2</f>
        <v>0.08</v>
      </c>
      <c r="AE43" s="391"/>
      <c r="AF43" s="405">
        <v>50</v>
      </c>
      <c r="AG43" s="406">
        <f t="shared" si="79"/>
        <v>0.14000000000000001</v>
      </c>
      <c r="AH43" s="406">
        <v>0.66</v>
      </c>
      <c r="AI43" s="407">
        <f t="shared" si="80"/>
        <v>0.52</v>
      </c>
      <c r="AJ43" s="404">
        <f>(0.16-0)/2</f>
        <v>0.08</v>
      </c>
      <c r="AK43" s="391"/>
      <c r="AL43" s="405">
        <v>50</v>
      </c>
      <c r="AM43" s="406">
        <f t="shared" si="81"/>
        <v>0.43</v>
      </c>
      <c r="AN43" s="406"/>
      <c r="AO43" s="407">
        <f t="shared" si="82"/>
        <v>0.08</v>
      </c>
      <c r="AP43" s="404">
        <f>(0.16-0)/2</f>
        <v>0.08</v>
      </c>
      <c r="AQ43" s="391"/>
      <c r="AR43" s="405">
        <v>50</v>
      </c>
      <c r="AS43" s="406">
        <f t="shared" si="83"/>
        <v>0.32</v>
      </c>
      <c r="AT43" s="406"/>
      <c r="AU43" s="407">
        <f t="shared" si="84"/>
        <v>0.08</v>
      </c>
      <c r="AV43" s="404">
        <f>(0.16-0)/2</f>
        <v>0.08</v>
      </c>
      <c r="AW43" s="391"/>
      <c r="AX43" s="405">
        <v>50</v>
      </c>
      <c r="AY43" s="406">
        <f t="shared" si="85"/>
        <v>0.37</v>
      </c>
      <c r="AZ43" s="406"/>
      <c r="BA43" s="407">
        <f t="shared" si="86"/>
        <v>0.26333333333333336</v>
      </c>
      <c r="BB43" s="404">
        <f>(0.16-0)/2</f>
        <v>0.08</v>
      </c>
      <c r="BC43" s="391"/>
      <c r="BD43" s="405">
        <v>50</v>
      </c>
      <c r="BE43" s="406">
        <f t="shared" si="87"/>
        <v>0.79</v>
      </c>
      <c r="BF43" s="406"/>
      <c r="BG43" s="407">
        <f t="shared" si="88"/>
        <v>9.0000000000000011E-2</v>
      </c>
      <c r="BH43" s="404">
        <f>(0.16-0)/2</f>
        <v>0.08</v>
      </c>
      <c r="BI43" s="391"/>
      <c r="BJ43" s="405">
        <v>50</v>
      </c>
      <c r="BK43" s="406">
        <f t="shared" si="89"/>
        <v>0.37</v>
      </c>
      <c r="BL43" s="406"/>
      <c r="BM43" s="407">
        <f t="shared" si="90"/>
        <v>0.26333333333333336</v>
      </c>
      <c r="BN43" s="404">
        <f>(0.16-0)/2</f>
        <v>0.08</v>
      </c>
      <c r="BO43" s="391"/>
      <c r="BP43" s="405">
        <v>50</v>
      </c>
      <c r="BQ43" s="406">
        <f t="shared" si="91"/>
        <v>0.6</v>
      </c>
      <c r="BR43" s="406"/>
      <c r="BS43" s="407">
        <f t="shared" si="92"/>
        <v>8.3333333333333329E-2</v>
      </c>
      <c r="BT43" s="404">
        <f>(0.16-0)/2</f>
        <v>0.08</v>
      </c>
      <c r="BU43" s="391"/>
      <c r="BV43" s="405">
        <v>50</v>
      </c>
      <c r="BW43" s="406">
        <f t="shared" si="93"/>
        <v>0.75</v>
      </c>
      <c r="BX43" s="406"/>
      <c r="BY43" s="407">
        <f t="shared" si="94"/>
        <v>9.0000000000000011E-2</v>
      </c>
      <c r="BZ43" s="404">
        <f>(0.16-0)/2</f>
        <v>0.08</v>
      </c>
      <c r="CA43" s="391"/>
      <c r="CB43" s="405">
        <v>50</v>
      </c>
      <c r="CC43" s="406">
        <f t="shared" si="95"/>
        <v>-1</v>
      </c>
      <c r="CD43" s="406">
        <f t="shared" si="99"/>
        <v>-0.7</v>
      </c>
      <c r="CE43" s="407">
        <f t="shared" si="96"/>
        <v>0.30000000000000004</v>
      </c>
      <c r="CF43" s="404">
        <f>(0.16-0)/2</f>
        <v>0.08</v>
      </c>
      <c r="CH43" s="405">
        <v>50</v>
      </c>
      <c r="CI43" s="406">
        <f t="shared" si="67"/>
        <v>0.27</v>
      </c>
      <c r="CJ43" s="406">
        <f t="shared" si="67"/>
        <v>0.22</v>
      </c>
      <c r="CK43" s="407">
        <f t="shared" si="97"/>
        <v>5.0000000000000017E-2</v>
      </c>
      <c r="CL43" s="404">
        <f>(0.16-0)/2</f>
        <v>0.08</v>
      </c>
      <c r="CN43" s="405">
        <v>50</v>
      </c>
      <c r="CO43" s="406">
        <f t="shared" si="68"/>
        <v>0.67</v>
      </c>
      <c r="CP43" s="406">
        <f t="shared" si="68"/>
        <v>0.56999999999999995</v>
      </c>
      <c r="CQ43" s="407">
        <f t="shared" si="98"/>
        <v>0.10000000000000009</v>
      </c>
      <c r="CR43" s="404">
        <f>(0.16-0)/2</f>
        <v>0.08</v>
      </c>
    </row>
    <row r="44" spans="2:96">
      <c r="B44" s="405">
        <v>100</v>
      </c>
      <c r="C44" s="406">
        <v>0.3</v>
      </c>
      <c r="D44" s="406">
        <f t="shared" si="69"/>
        <v>0.77</v>
      </c>
      <c r="E44" s="407">
        <f t="shared" si="70"/>
        <v>0.47000000000000003</v>
      </c>
      <c r="F44" s="408">
        <f>(0.63+0.03)/2</f>
        <v>0.33</v>
      </c>
      <c r="G44" s="409"/>
      <c r="H44" s="405">
        <v>100</v>
      </c>
      <c r="I44" s="406">
        <v>0.16</v>
      </c>
      <c r="J44" s="406">
        <f t="shared" si="71"/>
        <v>0.61</v>
      </c>
      <c r="K44" s="407">
        <f t="shared" si="72"/>
        <v>0.44999999999999996</v>
      </c>
      <c r="L44" s="408">
        <f>(0+0.25)/2</f>
        <v>0.125</v>
      </c>
      <c r="M44" s="409"/>
      <c r="N44" s="405">
        <v>100</v>
      </c>
      <c r="O44" s="406">
        <v>-0.01</v>
      </c>
      <c r="P44" s="406">
        <f t="shared" si="73"/>
        <v>-0.16</v>
      </c>
      <c r="Q44" s="407">
        <f t="shared" si="74"/>
        <v>0.15</v>
      </c>
      <c r="R44" s="404">
        <f>(0.2-0)/2</f>
        <v>0.1</v>
      </c>
      <c r="S44" s="391"/>
      <c r="T44" s="405">
        <v>100</v>
      </c>
      <c r="U44" s="406">
        <f t="shared" si="75"/>
        <v>0.77</v>
      </c>
      <c r="V44" s="406"/>
      <c r="W44" s="407">
        <f t="shared" si="76"/>
        <v>8.3333333333333329E-2</v>
      </c>
      <c r="X44" s="404">
        <f>(0.2-0)/2</f>
        <v>0.1</v>
      </c>
      <c r="Y44" s="391"/>
      <c r="Z44" s="405">
        <v>100</v>
      </c>
      <c r="AA44" s="406">
        <f t="shared" si="77"/>
        <v>0.21</v>
      </c>
      <c r="AB44" s="406">
        <v>0.61</v>
      </c>
      <c r="AC44" s="407">
        <f t="shared" si="78"/>
        <v>0.4</v>
      </c>
      <c r="AD44" s="404">
        <f>(0.2-0)/2</f>
        <v>0.1</v>
      </c>
      <c r="AE44" s="391"/>
      <c r="AF44" s="405">
        <v>100</v>
      </c>
      <c r="AG44" s="406">
        <f t="shared" si="79"/>
        <v>0.24</v>
      </c>
      <c r="AH44" s="406">
        <v>0.45</v>
      </c>
      <c r="AI44" s="407">
        <f t="shared" si="80"/>
        <v>0.21000000000000002</v>
      </c>
      <c r="AJ44" s="404">
        <f>(0.2-0)/2</f>
        <v>0.1</v>
      </c>
      <c r="AK44" s="391"/>
      <c r="AL44" s="405">
        <v>100</v>
      </c>
      <c r="AM44" s="406">
        <f t="shared" si="81"/>
        <v>0.55000000000000004</v>
      </c>
      <c r="AN44" s="406"/>
      <c r="AO44" s="407">
        <f t="shared" si="82"/>
        <v>0.08</v>
      </c>
      <c r="AP44" s="404">
        <f>(0.2-0)/2</f>
        <v>0.1</v>
      </c>
      <c r="AQ44" s="391"/>
      <c r="AR44" s="405">
        <v>100</v>
      </c>
      <c r="AS44" s="406">
        <f t="shared" si="83"/>
        <v>0.42</v>
      </c>
      <c r="AT44" s="406"/>
      <c r="AU44" s="407">
        <f t="shared" si="84"/>
        <v>0.08</v>
      </c>
      <c r="AV44" s="404">
        <f>(0.2-0)/2</f>
        <v>0.1</v>
      </c>
      <c r="AW44" s="391"/>
      <c r="AX44" s="405">
        <v>100</v>
      </c>
      <c r="AY44" s="406">
        <f t="shared" si="85"/>
        <v>0.19</v>
      </c>
      <c r="AZ44" s="406"/>
      <c r="BA44" s="407">
        <f t="shared" si="86"/>
        <v>0.26333333333333336</v>
      </c>
      <c r="BB44" s="404">
        <f>(0.2-0)/2</f>
        <v>0.1</v>
      </c>
      <c r="BC44" s="391"/>
      <c r="BD44" s="405">
        <v>100</v>
      </c>
      <c r="BE44" s="406">
        <f t="shared" si="87"/>
        <v>0.51</v>
      </c>
      <c r="BF44" s="406"/>
      <c r="BG44" s="407">
        <f t="shared" si="88"/>
        <v>9.0000000000000011E-2</v>
      </c>
      <c r="BH44" s="404">
        <f>(0.2-0)/2</f>
        <v>0.1</v>
      </c>
      <c r="BI44" s="391"/>
      <c r="BJ44" s="405">
        <v>100</v>
      </c>
      <c r="BK44" s="406">
        <f t="shared" si="89"/>
        <v>0.19</v>
      </c>
      <c r="BL44" s="406"/>
      <c r="BM44" s="407">
        <f t="shared" si="90"/>
        <v>0.26333333333333336</v>
      </c>
      <c r="BN44" s="404">
        <f>(0.2-0)/2</f>
        <v>0.1</v>
      </c>
      <c r="BO44" s="391"/>
      <c r="BP44" s="405">
        <v>100</v>
      </c>
      <c r="BQ44" s="406">
        <f t="shared" si="91"/>
        <v>0.56999999999999995</v>
      </c>
      <c r="BR44" s="406"/>
      <c r="BS44" s="407">
        <f t="shared" si="92"/>
        <v>8.3333333333333329E-2</v>
      </c>
      <c r="BT44" s="404">
        <f>(0.2-0)/2</f>
        <v>0.1</v>
      </c>
      <c r="BU44" s="391"/>
      <c r="BV44" s="405">
        <v>100</v>
      </c>
      <c r="BW44" s="406">
        <f t="shared" si="93"/>
        <v>0.73</v>
      </c>
      <c r="BX44" s="406"/>
      <c r="BY44" s="407">
        <f t="shared" si="94"/>
        <v>9.0000000000000011E-2</v>
      </c>
      <c r="BZ44" s="404">
        <f>(0.2-0)/2</f>
        <v>0.1</v>
      </c>
      <c r="CA44" s="391"/>
      <c r="CB44" s="405">
        <v>100</v>
      </c>
      <c r="CC44" s="406">
        <f t="shared" si="95"/>
        <v>-1.6</v>
      </c>
      <c r="CD44" s="406">
        <f t="shared" si="99"/>
        <v>-0.7</v>
      </c>
      <c r="CE44" s="407">
        <f t="shared" si="96"/>
        <v>0.90000000000000013</v>
      </c>
      <c r="CF44" s="404">
        <f>(0.2-0)/2</f>
        <v>0.1</v>
      </c>
      <c r="CH44" s="405">
        <v>100</v>
      </c>
      <c r="CI44" s="406">
        <f t="shared" si="67"/>
        <v>0.31</v>
      </c>
      <c r="CJ44" s="406">
        <f t="shared" si="67"/>
        <v>0.23</v>
      </c>
      <c r="CK44" s="407">
        <f t="shared" si="97"/>
        <v>7.9999999999999988E-2</v>
      </c>
      <c r="CL44" s="404">
        <f>(0.2-0)/2</f>
        <v>0.1</v>
      </c>
      <c r="CN44" s="405">
        <v>100</v>
      </c>
      <c r="CO44" s="406">
        <f t="shared" si="68"/>
        <v>0.95</v>
      </c>
      <c r="CP44" s="406">
        <f t="shared" si="68"/>
        <v>0.81</v>
      </c>
      <c r="CQ44" s="407">
        <f t="shared" si="98"/>
        <v>0.1399999999999999</v>
      </c>
      <c r="CR44" s="404">
        <f>(0.2-0)/2</f>
        <v>0.1</v>
      </c>
    </row>
    <row r="45" spans="2:96">
      <c r="B45" s="405">
        <v>150</v>
      </c>
      <c r="C45" s="406">
        <v>0.28000000000000003</v>
      </c>
      <c r="D45" s="406">
        <f t="shared" si="69"/>
        <v>0.73</v>
      </c>
      <c r="E45" s="407">
        <f t="shared" si="70"/>
        <v>0.44999999999999996</v>
      </c>
      <c r="F45" s="408">
        <f>(-0.02+0.02)/2</f>
        <v>0</v>
      </c>
      <c r="G45" s="409"/>
      <c r="H45" s="405">
        <v>150</v>
      </c>
      <c r="I45" s="406">
        <v>-0.02</v>
      </c>
      <c r="J45" s="406">
        <f t="shared" si="71"/>
        <v>0.6</v>
      </c>
      <c r="K45" s="407">
        <f t="shared" si="72"/>
        <v>0.62</v>
      </c>
      <c r="L45" s="408">
        <f>(0.08-0)/2</f>
        <v>0.04</v>
      </c>
      <c r="M45" s="409"/>
      <c r="N45" s="405">
        <v>150</v>
      </c>
      <c r="O45" s="406">
        <v>-0.3</v>
      </c>
      <c r="P45" s="406">
        <f t="shared" si="73"/>
        <v>-0.28000000000000003</v>
      </c>
      <c r="Q45" s="407">
        <f t="shared" si="74"/>
        <v>1.9999999999999962E-2</v>
      </c>
      <c r="R45" s="404">
        <f>(0.21-0)/2</f>
        <v>0.105</v>
      </c>
      <c r="S45" s="391"/>
      <c r="T45" s="405">
        <v>150</v>
      </c>
      <c r="U45" s="406">
        <f t="shared" si="75"/>
        <v>0.03</v>
      </c>
      <c r="V45" s="406"/>
      <c r="W45" s="407">
        <f t="shared" si="76"/>
        <v>8.3333333333333329E-2</v>
      </c>
      <c r="X45" s="404">
        <f>(0.21-0)/2</f>
        <v>0.105</v>
      </c>
      <c r="Y45" s="391"/>
      <c r="Z45" s="405">
        <v>150</v>
      </c>
      <c r="AA45" s="406">
        <f t="shared" si="77"/>
        <v>0.39</v>
      </c>
      <c r="AB45" s="406">
        <v>0.25</v>
      </c>
      <c r="AC45" s="407">
        <f t="shared" si="78"/>
        <v>0.14000000000000001</v>
      </c>
      <c r="AD45" s="404">
        <f>(0.21-0)/2</f>
        <v>0.105</v>
      </c>
      <c r="AE45" s="391"/>
      <c r="AF45" s="405">
        <v>150</v>
      </c>
      <c r="AG45" s="406">
        <f t="shared" si="79"/>
        <v>0.42</v>
      </c>
      <c r="AH45" s="406">
        <v>0.01</v>
      </c>
      <c r="AI45" s="407">
        <f t="shared" si="80"/>
        <v>0.41</v>
      </c>
      <c r="AJ45" s="404">
        <f>(0.21-0)/2</f>
        <v>0.105</v>
      </c>
      <c r="AK45" s="391"/>
      <c r="AL45" s="405">
        <v>150</v>
      </c>
      <c r="AM45" s="406">
        <f t="shared" si="81"/>
        <v>0.74</v>
      </c>
      <c r="AN45" s="406"/>
      <c r="AO45" s="407">
        <f t="shared" si="82"/>
        <v>0.08</v>
      </c>
      <c r="AP45" s="404">
        <f>(0.21-0)/2</f>
        <v>0.105</v>
      </c>
      <c r="AQ45" s="391"/>
      <c r="AR45" s="405">
        <v>150</v>
      </c>
      <c r="AS45" s="406">
        <f t="shared" si="83"/>
        <v>0.61</v>
      </c>
      <c r="AT45" s="406"/>
      <c r="AU45" s="407">
        <f t="shared" si="84"/>
        <v>0.08</v>
      </c>
      <c r="AV45" s="404">
        <f>(0.21-0)/2</f>
        <v>0.105</v>
      </c>
      <c r="AW45" s="391"/>
      <c r="AX45" s="405">
        <v>150</v>
      </c>
      <c r="AY45" s="406">
        <f t="shared" si="85"/>
        <v>9.9999999999999995E-7</v>
      </c>
      <c r="AZ45" s="406"/>
      <c r="BA45" s="407">
        <f t="shared" si="86"/>
        <v>0.26333333333333336</v>
      </c>
      <c r="BB45" s="404">
        <f>(0.21-0)/2</f>
        <v>0.105</v>
      </c>
      <c r="BC45" s="391"/>
      <c r="BD45" s="405">
        <v>150</v>
      </c>
      <c r="BE45" s="406">
        <f t="shared" si="87"/>
        <v>-0.2</v>
      </c>
      <c r="BF45" s="406"/>
      <c r="BG45" s="407">
        <f t="shared" si="88"/>
        <v>9.0000000000000011E-2</v>
      </c>
      <c r="BH45" s="404">
        <f>(0.21-0)/2</f>
        <v>0.105</v>
      </c>
      <c r="BI45" s="391"/>
      <c r="BJ45" s="405">
        <v>150</v>
      </c>
      <c r="BK45" s="406">
        <f t="shared" si="89"/>
        <v>9.9999999999999995E-7</v>
      </c>
      <c r="BL45" s="406"/>
      <c r="BM45" s="407">
        <f t="shared" si="90"/>
        <v>0.26333333333333336</v>
      </c>
      <c r="BN45" s="404">
        <f>(0.21-0)/2</f>
        <v>0.105</v>
      </c>
      <c r="BO45" s="391"/>
      <c r="BP45" s="405">
        <v>150</v>
      </c>
      <c r="BQ45" s="406">
        <f t="shared" si="91"/>
        <v>0</v>
      </c>
      <c r="BR45" s="406"/>
      <c r="BS45" s="407">
        <f t="shared" si="92"/>
        <v>8.3333333333333329E-2</v>
      </c>
      <c r="BT45" s="404">
        <f>(0.21-0)/2</f>
        <v>0.105</v>
      </c>
      <c r="BU45" s="391"/>
      <c r="BV45" s="405">
        <v>150</v>
      </c>
      <c r="BW45" s="406">
        <f t="shared" si="93"/>
        <v>-0.11</v>
      </c>
      <c r="BX45" s="406"/>
      <c r="BY45" s="407">
        <f t="shared" si="94"/>
        <v>9.0000000000000011E-2</v>
      </c>
      <c r="BZ45" s="404">
        <f>(0.21-0)/2</f>
        <v>0.105</v>
      </c>
      <c r="CA45" s="391"/>
      <c r="CB45" s="405">
        <v>150</v>
      </c>
      <c r="CC45" s="406">
        <f t="shared" si="95"/>
        <v>-1.7</v>
      </c>
      <c r="CD45" s="406">
        <f t="shared" si="99"/>
        <v>-0.7</v>
      </c>
      <c r="CE45" s="407">
        <f t="shared" si="96"/>
        <v>1</v>
      </c>
      <c r="CF45" s="404">
        <f>(0.21-0)/2</f>
        <v>0.105</v>
      </c>
      <c r="CH45" s="405">
        <v>150</v>
      </c>
      <c r="CI45" s="406">
        <f t="shared" si="67"/>
        <v>0.3</v>
      </c>
      <c r="CJ45" s="406">
        <f t="shared" si="67"/>
        <v>0.22</v>
      </c>
      <c r="CK45" s="407">
        <f t="shared" si="97"/>
        <v>7.9999999999999988E-2</v>
      </c>
      <c r="CL45" s="404">
        <f>(0.21-0)/2</f>
        <v>0.105</v>
      </c>
      <c r="CN45" s="405">
        <v>150</v>
      </c>
      <c r="CO45" s="406">
        <f t="shared" si="68"/>
        <v>0.49</v>
      </c>
      <c r="CP45" s="406">
        <f t="shared" si="68"/>
        <v>0.87</v>
      </c>
      <c r="CQ45" s="407">
        <f t="shared" si="98"/>
        <v>0.38</v>
      </c>
      <c r="CR45" s="404">
        <f>(0.21-0)/2</f>
        <v>0.105</v>
      </c>
    </row>
    <row r="46" spans="2:96">
      <c r="B46" s="405">
        <v>200</v>
      </c>
      <c r="C46" s="406">
        <v>0.44</v>
      </c>
      <c r="D46" s="406">
        <f t="shared" si="69"/>
        <v>0.02</v>
      </c>
      <c r="E46" s="407">
        <f t="shared" si="70"/>
        <v>0.42</v>
      </c>
      <c r="F46" s="408">
        <f>(0.3+0.77)/2</f>
        <v>0.53500000000000003</v>
      </c>
      <c r="G46" s="409"/>
      <c r="H46" s="405">
        <v>200</v>
      </c>
      <c r="I46" s="406">
        <v>0.16</v>
      </c>
      <c r="J46" s="406">
        <f t="shared" si="71"/>
        <v>0.18</v>
      </c>
      <c r="K46" s="407">
        <f t="shared" si="72"/>
        <v>1.999999999999999E-2</v>
      </c>
      <c r="L46" s="408">
        <f>(0.74-0)/2</f>
        <v>0.37</v>
      </c>
      <c r="M46" s="409"/>
      <c r="N46" s="405">
        <v>200</v>
      </c>
      <c r="O46" s="406">
        <v>0.09</v>
      </c>
      <c r="P46" s="406">
        <f t="shared" si="73"/>
        <v>0.05</v>
      </c>
      <c r="Q46" s="407">
        <f t="shared" si="74"/>
        <v>3.9999999999999994E-2</v>
      </c>
      <c r="R46" s="404">
        <f>(0.18-0)/2</f>
        <v>0.09</v>
      </c>
      <c r="S46" s="391"/>
      <c r="T46" s="405">
        <v>200</v>
      </c>
      <c r="U46" s="406">
        <f t="shared" si="75"/>
        <v>-1.03</v>
      </c>
      <c r="V46" s="406"/>
      <c r="W46" s="407">
        <f t="shared" si="76"/>
        <v>8.3333333333333329E-2</v>
      </c>
      <c r="X46" s="404">
        <f>(0.18-0)/2</f>
        <v>0.09</v>
      </c>
      <c r="Y46" s="391"/>
      <c r="Z46" s="405">
        <v>200</v>
      </c>
      <c r="AA46" s="406">
        <f t="shared" si="77"/>
        <v>0.61</v>
      </c>
      <c r="AB46" s="406">
        <v>-0.17</v>
      </c>
      <c r="AC46" s="407">
        <f t="shared" si="78"/>
        <v>0.78</v>
      </c>
      <c r="AD46" s="404">
        <f>(0.18-0)/2</f>
        <v>0.09</v>
      </c>
      <c r="AE46" s="391"/>
      <c r="AF46" s="405">
        <v>200</v>
      </c>
      <c r="AG46" s="406">
        <f t="shared" si="79"/>
        <v>0.71</v>
      </c>
      <c r="AH46" s="406">
        <v>-0.4</v>
      </c>
      <c r="AI46" s="407">
        <f t="shared" si="80"/>
        <v>1.1099999999999999</v>
      </c>
      <c r="AJ46" s="404">
        <f>(0.18-0)/2</f>
        <v>0.09</v>
      </c>
      <c r="AK46" s="391"/>
      <c r="AL46" s="405">
        <v>200</v>
      </c>
      <c r="AM46" s="406">
        <f t="shared" si="81"/>
        <v>0.96</v>
      </c>
      <c r="AN46" s="406"/>
      <c r="AO46" s="407">
        <f t="shared" si="82"/>
        <v>0.08</v>
      </c>
      <c r="AP46" s="404">
        <f>(0.18-0)/2</f>
        <v>0.09</v>
      </c>
      <c r="AQ46" s="391"/>
      <c r="AR46" s="405">
        <v>200</v>
      </c>
      <c r="AS46" s="406">
        <f t="shared" si="83"/>
        <v>0.82</v>
      </c>
      <c r="AT46" s="406"/>
      <c r="AU46" s="407">
        <f t="shared" si="84"/>
        <v>0.08</v>
      </c>
      <c r="AV46" s="404">
        <f>(0.18-0)/2</f>
        <v>0.09</v>
      </c>
      <c r="AW46" s="391"/>
      <c r="AX46" s="405">
        <v>200</v>
      </c>
      <c r="AY46" s="406">
        <f t="shared" si="85"/>
        <v>-0.22</v>
      </c>
      <c r="AZ46" s="406"/>
      <c r="BA46" s="407">
        <f t="shared" si="86"/>
        <v>0.26333333333333336</v>
      </c>
      <c r="BB46" s="404">
        <f>(0.18-0)/2</f>
        <v>0.09</v>
      </c>
      <c r="BC46" s="391"/>
      <c r="BD46" s="405">
        <v>200</v>
      </c>
      <c r="BE46" s="406">
        <f t="shared" si="87"/>
        <v>-0.21</v>
      </c>
      <c r="BF46" s="406"/>
      <c r="BG46" s="407">
        <f t="shared" si="88"/>
        <v>9.0000000000000011E-2</v>
      </c>
      <c r="BH46" s="404">
        <f>(0.18-0)/2</f>
        <v>0.09</v>
      </c>
      <c r="BI46" s="391"/>
      <c r="BJ46" s="405">
        <v>200</v>
      </c>
      <c r="BK46" s="406">
        <f t="shared" si="89"/>
        <v>-0.22</v>
      </c>
      <c r="BL46" s="406"/>
      <c r="BM46" s="407">
        <f t="shared" si="90"/>
        <v>0.26333333333333336</v>
      </c>
      <c r="BN46" s="404">
        <f>(0.18-0)/2</f>
        <v>0.09</v>
      </c>
      <c r="BO46" s="391"/>
      <c r="BP46" s="405">
        <v>200</v>
      </c>
      <c r="BQ46" s="406">
        <f t="shared" si="91"/>
        <v>-0.37</v>
      </c>
      <c r="BR46" s="406"/>
      <c r="BS46" s="407">
        <f t="shared" si="92"/>
        <v>8.3333333333333329E-2</v>
      </c>
      <c r="BT46" s="404">
        <f>(0.18-0)/2</f>
        <v>0.09</v>
      </c>
      <c r="BU46" s="391"/>
      <c r="BV46" s="405">
        <v>200</v>
      </c>
      <c r="BW46" s="406">
        <f t="shared" si="93"/>
        <v>-1.05</v>
      </c>
      <c r="BX46" s="406"/>
      <c r="BY46" s="407">
        <f t="shared" si="94"/>
        <v>9.0000000000000011E-2</v>
      </c>
      <c r="BZ46" s="404">
        <f>(0.18-0)/2</f>
        <v>0.09</v>
      </c>
      <c r="CA46" s="391"/>
      <c r="CB46" s="405">
        <v>200</v>
      </c>
      <c r="CC46" s="406">
        <f t="shared" si="95"/>
        <v>-0.9</v>
      </c>
      <c r="CD46" s="406">
        <f t="shared" si="99"/>
        <v>-0.6</v>
      </c>
      <c r="CE46" s="407">
        <f t="shared" si="96"/>
        <v>0.30000000000000004</v>
      </c>
      <c r="CF46" s="404">
        <f>(0.18-0)/2</f>
        <v>0.09</v>
      </c>
      <c r="CH46" s="405">
        <v>200</v>
      </c>
      <c r="CI46" s="406">
        <f t="shared" si="67"/>
        <v>0.34</v>
      </c>
      <c r="CJ46" s="406">
        <f t="shared" si="67"/>
        <v>0.47</v>
      </c>
      <c r="CK46" s="407">
        <f t="shared" si="97"/>
        <v>0.12999999999999995</v>
      </c>
      <c r="CL46" s="404">
        <f>(0.18-0)/2</f>
        <v>0.09</v>
      </c>
      <c r="CN46" s="405">
        <v>200</v>
      </c>
      <c r="CO46" s="406">
        <f t="shared" si="68"/>
        <v>-0.26</v>
      </c>
      <c r="CP46" s="406">
        <f t="shared" si="68"/>
        <v>0.99</v>
      </c>
      <c r="CQ46" s="407">
        <f t="shared" si="98"/>
        <v>1.25</v>
      </c>
      <c r="CR46" s="404">
        <f>(0.18-0)/2</f>
        <v>0.09</v>
      </c>
    </row>
    <row r="47" spans="2:96" s="391" customFormat="1">
      <c r="B47" s="415"/>
      <c r="C47" s="392"/>
      <c r="D47" s="392"/>
      <c r="E47" s="412"/>
      <c r="F47" s="409"/>
      <c r="G47" s="409"/>
      <c r="H47" s="415"/>
      <c r="I47" s="392"/>
      <c r="J47" s="392"/>
      <c r="K47" s="412"/>
      <c r="L47" s="393"/>
      <c r="M47" s="409"/>
      <c r="N47" s="415"/>
      <c r="O47" s="392"/>
      <c r="P47" s="392"/>
      <c r="Q47" s="412"/>
      <c r="R47" s="393"/>
      <c r="T47" s="415"/>
      <c r="U47" s="392"/>
      <c r="V47" s="392"/>
      <c r="W47" s="412"/>
      <c r="X47" s="393"/>
      <c r="Z47" s="415"/>
      <c r="AA47" s="392"/>
      <c r="AB47" s="392"/>
      <c r="AC47" s="412"/>
      <c r="AD47" s="393"/>
      <c r="AF47" s="415"/>
      <c r="AG47" s="392"/>
      <c r="AH47" s="392"/>
      <c r="AI47" s="412"/>
      <c r="AJ47" s="393"/>
      <c r="AL47" s="415"/>
      <c r="AM47" s="392"/>
      <c r="AN47" s="392"/>
      <c r="AO47" s="412"/>
      <c r="AP47" s="393"/>
      <c r="AR47" s="415"/>
      <c r="AS47" s="392"/>
      <c r="AT47" s="392"/>
      <c r="AU47" s="412"/>
      <c r="AV47" s="393"/>
      <c r="AX47" s="415"/>
      <c r="AY47" s="392"/>
      <c r="AZ47" s="392"/>
      <c r="BA47" s="412"/>
      <c r="BB47" s="393"/>
      <c r="BD47" s="415"/>
      <c r="BE47" s="392"/>
      <c r="BF47" s="392"/>
      <c r="BG47" s="412"/>
      <c r="BH47" s="393"/>
      <c r="BJ47" s="415"/>
      <c r="BK47" s="392"/>
      <c r="BL47" s="392"/>
      <c r="BM47" s="412"/>
      <c r="BN47" s="393"/>
      <c r="BP47" s="415"/>
      <c r="BQ47" s="392"/>
      <c r="BR47" s="392"/>
      <c r="BS47" s="412"/>
      <c r="BT47" s="393"/>
      <c r="BV47" s="415"/>
      <c r="BW47" s="392"/>
      <c r="BX47" s="392"/>
      <c r="BY47" s="412"/>
      <c r="BZ47" s="393"/>
      <c r="CB47" s="415"/>
      <c r="CC47" s="392"/>
      <c r="CD47" s="392"/>
      <c r="CE47" s="412"/>
      <c r="CF47" s="393"/>
      <c r="CH47" s="415"/>
      <c r="CI47" s="392"/>
      <c r="CJ47" s="392"/>
      <c r="CK47" s="412"/>
      <c r="CL47" s="393"/>
      <c r="CN47" s="415"/>
      <c r="CO47" s="392"/>
      <c r="CP47" s="392"/>
      <c r="CQ47" s="412"/>
      <c r="CR47" s="393"/>
    </row>
    <row r="48" spans="2:96" ht="21.75" customHeight="1">
      <c r="B48" s="823" t="s">
        <v>334</v>
      </c>
      <c r="C48" s="825" t="str">
        <f>C33</f>
        <v>Thermocouple Data Logger, Merek : MADGETECH, Model : OctTemp 2000, SN : P40270</v>
      </c>
      <c r="D48" s="825"/>
      <c r="E48" s="825"/>
      <c r="F48" s="394" t="s">
        <v>329</v>
      </c>
      <c r="G48" s="395"/>
      <c r="H48" s="823" t="s">
        <v>334</v>
      </c>
      <c r="I48" s="825" t="str">
        <f>I33</f>
        <v>Thermocouple Data Logger, Merek : MADGETECH, Model : OctTemp 2000, SN : P41878</v>
      </c>
      <c r="J48" s="825"/>
      <c r="K48" s="825"/>
      <c r="L48" s="394" t="s">
        <v>329</v>
      </c>
      <c r="M48" s="395"/>
      <c r="N48" s="823" t="s">
        <v>334</v>
      </c>
      <c r="O48" s="825" t="str">
        <f>O33</f>
        <v>Mobile Corder, Merek : Yokogawa, Model : GP 10, SN : S5T810599</v>
      </c>
      <c r="P48" s="826"/>
      <c r="Q48" s="825"/>
      <c r="R48" s="394" t="s">
        <v>329</v>
      </c>
      <c r="S48" s="391"/>
      <c r="T48" s="823" t="s">
        <v>334</v>
      </c>
      <c r="U48" s="825" t="str">
        <f>U33</f>
        <v>Wireless Temperature Recorder : Merek : HIOKI, Model : LR 8510, SN : 200936000</v>
      </c>
      <c r="V48" s="826"/>
      <c r="W48" s="825"/>
      <c r="X48" s="394" t="s">
        <v>329</v>
      </c>
      <c r="Y48" s="391"/>
      <c r="Z48" s="823" t="s">
        <v>334</v>
      </c>
      <c r="AA48" s="825" t="str">
        <f>AA33</f>
        <v>Wireless Temperature Recorder : Merek : HIOKI, Model : LR 8510, SN : 200936001</v>
      </c>
      <c r="AB48" s="826"/>
      <c r="AC48" s="825"/>
      <c r="AD48" s="394" t="s">
        <v>329</v>
      </c>
      <c r="AE48" s="391"/>
      <c r="AF48" s="823" t="s">
        <v>334</v>
      </c>
      <c r="AG48" s="825" t="str">
        <f>AG33</f>
        <v>Wireless Temperature Recorder : Merek : HIOKI, Model : LR 8510, SN : 200821397</v>
      </c>
      <c r="AH48" s="826"/>
      <c r="AI48" s="825"/>
      <c r="AJ48" s="394" t="s">
        <v>329</v>
      </c>
      <c r="AK48" s="391"/>
      <c r="AL48" s="823" t="s">
        <v>334</v>
      </c>
      <c r="AM48" s="825" t="str">
        <f>AM33</f>
        <v>Wireless Temperature Recorder : Merek : HIOKI, Model : LR 8510, SN : 210411983</v>
      </c>
      <c r="AN48" s="826"/>
      <c r="AO48" s="825"/>
      <c r="AP48" s="394" t="s">
        <v>329</v>
      </c>
      <c r="AQ48" s="391"/>
      <c r="AR48" s="823" t="s">
        <v>334</v>
      </c>
      <c r="AS48" s="825" t="str">
        <f>AS33</f>
        <v>Wireless Temperature Recorder : Merek : HIOKI, Model : LR 8510, SN : 210411984</v>
      </c>
      <c r="AT48" s="826"/>
      <c r="AU48" s="825"/>
      <c r="AV48" s="394" t="s">
        <v>329</v>
      </c>
      <c r="AW48" s="391"/>
      <c r="AX48" s="823" t="s">
        <v>334</v>
      </c>
      <c r="AY48" s="825" t="str">
        <f>AY33</f>
        <v>Wireless Temperature Recorder : Merek : HIOKI, Model : LR 8510, SN : 210411985</v>
      </c>
      <c r="AZ48" s="826"/>
      <c r="BA48" s="825"/>
      <c r="BB48" s="394" t="s">
        <v>329</v>
      </c>
      <c r="BC48" s="391"/>
      <c r="BD48" s="823" t="s">
        <v>334</v>
      </c>
      <c r="BE48" s="825" t="str">
        <f>BE33</f>
        <v>Wireless Temperature Recorder : Merek : HIOKI, Model : LR 8510, SN : 210746054</v>
      </c>
      <c r="BF48" s="826"/>
      <c r="BG48" s="825"/>
      <c r="BH48" s="394" t="s">
        <v>329</v>
      </c>
      <c r="BI48" s="391"/>
      <c r="BJ48" s="823" t="s">
        <v>334</v>
      </c>
      <c r="BK48" s="825" t="str">
        <f>BK33</f>
        <v>Wireless Temperature Recorder : Merek : HIOKI, Model : LR 8510, SN : 210746055</v>
      </c>
      <c r="BL48" s="826"/>
      <c r="BM48" s="825"/>
      <c r="BN48" s="394" t="s">
        <v>329</v>
      </c>
      <c r="BO48" s="391"/>
      <c r="BP48" s="823" t="s">
        <v>334</v>
      </c>
      <c r="BQ48" s="825" t="str">
        <f>BQ33</f>
        <v>Wireless Temperature Recorder : Merek : HIOKI, Model : LR 8510, SN : 210746056</v>
      </c>
      <c r="BR48" s="826"/>
      <c r="BS48" s="825"/>
      <c r="BT48" s="394" t="s">
        <v>329</v>
      </c>
      <c r="BU48" s="391"/>
      <c r="BV48" s="823" t="s">
        <v>334</v>
      </c>
      <c r="BW48" s="825" t="str">
        <f>BW33</f>
        <v>Wireless Temperature Recorder : Merek : HIOKI, Model : LR 8510, SN : 200821396</v>
      </c>
      <c r="BX48" s="826"/>
      <c r="BY48" s="825"/>
      <c r="BZ48" s="394" t="s">
        <v>329</v>
      </c>
      <c r="CA48" s="391"/>
      <c r="CB48" s="823" t="s">
        <v>334</v>
      </c>
      <c r="CC48" s="825" t="str">
        <f t="shared" ref="CC48:CC61" si="100">CC33</f>
        <v>Reference Thermometer, Merek : APPA, Model : APPA51, SN : 03002948</v>
      </c>
      <c r="CD48" s="826"/>
      <c r="CE48" s="825"/>
      <c r="CF48" s="394" t="s">
        <v>329</v>
      </c>
      <c r="CH48" s="823" t="s">
        <v>334</v>
      </c>
      <c r="CI48" s="825" t="str">
        <f t="shared" ref="CI48:CJ61" si="101">CI33</f>
        <v>Reference Thermometer, Merek : FLUKE, Model : 1524, SN : 1803038</v>
      </c>
      <c r="CJ48" s="826"/>
      <c r="CK48" s="825"/>
      <c r="CL48" s="394" t="s">
        <v>329</v>
      </c>
      <c r="CN48" s="823" t="s">
        <v>334</v>
      </c>
      <c r="CO48" s="825" t="str">
        <f t="shared" ref="CO48:CP61" si="102">CO33</f>
        <v>Reference Thermometer, Merek : FLUKE, Model : 1524, SN : 1803037</v>
      </c>
      <c r="CP48" s="826"/>
      <c r="CQ48" s="825"/>
      <c r="CR48" s="394" t="s">
        <v>329</v>
      </c>
    </row>
    <row r="49" spans="2:96">
      <c r="B49" s="824"/>
      <c r="C49" s="402">
        <f>C34</f>
        <v>2021</v>
      </c>
      <c r="D49" s="402">
        <f>D34</f>
        <v>2022</v>
      </c>
      <c r="E49" s="398" t="s">
        <v>242</v>
      </c>
      <c r="F49" s="399"/>
      <c r="G49" s="400"/>
      <c r="H49" s="824"/>
      <c r="I49" s="401">
        <f>I34</f>
        <v>2021</v>
      </c>
      <c r="J49" s="402">
        <f>J34</f>
        <v>2022</v>
      </c>
      <c r="K49" s="398" t="s">
        <v>242</v>
      </c>
      <c r="L49" s="403"/>
      <c r="M49" s="400"/>
      <c r="N49" s="824"/>
      <c r="O49" s="401">
        <f>O4</f>
        <v>2021</v>
      </c>
      <c r="P49" s="402">
        <f>P4</f>
        <v>2023</v>
      </c>
      <c r="Q49" s="398" t="s">
        <v>242</v>
      </c>
      <c r="R49" s="416"/>
      <c r="S49" s="391"/>
      <c r="T49" s="824"/>
      <c r="U49" s="401">
        <f>U34</f>
        <v>2022</v>
      </c>
      <c r="V49" s="402"/>
      <c r="W49" s="398" t="s">
        <v>242</v>
      </c>
      <c r="X49" s="416"/>
      <c r="Y49" s="391"/>
      <c r="Z49" s="824"/>
      <c r="AA49" s="401">
        <f>AA34</f>
        <v>2023</v>
      </c>
      <c r="AB49" s="402">
        <f>AB34</f>
        <v>2021</v>
      </c>
      <c r="AC49" s="398" t="s">
        <v>242</v>
      </c>
      <c r="AD49" s="416"/>
      <c r="AE49" s="391"/>
      <c r="AF49" s="824"/>
      <c r="AG49" s="401">
        <f>AG34</f>
        <v>2023</v>
      </c>
      <c r="AH49" s="401">
        <f>AH34</f>
        <v>2021</v>
      </c>
      <c r="AI49" s="398" t="s">
        <v>242</v>
      </c>
      <c r="AJ49" s="416"/>
      <c r="AK49" s="391"/>
      <c r="AL49" s="824"/>
      <c r="AM49" s="401">
        <f>AM34</f>
        <v>2023</v>
      </c>
      <c r="AN49" s="402"/>
      <c r="AO49" s="398" t="s">
        <v>242</v>
      </c>
      <c r="AP49" s="416"/>
      <c r="AQ49" s="391"/>
      <c r="AR49" s="824"/>
      <c r="AS49" s="401">
        <f>AS34</f>
        <v>2023</v>
      </c>
      <c r="AT49" s="402"/>
      <c r="AU49" s="398" t="s">
        <v>242</v>
      </c>
      <c r="AV49" s="416"/>
      <c r="AW49" s="391"/>
      <c r="AX49" s="824"/>
      <c r="AY49" s="401">
        <f>AY34</f>
        <v>2021</v>
      </c>
      <c r="AZ49" s="402"/>
      <c r="BA49" s="398" t="s">
        <v>242</v>
      </c>
      <c r="BB49" s="416"/>
      <c r="BC49" s="391"/>
      <c r="BD49" s="824"/>
      <c r="BE49" s="401">
        <f>BE34</f>
        <v>2022</v>
      </c>
      <c r="BF49" s="402"/>
      <c r="BG49" s="398" t="s">
        <v>242</v>
      </c>
      <c r="BH49" s="416"/>
      <c r="BI49" s="391"/>
      <c r="BJ49" s="824"/>
      <c r="BK49" s="401">
        <f>BK34</f>
        <v>2021</v>
      </c>
      <c r="BL49" s="402"/>
      <c r="BM49" s="398" t="s">
        <v>242</v>
      </c>
      <c r="BN49" s="416"/>
      <c r="BO49" s="391"/>
      <c r="BP49" s="824"/>
      <c r="BQ49" s="401">
        <f>BQ34</f>
        <v>2022</v>
      </c>
      <c r="BR49" s="402"/>
      <c r="BS49" s="398" t="s">
        <v>242</v>
      </c>
      <c r="BT49" s="416"/>
      <c r="BU49" s="391"/>
      <c r="BV49" s="824"/>
      <c r="BW49" s="401">
        <f>BW34</f>
        <v>2022</v>
      </c>
      <c r="BX49" s="402"/>
      <c r="BY49" s="398" t="s">
        <v>242</v>
      </c>
      <c r="BZ49" s="416"/>
      <c r="CA49" s="391"/>
      <c r="CB49" s="824"/>
      <c r="CC49" s="401">
        <f t="shared" si="100"/>
        <v>2022</v>
      </c>
      <c r="CD49" s="402">
        <f>CD64</f>
        <v>2020</v>
      </c>
      <c r="CE49" s="398" t="s">
        <v>242</v>
      </c>
      <c r="CF49" s="416"/>
      <c r="CH49" s="824"/>
      <c r="CI49" s="401">
        <f t="shared" si="101"/>
        <v>2021</v>
      </c>
      <c r="CJ49" s="402">
        <f>CJ34</f>
        <v>2019</v>
      </c>
      <c r="CK49" s="398" t="s">
        <v>242</v>
      </c>
      <c r="CL49" s="416"/>
      <c r="CN49" s="824"/>
      <c r="CO49" s="401">
        <f t="shared" si="102"/>
        <v>2021</v>
      </c>
      <c r="CP49" s="402">
        <f>CP34</f>
        <v>2020</v>
      </c>
      <c r="CQ49" s="398" t="s">
        <v>242</v>
      </c>
      <c r="CR49" s="416"/>
    </row>
    <row r="50" spans="2:96">
      <c r="B50" s="405">
        <v>-20</v>
      </c>
      <c r="C50" s="406">
        <v>-0.37</v>
      </c>
      <c r="D50" s="406">
        <f t="shared" ref="D50:D61" si="103">U175</f>
        <v>-0.59</v>
      </c>
      <c r="E50" s="407">
        <f t="shared" ref="E50:E61" si="104">IF(OR(C50=0,D50=0),$U$187/3,((MAX(C50:D50)-(MIN(C50:D50)))))</f>
        <v>0.21999999999999997</v>
      </c>
      <c r="F50" s="408">
        <v>0.11</v>
      </c>
      <c r="G50" s="409"/>
      <c r="H50" s="405">
        <v>-20</v>
      </c>
      <c r="I50" s="406">
        <v>-0.63</v>
      </c>
      <c r="J50" s="406">
        <f t="shared" ref="J50:J61" si="105">V175</f>
        <v>-0.42</v>
      </c>
      <c r="K50" s="407">
        <f t="shared" ref="K50:K61" si="106">IF(OR(I50=0,J50=0),$V$187/3,((MAX(I50:J50)-(MIN(I50:J50)))))</f>
        <v>0.21000000000000002</v>
      </c>
      <c r="L50" s="408">
        <v>0.06</v>
      </c>
      <c r="M50" s="409"/>
      <c r="N50" s="405">
        <v>-20</v>
      </c>
      <c r="O50" s="406">
        <v>-0.64</v>
      </c>
      <c r="P50" s="406">
        <f t="shared" ref="P50:P61" si="107">W175</f>
        <v>-0.5</v>
      </c>
      <c r="Q50" s="407">
        <f t="shared" ref="Q50:Q61" si="108">IF(OR(O50=0,P50=0),$W$187/3,((MAX(O50:P50)-(MIN(O50:P50)))))</f>
        <v>0.14000000000000001</v>
      </c>
      <c r="R50" s="416">
        <v>9.9999999999999995E-7</v>
      </c>
      <c r="S50" s="391"/>
      <c r="T50" s="405">
        <v>-20</v>
      </c>
      <c r="U50" s="406">
        <f t="shared" ref="U50:U61" si="109">X175</f>
        <v>-1.47</v>
      </c>
      <c r="V50" s="406"/>
      <c r="W50" s="407">
        <f t="shared" ref="W50:W61" si="110">IF(OR(U50=0,V50=0),$X$187/3,((MAX(U50:V50)-(MIN(U50:V50)))))</f>
        <v>8.666666666666667E-2</v>
      </c>
      <c r="X50" s="416">
        <v>9.9999999999999995E-7</v>
      </c>
      <c r="Y50" s="391"/>
      <c r="Z50" s="405">
        <v>-20</v>
      </c>
      <c r="AA50" s="406">
        <f t="shared" ref="AA50:AA61" si="111">Y175</f>
        <v>7.0000000000000007E-2</v>
      </c>
      <c r="AB50" s="406">
        <v>-0.7</v>
      </c>
      <c r="AC50" s="407">
        <f t="shared" ref="AC50:AC61" si="112">IF(OR(AA50=0,AB50=0),$Y$187/3,((MAX(AA50:AB50)-(MIN(AA50:AB50)))))</f>
        <v>0.77</v>
      </c>
      <c r="AD50" s="416">
        <v>9.9999999999999995E-7</v>
      </c>
      <c r="AE50" s="391"/>
      <c r="AF50" s="405">
        <v>-20</v>
      </c>
      <c r="AG50" s="406">
        <f t="shared" ref="AG50:AG61" si="113">Z175</f>
        <v>7.0000000000000007E-2</v>
      </c>
      <c r="AH50" s="406">
        <v>0.04</v>
      </c>
      <c r="AI50" s="407">
        <f t="shared" ref="AI50:AI61" si="114">IF(OR(AG50=0,AH50=0),$Z$187/3,((MAX(AG50:AH50)-(MIN(AG50:AH50)))))</f>
        <v>3.0000000000000006E-2</v>
      </c>
      <c r="AJ50" s="416">
        <v>9.9999999999999995E-7</v>
      </c>
      <c r="AK50" s="391"/>
      <c r="AL50" s="405">
        <v>-20</v>
      </c>
      <c r="AM50" s="406">
        <f t="shared" ref="AM50:AM61" si="115">AA175</f>
        <v>0.46</v>
      </c>
      <c r="AN50" s="406"/>
      <c r="AO50" s="407">
        <f t="shared" ref="AO50:AO61" si="116">IF(OR(AM50=0,AN50=0),$AA$187/3,((MAX(AM50:AN50)-(MIN(AM50:AN50)))))</f>
        <v>8.3333333333333329E-2</v>
      </c>
      <c r="AP50" s="416">
        <v>9.9999999999999995E-7</v>
      </c>
      <c r="AQ50" s="391"/>
      <c r="AR50" s="405">
        <v>-20</v>
      </c>
      <c r="AS50" s="406">
        <f t="shared" ref="AS50:AS61" si="117">AB175</f>
        <v>0.33</v>
      </c>
      <c r="AT50" s="406"/>
      <c r="AU50" s="407">
        <f t="shared" ref="AU50:AU61" si="118">IF(OR(AS50=0,AT50=0),$AB$187/3,((MAX(AS50:AT50)-(MIN(AS50:AT50)))))</f>
        <v>0.08</v>
      </c>
      <c r="AV50" s="416">
        <v>9.9999999999999995E-7</v>
      </c>
      <c r="AW50" s="391"/>
      <c r="AX50" s="405">
        <v>-20</v>
      </c>
      <c r="AY50" s="406">
        <f t="shared" ref="AY50:AY61" si="119">AC175</f>
        <v>0.64</v>
      </c>
      <c r="AZ50" s="406"/>
      <c r="BA50" s="407">
        <f t="shared" ref="BA50:BA61" si="120">IF(OR(AY50=0,AZ50=0),$AC$187/3,((MAX(AY50:AZ50)-(MIN(AY50:AZ50)))))</f>
        <v>0.26333333333333336</v>
      </c>
      <c r="BB50" s="416">
        <v>9.9999999999999995E-7</v>
      </c>
      <c r="BC50" s="391"/>
      <c r="BD50" s="405">
        <v>-20</v>
      </c>
      <c r="BE50" s="406">
        <f t="shared" ref="BE50:BE61" si="121">AD175</f>
        <v>-0.91</v>
      </c>
      <c r="BF50" s="406"/>
      <c r="BG50" s="407">
        <f t="shared" ref="BG50:BG61" si="122">IF(OR(BE50=0,BF50=0),$AD$187/3,((MAX(BE50:BF50)-(MIN(BE50:BF50)))))</f>
        <v>9.0000000000000011E-2</v>
      </c>
      <c r="BH50" s="416">
        <v>9.9999999999999995E-7</v>
      </c>
      <c r="BI50" s="391"/>
      <c r="BJ50" s="405">
        <v>-20</v>
      </c>
      <c r="BK50" s="406">
        <f t="shared" ref="BK50:BK61" si="123">AE175</f>
        <v>0.64</v>
      </c>
      <c r="BL50" s="406"/>
      <c r="BM50" s="407">
        <f t="shared" ref="BM50:BM61" si="124">IF(OR(BK50=0,BL50=0),$AE$187/3,((MAX(BK50:BL50)-(MIN(BK50:BL50)))))</f>
        <v>0.26333333333333336</v>
      </c>
      <c r="BN50" s="416">
        <v>9.9999999999999995E-7</v>
      </c>
      <c r="BO50" s="391"/>
      <c r="BP50" s="405">
        <v>-20</v>
      </c>
      <c r="BQ50" s="406">
        <f t="shared" ref="BQ50:BQ61" si="125">AF175</f>
        <v>-1.31</v>
      </c>
      <c r="BR50" s="406"/>
      <c r="BS50" s="407">
        <f t="shared" ref="BS50:BS61" si="126">IF(OR(BQ50=0,BR50=0),$AF$187/3,((MAX(BQ50:BR50)-(MIN(BQ50:BR50)))))</f>
        <v>8.3333333333333329E-2</v>
      </c>
      <c r="BT50" s="416">
        <v>9.9999999999999995E-7</v>
      </c>
      <c r="BU50" s="391"/>
      <c r="BV50" s="405">
        <v>-20</v>
      </c>
      <c r="BW50" s="406">
        <f t="shared" ref="BW50:BW61" si="127">AG175</f>
        <v>-1.41</v>
      </c>
      <c r="BX50" s="406"/>
      <c r="BY50" s="407">
        <f t="shared" ref="BY50:BY61" si="128">IF(OR(BW50=0,BX50=0),$AG$187/3,((MAX(BW50:BX50)-(MIN(BW50:BX50)))))</f>
        <v>8.666666666666667E-2</v>
      </c>
      <c r="BZ50" s="416">
        <v>9.9999999999999995E-7</v>
      </c>
      <c r="CA50" s="391"/>
      <c r="CB50" s="405">
        <v>-20</v>
      </c>
      <c r="CC50" s="406">
        <f t="shared" si="100"/>
        <v>-1.1000000000000001</v>
      </c>
      <c r="CD50" s="406">
        <f>CD80</f>
        <v>-0.7</v>
      </c>
      <c r="CE50" s="407">
        <f t="shared" ref="CE50:CE61" si="129">CE35</f>
        <v>0.40000000000000013</v>
      </c>
      <c r="CF50" s="416">
        <v>9.9999999999999995E-7</v>
      </c>
      <c r="CH50" s="405">
        <v>-20</v>
      </c>
      <c r="CI50" s="406">
        <f t="shared" si="101"/>
        <v>-0.15</v>
      </c>
      <c r="CJ50" s="406">
        <f>CJ35</f>
        <v>-0.32</v>
      </c>
      <c r="CK50" s="407">
        <f t="shared" ref="CK50:CK61" si="130">CK35</f>
        <v>0.17</v>
      </c>
      <c r="CL50" s="416">
        <v>9.9999999999999995E-7</v>
      </c>
      <c r="CN50" s="405">
        <v>-20</v>
      </c>
      <c r="CO50" s="406">
        <f t="shared" si="102"/>
        <v>-1.8</v>
      </c>
      <c r="CP50" s="406">
        <f>CP35</f>
        <v>-0.51</v>
      </c>
      <c r="CQ50" s="407">
        <f t="shared" ref="CQ50:CQ61" si="131">CQ35</f>
        <v>1.29</v>
      </c>
      <c r="CR50" s="416">
        <v>9.9999999999999995E-7</v>
      </c>
    </row>
    <row r="51" spans="2:96">
      <c r="B51" s="405">
        <v>-15</v>
      </c>
      <c r="C51" s="406">
        <v>-0.31</v>
      </c>
      <c r="D51" s="406">
        <f t="shared" si="103"/>
        <v>-0.53</v>
      </c>
      <c r="E51" s="407">
        <f t="shared" si="104"/>
        <v>0.22000000000000003</v>
      </c>
      <c r="F51" s="408">
        <f>(-0.77+1.66)/2</f>
        <v>0.44499999999999995</v>
      </c>
      <c r="G51" s="409"/>
      <c r="H51" s="405">
        <v>-15</v>
      </c>
      <c r="I51" s="406">
        <v>-0.51</v>
      </c>
      <c r="J51" s="406">
        <f t="shared" si="105"/>
        <v>-0.37</v>
      </c>
      <c r="K51" s="407">
        <f t="shared" si="106"/>
        <v>0.14000000000000001</v>
      </c>
      <c r="L51" s="408">
        <f>(0+0.1)/2</f>
        <v>0.05</v>
      </c>
      <c r="M51" s="409"/>
      <c r="N51" s="405">
        <v>-15</v>
      </c>
      <c r="O51" s="406">
        <v>-0.52</v>
      </c>
      <c r="P51" s="406">
        <f t="shared" si="107"/>
        <v>-0.41</v>
      </c>
      <c r="Q51" s="407">
        <f t="shared" si="108"/>
        <v>0.11000000000000004</v>
      </c>
      <c r="R51" s="416">
        <f>(0.05-0)/2</f>
        <v>2.5000000000000001E-2</v>
      </c>
      <c r="S51" s="391"/>
      <c r="T51" s="405">
        <v>-15</v>
      </c>
      <c r="U51" s="406">
        <f t="shared" si="109"/>
        <v>-1.25</v>
      </c>
      <c r="V51" s="406"/>
      <c r="W51" s="407">
        <f t="shared" si="110"/>
        <v>8.666666666666667E-2</v>
      </c>
      <c r="X51" s="416">
        <f>(0.05-0)/2</f>
        <v>2.5000000000000001E-2</v>
      </c>
      <c r="Y51" s="391"/>
      <c r="Z51" s="405">
        <v>-15</v>
      </c>
      <c r="AA51" s="406">
        <f t="shared" si="111"/>
        <v>0.11</v>
      </c>
      <c r="AB51" s="406">
        <v>9.9999999999999995E-7</v>
      </c>
      <c r="AC51" s="407">
        <f t="shared" si="112"/>
        <v>0.109999</v>
      </c>
      <c r="AD51" s="416">
        <f>(0.05-0)/2</f>
        <v>2.5000000000000001E-2</v>
      </c>
      <c r="AE51" s="391"/>
      <c r="AF51" s="405">
        <v>-15</v>
      </c>
      <c r="AG51" s="406">
        <f t="shared" si="113"/>
        <v>0.11</v>
      </c>
      <c r="AH51" s="406">
        <v>9.9999999999999995E-7</v>
      </c>
      <c r="AI51" s="407">
        <f t="shared" si="114"/>
        <v>0.109999</v>
      </c>
      <c r="AJ51" s="416">
        <f>(0.05-0)/2</f>
        <v>2.5000000000000001E-2</v>
      </c>
      <c r="AK51" s="391"/>
      <c r="AL51" s="405">
        <v>-15</v>
      </c>
      <c r="AM51" s="406">
        <f t="shared" si="115"/>
        <v>0.48</v>
      </c>
      <c r="AN51" s="406"/>
      <c r="AO51" s="407">
        <f t="shared" si="116"/>
        <v>8.3333333333333329E-2</v>
      </c>
      <c r="AP51" s="416">
        <f>(0.05-0)/2</f>
        <v>2.5000000000000001E-2</v>
      </c>
      <c r="AQ51" s="391"/>
      <c r="AR51" s="405">
        <v>-15</v>
      </c>
      <c r="AS51" s="406">
        <f t="shared" si="117"/>
        <v>0.35</v>
      </c>
      <c r="AT51" s="406"/>
      <c r="AU51" s="407">
        <f t="shared" si="118"/>
        <v>0.08</v>
      </c>
      <c r="AV51" s="416">
        <f>(0.05-0)/2</f>
        <v>2.5000000000000001E-2</v>
      </c>
      <c r="AW51" s="391"/>
      <c r="AX51" s="405">
        <v>-15</v>
      </c>
      <c r="AY51" s="406">
        <f t="shared" si="119"/>
        <v>9.9999999999999995E-7</v>
      </c>
      <c r="AZ51" s="406"/>
      <c r="BA51" s="407">
        <f t="shared" si="120"/>
        <v>0.26333333333333336</v>
      </c>
      <c r="BB51" s="416">
        <f>(0.05-0)/2</f>
        <v>2.5000000000000001E-2</v>
      </c>
      <c r="BC51" s="391"/>
      <c r="BD51" s="405">
        <v>-15</v>
      </c>
      <c r="BE51" s="406">
        <f t="shared" si="121"/>
        <v>-0.67</v>
      </c>
      <c r="BF51" s="406"/>
      <c r="BG51" s="407">
        <f t="shared" si="122"/>
        <v>9.0000000000000011E-2</v>
      </c>
      <c r="BH51" s="416">
        <f>(0.05-0)/2</f>
        <v>2.5000000000000001E-2</v>
      </c>
      <c r="BI51" s="391"/>
      <c r="BJ51" s="405">
        <v>-15</v>
      </c>
      <c r="BK51" s="406">
        <f t="shared" si="123"/>
        <v>9.9999999999999995E-7</v>
      </c>
      <c r="BL51" s="406"/>
      <c r="BM51" s="407">
        <f t="shared" si="124"/>
        <v>0.26333333333333336</v>
      </c>
      <c r="BN51" s="416">
        <f>(0.05-0)/2</f>
        <v>2.5000000000000001E-2</v>
      </c>
      <c r="BO51" s="391"/>
      <c r="BP51" s="405">
        <v>-15</v>
      </c>
      <c r="BQ51" s="406">
        <f t="shared" si="125"/>
        <v>-1.06</v>
      </c>
      <c r="BR51" s="406"/>
      <c r="BS51" s="407">
        <f t="shared" si="126"/>
        <v>8.3333333333333329E-2</v>
      </c>
      <c r="BT51" s="416">
        <f>(0.05-0)/2</f>
        <v>2.5000000000000001E-2</v>
      </c>
      <c r="BU51" s="391"/>
      <c r="BV51" s="405">
        <v>-15</v>
      </c>
      <c r="BW51" s="406">
        <f t="shared" si="127"/>
        <v>-1.1399999999999999</v>
      </c>
      <c r="BX51" s="406"/>
      <c r="BY51" s="407">
        <f t="shared" si="128"/>
        <v>8.666666666666667E-2</v>
      </c>
      <c r="BZ51" s="416">
        <f>(0.05-0)/2</f>
        <v>2.5000000000000001E-2</v>
      </c>
      <c r="CA51" s="391"/>
      <c r="CB51" s="405">
        <v>-15</v>
      </c>
      <c r="CC51" s="406">
        <f t="shared" si="100"/>
        <v>-1.1000000000000001</v>
      </c>
      <c r="CD51" s="406">
        <f t="shared" ref="CD51:CD61" si="132">CD81</f>
        <v>-0.7</v>
      </c>
      <c r="CE51" s="407">
        <f t="shared" si="129"/>
        <v>0.40000000000000013</v>
      </c>
      <c r="CF51" s="416">
        <f>(0.05-0)/2</f>
        <v>2.5000000000000001E-2</v>
      </c>
      <c r="CH51" s="405">
        <v>-15</v>
      </c>
      <c r="CI51" s="406">
        <f t="shared" si="101"/>
        <v>-0.1</v>
      </c>
      <c r="CJ51" s="406">
        <f t="shared" si="101"/>
        <v>-0.24</v>
      </c>
      <c r="CK51" s="407">
        <f t="shared" si="130"/>
        <v>0.13999999999999999</v>
      </c>
      <c r="CL51" s="416">
        <f>(0.05-0)/2</f>
        <v>2.5000000000000001E-2</v>
      </c>
      <c r="CN51" s="405">
        <v>-15</v>
      </c>
      <c r="CO51" s="406">
        <f t="shared" si="102"/>
        <v>-1.52</v>
      </c>
      <c r="CP51" s="406">
        <f t="shared" si="102"/>
        <v>-0.39</v>
      </c>
      <c r="CQ51" s="407">
        <f t="shared" si="131"/>
        <v>1.1299999999999999</v>
      </c>
      <c r="CR51" s="416">
        <f>(0.05-0)/2</f>
        <v>2.5000000000000001E-2</v>
      </c>
    </row>
    <row r="52" spans="2:96">
      <c r="B52" s="405">
        <v>-10</v>
      </c>
      <c r="C52" s="406">
        <v>-0.25</v>
      </c>
      <c r="D52" s="406">
        <f t="shared" si="103"/>
        <v>-0.47</v>
      </c>
      <c r="E52" s="407">
        <f t="shared" si="104"/>
        <v>0.21999999999999997</v>
      </c>
      <c r="F52" s="408">
        <f>(-0.68+1.43)/2</f>
        <v>0.37499999999999994</v>
      </c>
      <c r="G52" s="409"/>
      <c r="H52" s="405">
        <v>-10</v>
      </c>
      <c r="I52" s="406">
        <v>9.9999999999999995E-7</v>
      </c>
      <c r="J52" s="406">
        <f t="shared" si="105"/>
        <v>-0.31</v>
      </c>
      <c r="K52" s="407">
        <f t="shared" si="106"/>
        <v>0.31000099999999997</v>
      </c>
      <c r="L52" s="408">
        <f>(0+0.09)/2</f>
        <v>4.4999999999999998E-2</v>
      </c>
      <c r="M52" s="409"/>
      <c r="N52" s="405">
        <v>-10</v>
      </c>
      <c r="O52" s="406">
        <v>-0.43</v>
      </c>
      <c r="P52" s="406">
        <f t="shared" si="107"/>
        <v>-0.33</v>
      </c>
      <c r="Q52" s="407">
        <f t="shared" si="108"/>
        <v>9.9999999999999978E-2</v>
      </c>
      <c r="R52" s="416">
        <f>(0.06-0)/2</f>
        <v>0.03</v>
      </c>
      <c r="S52" s="391"/>
      <c r="T52" s="405">
        <v>-10</v>
      </c>
      <c r="U52" s="406">
        <f t="shared" si="109"/>
        <v>-1</v>
      </c>
      <c r="V52" s="406"/>
      <c r="W52" s="407">
        <f t="shared" si="110"/>
        <v>8.666666666666667E-2</v>
      </c>
      <c r="X52" s="416">
        <f>(0.06-0)/2</f>
        <v>0.03</v>
      </c>
      <c r="Y52" s="391"/>
      <c r="Z52" s="405">
        <v>-10</v>
      </c>
      <c r="AA52" s="406">
        <f t="shared" si="111"/>
        <v>0.13</v>
      </c>
      <c r="AB52" s="406">
        <v>-0.42</v>
      </c>
      <c r="AC52" s="407">
        <f t="shared" si="112"/>
        <v>0.55000000000000004</v>
      </c>
      <c r="AD52" s="416">
        <f>(0.06-0)/2</f>
        <v>0.03</v>
      </c>
      <c r="AE52" s="391"/>
      <c r="AF52" s="405">
        <v>-10</v>
      </c>
      <c r="AG52" s="406">
        <f t="shared" si="113"/>
        <v>0.15</v>
      </c>
      <c r="AH52" s="406">
        <v>0.21</v>
      </c>
      <c r="AI52" s="407">
        <f t="shared" si="114"/>
        <v>0.06</v>
      </c>
      <c r="AJ52" s="416">
        <f>(0.06-0)/2</f>
        <v>0.03</v>
      </c>
      <c r="AK52" s="391"/>
      <c r="AL52" s="405">
        <v>-10</v>
      </c>
      <c r="AM52" s="406">
        <f t="shared" si="115"/>
        <v>0.48</v>
      </c>
      <c r="AN52" s="406"/>
      <c r="AO52" s="407">
        <f t="shared" si="116"/>
        <v>8.3333333333333329E-2</v>
      </c>
      <c r="AP52" s="416">
        <f>(0.06-0)/2</f>
        <v>0.03</v>
      </c>
      <c r="AQ52" s="391"/>
      <c r="AR52" s="405">
        <v>-10</v>
      </c>
      <c r="AS52" s="406">
        <f t="shared" si="117"/>
        <v>0.36</v>
      </c>
      <c r="AT52" s="406"/>
      <c r="AU52" s="407">
        <f t="shared" si="118"/>
        <v>0.08</v>
      </c>
      <c r="AV52" s="416">
        <f>(0.06-0)/2</f>
        <v>0.03</v>
      </c>
      <c r="AW52" s="391"/>
      <c r="AX52" s="405">
        <v>-10</v>
      </c>
      <c r="AY52" s="406">
        <f t="shared" si="119"/>
        <v>0.6</v>
      </c>
      <c r="AZ52" s="406"/>
      <c r="BA52" s="407">
        <f t="shared" si="120"/>
        <v>0.26333333333333336</v>
      </c>
      <c r="BB52" s="416">
        <f>(0.06-0)/2</f>
        <v>0.03</v>
      </c>
      <c r="BC52" s="391"/>
      <c r="BD52" s="405">
        <v>-10</v>
      </c>
      <c r="BE52" s="406">
        <f t="shared" si="121"/>
        <v>-0.48</v>
      </c>
      <c r="BF52" s="406"/>
      <c r="BG52" s="407">
        <f t="shared" si="122"/>
        <v>9.0000000000000011E-2</v>
      </c>
      <c r="BH52" s="416">
        <f>(0.06-0)/2</f>
        <v>0.03</v>
      </c>
      <c r="BI52" s="391"/>
      <c r="BJ52" s="405">
        <v>-10</v>
      </c>
      <c r="BK52" s="406">
        <f t="shared" si="123"/>
        <v>0.6</v>
      </c>
      <c r="BL52" s="406"/>
      <c r="BM52" s="407">
        <f t="shared" si="124"/>
        <v>0.26333333333333336</v>
      </c>
      <c r="BN52" s="416">
        <f>(0.06-0)/2</f>
        <v>0.03</v>
      </c>
      <c r="BO52" s="391"/>
      <c r="BP52" s="405">
        <v>-10</v>
      </c>
      <c r="BQ52" s="406">
        <f t="shared" si="125"/>
        <v>-0.85</v>
      </c>
      <c r="BR52" s="406"/>
      <c r="BS52" s="407">
        <f t="shared" si="126"/>
        <v>8.3333333333333329E-2</v>
      </c>
      <c r="BT52" s="416">
        <f>(0.06-0)/2</f>
        <v>0.03</v>
      </c>
      <c r="BU52" s="391"/>
      <c r="BV52" s="405">
        <v>-10</v>
      </c>
      <c r="BW52" s="406">
        <f t="shared" si="127"/>
        <v>-0.9</v>
      </c>
      <c r="BX52" s="406"/>
      <c r="BY52" s="407">
        <f t="shared" si="128"/>
        <v>8.666666666666667E-2</v>
      </c>
      <c r="BZ52" s="416">
        <f>(0.06-0)/2</f>
        <v>0.03</v>
      </c>
      <c r="CA52" s="391"/>
      <c r="CB52" s="405">
        <v>-10</v>
      </c>
      <c r="CC52" s="406">
        <f t="shared" si="100"/>
        <v>-1.2</v>
      </c>
      <c r="CD52" s="406">
        <f t="shared" si="132"/>
        <v>-0.7</v>
      </c>
      <c r="CE52" s="407">
        <f t="shared" si="129"/>
        <v>0.5</v>
      </c>
      <c r="CF52" s="416">
        <f>(0.06-0)/2</f>
        <v>0.03</v>
      </c>
      <c r="CH52" s="405">
        <v>-10</v>
      </c>
      <c r="CI52" s="406">
        <f t="shared" si="101"/>
        <v>-0.05</v>
      </c>
      <c r="CJ52" s="406">
        <f t="shared" si="101"/>
        <v>-0.18</v>
      </c>
      <c r="CK52" s="407">
        <f t="shared" si="130"/>
        <v>0.13</v>
      </c>
      <c r="CL52" s="416">
        <f>(0.06-0)/2</f>
        <v>0.03</v>
      </c>
      <c r="CN52" s="405">
        <v>-10</v>
      </c>
      <c r="CO52" s="406">
        <f t="shared" si="102"/>
        <v>-1.26</v>
      </c>
      <c r="CP52" s="406">
        <f t="shared" si="102"/>
        <v>-0.28000000000000003</v>
      </c>
      <c r="CQ52" s="407">
        <f t="shared" si="131"/>
        <v>0.98</v>
      </c>
      <c r="CR52" s="416">
        <f>(0.06-0)/2</f>
        <v>0.03</v>
      </c>
    </row>
    <row r="53" spans="2:96">
      <c r="B53" s="405">
        <v>9.9999999999999995E-7</v>
      </c>
      <c r="C53" s="406">
        <v>-0.16</v>
      </c>
      <c r="D53" s="406">
        <f t="shared" si="103"/>
        <v>-0.34</v>
      </c>
      <c r="E53" s="407">
        <f t="shared" si="104"/>
        <v>0.18000000000000002</v>
      </c>
      <c r="F53" s="408">
        <f>(-0.54+0.99)/2</f>
        <v>0.22499999999999998</v>
      </c>
      <c r="G53" s="409"/>
      <c r="H53" s="405">
        <v>9.9999999999999995E-7</v>
      </c>
      <c r="I53" s="406">
        <v>-0.22</v>
      </c>
      <c r="J53" s="406">
        <f t="shared" si="105"/>
        <v>-0.2</v>
      </c>
      <c r="K53" s="407">
        <f t="shared" si="106"/>
        <v>1.999999999999999E-2</v>
      </c>
      <c r="L53" s="408">
        <f>(0+0.09)/2</f>
        <v>4.4999999999999998E-2</v>
      </c>
      <c r="M53" s="409"/>
      <c r="N53" s="405">
        <v>9.9999999999999995E-7</v>
      </c>
      <c r="O53" s="406">
        <v>-0.36</v>
      </c>
      <c r="P53" s="406">
        <f t="shared" si="107"/>
        <v>-0.2</v>
      </c>
      <c r="Q53" s="407">
        <f t="shared" si="108"/>
        <v>0.15999999999999998</v>
      </c>
      <c r="R53" s="416">
        <f>(0.08-0)/2</f>
        <v>0.04</v>
      </c>
      <c r="S53" s="391"/>
      <c r="T53" s="405">
        <v>9.9999999999999995E-7</v>
      </c>
      <c r="U53" s="406">
        <f t="shared" si="109"/>
        <v>-0.28999999999999998</v>
      </c>
      <c r="V53" s="406"/>
      <c r="W53" s="407">
        <f t="shared" si="110"/>
        <v>8.666666666666667E-2</v>
      </c>
      <c r="X53" s="416">
        <f>(0.08-0)/2</f>
        <v>0.04</v>
      </c>
      <c r="Y53" s="391"/>
      <c r="Z53" s="405">
        <v>9.9999999999999995E-7</v>
      </c>
      <c r="AA53" s="406">
        <f t="shared" si="111"/>
        <v>0.12</v>
      </c>
      <c r="AB53" s="406">
        <v>-0.18</v>
      </c>
      <c r="AC53" s="407">
        <f t="shared" si="112"/>
        <v>0.3</v>
      </c>
      <c r="AD53" s="416">
        <f>(0.08-0)/2</f>
        <v>0.04</v>
      </c>
      <c r="AE53" s="391"/>
      <c r="AF53" s="405">
        <v>9.9999999999999995E-7</v>
      </c>
      <c r="AG53" s="406">
        <f t="shared" si="113"/>
        <v>0.12</v>
      </c>
      <c r="AH53" s="406">
        <v>0.35</v>
      </c>
      <c r="AI53" s="407">
        <f t="shared" si="114"/>
        <v>0.22999999999999998</v>
      </c>
      <c r="AJ53" s="416">
        <f>(0.08-0)/2</f>
        <v>0.04</v>
      </c>
      <c r="AK53" s="391"/>
      <c r="AL53" s="405">
        <v>9.9999999999999995E-7</v>
      </c>
      <c r="AM53" s="406">
        <f t="shared" si="115"/>
        <v>0.43</v>
      </c>
      <c r="AN53" s="406"/>
      <c r="AO53" s="407">
        <f t="shared" si="116"/>
        <v>8.3333333333333329E-2</v>
      </c>
      <c r="AP53" s="416">
        <f>(0.08-0)/2</f>
        <v>0.04</v>
      </c>
      <c r="AQ53" s="391"/>
      <c r="AR53" s="405">
        <v>9.9999999999999995E-7</v>
      </c>
      <c r="AS53" s="406">
        <f t="shared" si="117"/>
        <v>0.38</v>
      </c>
      <c r="AT53" s="406"/>
      <c r="AU53" s="407">
        <f t="shared" si="118"/>
        <v>0.08</v>
      </c>
      <c r="AV53" s="416">
        <f>(0.08-0)/2</f>
        <v>0.04</v>
      </c>
      <c r="AW53" s="391"/>
      <c r="AX53" s="405">
        <v>9.9999999999999995E-7</v>
      </c>
      <c r="AY53" s="406">
        <f t="shared" si="119"/>
        <v>0.56999999999999995</v>
      </c>
      <c r="AZ53" s="406"/>
      <c r="BA53" s="407">
        <f t="shared" si="120"/>
        <v>0.26333333333333336</v>
      </c>
      <c r="BB53" s="416">
        <f>(0.08-0)/2</f>
        <v>0.04</v>
      </c>
      <c r="BC53" s="391"/>
      <c r="BD53" s="405">
        <v>9.9999999999999995E-7</v>
      </c>
      <c r="BE53" s="406">
        <f t="shared" si="121"/>
        <v>-0.26</v>
      </c>
      <c r="BF53" s="406"/>
      <c r="BG53" s="407">
        <f t="shared" si="122"/>
        <v>9.0000000000000011E-2</v>
      </c>
      <c r="BH53" s="416">
        <f>(0.08-0)/2</f>
        <v>0.04</v>
      </c>
      <c r="BI53" s="391"/>
      <c r="BJ53" s="405">
        <v>9.9999999999999995E-7</v>
      </c>
      <c r="BK53" s="406">
        <f t="shared" si="123"/>
        <v>0.56999999999999995</v>
      </c>
      <c r="BL53" s="406"/>
      <c r="BM53" s="407">
        <f t="shared" si="124"/>
        <v>0.26333333333333336</v>
      </c>
      <c r="BN53" s="416">
        <f>(0.08-0)/2</f>
        <v>0.04</v>
      </c>
      <c r="BO53" s="391"/>
      <c r="BP53" s="405">
        <v>9.9999999999999995E-7</v>
      </c>
      <c r="BQ53" s="406">
        <f t="shared" si="125"/>
        <v>-0.57999999999999996</v>
      </c>
      <c r="BR53" s="406"/>
      <c r="BS53" s="407">
        <f t="shared" si="126"/>
        <v>8.3333333333333329E-2</v>
      </c>
      <c r="BT53" s="416">
        <f>(0.08-0)/2</f>
        <v>0.04</v>
      </c>
      <c r="BU53" s="391"/>
      <c r="BV53" s="405">
        <v>9.9999999999999995E-7</v>
      </c>
      <c r="BW53" s="406">
        <f t="shared" si="127"/>
        <v>-0.52</v>
      </c>
      <c r="BX53" s="406"/>
      <c r="BY53" s="407">
        <f t="shared" si="128"/>
        <v>8.666666666666667E-2</v>
      </c>
      <c r="BZ53" s="416">
        <f>(0.08-0)/2</f>
        <v>0.04</v>
      </c>
      <c r="CA53" s="391"/>
      <c r="CB53" s="405">
        <v>9.9999999999999995E-7</v>
      </c>
      <c r="CC53" s="406">
        <f t="shared" si="100"/>
        <v>-1.4</v>
      </c>
      <c r="CD53" s="406">
        <f t="shared" si="132"/>
        <v>-0.7</v>
      </c>
      <c r="CE53" s="407">
        <f t="shared" si="129"/>
        <v>0.7</v>
      </c>
      <c r="CF53" s="416">
        <f>(0.08-0)/2</f>
        <v>0.04</v>
      </c>
      <c r="CH53" s="405">
        <v>9.9999999999999995E-7</v>
      </c>
      <c r="CI53" s="406">
        <f t="shared" si="101"/>
        <v>0.03</v>
      </c>
      <c r="CJ53" s="406">
        <f t="shared" si="101"/>
        <v>-0.06</v>
      </c>
      <c r="CK53" s="407">
        <f t="shared" si="130"/>
        <v>0.09</v>
      </c>
      <c r="CL53" s="416">
        <f>(0.08-0)/2</f>
        <v>0.04</v>
      </c>
      <c r="CN53" s="405">
        <v>9.9999999999999995E-7</v>
      </c>
      <c r="CO53" s="406">
        <f t="shared" si="102"/>
        <v>-0.79</v>
      </c>
      <c r="CP53" s="406">
        <f t="shared" si="102"/>
        <v>-0.08</v>
      </c>
      <c r="CQ53" s="407">
        <f t="shared" si="131"/>
        <v>0.71000000000000008</v>
      </c>
      <c r="CR53" s="416">
        <f>(0.08-0)/2</f>
        <v>0.04</v>
      </c>
    </row>
    <row r="54" spans="2:96">
      <c r="B54" s="405">
        <v>2</v>
      </c>
      <c r="C54" s="406">
        <v>-0.14000000000000001</v>
      </c>
      <c r="D54" s="406">
        <f t="shared" si="103"/>
        <v>-0.32</v>
      </c>
      <c r="E54" s="407">
        <f t="shared" si="104"/>
        <v>0.18</v>
      </c>
      <c r="F54" s="408">
        <f>(-0.52+0.9)/2</f>
        <v>0.19</v>
      </c>
      <c r="G54" s="409"/>
      <c r="H54" s="405">
        <v>2</v>
      </c>
      <c r="I54" s="406">
        <v>-0.19</v>
      </c>
      <c r="J54" s="406">
        <f t="shared" si="105"/>
        <v>-0.18</v>
      </c>
      <c r="K54" s="407">
        <f t="shared" si="106"/>
        <v>1.0000000000000009E-2</v>
      </c>
      <c r="L54" s="408">
        <f>(0+0.08)/2</f>
        <v>0.04</v>
      </c>
      <c r="M54" s="409"/>
      <c r="N54" s="405">
        <v>2</v>
      </c>
      <c r="O54" s="406">
        <v>-0.35</v>
      </c>
      <c r="P54" s="406">
        <f t="shared" si="107"/>
        <v>-0.18</v>
      </c>
      <c r="Q54" s="407">
        <f t="shared" si="108"/>
        <v>0.16999999999999998</v>
      </c>
      <c r="R54" s="416">
        <f>(0.08-0)/2</f>
        <v>0.04</v>
      </c>
      <c r="S54" s="391"/>
      <c r="T54" s="405">
        <v>2</v>
      </c>
      <c r="U54" s="406">
        <f t="shared" si="109"/>
        <v>-0.59</v>
      </c>
      <c r="V54" s="406"/>
      <c r="W54" s="407">
        <f t="shared" si="110"/>
        <v>8.666666666666667E-2</v>
      </c>
      <c r="X54" s="416">
        <f>(0.08-0)/2</f>
        <v>0.04</v>
      </c>
      <c r="Y54" s="391"/>
      <c r="Z54" s="405">
        <v>2</v>
      </c>
      <c r="AA54" s="406">
        <f t="shared" si="111"/>
        <v>0.14000000000000001</v>
      </c>
      <c r="AB54" s="406">
        <v>-0.14000000000000001</v>
      </c>
      <c r="AC54" s="407">
        <f t="shared" si="112"/>
        <v>0.28000000000000003</v>
      </c>
      <c r="AD54" s="416">
        <f>(0.08-0)/2</f>
        <v>0.04</v>
      </c>
      <c r="AE54" s="391"/>
      <c r="AF54" s="405">
        <v>2</v>
      </c>
      <c r="AG54" s="406">
        <f t="shared" si="113"/>
        <v>0.13</v>
      </c>
      <c r="AH54" s="406">
        <v>0.37</v>
      </c>
      <c r="AI54" s="407">
        <f t="shared" si="114"/>
        <v>0.24</v>
      </c>
      <c r="AJ54" s="416">
        <f>(0.08-0)/2</f>
        <v>0.04</v>
      </c>
      <c r="AK54" s="391"/>
      <c r="AL54" s="405">
        <v>2</v>
      </c>
      <c r="AM54" s="406">
        <f t="shared" si="115"/>
        <v>0.45</v>
      </c>
      <c r="AN54" s="406"/>
      <c r="AO54" s="407">
        <f t="shared" si="116"/>
        <v>8.3333333333333329E-2</v>
      </c>
      <c r="AP54" s="416">
        <f>(0.08-0)/2</f>
        <v>0.04</v>
      </c>
      <c r="AQ54" s="391"/>
      <c r="AR54" s="405">
        <v>2</v>
      </c>
      <c r="AS54" s="406">
        <f t="shared" si="117"/>
        <v>0.38</v>
      </c>
      <c r="AT54" s="406"/>
      <c r="AU54" s="407">
        <f t="shared" si="118"/>
        <v>0.08</v>
      </c>
      <c r="AV54" s="416">
        <f>(0.08-0)/2</f>
        <v>0.04</v>
      </c>
      <c r="AW54" s="391"/>
      <c r="AX54" s="405">
        <v>2</v>
      </c>
      <c r="AY54" s="406">
        <f t="shared" si="119"/>
        <v>0.56000000000000005</v>
      </c>
      <c r="AZ54" s="406"/>
      <c r="BA54" s="407">
        <f t="shared" si="120"/>
        <v>0.26333333333333336</v>
      </c>
      <c r="BB54" s="416">
        <f>(0.08-0)/2</f>
        <v>0.04</v>
      </c>
      <c r="BC54" s="391"/>
      <c r="BD54" s="405">
        <v>2</v>
      </c>
      <c r="BE54" s="406">
        <f t="shared" si="121"/>
        <v>-0.34</v>
      </c>
      <c r="BF54" s="406"/>
      <c r="BG54" s="407">
        <f t="shared" si="122"/>
        <v>9.0000000000000011E-2</v>
      </c>
      <c r="BH54" s="416">
        <f>(0.08-0)/2</f>
        <v>0.04</v>
      </c>
      <c r="BI54" s="391"/>
      <c r="BJ54" s="405">
        <v>2</v>
      </c>
      <c r="BK54" s="406">
        <f t="shared" si="123"/>
        <v>0.56000000000000005</v>
      </c>
      <c r="BL54" s="406"/>
      <c r="BM54" s="407">
        <f t="shared" si="124"/>
        <v>0.26333333333333336</v>
      </c>
      <c r="BN54" s="416">
        <f>(0.08-0)/2</f>
        <v>0.04</v>
      </c>
      <c r="BO54" s="391"/>
      <c r="BP54" s="405">
        <v>2</v>
      </c>
      <c r="BQ54" s="406">
        <f t="shared" si="125"/>
        <v>-0.57999999999999996</v>
      </c>
      <c r="BR54" s="406"/>
      <c r="BS54" s="407">
        <f t="shared" si="126"/>
        <v>8.3333333333333329E-2</v>
      </c>
      <c r="BT54" s="416">
        <f>(0.08-0)/2</f>
        <v>0.04</v>
      </c>
      <c r="BU54" s="391"/>
      <c r="BV54" s="405">
        <v>2</v>
      </c>
      <c r="BW54" s="406">
        <f t="shared" si="127"/>
        <v>-0.63</v>
      </c>
      <c r="BX54" s="406"/>
      <c r="BY54" s="407">
        <f t="shared" si="128"/>
        <v>8.666666666666667E-2</v>
      </c>
      <c r="BZ54" s="416">
        <f>(0.08-0)/2</f>
        <v>0.04</v>
      </c>
      <c r="CA54" s="391"/>
      <c r="CB54" s="405">
        <v>2</v>
      </c>
      <c r="CC54" s="406">
        <f t="shared" si="100"/>
        <v>0</v>
      </c>
      <c r="CD54" s="406">
        <f t="shared" si="132"/>
        <v>-0.7</v>
      </c>
      <c r="CE54" s="407">
        <f t="shared" si="129"/>
        <v>0.19999999999999998</v>
      </c>
      <c r="CF54" s="416">
        <f>(0.08-0)/2</f>
        <v>0.04</v>
      </c>
      <c r="CH54" s="405">
        <v>2</v>
      </c>
      <c r="CI54" s="406">
        <f t="shared" si="101"/>
        <v>0.04</v>
      </c>
      <c r="CJ54" s="406">
        <f t="shared" si="101"/>
        <v>-0.04</v>
      </c>
      <c r="CK54" s="407">
        <f t="shared" si="130"/>
        <v>0.08</v>
      </c>
      <c r="CL54" s="416">
        <f>(0.08-0)/2</f>
        <v>0.04</v>
      </c>
      <c r="CN54" s="405">
        <v>2</v>
      </c>
      <c r="CO54" s="406">
        <f t="shared" si="102"/>
        <v>-0.7</v>
      </c>
      <c r="CP54" s="406">
        <f t="shared" si="102"/>
        <v>-0.05</v>
      </c>
      <c r="CQ54" s="407">
        <f t="shared" si="131"/>
        <v>0.64999999999999991</v>
      </c>
      <c r="CR54" s="416">
        <f>(0.08-0)/2</f>
        <v>0.04</v>
      </c>
    </row>
    <row r="55" spans="2:96">
      <c r="B55" s="405">
        <v>8</v>
      </c>
      <c r="C55" s="417">
        <v>-0.09</v>
      </c>
      <c r="D55" s="406">
        <f t="shared" si="103"/>
        <v>-0.24</v>
      </c>
      <c r="E55" s="407">
        <f t="shared" si="104"/>
        <v>0.15</v>
      </c>
      <c r="F55" s="408">
        <f>(-0.45+0.67)/2</f>
        <v>0.11000000000000001</v>
      </c>
      <c r="G55" s="409"/>
      <c r="H55" s="405">
        <v>8</v>
      </c>
      <c r="I55" s="406">
        <v>-0.1</v>
      </c>
      <c r="J55" s="406">
        <f t="shared" si="105"/>
        <v>-0.12</v>
      </c>
      <c r="K55" s="407">
        <f t="shared" si="106"/>
        <v>1.999999999999999E-2</v>
      </c>
      <c r="L55" s="408">
        <f>(0+0.08)/2</f>
        <v>0.04</v>
      </c>
      <c r="M55" s="409"/>
      <c r="N55" s="405">
        <v>8</v>
      </c>
      <c r="O55" s="406">
        <v>-0.22</v>
      </c>
      <c r="P55" s="406">
        <f t="shared" si="107"/>
        <v>-0.13</v>
      </c>
      <c r="Q55" s="407">
        <f t="shared" si="108"/>
        <v>0.09</v>
      </c>
      <c r="R55" s="416">
        <f>(0.09-0)/2</f>
        <v>4.4999999999999998E-2</v>
      </c>
      <c r="S55" s="391"/>
      <c r="T55" s="405">
        <v>8</v>
      </c>
      <c r="U55" s="406">
        <f t="shared" si="109"/>
        <v>-0.34</v>
      </c>
      <c r="V55" s="406"/>
      <c r="W55" s="407">
        <f t="shared" si="110"/>
        <v>8.666666666666667E-2</v>
      </c>
      <c r="X55" s="416">
        <f>(0.09-0)/2</f>
        <v>4.4999999999999998E-2</v>
      </c>
      <c r="Y55" s="391"/>
      <c r="Z55" s="405">
        <v>8</v>
      </c>
      <c r="AA55" s="406">
        <f t="shared" si="111"/>
        <v>0.13</v>
      </c>
      <c r="AB55" s="406">
        <v>-0.01</v>
      </c>
      <c r="AC55" s="407">
        <f t="shared" si="112"/>
        <v>0.14000000000000001</v>
      </c>
      <c r="AD55" s="416">
        <f>(0.09-0)/2</f>
        <v>4.4999999999999998E-2</v>
      </c>
      <c r="AE55" s="391"/>
      <c r="AF55" s="405">
        <v>8</v>
      </c>
      <c r="AG55" s="406">
        <f t="shared" si="113"/>
        <v>0.12</v>
      </c>
      <c r="AH55" s="406">
        <v>0.44</v>
      </c>
      <c r="AI55" s="407">
        <f t="shared" si="114"/>
        <v>0.32</v>
      </c>
      <c r="AJ55" s="416">
        <f>(0.09-0)/2</f>
        <v>4.4999999999999998E-2</v>
      </c>
      <c r="AK55" s="391"/>
      <c r="AL55" s="405">
        <v>8</v>
      </c>
      <c r="AM55" s="406">
        <f t="shared" si="115"/>
        <v>0.45</v>
      </c>
      <c r="AN55" s="406"/>
      <c r="AO55" s="407">
        <f t="shared" si="116"/>
        <v>8.3333333333333329E-2</v>
      </c>
      <c r="AP55" s="416">
        <f>(0.09-0)/2</f>
        <v>4.4999999999999998E-2</v>
      </c>
      <c r="AQ55" s="391"/>
      <c r="AR55" s="405">
        <v>8</v>
      </c>
      <c r="AS55" s="406">
        <f t="shared" si="117"/>
        <v>0.36</v>
      </c>
      <c r="AT55" s="406"/>
      <c r="AU55" s="407">
        <f t="shared" si="118"/>
        <v>0.08</v>
      </c>
      <c r="AV55" s="416">
        <f>(0.09-0)/2</f>
        <v>4.4999999999999998E-2</v>
      </c>
      <c r="AW55" s="391"/>
      <c r="AX55" s="405">
        <v>8</v>
      </c>
      <c r="AY55" s="406">
        <f t="shared" si="119"/>
        <v>0.54</v>
      </c>
      <c r="AZ55" s="406"/>
      <c r="BA55" s="407">
        <f t="shared" si="120"/>
        <v>0.26333333333333336</v>
      </c>
      <c r="BB55" s="416">
        <f>(0.09-0)/2</f>
        <v>4.4999999999999998E-2</v>
      </c>
      <c r="BC55" s="391"/>
      <c r="BD55" s="405">
        <v>8</v>
      </c>
      <c r="BE55" s="406">
        <f t="shared" si="121"/>
        <v>-0.08</v>
      </c>
      <c r="BF55" s="406"/>
      <c r="BG55" s="407">
        <f t="shared" si="122"/>
        <v>9.0000000000000011E-2</v>
      </c>
      <c r="BH55" s="416">
        <f>(0.09-0)/2</f>
        <v>4.4999999999999998E-2</v>
      </c>
      <c r="BI55" s="391"/>
      <c r="BJ55" s="405">
        <v>8</v>
      </c>
      <c r="BK55" s="406">
        <f t="shared" si="123"/>
        <v>0.54</v>
      </c>
      <c r="BL55" s="406"/>
      <c r="BM55" s="407">
        <f t="shared" si="124"/>
        <v>0.26333333333333336</v>
      </c>
      <c r="BN55" s="416">
        <f>(0.09-0)/2</f>
        <v>4.4999999999999998E-2</v>
      </c>
      <c r="BO55" s="391"/>
      <c r="BP55" s="405">
        <v>8</v>
      </c>
      <c r="BQ55" s="406">
        <f t="shared" si="125"/>
        <v>-0.32</v>
      </c>
      <c r="BR55" s="406"/>
      <c r="BS55" s="407">
        <f t="shared" si="126"/>
        <v>8.3333333333333329E-2</v>
      </c>
      <c r="BT55" s="416">
        <f>(0.09-0)/2</f>
        <v>4.4999999999999998E-2</v>
      </c>
      <c r="BU55" s="391"/>
      <c r="BV55" s="405">
        <v>8</v>
      </c>
      <c r="BW55" s="406">
        <f t="shared" si="127"/>
        <v>-0.36</v>
      </c>
      <c r="BX55" s="406"/>
      <c r="BY55" s="407">
        <f t="shared" si="128"/>
        <v>8.666666666666667E-2</v>
      </c>
      <c r="BZ55" s="416">
        <f>(0.09-0)/2</f>
        <v>4.4999999999999998E-2</v>
      </c>
      <c r="CA55" s="391"/>
      <c r="CB55" s="405">
        <v>8</v>
      </c>
      <c r="CC55" s="406">
        <f t="shared" si="100"/>
        <v>0</v>
      </c>
      <c r="CD55" s="406">
        <f t="shared" si="132"/>
        <v>-0.7</v>
      </c>
      <c r="CE55" s="407">
        <f t="shared" si="129"/>
        <v>0.19999999999999998</v>
      </c>
      <c r="CF55" s="416">
        <f>(0.09-0)/2</f>
        <v>4.4999999999999998E-2</v>
      </c>
      <c r="CH55" s="405">
        <v>8</v>
      </c>
      <c r="CI55" s="406">
        <f t="shared" si="101"/>
        <v>0.08</v>
      </c>
      <c r="CJ55" s="406">
        <f t="shared" si="101"/>
        <v>0.01</v>
      </c>
      <c r="CK55" s="407">
        <f t="shared" si="130"/>
        <v>7.0000000000000007E-2</v>
      </c>
      <c r="CL55" s="416">
        <f>(0.09-0)/2</f>
        <v>4.4999999999999998E-2</v>
      </c>
      <c r="CN55" s="405">
        <v>8</v>
      </c>
      <c r="CO55" s="406">
        <f t="shared" si="102"/>
        <v>-0.46</v>
      </c>
      <c r="CP55" s="406">
        <f t="shared" si="102"/>
        <v>0.06</v>
      </c>
      <c r="CQ55" s="407">
        <f t="shared" si="131"/>
        <v>0.52</v>
      </c>
      <c r="CR55" s="416">
        <f>(0.09-0)/2</f>
        <v>4.4999999999999998E-2</v>
      </c>
    </row>
    <row r="56" spans="2:96">
      <c r="B56" s="405">
        <v>37</v>
      </c>
      <c r="C56" s="406">
        <v>0.06</v>
      </c>
      <c r="D56" s="406">
        <f t="shared" si="103"/>
        <v>0.14000000000000001</v>
      </c>
      <c r="E56" s="407">
        <f t="shared" si="104"/>
        <v>8.0000000000000016E-2</v>
      </c>
      <c r="F56" s="408">
        <f>(0.26+0.23)/2</f>
        <v>0.245</v>
      </c>
      <c r="G56" s="409"/>
      <c r="H56" s="405">
        <v>37</v>
      </c>
      <c r="I56" s="406">
        <v>0.16</v>
      </c>
      <c r="J56" s="406">
        <f t="shared" si="105"/>
        <v>0.17</v>
      </c>
      <c r="K56" s="407">
        <f t="shared" si="106"/>
        <v>1.0000000000000009E-2</v>
      </c>
      <c r="L56" s="408">
        <f>(0+0.07)/2</f>
        <v>3.5000000000000003E-2</v>
      </c>
      <c r="M56" s="409"/>
      <c r="N56" s="405">
        <v>37</v>
      </c>
      <c r="O56" s="406">
        <v>-0.11</v>
      </c>
      <c r="P56" s="406">
        <f t="shared" si="107"/>
        <v>0.01</v>
      </c>
      <c r="Q56" s="407">
        <f t="shared" si="108"/>
        <v>0.12</v>
      </c>
      <c r="R56" s="416">
        <f>(0.14-0)/2</f>
        <v>7.0000000000000007E-2</v>
      </c>
      <c r="S56" s="391"/>
      <c r="T56" s="405">
        <v>37</v>
      </c>
      <c r="U56" s="406">
        <f t="shared" si="109"/>
        <v>0.54</v>
      </c>
      <c r="V56" s="406"/>
      <c r="W56" s="407">
        <f t="shared" si="110"/>
        <v>8.666666666666667E-2</v>
      </c>
      <c r="X56" s="416">
        <f>(0.14-0)/2</f>
        <v>7.0000000000000007E-2</v>
      </c>
      <c r="Y56" s="391"/>
      <c r="Z56" s="405">
        <v>37</v>
      </c>
      <c r="AA56" s="406">
        <f t="shared" si="111"/>
        <v>0.11</v>
      </c>
      <c r="AB56" s="406">
        <v>0.41</v>
      </c>
      <c r="AC56" s="407">
        <f t="shared" si="112"/>
        <v>0.3</v>
      </c>
      <c r="AD56" s="416">
        <f>(0.14-0)/2</f>
        <v>7.0000000000000007E-2</v>
      </c>
      <c r="AE56" s="391"/>
      <c r="AF56" s="405">
        <v>37</v>
      </c>
      <c r="AG56" s="406">
        <f t="shared" si="113"/>
        <v>0.14000000000000001</v>
      </c>
      <c r="AH56" s="406">
        <v>0.64</v>
      </c>
      <c r="AI56" s="407">
        <f t="shared" si="114"/>
        <v>0.5</v>
      </c>
      <c r="AJ56" s="416">
        <f>(0.14-0)/2</f>
        <v>7.0000000000000007E-2</v>
      </c>
      <c r="AK56" s="391"/>
      <c r="AL56" s="405">
        <v>37</v>
      </c>
      <c r="AM56" s="406">
        <f t="shared" si="115"/>
        <v>0.43</v>
      </c>
      <c r="AN56" s="406"/>
      <c r="AO56" s="407">
        <f t="shared" si="116"/>
        <v>8.3333333333333329E-2</v>
      </c>
      <c r="AP56" s="416">
        <f>(0.14-0)/2</f>
        <v>7.0000000000000007E-2</v>
      </c>
      <c r="AQ56" s="391"/>
      <c r="AR56" s="405">
        <v>37</v>
      </c>
      <c r="AS56" s="406">
        <f t="shared" si="117"/>
        <v>0.33</v>
      </c>
      <c r="AT56" s="406"/>
      <c r="AU56" s="407">
        <f t="shared" si="118"/>
        <v>0.08</v>
      </c>
      <c r="AV56" s="416">
        <f>(0.14-0)/2</f>
        <v>7.0000000000000007E-2</v>
      </c>
      <c r="AW56" s="391"/>
      <c r="AX56" s="405">
        <v>37</v>
      </c>
      <c r="AY56" s="406">
        <f t="shared" si="119"/>
        <v>0.43</v>
      </c>
      <c r="AZ56" s="406"/>
      <c r="BA56" s="407">
        <f t="shared" si="120"/>
        <v>0.26333333333333336</v>
      </c>
      <c r="BB56" s="416">
        <f>(0.14-0)/2</f>
        <v>7.0000000000000007E-2</v>
      </c>
      <c r="BC56" s="391"/>
      <c r="BD56" s="405">
        <v>37</v>
      </c>
      <c r="BE56" s="406">
        <f t="shared" si="121"/>
        <v>0.67</v>
      </c>
      <c r="BF56" s="406"/>
      <c r="BG56" s="407">
        <f t="shared" si="122"/>
        <v>9.0000000000000011E-2</v>
      </c>
      <c r="BH56" s="416">
        <f>(0.14-0)/2</f>
        <v>7.0000000000000007E-2</v>
      </c>
      <c r="BI56" s="391"/>
      <c r="BJ56" s="405">
        <v>37</v>
      </c>
      <c r="BK56" s="406">
        <f t="shared" si="123"/>
        <v>0.43</v>
      </c>
      <c r="BL56" s="406"/>
      <c r="BM56" s="407">
        <f t="shared" si="124"/>
        <v>0.26333333333333336</v>
      </c>
      <c r="BN56" s="416">
        <f>(0.14-0)/2</f>
        <v>7.0000000000000007E-2</v>
      </c>
      <c r="BO56" s="391"/>
      <c r="BP56" s="405">
        <v>37</v>
      </c>
      <c r="BQ56" s="406">
        <f t="shared" si="125"/>
        <v>0.46</v>
      </c>
      <c r="BR56" s="406"/>
      <c r="BS56" s="407">
        <f t="shared" si="126"/>
        <v>8.3333333333333329E-2</v>
      </c>
      <c r="BT56" s="416">
        <f>(0.14-0)/2</f>
        <v>7.0000000000000007E-2</v>
      </c>
      <c r="BU56" s="391"/>
      <c r="BV56" s="405">
        <v>37</v>
      </c>
      <c r="BW56" s="406">
        <f t="shared" si="127"/>
        <v>0.53</v>
      </c>
      <c r="BX56" s="406"/>
      <c r="BY56" s="407">
        <f t="shared" si="128"/>
        <v>8.666666666666667E-2</v>
      </c>
      <c r="BZ56" s="416">
        <f>(0.14-0)/2</f>
        <v>7.0000000000000007E-2</v>
      </c>
      <c r="CA56" s="391"/>
      <c r="CB56" s="405">
        <v>37</v>
      </c>
      <c r="CC56" s="406">
        <f t="shared" si="100"/>
        <v>0</v>
      </c>
      <c r="CD56" s="406">
        <f t="shared" si="132"/>
        <v>-0.6</v>
      </c>
      <c r="CE56" s="407">
        <f t="shared" si="129"/>
        <v>0.19999999999999998</v>
      </c>
      <c r="CF56" s="416">
        <f>(0.14-0)/2</f>
        <v>7.0000000000000007E-2</v>
      </c>
      <c r="CH56" s="405">
        <v>37</v>
      </c>
      <c r="CI56" s="406">
        <f t="shared" si="101"/>
        <v>0.23</v>
      </c>
      <c r="CJ56" s="406">
        <f t="shared" si="101"/>
        <v>0.19</v>
      </c>
      <c r="CK56" s="407">
        <f t="shared" si="130"/>
        <v>4.0000000000000008E-2</v>
      </c>
      <c r="CL56" s="416">
        <f>(0.14-0)/2</f>
        <v>7.0000000000000007E-2</v>
      </c>
      <c r="CN56" s="405">
        <v>37</v>
      </c>
      <c r="CO56" s="406">
        <f t="shared" si="102"/>
        <v>0.42</v>
      </c>
      <c r="CP56" s="406">
        <f t="shared" si="102"/>
        <v>0.45</v>
      </c>
      <c r="CQ56" s="407">
        <f t="shared" si="131"/>
        <v>3.0000000000000027E-2</v>
      </c>
      <c r="CR56" s="416">
        <f>(0.14-0)/2</f>
        <v>7.0000000000000007E-2</v>
      </c>
    </row>
    <row r="57" spans="2:96">
      <c r="B57" s="405">
        <v>44</v>
      </c>
      <c r="C57" s="406">
        <v>0.08</v>
      </c>
      <c r="D57" s="406">
        <f t="shared" si="103"/>
        <v>0.23</v>
      </c>
      <c r="E57" s="407">
        <f t="shared" si="104"/>
        <v>0.15000000000000002</v>
      </c>
      <c r="F57" s="408">
        <f>(0.43+0.2)/2</f>
        <v>0.315</v>
      </c>
      <c r="G57" s="409"/>
      <c r="H57" s="405">
        <v>44</v>
      </c>
      <c r="I57" s="406">
        <v>0.19</v>
      </c>
      <c r="J57" s="406">
        <f t="shared" si="105"/>
        <v>0.23</v>
      </c>
      <c r="K57" s="407">
        <f t="shared" si="106"/>
        <v>4.0000000000000008E-2</v>
      </c>
      <c r="L57" s="408">
        <f>(0.01-0)/2</f>
        <v>5.0000000000000001E-3</v>
      </c>
      <c r="M57" s="409"/>
      <c r="N57" s="405">
        <v>44</v>
      </c>
      <c r="O57" s="406">
        <v>-0.13</v>
      </c>
      <c r="P57" s="406">
        <f t="shared" si="107"/>
        <v>0.01</v>
      </c>
      <c r="Q57" s="407">
        <f t="shared" si="108"/>
        <v>0.14000000000000001</v>
      </c>
      <c r="R57" s="416">
        <f>(0.15-0)/2</f>
        <v>7.4999999999999997E-2</v>
      </c>
      <c r="S57" s="391"/>
      <c r="T57" s="405">
        <v>44</v>
      </c>
      <c r="U57" s="406">
        <f t="shared" si="109"/>
        <v>0.67</v>
      </c>
      <c r="V57" s="406"/>
      <c r="W57" s="407">
        <f t="shared" si="110"/>
        <v>8.666666666666667E-2</v>
      </c>
      <c r="X57" s="416">
        <f>(0.15-0)/2</f>
        <v>7.4999999999999997E-2</v>
      </c>
      <c r="Y57" s="391"/>
      <c r="Z57" s="405">
        <v>44</v>
      </c>
      <c r="AA57" s="406">
        <f t="shared" si="111"/>
        <v>0.11</v>
      </c>
      <c r="AB57" s="406">
        <v>0.48</v>
      </c>
      <c r="AC57" s="407">
        <f t="shared" si="112"/>
        <v>0.37</v>
      </c>
      <c r="AD57" s="416">
        <f>(0.15-0)/2</f>
        <v>7.4999999999999997E-2</v>
      </c>
      <c r="AE57" s="391"/>
      <c r="AF57" s="405">
        <v>44</v>
      </c>
      <c r="AG57" s="406">
        <f t="shared" si="113"/>
        <v>0.15</v>
      </c>
      <c r="AH57" s="406">
        <v>0.66</v>
      </c>
      <c r="AI57" s="407">
        <f t="shared" si="114"/>
        <v>0.51</v>
      </c>
      <c r="AJ57" s="416">
        <f>(0.15-0)/2</f>
        <v>7.4999999999999997E-2</v>
      </c>
      <c r="AK57" s="391"/>
      <c r="AL57" s="405">
        <v>44</v>
      </c>
      <c r="AM57" s="406">
        <f t="shared" si="115"/>
        <v>0.43</v>
      </c>
      <c r="AN57" s="406"/>
      <c r="AO57" s="407">
        <f t="shared" si="116"/>
        <v>8.3333333333333329E-2</v>
      </c>
      <c r="AP57" s="416">
        <f>(0.15-0)/2</f>
        <v>7.4999999999999997E-2</v>
      </c>
      <c r="AQ57" s="391"/>
      <c r="AR57" s="405">
        <v>44</v>
      </c>
      <c r="AS57" s="406">
        <f t="shared" si="117"/>
        <v>0.33</v>
      </c>
      <c r="AT57" s="406"/>
      <c r="AU57" s="407">
        <f t="shared" si="118"/>
        <v>0.08</v>
      </c>
      <c r="AV57" s="416">
        <f>(0.15-0)/2</f>
        <v>7.4999999999999997E-2</v>
      </c>
      <c r="AW57" s="391"/>
      <c r="AX57" s="405">
        <v>44</v>
      </c>
      <c r="AY57" s="406">
        <f t="shared" si="119"/>
        <v>0.4</v>
      </c>
      <c r="AZ57" s="406"/>
      <c r="BA57" s="407">
        <f t="shared" si="120"/>
        <v>0.26333333333333336</v>
      </c>
      <c r="BB57" s="416">
        <f>(0.15-0)/2</f>
        <v>7.4999999999999997E-2</v>
      </c>
      <c r="BC57" s="391"/>
      <c r="BD57" s="405">
        <v>44</v>
      </c>
      <c r="BE57" s="406">
        <f t="shared" si="121"/>
        <v>0.73</v>
      </c>
      <c r="BF57" s="406"/>
      <c r="BG57" s="407">
        <f t="shared" si="122"/>
        <v>9.0000000000000011E-2</v>
      </c>
      <c r="BH57" s="416">
        <f>(0.15-0)/2</f>
        <v>7.4999999999999997E-2</v>
      </c>
      <c r="BI57" s="391"/>
      <c r="BJ57" s="405">
        <v>44</v>
      </c>
      <c r="BK57" s="406">
        <f t="shared" si="123"/>
        <v>0.4</v>
      </c>
      <c r="BL57" s="406"/>
      <c r="BM57" s="407">
        <f t="shared" si="124"/>
        <v>0.26333333333333336</v>
      </c>
      <c r="BN57" s="416">
        <f>(0.15-0)/2</f>
        <v>7.4999999999999997E-2</v>
      </c>
      <c r="BO57" s="391"/>
      <c r="BP57" s="405">
        <v>44</v>
      </c>
      <c r="BQ57" s="406">
        <f t="shared" si="125"/>
        <v>0.55000000000000004</v>
      </c>
      <c r="BR57" s="406"/>
      <c r="BS57" s="407">
        <f t="shared" si="126"/>
        <v>8.3333333333333329E-2</v>
      </c>
      <c r="BT57" s="416">
        <f>(0.15-0)/2</f>
        <v>7.4999999999999997E-2</v>
      </c>
      <c r="BU57" s="391"/>
      <c r="BV57" s="405">
        <v>44</v>
      </c>
      <c r="BW57" s="406">
        <f t="shared" si="127"/>
        <v>0.65</v>
      </c>
      <c r="BX57" s="406"/>
      <c r="BY57" s="407">
        <f t="shared" si="128"/>
        <v>8.666666666666667E-2</v>
      </c>
      <c r="BZ57" s="416">
        <f>(0.15-0)/2</f>
        <v>7.4999999999999997E-2</v>
      </c>
      <c r="CA57" s="391"/>
      <c r="CB57" s="405">
        <v>44</v>
      </c>
      <c r="CC57" s="406">
        <f t="shared" si="100"/>
        <v>0</v>
      </c>
      <c r="CD57" s="406">
        <f t="shared" si="132"/>
        <v>-0.7</v>
      </c>
      <c r="CE57" s="407">
        <f t="shared" si="129"/>
        <v>0.19999999999999998</v>
      </c>
      <c r="CF57" s="416">
        <f>(0.15-0)/2</f>
        <v>7.4999999999999997E-2</v>
      </c>
      <c r="CH57" s="405">
        <v>44</v>
      </c>
      <c r="CI57" s="406">
        <f t="shared" si="101"/>
        <v>0.25</v>
      </c>
      <c r="CJ57" s="406">
        <f t="shared" si="101"/>
        <v>0.21</v>
      </c>
      <c r="CK57" s="407">
        <f t="shared" si="130"/>
        <v>4.0000000000000008E-2</v>
      </c>
      <c r="CL57" s="416">
        <f>(0.15-0)/2</f>
        <v>7.4999999999999997E-2</v>
      </c>
      <c r="CN57" s="405">
        <v>44</v>
      </c>
      <c r="CO57" s="406">
        <f t="shared" si="102"/>
        <v>0.56999999999999995</v>
      </c>
      <c r="CP57" s="406">
        <f t="shared" si="102"/>
        <v>0.52</v>
      </c>
      <c r="CQ57" s="407">
        <f t="shared" si="131"/>
        <v>4.9999999999999933E-2</v>
      </c>
      <c r="CR57" s="416">
        <f>(0.15-0)/2</f>
        <v>7.4999999999999997E-2</v>
      </c>
    </row>
    <row r="58" spans="2:96">
      <c r="B58" s="405">
        <v>50</v>
      </c>
      <c r="C58" s="406">
        <v>0.09</v>
      </c>
      <c r="D58" s="406">
        <f t="shared" si="103"/>
        <v>0.3</v>
      </c>
      <c r="E58" s="407">
        <f t="shared" si="104"/>
        <v>0.21</v>
      </c>
      <c r="F58" s="408">
        <f>(0.56+0.18)/2</f>
        <v>0.37</v>
      </c>
      <c r="G58" s="409"/>
      <c r="H58" s="405">
        <v>50</v>
      </c>
      <c r="I58" s="406">
        <v>0.21</v>
      </c>
      <c r="J58" s="406">
        <f t="shared" si="105"/>
        <v>0.28000000000000003</v>
      </c>
      <c r="K58" s="407">
        <f t="shared" si="106"/>
        <v>7.0000000000000034E-2</v>
      </c>
      <c r="L58" s="408">
        <f>(0.08-0)/2</f>
        <v>0.04</v>
      </c>
      <c r="M58" s="409"/>
      <c r="N58" s="405">
        <v>50</v>
      </c>
      <c r="O58" s="406">
        <v>0.22</v>
      </c>
      <c r="P58" s="406">
        <f t="shared" si="107"/>
        <v>0.01</v>
      </c>
      <c r="Q58" s="407">
        <f t="shared" si="108"/>
        <v>0.21</v>
      </c>
      <c r="R58" s="416">
        <f>(0.16-0)/2</f>
        <v>0.08</v>
      </c>
      <c r="S58" s="391"/>
      <c r="T58" s="405">
        <v>50</v>
      </c>
      <c r="U58" s="406">
        <f t="shared" si="109"/>
        <v>0.76</v>
      </c>
      <c r="V58" s="406"/>
      <c r="W58" s="407">
        <f t="shared" si="110"/>
        <v>8.666666666666667E-2</v>
      </c>
      <c r="X58" s="416">
        <f>(0.16-0)/2</f>
        <v>0.08</v>
      </c>
      <c r="Y58" s="391"/>
      <c r="Z58" s="405">
        <v>50</v>
      </c>
      <c r="AA58" s="406">
        <f t="shared" si="111"/>
        <v>0.11</v>
      </c>
      <c r="AB58" s="406">
        <v>0.52</v>
      </c>
      <c r="AC58" s="407">
        <f t="shared" si="112"/>
        <v>0.41000000000000003</v>
      </c>
      <c r="AD58" s="416">
        <f>(0.16-0)/2</f>
        <v>0.08</v>
      </c>
      <c r="AE58" s="391"/>
      <c r="AF58" s="405">
        <v>50</v>
      </c>
      <c r="AG58" s="406">
        <f t="shared" si="113"/>
        <v>0.15</v>
      </c>
      <c r="AH58" s="406">
        <v>0.67</v>
      </c>
      <c r="AI58" s="407">
        <f t="shared" si="114"/>
        <v>0.52</v>
      </c>
      <c r="AJ58" s="416">
        <f>(0.16-0)/2</f>
        <v>0.08</v>
      </c>
      <c r="AK58" s="391"/>
      <c r="AL58" s="405">
        <v>50</v>
      </c>
      <c r="AM58" s="406">
        <f t="shared" si="115"/>
        <v>0.44</v>
      </c>
      <c r="AN58" s="406"/>
      <c r="AO58" s="407">
        <f t="shared" si="116"/>
        <v>8.3333333333333329E-2</v>
      </c>
      <c r="AP58" s="416">
        <f>(0.16-0)/2</f>
        <v>0.08</v>
      </c>
      <c r="AQ58" s="391"/>
      <c r="AR58" s="405">
        <v>50</v>
      </c>
      <c r="AS58" s="406">
        <f t="shared" si="117"/>
        <v>0.33</v>
      </c>
      <c r="AT58" s="406"/>
      <c r="AU58" s="407">
        <f t="shared" si="118"/>
        <v>0.08</v>
      </c>
      <c r="AV58" s="416">
        <f>(0.16-0)/2</f>
        <v>0.08</v>
      </c>
      <c r="AW58" s="391"/>
      <c r="AX58" s="405">
        <v>50</v>
      </c>
      <c r="AY58" s="406">
        <f t="shared" si="119"/>
        <v>0.38</v>
      </c>
      <c r="AZ58" s="406"/>
      <c r="BA58" s="407">
        <f t="shared" si="120"/>
        <v>0.26333333333333336</v>
      </c>
      <c r="BB58" s="416">
        <f>(0.16-0)/2</f>
        <v>0.08</v>
      </c>
      <c r="BC58" s="391"/>
      <c r="BD58" s="405">
        <v>50</v>
      </c>
      <c r="BE58" s="406">
        <f t="shared" si="121"/>
        <v>0.76</v>
      </c>
      <c r="BF58" s="406"/>
      <c r="BG58" s="407">
        <f t="shared" si="122"/>
        <v>9.0000000000000011E-2</v>
      </c>
      <c r="BH58" s="416">
        <f>(0.16-0)/2</f>
        <v>0.08</v>
      </c>
      <c r="BI58" s="391"/>
      <c r="BJ58" s="405">
        <v>50</v>
      </c>
      <c r="BK58" s="406">
        <f t="shared" si="123"/>
        <v>0.38</v>
      </c>
      <c r="BL58" s="406"/>
      <c r="BM58" s="407">
        <f t="shared" si="124"/>
        <v>0.26333333333333336</v>
      </c>
      <c r="BN58" s="416">
        <f>(0.16-0)/2</f>
        <v>0.08</v>
      </c>
      <c r="BO58" s="391"/>
      <c r="BP58" s="405">
        <v>50</v>
      </c>
      <c r="BQ58" s="406">
        <f t="shared" si="125"/>
        <v>0.61</v>
      </c>
      <c r="BR58" s="406"/>
      <c r="BS58" s="407">
        <f t="shared" si="126"/>
        <v>8.3333333333333329E-2</v>
      </c>
      <c r="BT58" s="416">
        <f>(0.16-0)/2</f>
        <v>0.08</v>
      </c>
      <c r="BU58" s="391"/>
      <c r="BV58" s="405">
        <v>50</v>
      </c>
      <c r="BW58" s="406">
        <f t="shared" si="127"/>
        <v>0.74</v>
      </c>
      <c r="BX58" s="406"/>
      <c r="BY58" s="407">
        <f t="shared" si="128"/>
        <v>8.666666666666667E-2</v>
      </c>
      <c r="BZ58" s="416">
        <f>(0.16-0)/2</f>
        <v>0.08</v>
      </c>
      <c r="CA58" s="391"/>
      <c r="CB58" s="405">
        <v>50</v>
      </c>
      <c r="CC58" s="406">
        <f t="shared" si="100"/>
        <v>-1</v>
      </c>
      <c r="CD58" s="406">
        <f t="shared" si="132"/>
        <v>-0.7</v>
      </c>
      <c r="CE58" s="407">
        <f t="shared" si="129"/>
        <v>0.30000000000000004</v>
      </c>
      <c r="CF58" s="416">
        <f>(0.16-0)/2</f>
        <v>0.08</v>
      </c>
      <c r="CH58" s="405">
        <v>50</v>
      </c>
      <c r="CI58" s="406">
        <f t="shared" si="101"/>
        <v>0.27</v>
      </c>
      <c r="CJ58" s="406">
        <f t="shared" si="101"/>
        <v>0.22</v>
      </c>
      <c r="CK58" s="407">
        <f t="shared" si="130"/>
        <v>5.0000000000000017E-2</v>
      </c>
      <c r="CL58" s="416">
        <f>(0.16-0)/2</f>
        <v>0.08</v>
      </c>
      <c r="CN58" s="405">
        <v>50</v>
      </c>
      <c r="CO58" s="406">
        <f t="shared" si="102"/>
        <v>0.67</v>
      </c>
      <c r="CP58" s="406">
        <f t="shared" si="102"/>
        <v>0.56999999999999995</v>
      </c>
      <c r="CQ58" s="407">
        <f t="shared" si="131"/>
        <v>0.10000000000000009</v>
      </c>
      <c r="CR58" s="416">
        <f>(0.16-0)/2</f>
        <v>0.08</v>
      </c>
    </row>
    <row r="59" spans="2:96">
      <c r="B59" s="405">
        <v>100</v>
      </c>
      <c r="C59" s="406">
        <v>0.12</v>
      </c>
      <c r="D59" s="406">
        <f t="shared" si="103"/>
        <v>0.76</v>
      </c>
      <c r="E59" s="407">
        <f t="shared" si="104"/>
        <v>0.64</v>
      </c>
      <c r="F59" s="408">
        <f>(1.1+0.16)/2</f>
        <v>0.63</v>
      </c>
      <c r="G59" s="409"/>
      <c r="H59" s="405">
        <v>100</v>
      </c>
      <c r="I59" s="406">
        <v>0.14000000000000001</v>
      </c>
      <c r="J59" s="406">
        <f t="shared" si="105"/>
        <v>0.57999999999999996</v>
      </c>
      <c r="K59" s="407">
        <f t="shared" si="106"/>
        <v>0.43999999999999995</v>
      </c>
      <c r="L59" s="408">
        <f>(0.21-0)/2</f>
        <v>0.105</v>
      </c>
      <c r="M59" s="409"/>
      <c r="N59" s="405">
        <v>100</v>
      </c>
      <c r="O59" s="406">
        <v>0.12</v>
      </c>
      <c r="P59" s="406">
        <f t="shared" si="107"/>
        <v>-0.16</v>
      </c>
      <c r="Q59" s="407">
        <f t="shared" si="108"/>
        <v>0.28000000000000003</v>
      </c>
      <c r="R59" s="416">
        <f>(0.2-0)/2</f>
        <v>0.1</v>
      </c>
      <c r="S59" s="391"/>
      <c r="T59" s="405">
        <v>100</v>
      </c>
      <c r="U59" s="406">
        <f t="shared" si="109"/>
        <v>0.82</v>
      </c>
      <c r="V59" s="406"/>
      <c r="W59" s="407">
        <f t="shared" si="110"/>
        <v>8.666666666666667E-2</v>
      </c>
      <c r="X59" s="416">
        <f>(0.2-0)/2</f>
        <v>0.1</v>
      </c>
      <c r="Y59" s="391"/>
      <c r="Z59" s="405">
        <v>100</v>
      </c>
      <c r="AA59" s="406">
        <f t="shared" si="111"/>
        <v>0.22</v>
      </c>
      <c r="AB59" s="406">
        <v>0.57999999999999996</v>
      </c>
      <c r="AC59" s="407">
        <f t="shared" si="112"/>
        <v>0.36</v>
      </c>
      <c r="AD59" s="416">
        <f>(0.2-0)/2</f>
        <v>0.1</v>
      </c>
      <c r="AE59" s="391"/>
      <c r="AF59" s="405">
        <v>100</v>
      </c>
      <c r="AG59" s="406">
        <f t="shared" si="113"/>
        <v>0.27</v>
      </c>
      <c r="AH59" s="406">
        <v>0.55000000000000004</v>
      </c>
      <c r="AI59" s="407">
        <f t="shared" si="114"/>
        <v>0.28000000000000003</v>
      </c>
      <c r="AJ59" s="416">
        <f>(0.2-0)/2</f>
        <v>0.1</v>
      </c>
      <c r="AK59" s="391"/>
      <c r="AL59" s="405">
        <v>100</v>
      </c>
      <c r="AM59" s="406">
        <f t="shared" si="115"/>
        <v>0.54</v>
      </c>
      <c r="AN59" s="406"/>
      <c r="AO59" s="407">
        <f t="shared" si="116"/>
        <v>8.3333333333333329E-2</v>
      </c>
      <c r="AP59" s="416">
        <f>(0.2-0)/2</f>
        <v>0.1</v>
      </c>
      <c r="AQ59" s="391"/>
      <c r="AR59" s="405">
        <v>100</v>
      </c>
      <c r="AS59" s="406">
        <f t="shared" si="117"/>
        <v>0.45</v>
      </c>
      <c r="AT59" s="406"/>
      <c r="AU59" s="407">
        <f t="shared" si="118"/>
        <v>0.08</v>
      </c>
      <c r="AV59" s="416">
        <f>(0.2-0)/2</f>
        <v>0.1</v>
      </c>
      <c r="AW59" s="391"/>
      <c r="AX59" s="405">
        <v>100</v>
      </c>
      <c r="AY59" s="406">
        <f t="shared" si="119"/>
        <v>0.18</v>
      </c>
      <c r="AZ59" s="406"/>
      <c r="BA59" s="407">
        <f t="shared" si="120"/>
        <v>0.26333333333333336</v>
      </c>
      <c r="BB59" s="416">
        <f>(0.2-0)/2</f>
        <v>0.1</v>
      </c>
      <c r="BC59" s="391"/>
      <c r="BD59" s="405">
        <v>100</v>
      </c>
      <c r="BE59" s="406">
        <f t="shared" si="121"/>
        <v>0.24</v>
      </c>
      <c r="BF59" s="406"/>
      <c r="BG59" s="407">
        <f t="shared" si="122"/>
        <v>9.0000000000000011E-2</v>
      </c>
      <c r="BH59" s="416">
        <f>(0.2-0)/2</f>
        <v>0.1</v>
      </c>
      <c r="BI59" s="391"/>
      <c r="BJ59" s="405">
        <v>100</v>
      </c>
      <c r="BK59" s="406">
        <f t="shared" si="123"/>
        <v>0.18</v>
      </c>
      <c r="BL59" s="406"/>
      <c r="BM59" s="407">
        <f t="shared" si="124"/>
        <v>0.26333333333333336</v>
      </c>
      <c r="BN59" s="416">
        <f>(0.2-0)/2</f>
        <v>0.1</v>
      </c>
      <c r="BO59" s="391"/>
      <c r="BP59" s="405">
        <v>100</v>
      </c>
      <c r="BQ59" s="406">
        <f t="shared" si="125"/>
        <v>0.39</v>
      </c>
      <c r="BR59" s="406"/>
      <c r="BS59" s="407">
        <f t="shared" si="126"/>
        <v>8.3333333333333329E-2</v>
      </c>
      <c r="BT59" s="416">
        <f>(0.2-0)/2</f>
        <v>0.1</v>
      </c>
      <c r="BU59" s="391"/>
      <c r="BV59" s="405">
        <v>100</v>
      </c>
      <c r="BW59" s="406">
        <f t="shared" si="127"/>
        <v>0.69</v>
      </c>
      <c r="BX59" s="406"/>
      <c r="BY59" s="407">
        <f t="shared" si="128"/>
        <v>8.666666666666667E-2</v>
      </c>
      <c r="BZ59" s="416">
        <f>(0.2-0)/2</f>
        <v>0.1</v>
      </c>
      <c r="CA59" s="391"/>
      <c r="CB59" s="405">
        <v>100</v>
      </c>
      <c r="CC59" s="406">
        <f t="shared" si="100"/>
        <v>-1.6</v>
      </c>
      <c r="CD59" s="406">
        <f t="shared" si="132"/>
        <v>-0.7</v>
      </c>
      <c r="CE59" s="407">
        <f t="shared" si="129"/>
        <v>0.90000000000000013</v>
      </c>
      <c r="CF59" s="416">
        <f>(0.2-0)/2</f>
        <v>0.1</v>
      </c>
      <c r="CH59" s="405">
        <v>100</v>
      </c>
      <c r="CI59" s="406">
        <f t="shared" si="101"/>
        <v>0.31</v>
      </c>
      <c r="CJ59" s="406">
        <f t="shared" si="101"/>
        <v>0.23</v>
      </c>
      <c r="CK59" s="407">
        <f t="shared" si="130"/>
        <v>7.9999999999999988E-2</v>
      </c>
      <c r="CL59" s="416">
        <f>(0.2-0)/2</f>
        <v>0.1</v>
      </c>
      <c r="CN59" s="405">
        <v>100</v>
      </c>
      <c r="CO59" s="406">
        <f t="shared" si="102"/>
        <v>0.95</v>
      </c>
      <c r="CP59" s="406">
        <f t="shared" si="102"/>
        <v>0.81</v>
      </c>
      <c r="CQ59" s="407">
        <f t="shared" si="131"/>
        <v>0.1399999999999999</v>
      </c>
      <c r="CR59" s="416">
        <f>(0.2-0)/2</f>
        <v>0.1</v>
      </c>
    </row>
    <row r="60" spans="2:96">
      <c r="B60" s="405">
        <v>150</v>
      </c>
      <c r="C60" s="406">
        <v>0.14000000000000001</v>
      </c>
      <c r="D60" s="406">
        <f t="shared" si="103"/>
        <v>0.78</v>
      </c>
      <c r="E60" s="407">
        <f t="shared" si="104"/>
        <v>0.64</v>
      </c>
      <c r="F60" s="408">
        <f>(0.71+0.15)/2</f>
        <v>0.43</v>
      </c>
      <c r="G60" s="409"/>
      <c r="H60" s="405">
        <v>150</v>
      </c>
      <c r="I60" s="406">
        <v>0.03</v>
      </c>
      <c r="J60" s="406">
        <f t="shared" si="105"/>
        <v>0.61</v>
      </c>
      <c r="K60" s="407">
        <f t="shared" si="106"/>
        <v>0.57999999999999996</v>
      </c>
      <c r="L60" s="408">
        <f>(0.28-0)/2</f>
        <v>0.14000000000000001</v>
      </c>
      <c r="M60" s="409"/>
      <c r="N60" s="405">
        <v>150</v>
      </c>
      <c r="O60" s="406">
        <v>-0.06</v>
      </c>
      <c r="P60" s="406">
        <f t="shared" si="107"/>
        <v>-0.28999999999999998</v>
      </c>
      <c r="Q60" s="407">
        <f t="shared" si="108"/>
        <v>0.22999999999999998</v>
      </c>
      <c r="R60" s="416">
        <f>(0.21-0)/2</f>
        <v>0.105</v>
      </c>
      <c r="S60" s="391"/>
      <c r="T60" s="405">
        <v>150</v>
      </c>
      <c r="U60" s="406">
        <f t="shared" si="109"/>
        <v>0.13</v>
      </c>
      <c r="V60" s="406"/>
      <c r="W60" s="407">
        <f t="shared" si="110"/>
        <v>8.666666666666667E-2</v>
      </c>
      <c r="X60" s="416">
        <f>(0.21-0)/2</f>
        <v>0.105</v>
      </c>
      <c r="Y60" s="391"/>
      <c r="Z60" s="405">
        <v>150</v>
      </c>
      <c r="AA60" s="406">
        <f t="shared" si="111"/>
        <v>0.41</v>
      </c>
      <c r="AB60" s="406">
        <v>0.26</v>
      </c>
      <c r="AC60" s="407">
        <f t="shared" si="112"/>
        <v>0.14999999999999997</v>
      </c>
      <c r="AD60" s="416">
        <f>(0.21-0)/2</f>
        <v>0.105</v>
      </c>
      <c r="AE60" s="391"/>
      <c r="AF60" s="405">
        <v>150</v>
      </c>
      <c r="AG60" s="406">
        <f t="shared" si="113"/>
        <v>0.48</v>
      </c>
      <c r="AH60" s="406">
        <v>0.21</v>
      </c>
      <c r="AI60" s="407">
        <f t="shared" si="114"/>
        <v>0.27</v>
      </c>
      <c r="AJ60" s="416">
        <f>(0.21-0)/2</f>
        <v>0.105</v>
      </c>
      <c r="AK60" s="391"/>
      <c r="AL60" s="405">
        <v>150</v>
      </c>
      <c r="AM60" s="406">
        <f t="shared" si="115"/>
        <v>0.72</v>
      </c>
      <c r="AN60" s="406"/>
      <c r="AO60" s="407">
        <f t="shared" si="116"/>
        <v>8.3333333333333329E-2</v>
      </c>
      <c r="AP60" s="416">
        <f>(0.21-0)/2</f>
        <v>0.105</v>
      </c>
      <c r="AQ60" s="391"/>
      <c r="AR60" s="405">
        <v>150</v>
      </c>
      <c r="AS60" s="406">
        <f t="shared" si="117"/>
        <v>0.67</v>
      </c>
      <c r="AT60" s="406"/>
      <c r="AU60" s="407">
        <f t="shared" si="118"/>
        <v>0.08</v>
      </c>
      <c r="AV60" s="416">
        <f>(0.21-0)/2</f>
        <v>0.105</v>
      </c>
      <c r="AW60" s="391"/>
      <c r="AX60" s="405">
        <v>150</v>
      </c>
      <c r="AY60" s="406">
        <f t="shared" si="119"/>
        <v>-0.03</v>
      </c>
      <c r="AZ60" s="406"/>
      <c r="BA60" s="407">
        <f t="shared" si="120"/>
        <v>0.26333333333333336</v>
      </c>
      <c r="BB60" s="416">
        <f>(0.21-0)/2</f>
        <v>0.105</v>
      </c>
      <c r="BC60" s="391"/>
      <c r="BD60" s="405">
        <v>150</v>
      </c>
      <c r="BE60" s="406">
        <f t="shared" si="121"/>
        <v>-0.73</v>
      </c>
      <c r="BF60" s="406"/>
      <c r="BG60" s="407">
        <f t="shared" si="122"/>
        <v>9.0000000000000011E-2</v>
      </c>
      <c r="BH60" s="416">
        <f>(0.21-0)/2</f>
        <v>0.105</v>
      </c>
      <c r="BI60" s="391"/>
      <c r="BJ60" s="405">
        <v>150</v>
      </c>
      <c r="BK60" s="406">
        <f t="shared" si="123"/>
        <v>-0.03</v>
      </c>
      <c r="BL60" s="406"/>
      <c r="BM60" s="407">
        <f t="shared" si="124"/>
        <v>0.26333333333333336</v>
      </c>
      <c r="BN60" s="416">
        <f>(0.21-0)/2</f>
        <v>0.105</v>
      </c>
      <c r="BO60" s="391"/>
      <c r="BP60" s="405">
        <v>150</v>
      </c>
      <c r="BQ60" s="406">
        <f t="shared" si="125"/>
        <v>-0.35</v>
      </c>
      <c r="BR60" s="406"/>
      <c r="BS60" s="407">
        <f t="shared" si="126"/>
        <v>8.3333333333333329E-2</v>
      </c>
      <c r="BT60" s="416">
        <f>(0.21-0)/2</f>
        <v>0.105</v>
      </c>
      <c r="BU60" s="391"/>
      <c r="BV60" s="405">
        <v>150</v>
      </c>
      <c r="BW60" s="406">
        <f t="shared" si="127"/>
        <v>-0.21</v>
      </c>
      <c r="BX60" s="406"/>
      <c r="BY60" s="407">
        <f t="shared" si="128"/>
        <v>8.666666666666667E-2</v>
      </c>
      <c r="BZ60" s="416">
        <f>(0.21-0)/2</f>
        <v>0.105</v>
      </c>
      <c r="CA60" s="391"/>
      <c r="CB60" s="405">
        <v>150</v>
      </c>
      <c r="CC60" s="406">
        <f t="shared" si="100"/>
        <v>-1.7</v>
      </c>
      <c r="CD60" s="406">
        <f t="shared" si="132"/>
        <v>-0.7</v>
      </c>
      <c r="CE60" s="407">
        <f t="shared" si="129"/>
        <v>1</v>
      </c>
      <c r="CF60" s="416">
        <f>(0.21-0)/2</f>
        <v>0.105</v>
      </c>
      <c r="CH60" s="405">
        <v>150</v>
      </c>
      <c r="CI60" s="406">
        <f t="shared" si="101"/>
        <v>0.3</v>
      </c>
      <c r="CJ60" s="406">
        <f t="shared" si="101"/>
        <v>0.22</v>
      </c>
      <c r="CK60" s="407">
        <f t="shared" si="130"/>
        <v>7.9999999999999988E-2</v>
      </c>
      <c r="CL60" s="416">
        <f>(0.21-0)/2</f>
        <v>0.105</v>
      </c>
      <c r="CN60" s="405">
        <v>150</v>
      </c>
      <c r="CO60" s="406">
        <f t="shared" si="102"/>
        <v>0.49</v>
      </c>
      <c r="CP60" s="406">
        <f t="shared" si="102"/>
        <v>0.87</v>
      </c>
      <c r="CQ60" s="407">
        <f t="shared" si="131"/>
        <v>0.38</v>
      </c>
      <c r="CR60" s="416">
        <f>(0.21-0)/2</f>
        <v>0.105</v>
      </c>
    </row>
    <row r="61" spans="2:96">
      <c r="B61" s="405">
        <v>200</v>
      </c>
      <c r="C61" s="406">
        <v>0.38</v>
      </c>
      <c r="D61" s="406">
        <f t="shared" si="103"/>
        <v>7.0000000000000007E-2</v>
      </c>
      <c r="E61" s="407">
        <f t="shared" si="104"/>
        <v>0.31</v>
      </c>
      <c r="F61" s="408">
        <f>(-0.17+0.52)/2</f>
        <v>0.17499999999999999</v>
      </c>
      <c r="G61" s="409"/>
      <c r="H61" s="405">
        <v>200</v>
      </c>
      <c r="I61" s="406">
        <v>0.32</v>
      </c>
      <c r="J61" s="406">
        <f t="shared" si="105"/>
        <v>0.25</v>
      </c>
      <c r="K61" s="407">
        <f t="shared" si="106"/>
        <v>7.0000000000000007E-2</v>
      </c>
      <c r="L61" s="408">
        <f>(0.29-0)/2</f>
        <v>0.14499999999999999</v>
      </c>
      <c r="M61" s="409"/>
      <c r="N61" s="405">
        <v>200</v>
      </c>
      <c r="O61" s="406">
        <v>0.36</v>
      </c>
      <c r="P61" s="406">
        <f t="shared" si="107"/>
        <v>7.0000000000000007E-2</v>
      </c>
      <c r="Q61" s="407">
        <f t="shared" si="108"/>
        <v>0.28999999999999998</v>
      </c>
      <c r="R61" s="416">
        <f>(0.18-0)/2</f>
        <v>0.09</v>
      </c>
      <c r="S61" s="391"/>
      <c r="T61" s="405">
        <v>200</v>
      </c>
      <c r="U61" s="406">
        <f t="shared" si="109"/>
        <v>-0.67</v>
      </c>
      <c r="V61" s="406"/>
      <c r="W61" s="407">
        <f t="shared" si="110"/>
        <v>8.666666666666667E-2</v>
      </c>
      <c r="X61" s="416">
        <f>(0.18-0)/2</f>
        <v>0.09</v>
      </c>
      <c r="Y61" s="391"/>
      <c r="Z61" s="405">
        <v>200</v>
      </c>
      <c r="AA61" s="406">
        <f t="shared" si="111"/>
        <v>0.61</v>
      </c>
      <c r="AB61" s="406">
        <v>-0.14000000000000001</v>
      </c>
      <c r="AC61" s="407">
        <f t="shared" si="112"/>
        <v>0.75</v>
      </c>
      <c r="AD61" s="416">
        <f>(0.18-0)/2</f>
        <v>0.09</v>
      </c>
      <c r="AE61" s="391"/>
      <c r="AF61" s="405">
        <v>200</v>
      </c>
      <c r="AG61" s="406">
        <f t="shared" si="113"/>
        <v>0.76</v>
      </c>
      <c r="AH61" s="406">
        <v>-0.08</v>
      </c>
      <c r="AI61" s="407">
        <f t="shared" si="114"/>
        <v>0.84</v>
      </c>
      <c r="AJ61" s="416">
        <f>(0.18-0)/2</f>
        <v>0.09</v>
      </c>
      <c r="AK61" s="391"/>
      <c r="AL61" s="405">
        <v>200</v>
      </c>
      <c r="AM61" s="406">
        <f t="shared" si="115"/>
        <v>0.97</v>
      </c>
      <c r="AN61" s="406"/>
      <c r="AO61" s="407">
        <f t="shared" si="116"/>
        <v>8.3333333333333329E-2</v>
      </c>
      <c r="AP61" s="416">
        <f>(0.18-0)/2</f>
        <v>0.09</v>
      </c>
      <c r="AQ61" s="391"/>
      <c r="AR61" s="405">
        <v>200</v>
      </c>
      <c r="AS61" s="406">
        <f t="shared" si="117"/>
        <v>0.91</v>
      </c>
      <c r="AT61" s="406"/>
      <c r="AU61" s="407">
        <f t="shared" si="118"/>
        <v>0.08</v>
      </c>
      <c r="AV61" s="416">
        <f>(0.18-0)/2</f>
        <v>0.09</v>
      </c>
      <c r="AW61" s="391"/>
      <c r="AX61" s="405">
        <v>200</v>
      </c>
      <c r="AY61" s="406">
        <f t="shared" si="119"/>
        <v>-0.26</v>
      </c>
      <c r="AZ61" s="406"/>
      <c r="BA61" s="407">
        <f t="shared" si="120"/>
        <v>0.26333333333333336</v>
      </c>
      <c r="BB61" s="416">
        <f>(0.18-0)/2</f>
        <v>0.09</v>
      </c>
      <c r="BC61" s="391"/>
      <c r="BD61" s="405">
        <v>200</v>
      </c>
      <c r="BE61" s="406">
        <f t="shared" si="121"/>
        <v>-0.85</v>
      </c>
      <c r="BF61" s="406"/>
      <c r="BG61" s="407">
        <f t="shared" si="122"/>
        <v>9.0000000000000011E-2</v>
      </c>
      <c r="BH61" s="416">
        <f>(0.18-0)/2</f>
        <v>0.09</v>
      </c>
      <c r="BI61" s="391"/>
      <c r="BJ61" s="405">
        <v>200</v>
      </c>
      <c r="BK61" s="406">
        <f t="shared" si="123"/>
        <v>-0.26</v>
      </c>
      <c r="BL61" s="406"/>
      <c r="BM61" s="407">
        <f t="shared" si="124"/>
        <v>0.26333333333333336</v>
      </c>
      <c r="BN61" s="416">
        <f>(0.18-0)/2</f>
        <v>0.09</v>
      </c>
      <c r="BO61" s="391"/>
      <c r="BP61" s="405">
        <v>200</v>
      </c>
      <c r="BQ61" s="406">
        <f t="shared" si="125"/>
        <v>-0.64</v>
      </c>
      <c r="BR61" s="406"/>
      <c r="BS61" s="407">
        <f t="shared" si="126"/>
        <v>8.3333333333333329E-2</v>
      </c>
      <c r="BT61" s="416">
        <f>(0.18-0)/2</f>
        <v>0.09</v>
      </c>
      <c r="BU61" s="391"/>
      <c r="BV61" s="405">
        <v>200</v>
      </c>
      <c r="BW61" s="406">
        <f t="shared" si="127"/>
        <v>-1.31</v>
      </c>
      <c r="BX61" s="406"/>
      <c r="BY61" s="407">
        <f t="shared" si="128"/>
        <v>8.666666666666667E-2</v>
      </c>
      <c r="BZ61" s="416">
        <f>(0.18-0)/2</f>
        <v>0.09</v>
      </c>
      <c r="CA61" s="391"/>
      <c r="CB61" s="405">
        <v>200</v>
      </c>
      <c r="CC61" s="406">
        <f t="shared" si="100"/>
        <v>-0.9</v>
      </c>
      <c r="CD61" s="406">
        <f t="shared" si="132"/>
        <v>-0.6</v>
      </c>
      <c r="CE61" s="407">
        <f t="shared" si="129"/>
        <v>0.30000000000000004</v>
      </c>
      <c r="CF61" s="416">
        <f>(0.18-0)/2</f>
        <v>0.09</v>
      </c>
      <c r="CH61" s="405">
        <v>200</v>
      </c>
      <c r="CI61" s="406">
        <f t="shared" si="101"/>
        <v>0.34</v>
      </c>
      <c r="CJ61" s="406">
        <f t="shared" si="101"/>
        <v>0.47</v>
      </c>
      <c r="CK61" s="407">
        <f t="shared" si="130"/>
        <v>0.12999999999999995</v>
      </c>
      <c r="CL61" s="416">
        <f>(0.18-0)/2</f>
        <v>0.09</v>
      </c>
      <c r="CN61" s="405">
        <v>200</v>
      </c>
      <c r="CO61" s="406">
        <f t="shared" si="102"/>
        <v>-0.26</v>
      </c>
      <c r="CP61" s="406">
        <f t="shared" si="102"/>
        <v>0.99</v>
      </c>
      <c r="CQ61" s="407">
        <f t="shared" si="131"/>
        <v>1.25</v>
      </c>
      <c r="CR61" s="416">
        <f>(0.18-0)/2</f>
        <v>0.09</v>
      </c>
    </row>
    <row r="62" spans="2:96" s="391" customFormat="1">
      <c r="B62" s="415"/>
      <c r="C62" s="392"/>
      <c r="D62" s="392"/>
      <c r="E62" s="412"/>
      <c r="F62" s="409"/>
      <c r="G62" s="409"/>
      <c r="H62" s="415"/>
      <c r="I62" s="392"/>
      <c r="J62" s="392"/>
      <c r="K62" s="412"/>
      <c r="L62" s="393"/>
      <c r="M62" s="409"/>
      <c r="N62" s="415"/>
      <c r="O62" s="392"/>
      <c r="P62" s="392"/>
      <c r="Q62" s="412"/>
      <c r="R62" s="393"/>
      <c r="T62" s="415"/>
      <c r="U62" s="392"/>
      <c r="V62" s="392"/>
      <c r="W62" s="412"/>
      <c r="X62" s="393"/>
      <c r="Z62" s="415"/>
      <c r="AA62" s="392"/>
      <c r="AB62" s="392"/>
      <c r="AC62" s="412"/>
      <c r="AD62" s="393"/>
      <c r="AF62" s="415"/>
      <c r="AG62" s="392"/>
      <c r="AH62" s="392"/>
      <c r="AI62" s="412"/>
      <c r="AJ62" s="393"/>
      <c r="AL62" s="415"/>
      <c r="AM62" s="392"/>
      <c r="AN62" s="392"/>
      <c r="AO62" s="412"/>
      <c r="AP62" s="393"/>
      <c r="AR62" s="415"/>
      <c r="AS62" s="392"/>
      <c r="AT62" s="392"/>
      <c r="AU62" s="412"/>
      <c r="AV62" s="393"/>
      <c r="AX62" s="415"/>
      <c r="AY62" s="392"/>
      <c r="AZ62" s="392"/>
      <c r="BA62" s="412"/>
      <c r="BB62" s="393"/>
      <c r="BD62" s="415"/>
      <c r="BE62" s="392"/>
      <c r="BF62" s="392"/>
      <c r="BG62" s="412"/>
      <c r="BH62" s="393"/>
      <c r="BJ62" s="415"/>
      <c r="BK62" s="392"/>
      <c r="BL62" s="392"/>
      <c r="BM62" s="412"/>
      <c r="BN62" s="393"/>
      <c r="BP62" s="415"/>
      <c r="BQ62" s="392"/>
      <c r="BR62" s="392"/>
      <c r="BS62" s="412"/>
      <c r="BT62" s="393"/>
      <c r="BV62" s="415"/>
      <c r="BW62" s="392"/>
      <c r="BX62" s="392"/>
      <c r="BY62" s="412"/>
      <c r="BZ62" s="393"/>
      <c r="CB62" s="415"/>
      <c r="CC62" s="392"/>
      <c r="CD62" s="392"/>
      <c r="CE62" s="412"/>
      <c r="CF62" s="393"/>
      <c r="CH62" s="415"/>
      <c r="CI62" s="392"/>
      <c r="CJ62" s="392"/>
      <c r="CK62" s="412"/>
      <c r="CL62" s="393"/>
      <c r="CN62" s="415"/>
      <c r="CO62" s="392"/>
      <c r="CP62" s="392"/>
      <c r="CQ62" s="412"/>
      <c r="CR62" s="393"/>
    </row>
    <row r="63" spans="2:96" ht="21.75" customHeight="1">
      <c r="B63" s="823" t="s">
        <v>335</v>
      </c>
      <c r="C63" s="825" t="str">
        <f>C48</f>
        <v>Thermocouple Data Logger, Merek : MADGETECH, Model : OctTemp 2000, SN : P40270</v>
      </c>
      <c r="D63" s="825"/>
      <c r="E63" s="825"/>
      <c r="F63" s="394" t="s">
        <v>329</v>
      </c>
      <c r="G63" s="395"/>
      <c r="H63" s="823" t="s">
        <v>335</v>
      </c>
      <c r="I63" s="825" t="str">
        <f>I48</f>
        <v>Thermocouple Data Logger, Merek : MADGETECH, Model : OctTemp 2000, SN : P41878</v>
      </c>
      <c r="J63" s="825"/>
      <c r="K63" s="825"/>
      <c r="L63" s="394" t="s">
        <v>329</v>
      </c>
      <c r="M63" s="395"/>
      <c r="N63" s="823" t="s">
        <v>335</v>
      </c>
      <c r="O63" s="825" t="str">
        <f>O48</f>
        <v>Mobile Corder, Merek : Yokogawa, Model : GP 10, SN : S5T810599</v>
      </c>
      <c r="P63" s="826"/>
      <c r="Q63" s="825"/>
      <c r="R63" s="394" t="s">
        <v>329</v>
      </c>
      <c r="S63" s="391"/>
      <c r="T63" s="823" t="s">
        <v>335</v>
      </c>
      <c r="U63" s="825" t="str">
        <f>U48</f>
        <v>Wireless Temperature Recorder : Merek : HIOKI, Model : LR 8510, SN : 200936000</v>
      </c>
      <c r="V63" s="826"/>
      <c r="W63" s="825"/>
      <c r="X63" s="394" t="s">
        <v>329</v>
      </c>
      <c r="Y63" s="391"/>
      <c r="Z63" s="823" t="s">
        <v>335</v>
      </c>
      <c r="AA63" s="825" t="str">
        <f>AA48</f>
        <v>Wireless Temperature Recorder : Merek : HIOKI, Model : LR 8510, SN : 200936001</v>
      </c>
      <c r="AB63" s="826"/>
      <c r="AC63" s="825"/>
      <c r="AD63" s="394" t="s">
        <v>329</v>
      </c>
      <c r="AE63" s="391"/>
      <c r="AF63" s="823" t="s">
        <v>335</v>
      </c>
      <c r="AG63" s="825" t="str">
        <f>AG48</f>
        <v>Wireless Temperature Recorder : Merek : HIOKI, Model : LR 8510, SN : 200821397</v>
      </c>
      <c r="AH63" s="826"/>
      <c r="AI63" s="825"/>
      <c r="AJ63" s="394" t="s">
        <v>329</v>
      </c>
      <c r="AK63" s="391"/>
      <c r="AL63" s="823" t="s">
        <v>335</v>
      </c>
      <c r="AM63" s="825" t="str">
        <f>AM48</f>
        <v>Wireless Temperature Recorder : Merek : HIOKI, Model : LR 8510, SN : 210411983</v>
      </c>
      <c r="AN63" s="826"/>
      <c r="AO63" s="825"/>
      <c r="AP63" s="394" t="s">
        <v>329</v>
      </c>
      <c r="AQ63" s="391"/>
      <c r="AR63" s="823" t="s">
        <v>335</v>
      </c>
      <c r="AS63" s="825" t="str">
        <f>AS48</f>
        <v>Wireless Temperature Recorder : Merek : HIOKI, Model : LR 8510, SN : 210411984</v>
      </c>
      <c r="AT63" s="826"/>
      <c r="AU63" s="825"/>
      <c r="AV63" s="394" t="s">
        <v>329</v>
      </c>
      <c r="AW63" s="391"/>
      <c r="AX63" s="823" t="s">
        <v>335</v>
      </c>
      <c r="AY63" s="825" t="str">
        <f>AY48</f>
        <v>Wireless Temperature Recorder : Merek : HIOKI, Model : LR 8510, SN : 210411985</v>
      </c>
      <c r="AZ63" s="826"/>
      <c r="BA63" s="825"/>
      <c r="BB63" s="394" t="s">
        <v>329</v>
      </c>
      <c r="BC63" s="391"/>
      <c r="BD63" s="823" t="s">
        <v>335</v>
      </c>
      <c r="BE63" s="825" t="str">
        <f>BE48</f>
        <v>Wireless Temperature Recorder : Merek : HIOKI, Model : LR 8510, SN : 210746054</v>
      </c>
      <c r="BF63" s="826"/>
      <c r="BG63" s="825"/>
      <c r="BH63" s="394" t="s">
        <v>329</v>
      </c>
      <c r="BI63" s="391"/>
      <c r="BJ63" s="823" t="s">
        <v>335</v>
      </c>
      <c r="BK63" s="825" t="str">
        <f>BK48</f>
        <v>Wireless Temperature Recorder : Merek : HIOKI, Model : LR 8510, SN : 210746055</v>
      </c>
      <c r="BL63" s="826"/>
      <c r="BM63" s="825"/>
      <c r="BN63" s="394" t="s">
        <v>329</v>
      </c>
      <c r="BO63" s="391"/>
      <c r="BP63" s="823" t="s">
        <v>335</v>
      </c>
      <c r="BQ63" s="825" t="str">
        <f>BQ48</f>
        <v>Wireless Temperature Recorder : Merek : HIOKI, Model : LR 8510, SN : 210746056</v>
      </c>
      <c r="BR63" s="826"/>
      <c r="BS63" s="825"/>
      <c r="BT63" s="394" t="s">
        <v>329</v>
      </c>
      <c r="BU63" s="391"/>
      <c r="BV63" s="823" t="s">
        <v>335</v>
      </c>
      <c r="BW63" s="825" t="str">
        <f>BW48</f>
        <v>Wireless Temperature Recorder : Merek : HIOKI, Model : LR 8510, SN : 200821396</v>
      </c>
      <c r="BX63" s="826"/>
      <c r="BY63" s="825"/>
      <c r="BZ63" s="394" t="s">
        <v>329</v>
      </c>
      <c r="CA63" s="391"/>
      <c r="CB63" s="823" t="s">
        <v>335</v>
      </c>
      <c r="CC63" s="825" t="str">
        <f t="shared" ref="CC63:CC76" si="133">CC48</f>
        <v>Reference Thermometer, Merek : APPA, Model : APPA51, SN : 03002948</v>
      </c>
      <c r="CD63" s="826"/>
      <c r="CE63" s="825"/>
      <c r="CF63" s="394" t="s">
        <v>329</v>
      </c>
      <c r="CH63" s="823" t="s">
        <v>335</v>
      </c>
      <c r="CI63" s="825" t="str">
        <f t="shared" ref="CI63:CK76" si="134">CI48</f>
        <v>Reference Thermometer, Merek : FLUKE, Model : 1524, SN : 1803038</v>
      </c>
      <c r="CJ63" s="826"/>
      <c r="CK63" s="825"/>
      <c r="CL63" s="394" t="s">
        <v>329</v>
      </c>
      <c r="CN63" s="823" t="s">
        <v>335</v>
      </c>
      <c r="CO63" s="825" t="str">
        <f t="shared" ref="CO63:CQ76" si="135">CO48</f>
        <v>Reference Thermometer, Merek : FLUKE, Model : 1524, SN : 1803037</v>
      </c>
      <c r="CP63" s="826"/>
      <c r="CQ63" s="825"/>
      <c r="CR63" s="394" t="s">
        <v>329</v>
      </c>
    </row>
    <row r="64" spans="2:96">
      <c r="B64" s="824"/>
      <c r="C64" s="402">
        <f>C49</f>
        <v>2021</v>
      </c>
      <c r="D64" s="402">
        <f>D49</f>
        <v>2022</v>
      </c>
      <c r="E64" s="398" t="s">
        <v>242</v>
      </c>
      <c r="F64" s="399"/>
      <c r="G64" s="400"/>
      <c r="H64" s="824"/>
      <c r="I64" s="401">
        <f>I49</f>
        <v>2021</v>
      </c>
      <c r="J64" s="402">
        <f>J49</f>
        <v>2022</v>
      </c>
      <c r="K64" s="398" t="s">
        <v>242</v>
      </c>
      <c r="L64" s="403"/>
      <c r="M64" s="400"/>
      <c r="N64" s="824"/>
      <c r="O64" s="401">
        <f>O4</f>
        <v>2021</v>
      </c>
      <c r="P64" s="402">
        <f>P4</f>
        <v>2023</v>
      </c>
      <c r="Q64" s="398" t="s">
        <v>242</v>
      </c>
      <c r="R64" s="404"/>
      <c r="S64" s="391"/>
      <c r="T64" s="824"/>
      <c r="U64" s="401">
        <f>U49</f>
        <v>2022</v>
      </c>
      <c r="V64" s="402"/>
      <c r="W64" s="398" t="s">
        <v>242</v>
      </c>
      <c r="X64" s="404"/>
      <c r="Y64" s="391"/>
      <c r="Z64" s="824"/>
      <c r="AA64" s="401">
        <f>AA49</f>
        <v>2023</v>
      </c>
      <c r="AB64" s="402">
        <f>AB49</f>
        <v>2021</v>
      </c>
      <c r="AC64" s="398" t="s">
        <v>242</v>
      </c>
      <c r="AD64" s="404"/>
      <c r="AE64" s="391"/>
      <c r="AF64" s="824"/>
      <c r="AG64" s="401">
        <f>AG49</f>
        <v>2023</v>
      </c>
      <c r="AH64" s="401">
        <f>AH49</f>
        <v>2021</v>
      </c>
      <c r="AI64" s="398" t="s">
        <v>242</v>
      </c>
      <c r="AJ64" s="404"/>
      <c r="AK64" s="391"/>
      <c r="AL64" s="824"/>
      <c r="AM64" s="401">
        <f>AM49</f>
        <v>2023</v>
      </c>
      <c r="AN64" s="402"/>
      <c r="AO64" s="398" t="s">
        <v>242</v>
      </c>
      <c r="AP64" s="404"/>
      <c r="AQ64" s="391"/>
      <c r="AR64" s="824"/>
      <c r="AS64" s="401">
        <f>AS49</f>
        <v>2023</v>
      </c>
      <c r="AT64" s="402"/>
      <c r="AU64" s="398" t="s">
        <v>242</v>
      </c>
      <c r="AV64" s="404"/>
      <c r="AW64" s="391"/>
      <c r="AX64" s="824"/>
      <c r="AY64" s="401">
        <f>AY49</f>
        <v>2021</v>
      </c>
      <c r="AZ64" s="402"/>
      <c r="BA64" s="398" t="s">
        <v>242</v>
      </c>
      <c r="BB64" s="404"/>
      <c r="BC64" s="391"/>
      <c r="BD64" s="824"/>
      <c r="BE64" s="401">
        <f>BE49</f>
        <v>2022</v>
      </c>
      <c r="BF64" s="402"/>
      <c r="BG64" s="398" t="s">
        <v>242</v>
      </c>
      <c r="BH64" s="404"/>
      <c r="BI64" s="391"/>
      <c r="BJ64" s="824"/>
      <c r="BK64" s="401">
        <f>BK49</f>
        <v>2021</v>
      </c>
      <c r="BL64" s="402"/>
      <c r="BM64" s="398" t="s">
        <v>242</v>
      </c>
      <c r="BN64" s="404"/>
      <c r="BO64" s="391"/>
      <c r="BP64" s="824"/>
      <c r="BQ64" s="401">
        <f>BQ49</f>
        <v>2022</v>
      </c>
      <c r="BR64" s="402"/>
      <c r="BS64" s="398" t="s">
        <v>242</v>
      </c>
      <c r="BT64" s="404"/>
      <c r="BU64" s="391"/>
      <c r="BV64" s="824"/>
      <c r="BW64" s="401">
        <f>BW49</f>
        <v>2022</v>
      </c>
      <c r="BX64" s="402"/>
      <c r="BY64" s="398" t="s">
        <v>242</v>
      </c>
      <c r="BZ64" s="404"/>
      <c r="CA64" s="391"/>
      <c r="CB64" s="824"/>
      <c r="CC64" s="401">
        <f t="shared" si="133"/>
        <v>2022</v>
      </c>
      <c r="CD64" s="402">
        <f>CD79</f>
        <v>2020</v>
      </c>
      <c r="CE64" s="398" t="s">
        <v>242</v>
      </c>
      <c r="CF64" s="404"/>
      <c r="CH64" s="824"/>
      <c r="CI64" s="401">
        <f t="shared" si="134"/>
        <v>2021</v>
      </c>
      <c r="CJ64" s="402">
        <f t="shared" si="134"/>
        <v>2019</v>
      </c>
      <c r="CK64" s="398" t="s">
        <v>242</v>
      </c>
      <c r="CL64" s="404"/>
      <c r="CN64" s="824"/>
      <c r="CO64" s="401">
        <f t="shared" si="135"/>
        <v>2021</v>
      </c>
      <c r="CP64" s="402">
        <f t="shared" si="135"/>
        <v>2020</v>
      </c>
      <c r="CQ64" s="398" t="s">
        <v>242</v>
      </c>
      <c r="CR64" s="404"/>
    </row>
    <row r="65" spans="2:96">
      <c r="B65" s="418">
        <v>-20</v>
      </c>
      <c r="C65" s="419">
        <v>-0.42</v>
      </c>
      <c r="D65" s="419">
        <f t="shared" ref="D65:D76" si="136">C192</f>
        <v>-0.56999999999999995</v>
      </c>
      <c r="E65" s="407">
        <f t="shared" ref="E65:E76" si="137">IF(OR(C65=0,D65=0),$C$204/3,((MAX(C65:D65)-(MIN(C65:D65)))))</f>
        <v>0.14999999999999997</v>
      </c>
      <c r="F65" s="399"/>
      <c r="G65" s="400"/>
      <c r="H65" s="418">
        <v>-20</v>
      </c>
      <c r="I65" s="406">
        <v>-0.6</v>
      </c>
      <c r="J65" s="406">
        <f t="shared" ref="J65:J76" si="138">D192</f>
        <v>-0.47</v>
      </c>
      <c r="K65" s="407">
        <f t="shared" ref="K65:K76" si="139">IF(OR(I65=0,J65=0),$D$204/3,((MAX(I65:J65)-(MIN(I65:J65)))))</f>
        <v>0.13</v>
      </c>
      <c r="L65" s="403"/>
      <c r="M65" s="400"/>
      <c r="N65" s="418">
        <v>-20</v>
      </c>
      <c r="O65" s="419">
        <v>-0.5</v>
      </c>
      <c r="P65" s="406">
        <f t="shared" ref="P65:P76" si="140">E192</f>
        <v>-0.41</v>
      </c>
      <c r="Q65" s="407">
        <f t="shared" ref="Q65:Q76" si="141">IF(OR(O65=0,P65=0),$E$204/3,((MAX(O65:P65)-(MIN(O65:P65)))))</f>
        <v>9.0000000000000024E-2</v>
      </c>
      <c r="R65" s="404"/>
      <c r="S65" s="391"/>
      <c r="T65" s="418">
        <v>-20</v>
      </c>
      <c r="U65" s="419">
        <f t="shared" ref="U65:U76" si="142">F192</f>
        <v>-1.42</v>
      </c>
      <c r="V65" s="419"/>
      <c r="W65" s="407">
        <f t="shared" ref="W65:W76" si="143">IF(OR(U65=0,V65=0),$F$204/3,((MAX(U65:V65)-(MIN(U65:V65)))))</f>
        <v>8.666666666666667E-2</v>
      </c>
      <c r="X65" s="404"/>
      <c r="Y65" s="391"/>
      <c r="Z65" s="418">
        <v>-20</v>
      </c>
      <c r="AA65" s="419">
        <f t="shared" ref="AA65:AA76" si="144">G192</f>
        <v>7.0000000000000007E-2</v>
      </c>
      <c r="AB65" s="419">
        <v>-0.56999999999999995</v>
      </c>
      <c r="AC65" s="407">
        <f t="shared" ref="AC65:AC76" si="145">IF(OR(AA65=0,AB65=0),$G$204/3,((MAX(AA65:AB65)-(MIN(AA65:AB65)))))</f>
        <v>0.6399999999999999</v>
      </c>
      <c r="AD65" s="404"/>
      <c r="AE65" s="391"/>
      <c r="AF65" s="418">
        <v>-20</v>
      </c>
      <c r="AG65" s="419">
        <f t="shared" ref="AG65:AG76" si="146">H192</f>
        <v>0.11</v>
      </c>
      <c r="AH65" s="420">
        <v>-0.04</v>
      </c>
      <c r="AI65" s="407">
        <f t="shared" ref="AI65:AI76" si="147">IF(OR(AG65=0,AH65=0),$H$204/3,((MAX(AG65:AH65)-(MIN(AG65:AH65)))))</f>
        <v>0.15</v>
      </c>
      <c r="AJ65" s="404"/>
      <c r="AK65" s="391"/>
      <c r="AL65" s="418">
        <v>-20</v>
      </c>
      <c r="AM65" s="419">
        <f t="shared" ref="AM65:AM76" si="148">I192</f>
        <v>0.46</v>
      </c>
      <c r="AN65" s="406"/>
      <c r="AO65" s="407">
        <f t="shared" ref="AO65:AO76" si="149">IF(OR(AM65=0,AN65=0),$I$204/3,((MAX(AM65:AN65)-(MIN(AM65:AN65)))))</f>
        <v>8.3333333333333329E-2</v>
      </c>
      <c r="AP65" s="404"/>
      <c r="AQ65" s="391"/>
      <c r="AR65" s="418">
        <v>-20</v>
      </c>
      <c r="AS65" s="419">
        <f t="shared" ref="AS65:AS76" si="150">J192</f>
        <v>0.34</v>
      </c>
      <c r="AT65" s="406"/>
      <c r="AU65" s="407">
        <f t="shared" ref="AU65:AU76" si="151">IF(OR(AS65=0,AT65=0),$J$204/3,((MAX(AS65:AT65)-(MIN(AS65:AT65)))))</f>
        <v>8.3333333333333329E-2</v>
      </c>
      <c r="AV65" s="404"/>
      <c r="AW65" s="391"/>
      <c r="AX65" s="418">
        <v>-20</v>
      </c>
      <c r="AY65" s="419">
        <f t="shared" ref="AY65:AY76" si="152">K192</f>
        <v>0.54</v>
      </c>
      <c r="AZ65" s="406"/>
      <c r="BA65" s="407">
        <f t="shared" ref="BA65:BA76" si="153">IF(OR(AY65=0,AZ65=0),$K$204/3,((MAX(AY65:AZ65)-(MIN(AY65:AZ65)))))</f>
        <v>0.26333333333333336</v>
      </c>
      <c r="BB65" s="404"/>
      <c r="BC65" s="391"/>
      <c r="BD65" s="418">
        <v>-20</v>
      </c>
      <c r="BE65" s="419">
        <f t="shared" ref="BE65:BE76" si="154">L192</f>
        <v>-0.94</v>
      </c>
      <c r="BF65" s="406"/>
      <c r="BG65" s="407">
        <f t="shared" ref="BG65:BG76" si="155">IF(OR(BE65=0,BF65=0),$L$204/3,((MAX(BE65:BF65)-(MIN(BE65:BF65)))))</f>
        <v>8.666666666666667E-2</v>
      </c>
      <c r="BH65" s="404"/>
      <c r="BI65" s="391"/>
      <c r="BJ65" s="418">
        <v>-20</v>
      </c>
      <c r="BK65" s="419">
        <f t="shared" ref="BK65:BK76" si="156">M192</f>
        <v>0.54</v>
      </c>
      <c r="BL65" s="406"/>
      <c r="BM65" s="407">
        <f t="shared" ref="BM65:BM76" si="157">IF(OR(BK65=0,BL65=0),$M$204/3,((MAX(BK65:BL65)-(MIN(BK65:BL65)))))</f>
        <v>0.26333333333333336</v>
      </c>
      <c r="BN65" s="404"/>
      <c r="BO65" s="391"/>
      <c r="BP65" s="418">
        <v>-20</v>
      </c>
      <c r="BQ65" s="419">
        <f t="shared" ref="BQ65:BQ76" si="158">N192</f>
        <v>-1.29</v>
      </c>
      <c r="BR65" s="406"/>
      <c r="BS65" s="407">
        <f t="shared" ref="BS65:BS76" si="159">IF(OR(BQ65=0,BR65=0),$N$204/3,((MAX(BQ65:BR65)-(MIN(BQ65:BR65)))))</f>
        <v>8.666666666666667E-2</v>
      </c>
      <c r="BT65" s="404"/>
      <c r="BU65" s="391"/>
      <c r="BV65" s="418">
        <v>-20</v>
      </c>
      <c r="BW65" s="419">
        <f t="shared" ref="BW65:BW76" si="160">O192</f>
        <v>-1.4</v>
      </c>
      <c r="BX65" s="406"/>
      <c r="BY65" s="407">
        <f t="shared" ref="BY65:BY76" si="161">IF(OR(BW65=0,BX65=0),$O$204/3,((MAX(BW65:BX65)-(MIN(BW65:BX65)))))</f>
        <v>8.3333333333333329E-2</v>
      </c>
      <c r="BZ65" s="404"/>
      <c r="CA65" s="391"/>
      <c r="CB65" s="418">
        <v>-20</v>
      </c>
      <c r="CC65" s="419">
        <f t="shared" si="133"/>
        <v>-1.1000000000000001</v>
      </c>
      <c r="CD65" s="406">
        <f>CD80</f>
        <v>-0.7</v>
      </c>
      <c r="CE65" s="407">
        <f t="shared" ref="CE65:CE76" si="162">CE50</f>
        <v>0.40000000000000013</v>
      </c>
      <c r="CF65" s="404"/>
      <c r="CH65" s="418">
        <v>-20</v>
      </c>
      <c r="CI65" s="419">
        <f t="shared" si="134"/>
        <v>-0.15</v>
      </c>
      <c r="CJ65" s="406">
        <f t="shared" si="134"/>
        <v>-0.32</v>
      </c>
      <c r="CK65" s="407">
        <f t="shared" si="134"/>
        <v>0.17</v>
      </c>
      <c r="CL65" s="404"/>
      <c r="CN65" s="418">
        <v>-20</v>
      </c>
      <c r="CO65" s="419">
        <f t="shared" si="135"/>
        <v>-1.8</v>
      </c>
      <c r="CP65" s="406">
        <f t="shared" si="135"/>
        <v>-0.51</v>
      </c>
      <c r="CQ65" s="407">
        <f t="shared" si="135"/>
        <v>1.29</v>
      </c>
      <c r="CR65" s="404"/>
    </row>
    <row r="66" spans="2:96">
      <c r="B66" s="405">
        <v>-15</v>
      </c>
      <c r="C66" s="419">
        <v>-0.36</v>
      </c>
      <c r="D66" s="419">
        <f t="shared" si="136"/>
        <v>-0.52</v>
      </c>
      <c r="E66" s="407">
        <f t="shared" si="137"/>
        <v>0.16000000000000003</v>
      </c>
      <c r="F66" s="408">
        <f>(-0.54+1.75)/2</f>
        <v>0.60499999999999998</v>
      </c>
      <c r="G66" s="409"/>
      <c r="H66" s="405">
        <v>-15</v>
      </c>
      <c r="I66" s="406">
        <v>-0.49</v>
      </c>
      <c r="J66" s="406">
        <f t="shared" si="138"/>
        <v>-0.4</v>
      </c>
      <c r="K66" s="407">
        <f t="shared" si="139"/>
        <v>8.9999999999999969E-2</v>
      </c>
      <c r="L66" s="408">
        <f t="shared" ref="L66:L70" si="163">(0+0.04)/2</f>
        <v>0.02</v>
      </c>
      <c r="M66" s="409"/>
      <c r="N66" s="405">
        <v>-15</v>
      </c>
      <c r="O66" s="419">
        <v>-0.41</v>
      </c>
      <c r="P66" s="406">
        <f t="shared" si="140"/>
        <v>-0.34</v>
      </c>
      <c r="Q66" s="407">
        <f t="shared" si="141"/>
        <v>6.9999999999999951E-2</v>
      </c>
      <c r="R66" s="404">
        <f>(0.03-0)/2</f>
        <v>1.4999999999999999E-2</v>
      </c>
      <c r="S66" s="391"/>
      <c r="T66" s="405">
        <v>-15</v>
      </c>
      <c r="U66" s="419">
        <f t="shared" si="142"/>
        <v>-1.19</v>
      </c>
      <c r="V66" s="406"/>
      <c r="W66" s="407">
        <f t="shared" si="143"/>
        <v>8.666666666666667E-2</v>
      </c>
      <c r="X66" s="404">
        <f>(0.03-0)/2</f>
        <v>1.4999999999999999E-2</v>
      </c>
      <c r="Y66" s="391"/>
      <c r="Z66" s="405">
        <v>-15</v>
      </c>
      <c r="AA66" s="419">
        <f t="shared" si="144"/>
        <v>0.12</v>
      </c>
      <c r="AB66" s="406">
        <v>-0.31</v>
      </c>
      <c r="AC66" s="407">
        <f t="shared" si="145"/>
        <v>0.43</v>
      </c>
      <c r="AD66" s="404">
        <f>(0.03-0)/2</f>
        <v>1.4999999999999999E-2</v>
      </c>
      <c r="AE66" s="391"/>
      <c r="AF66" s="405">
        <v>-15</v>
      </c>
      <c r="AG66" s="419">
        <f t="shared" si="146"/>
        <v>0.15</v>
      </c>
      <c r="AH66" s="406">
        <v>9.9999999999999995E-7</v>
      </c>
      <c r="AI66" s="407">
        <f t="shared" si="147"/>
        <v>0.14999899999999999</v>
      </c>
      <c r="AJ66" s="404">
        <f>(0.03-0)/2</f>
        <v>1.4999999999999999E-2</v>
      </c>
      <c r="AK66" s="391"/>
      <c r="AL66" s="405">
        <v>-15</v>
      </c>
      <c r="AM66" s="419">
        <f t="shared" si="148"/>
        <v>0.48</v>
      </c>
      <c r="AN66" s="406"/>
      <c r="AO66" s="407">
        <f t="shared" si="149"/>
        <v>8.3333333333333329E-2</v>
      </c>
      <c r="AP66" s="404">
        <f>(0.03-0)/2</f>
        <v>1.4999999999999999E-2</v>
      </c>
      <c r="AQ66" s="391"/>
      <c r="AR66" s="405">
        <v>-15</v>
      </c>
      <c r="AS66" s="419">
        <f t="shared" si="150"/>
        <v>0.36</v>
      </c>
      <c r="AT66" s="406"/>
      <c r="AU66" s="407">
        <f t="shared" si="151"/>
        <v>8.3333333333333329E-2</v>
      </c>
      <c r="AV66" s="404">
        <f>(0.03-0)/2</f>
        <v>1.4999999999999999E-2</v>
      </c>
      <c r="AW66" s="391"/>
      <c r="AX66" s="405">
        <v>-15</v>
      </c>
      <c r="AY66" s="419">
        <f t="shared" si="152"/>
        <v>9.9999999999999995E-7</v>
      </c>
      <c r="AZ66" s="406"/>
      <c r="BA66" s="407">
        <f t="shared" si="153"/>
        <v>0.26333333333333336</v>
      </c>
      <c r="BB66" s="404">
        <f>(0.03-0)/2</f>
        <v>1.4999999999999999E-2</v>
      </c>
      <c r="BC66" s="391"/>
      <c r="BD66" s="405">
        <v>-15</v>
      </c>
      <c r="BE66" s="419">
        <f t="shared" si="154"/>
        <v>-0.7</v>
      </c>
      <c r="BF66" s="406"/>
      <c r="BG66" s="407">
        <f t="shared" si="155"/>
        <v>8.666666666666667E-2</v>
      </c>
      <c r="BH66" s="404">
        <f>(0.03-0)/2</f>
        <v>1.4999999999999999E-2</v>
      </c>
      <c r="BI66" s="391"/>
      <c r="BJ66" s="405">
        <v>-15</v>
      </c>
      <c r="BK66" s="419">
        <f t="shared" si="156"/>
        <v>9.9999999999999995E-7</v>
      </c>
      <c r="BL66" s="406"/>
      <c r="BM66" s="407">
        <f t="shared" si="157"/>
        <v>0.26333333333333336</v>
      </c>
      <c r="BN66" s="404">
        <f>(0.03-0)/2</f>
        <v>1.4999999999999999E-2</v>
      </c>
      <c r="BO66" s="391"/>
      <c r="BP66" s="405">
        <v>-15</v>
      </c>
      <c r="BQ66" s="419">
        <f t="shared" si="158"/>
        <v>-1.04</v>
      </c>
      <c r="BR66" s="406"/>
      <c r="BS66" s="407">
        <f t="shared" si="159"/>
        <v>8.666666666666667E-2</v>
      </c>
      <c r="BT66" s="404">
        <f>(0.03-0)/2</f>
        <v>1.4999999999999999E-2</v>
      </c>
      <c r="BU66" s="391"/>
      <c r="BV66" s="405">
        <v>-15</v>
      </c>
      <c r="BW66" s="419">
        <f t="shared" si="160"/>
        <v>-1.1399999999999999</v>
      </c>
      <c r="BX66" s="406"/>
      <c r="BY66" s="407">
        <f t="shared" si="161"/>
        <v>8.3333333333333329E-2</v>
      </c>
      <c r="BZ66" s="404">
        <f>(0.03-0)/2</f>
        <v>1.4999999999999999E-2</v>
      </c>
      <c r="CA66" s="391"/>
      <c r="CB66" s="405">
        <v>-15</v>
      </c>
      <c r="CC66" s="419">
        <f t="shared" si="133"/>
        <v>-1.1000000000000001</v>
      </c>
      <c r="CD66" s="406">
        <f>CD81</f>
        <v>-0.7</v>
      </c>
      <c r="CE66" s="407">
        <f t="shared" si="162"/>
        <v>0.40000000000000013</v>
      </c>
      <c r="CF66" s="404">
        <f>(0.03-0)/2</f>
        <v>1.4999999999999999E-2</v>
      </c>
      <c r="CH66" s="405">
        <v>-15</v>
      </c>
      <c r="CI66" s="419">
        <f t="shared" si="134"/>
        <v>-0.1</v>
      </c>
      <c r="CJ66" s="406">
        <f t="shared" si="134"/>
        <v>-0.24</v>
      </c>
      <c r="CK66" s="407">
        <f t="shared" si="134"/>
        <v>0.13999999999999999</v>
      </c>
      <c r="CL66" s="404">
        <f>(0.03-0)/2</f>
        <v>1.4999999999999999E-2</v>
      </c>
      <c r="CN66" s="405">
        <v>-15</v>
      </c>
      <c r="CO66" s="419">
        <f t="shared" si="135"/>
        <v>-1.52</v>
      </c>
      <c r="CP66" s="406">
        <f t="shared" si="135"/>
        <v>-0.39</v>
      </c>
      <c r="CQ66" s="407">
        <f t="shared" si="135"/>
        <v>1.1299999999999999</v>
      </c>
      <c r="CR66" s="404">
        <f>(0.03-0)/2</f>
        <v>1.4999999999999999E-2</v>
      </c>
    </row>
    <row r="67" spans="2:96">
      <c r="B67" s="405">
        <v>-10</v>
      </c>
      <c r="C67" s="419">
        <v>-0.3</v>
      </c>
      <c r="D67" s="419">
        <f t="shared" si="136"/>
        <v>-0.46</v>
      </c>
      <c r="E67" s="407">
        <f t="shared" si="137"/>
        <v>0.16000000000000003</v>
      </c>
      <c r="F67" s="408">
        <f>(-0.48+1.49)/2</f>
        <v>0.505</v>
      </c>
      <c r="G67" s="409"/>
      <c r="H67" s="405">
        <v>-10</v>
      </c>
      <c r="I67" s="406">
        <v>9.9999999999999995E-7</v>
      </c>
      <c r="J67" s="406">
        <f t="shared" si="138"/>
        <v>-0.34</v>
      </c>
      <c r="K67" s="407">
        <f t="shared" si="139"/>
        <v>0.340001</v>
      </c>
      <c r="L67" s="408">
        <f t="shared" si="163"/>
        <v>0.02</v>
      </c>
      <c r="M67" s="409"/>
      <c r="N67" s="405">
        <v>-10</v>
      </c>
      <c r="O67" s="419">
        <v>-0.32</v>
      </c>
      <c r="P67" s="406">
        <f t="shared" si="140"/>
        <v>-0.27</v>
      </c>
      <c r="Q67" s="407">
        <f t="shared" si="141"/>
        <v>4.9999999999999989E-2</v>
      </c>
      <c r="R67" s="404">
        <f>(0.04-0)/2</f>
        <v>0.02</v>
      </c>
      <c r="S67" s="391"/>
      <c r="T67" s="405">
        <v>-10</v>
      </c>
      <c r="U67" s="419">
        <f t="shared" si="142"/>
        <v>-0.94</v>
      </c>
      <c r="V67" s="406"/>
      <c r="W67" s="407">
        <f t="shared" si="143"/>
        <v>8.666666666666667E-2</v>
      </c>
      <c r="X67" s="404">
        <f>(0.04-0)/2</f>
        <v>0.02</v>
      </c>
      <c r="Y67" s="391"/>
      <c r="Z67" s="405">
        <v>-10</v>
      </c>
      <c r="AA67" s="419">
        <f t="shared" si="144"/>
        <v>0.16</v>
      </c>
      <c r="AB67" s="406">
        <v>-0.08</v>
      </c>
      <c r="AC67" s="407">
        <f t="shared" si="145"/>
        <v>0.24</v>
      </c>
      <c r="AD67" s="404">
        <f>(0.04-0)/2</f>
        <v>0.02</v>
      </c>
      <c r="AE67" s="391"/>
      <c r="AF67" s="405">
        <v>-10</v>
      </c>
      <c r="AG67" s="419">
        <f t="shared" si="146"/>
        <v>0.18</v>
      </c>
      <c r="AH67" s="406">
        <v>0.17</v>
      </c>
      <c r="AI67" s="407">
        <f t="shared" si="147"/>
        <v>9.9999999999999811E-3</v>
      </c>
      <c r="AJ67" s="404">
        <f>(0.04-0)/2</f>
        <v>0.02</v>
      </c>
      <c r="AK67" s="391"/>
      <c r="AL67" s="405">
        <v>-10</v>
      </c>
      <c r="AM67" s="419">
        <f t="shared" si="148"/>
        <v>0.49</v>
      </c>
      <c r="AN67" s="406"/>
      <c r="AO67" s="407">
        <f t="shared" si="149"/>
        <v>8.3333333333333329E-2</v>
      </c>
      <c r="AP67" s="404">
        <f>(0.04-0)/2</f>
        <v>0.02</v>
      </c>
      <c r="AQ67" s="391"/>
      <c r="AR67" s="405">
        <v>-10</v>
      </c>
      <c r="AS67" s="419">
        <f t="shared" si="150"/>
        <v>0.38</v>
      </c>
      <c r="AT67" s="406"/>
      <c r="AU67" s="407">
        <f t="shared" si="151"/>
        <v>8.3333333333333329E-2</v>
      </c>
      <c r="AV67" s="404">
        <f>(0.04-0)/2</f>
        <v>0.02</v>
      </c>
      <c r="AW67" s="391"/>
      <c r="AX67" s="405">
        <v>-10</v>
      </c>
      <c r="AY67" s="419">
        <f t="shared" si="152"/>
        <v>0.53</v>
      </c>
      <c r="AZ67" s="406"/>
      <c r="BA67" s="407">
        <f t="shared" si="153"/>
        <v>0.26333333333333336</v>
      </c>
      <c r="BB67" s="404">
        <f>(0.04-0)/2</f>
        <v>0.02</v>
      </c>
      <c r="BC67" s="391"/>
      <c r="BD67" s="405">
        <v>-10</v>
      </c>
      <c r="BE67" s="419">
        <f t="shared" si="154"/>
        <v>-0.51</v>
      </c>
      <c r="BF67" s="406"/>
      <c r="BG67" s="407">
        <f t="shared" si="155"/>
        <v>8.666666666666667E-2</v>
      </c>
      <c r="BH67" s="404">
        <f>(0.04-0)/2</f>
        <v>0.02</v>
      </c>
      <c r="BI67" s="391"/>
      <c r="BJ67" s="405">
        <v>-10</v>
      </c>
      <c r="BK67" s="419">
        <f t="shared" si="156"/>
        <v>0.53</v>
      </c>
      <c r="BL67" s="406"/>
      <c r="BM67" s="407">
        <f t="shared" si="157"/>
        <v>0.26333333333333336</v>
      </c>
      <c r="BN67" s="404">
        <f>(0.04-0)/2</f>
        <v>0.02</v>
      </c>
      <c r="BO67" s="391"/>
      <c r="BP67" s="405">
        <v>-10</v>
      </c>
      <c r="BQ67" s="419">
        <f t="shared" si="158"/>
        <v>-0.84</v>
      </c>
      <c r="BR67" s="406"/>
      <c r="BS67" s="407">
        <f t="shared" si="159"/>
        <v>8.666666666666667E-2</v>
      </c>
      <c r="BT67" s="404">
        <f>(0.04-0)/2</f>
        <v>0.02</v>
      </c>
      <c r="BU67" s="391"/>
      <c r="BV67" s="405">
        <v>-10</v>
      </c>
      <c r="BW67" s="419">
        <f t="shared" si="160"/>
        <v>-0.91</v>
      </c>
      <c r="BX67" s="406"/>
      <c r="BY67" s="407">
        <f t="shared" si="161"/>
        <v>8.3333333333333329E-2</v>
      </c>
      <c r="BZ67" s="404">
        <f>(0.04-0)/2</f>
        <v>0.02</v>
      </c>
      <c r="CA67" s="391"/>
      <c r="CB67" s="405">
        <v>-10</v>
      </c>
      <c r="CC67" s="419">
        <f t="shared" si="133"/>
        <v>-1.2</v>
      </c>
      <c r="CD67" s="406">
        <f t="shared" ref="CD67:CD76" si="164">CD82</f>
        <v>-0.7</v>
      </c>
      <c r="CE67" s="407">
        <f t="shared" si="162"/>
        <v>0.5</v>
      </c>
      <c r="CF67" s="404">
        <f>(0.04-0)/2</f>
        <v>0.02</v>
      </c>
      <c r="CH67" s="405">
        <v>-10</v>
      </c>
      <c r="CI67" s="419">
        <f t="shared" si="134"/>
        <v>-0.05</v>
      </c>
      <c r="CJ67" s="406">
        <f t="shared" si="134"/>
        <v>-0.18</v>
      </c>
      <c r="CK67" s="407">
        <f t="shared" si="134"/>
        <v>0.13</v>
      </c>
      <c r="CL67" s="404">
        <f>(0.04-0)/2</f>
        <v>0.02</v>
      </c>
      <c r="CN67" s="405">
        <v>-10</v>
      </c>
      <c r="CO67" s="419">
        <f t="shared" si="135"/>
        <v>-1.26</v>
      </c>
      <c r="CP67" s="406">
        <f t="shared" si="135"/>
        <v>-0.28000000000000003</v>
      </c>
      <c r="CQ67" s="407">
        <f t="shared" si="135"/>
        <v>0.98</v>
      </c>
      <c r="CR67" s="404">
        <f>(0.04-0)/2</f>
        <v>0.02</v>
      </c>
    </row>
    <row r="68" spans="2:96">
      <c r="B68" s="405">
        <v>9.9999999999999995E-7</v>
      </c>
      <c r="C68" s="419">
        <v>-0.19</v>
      </c>
      <c r="D68" s="419">
        <f t="shared" si="136"/>
        <v>-0.34</v>
      </c>
      <c r="E68" s="407">
        <f t="shared" si="137"/>
        <v>0.15000000000000002</v>
      </c>
      <c r="F68" s="408">
        <f>(-0.4+1.01)/2</f>
        <v>0.30499999999999999</v>
      </c>
      <c r="G68" s="409"/>
      <c r="H68" s="405">
        <v>9.9999999999999995E-7</v>
      </c>
      <c r="I68" s="406">
        <v>-0.2</v>
      </c>
      <c r="J68" s="406">
        <f t="shared" si="138"/>
        <v>-0.22</v>
      </c>
      <c r="K68" s="407">
        <f t="shared" si="139"/>
        <v>1.999999999999999E-2</v>
      </c>
      <c r="L68" s="408">
        <f t="shared" si="163"/>
        <v>0.02</v>
      </c>
      <c r="M68" s="409"/>
      <c r="N68" s="405">
        <v>9.9999999999999995E-7</v>
      </c>
      <c r="O68" s="419">
        <v>-0.28999999999999998</v>
      </c>
      <c r="P68" s="406">
        <f t="shared" si="140"/>
        <v>-0.16</v>
      </c>
      <c r="Q68" s="407">
        <f t="shared" si="141"/>
        <v>0.12999999999999998</v>
      </c>
      <c r="R68" s="404">
        <f>(0.06-0)/2</f>
        <v>0.03</v>
      </c>
      <c r="S68" s="391"/>
      <c r="T68" s="405">
        <v>9.9999999999999995E-7</v>
      </c>
      <c r="U68" s="419">
        <f t="shared" si="142"/>
        <v>-0.3</v>
      </c>
      <c r="V68" s="406"/>
      <c r="W68" s="407">
        <f t="shared" si="143"/>
        <v>8.666666666666667E-2</v>
      </c>
      <c r="X68" s="404">
        <f>(0.06-0)/2</f>
        <v>0.03</v>
      </c>
      <c r="Y68" s="391"/>
      <c r="Z68" s="405">
        <v>9.9999999999999995E-7</v>
      </c>
      <c r="AA68" s="419">
        <f t="shared" si="144"/>
        <v>0.14000000000000001</v>
      </c>
      <c r="AB68" s="406">
        <v>-0.04</v>
      </c>
      <c r="AC68" s="407">
        <f t="shared" si="145"/>
        <v>0.18000000000000002</v>
      </c>
      <c r="AD68" s="404">
        <f>(0.06-0)/2</f>
        <v>0.03</v>
      </c>
      <c r="AE68" s="391"/>
      <c r="AF68" s="405">
        <v>9.9999999999999995E-7</v>
      </c>
      <c r="AG68" s="419">
        <f t="shared" si="146"/>
        <v>0.16</v>
      </c>
      <c r="AH68" s="406">
        <v>0.34</v>
      </c>
      <c r="AI68" s="407">
        <f t="shared" si="147"/>
        <v>0.18000000000000002</v>
      </c>
      <c r="AJ68" s="404">
        <f>(0.06-0)/2</f>
        <v>0.03</v>
      </c>
      <c r="AK68" s="391"/>
      <c r="AL68" s="405">
        <v>9.9999999999999995E-7</v>
      </c>
      <c r="AM68" s="419">
        <f t="shared" si="148"/>
        <v>0.43</v>
      </c>
      <c r="AN68" s="406"/>
      <c r="AO68" s="407">
        <f t="shared" si="149"/>
        <v>8.3333333333333329E-2</v>
      </c>
      <c r="AP68" s="404">
        <f>(0.06-0)/2</f>
        <v>0.03</v>
      </c>
      <c r="AQ68" s="391"/>
      <c r="AR68" s="405">
        <v>9.9999999999999995E-7</v>
      </c>
      <c r="AS68" s="419">
        <f t="shared" si="150"/>
        <v>0.39</v>
      </c>
      <c r="AT68" s="406"/>
      <c r="AU68" s="407">
        <f t="shared" si="151"/>
        <v>8.3333333333333329E-2</v>
      </c>
      <c r="AV68" s="404">
        <f>(0.06-0)/2</f>
        <v>0.03</v>
      </c>
      <c r="AW68" s="391"/>
      <c r="AX68" s="405">
        <v>9.9999999999999995E-7</v>
      </c>
      <c r="AY68" s="419">
        <f t="shared" si="152"/>
        <v>0.51</v>
      </c>
      <c r="AZ68" s="406"/>
      <c r="BA68" s="407">
        <f t="shared" si="153"/>
        <v>0.26333333333333336</v>
      </c>
      <c r="BB68" s="404">
        <f>(0.06-0)/2</f>
        <v>0.03</v>
      </c>
      <c r="BC68" s="391"/>
      <c r="BD68" s="405">
        <v>9.9999999999999995E-7</v>
      </c>
      <c r="BE68" s="419">
        <f t="shared" si="154"/>
        <v>-0.27</v>
      </c>
      <c r="BF68" s="406"/>
      <c r="BG68" s="407">
        <f t="shared" si="155"/>
        <v>8.666666666666667E-2</v>
      </c>
      <c r="BH68" s="404">
        <f>(0.06-0)/2</f>
        <v>0.03</v>
      </c>
      <c r="BI68" s="391"/>
      <c r="BJ68" s="405">
        <v>9.9999999999999995E-7</v>
      </c>
      <c r="BK68" s="419">
        <f t="shared" si="156"/>
        <v>0.51</v>
      </c>
      <c r="BL68" s="406"/>
      <c r="BM68" s="407">
        <f t="shared" si="157"/>
        <v>0.26333333333333336</v>
      </c>
      <c r="BN68" s="404">
        <f>(0.06-0)/2</f>
        <v>0.03</v>
      </c>
      <c r="BO68" s="391"/>
      <c r="BP68" s="405">
        <v>9.9999999999999995E-7</v>
      </c>
      <c r="BQ68" s="419">
        <f t="shared" si="158"/>
        <v>-0.56999999999999995</v>
      </c>
      <c r="BR68" s="406"/>
      <c r="BS68" s="407">
        <f t="shared" si="159"/>
        <v>8.666666666666667E-2</v>
      </c>
      <c r="BT68" s="404">
        <f>(0.06-0)/2</f>
        <v>0.03</v>
      </c>
      <c r="BU68" s="391"/>
      <c r="BV68" s="405">
        <v>9.9999999999999995E-7</v>
      </c>
      <c r="BW68" s="419">
        <f t="shared" si="160"/>
        <v>-0.51</v>
      </c>
      <c r="BX68" s="406"/>
      <c r="BY68" s="407">
        <f t="shared" si="161"/>
        <v>8.3333333333333329E-2</v>
      </c>
      <c r="BZ68" s="404">
        <f>(0.06-0)/2</f>
        <v>0.03</v>
      </c>
      <c r="CA68" s="391"/>
      <c r="CB68" s="405">
        <v>9.9999999999999995E-7</v>
      </c>
      <c r="CC68" s="419">
        <f t="shared" si="133"/>
        <v>-1.4</v>
      </c>
      <c r="CD68" s="406">
        <f t="shared" si="164"/>
        <v>-0.7</v>
      </c>
      <c r="CE68" s="407">
        <f t="shared" si="162"/>
        <v>0.7</v>
      </c>
      <c r="CF68" s="404">
        <f>(0.06-0)/2</f>
        <v>0.03</v>
      </c>
      <c r="CH68" s="405">
        <v>9.9999999999999995E-7</v>
      </c>
      <c r="CI68" s="419">
        <f t="shared" si="134"/>
        <v>0.03</v>
      </c>
      <c r="CJ68" s="406">
        <f t="shared" si="134"/>
        <v>-0.06</v>
      </c>
      <c r="CK68" s="407">
        <f t="shared" si="134"/>
        <v>0.09</v>
      </c>
      <c r="CL68" s="404">
        <f>(0.06-0)/2</f>
        <v>0.03</v>
      </c>
      <c r="CN68" s="405">
        <v>9.9999999999999995E-7</v>
      </c>
      <c r="CO68" s="419">
        <f t="shared" si="135"/>
        <v>-0.79</v>
      </c>
      <c r="CP68" s="406">
        <f t="shared" si="135"/>
        <v>-0.08</v>
      </c>
      <c r="CQ68" s="407">
        <f t="shared" si="135"/>
        <v>0.71000000000000008</v>
      </c>
      <c r="CR68" s="404">
        <f>(0.06-0)/2</f>
        <v>0.03</v>
      </c>
    </row>
    <row r="69" spans="2:96">
      <c r="B69" s="405">
        <v>2</v>
      </c>
      <c r="C69" s="419">
        <v>-0.17</v>
      </c>
      <c r="D69" s="419">
        <f t="shared" si="136"/>
        <v>-0.31</v>
      </c>
      <c r="E69" s="407">
        <f t="shared" si="137"/>
        <v>0.13999999999999999</v>
      </c>
      <c r="F69" s="408">
        <f>(-0.38+0.93)/2</f>
        <v>0.27500000000000002</v>
      </c>
      <c r="G69" s="409"/>
      <c r="H69" s="405">
        <v>2</v>
      </c>
      <c r="I69" s="406">
        <v>-0.17</v>
      </c>
      <c r="J69" s="406">
        <f t="shared" si="138"/>
        <v>-0.19</v>
      </c>
      <c r="K69" s="407">
        <f t="shared" si="139"/>
        <v>1.999999999999999E-2</v>
      </c>
      <c r="L69" s="408">
        <f t="shared" si="163"/>
        <v>0.02</v>
      </c>
      <c r="M69" s="409"/>
      <c r="N69" s="405">
        <v>2</v>
      </c>
      <c r="O69" s="419">
        <v>-0.27</v>
      </c>
      <c r="P69" s="406">
        <f t="shared" si="140"/>
        <v>-0.14000000000000001</v>
      </c>
      <c r="Q69" s="407">
        <f t="shared" si="141"/>
        <v>0.13</v>
      </c>
      <c r="R69" s="404">
        <f>(0.07-0)/2</f>
        <v>3.5000000000000003E-2</v>
      </c>
      <c r="S69" s="391"/>
      <c r="T69" s="405">
        <v>2</v>
      </c>
      <c r="U69" s="419">
        <f t="shared" si="142"/>
        <v>-0.62</v>
      </c>
      <c r="V69" s="406"/>
      <c r="W69" s="407">
        <f t="shared" si="143"/>
        <v>8.666666666666667E-2</v>
      </c>
      <c r="X69" s="404">
        <f>(0.07-0)/2</f>
        <v>3.5000000000000003E-2</v>
      </c>
      <c r="Y69" s="391"/>
      <c r="Z69" s="405">
        <v>2</v>
      </c>
      <c r="AA69" s="419">
        <f t="shared" si="144"/>
        <v>0.16</v>
      </c>
      <c r="AB69" s="406">
        <v>0.08</v>
      </c>
      <c r="AC69" s="407">
        <f t="shared" si="145"/>
        <v>0.08</v>
      </c>
      <c r="AD69" s="404">
        <f>(0.07-0)/2</f>
        <v>3.5000000000000003E-2</v>
      </c>
      <c r="AE69" s="391"/>
      <c r="AF69" s="405">
        <v>2</v>
      </c>
      <c r="AG69" s="419">
        <f t="shared" si="146"/>
        <v>0.18</v>
      </c>
      <c r="AH69" s="406">
        <v>0.37</v>
      </c>
      <c r="AI69" s="407">
        <f t="shared" si="147"/>
        <v>0.19</v>
      </c>
      <c r="AJ69" s="404">
        <f>(0.07-0)/2</f>
        <v>3.5000000000000003E-2</v>
      </c>
      <c r="AK69" s="391"/>
      <c r="AL69" s="405">
        <v>2</v>
      </c>
      <c r="AM69" s="419">
        <f t="shared" si="148"/>
        <v>0.46</v>
      </c>
      <c r="AN69" s="406"/>
      <c r="AO69" s="407">
        <f t="shared" si="149"/>
        <v>8.3333333333333329E-2</v>
      </c>
      <c r="AP69" s="404">
        <f>(0.07-0)/2</f>
        <v>3.5000000000000003E-2</v>
      </c>
      <c r="AQ69" s="391"/>
      <c r="AR69" s="405">
        <v>2</v>
      </c>
      <c r="AS69" s="419">
        <f t="shared" si="150"/>
        <v>0.38</v>
      </c>
      <c r="AT69" s="406"/>
      <c r="AU69" s="407">
        <f t="shared" si="151"/>
        <v>8.3333333333333329E-2</v>
      </c>
      <c r="AV69" s="404">
        <f>(0.07-0)/2</f>
        <v>3.5000000000000003E-2</v>
      </c>
      <c r="AW69" s="391"/>
      <c r="AX69" s="405">
        <v>2</v>
      </c>
      <c r="AY69" s="419">
        <f t="shared" si="152"/>
        <v>0.5</v>
      </c>
      <c r="AZ69" s="406"/>
      <c r="BA69" s="407">
        <f t="shared" si="153"/>
        <v>0.26333333333333336</v>
      </c>
      <c r="BB69" s="404">
        <f>(0.07-0)/2</f>
        <v>3.5000000000000003E-2</v>
      </c>
      <c r="BC69" s="391"/>
      <c r="BD69" s="405">
        <v>2</v>
      </c>
      <c r="BE69" s="419">
        <f t="shared" si="154"/>
        <v>-0.3</v>
      </c>
      <c r="BF69" s="406"/>
      <c r="BG69" s="407">
        <f t="shared" si="155"/>
        <v>8.666666666666667E-2</v>
      </c>
      <c r="BH69" s="404">
        <f>(0.07-0)/2</f>
        <v>3.5000000000000003E-2</v>
      </c>
      <c r="BI69" s="391"/>
      <c r="BJ69" s="405">
        <v>2</v>
      </c>
      <c r="BK69" s="419">
        <f t="shared" si="156"/>
        <v>0.5</v>
      </c>
      <c r="BL69" s="406"/>
      <c r="BM69" s="407">
        <f t="shared" si="157"/>
        <v>0.26333333333333336</v>
      </c>
      <c r="BN69" s="404">
        <f>(0.07-0)/2</f>
        <v>3.5000000000000003E-2</v>
      </c>
      <c r="BO69" s="391"/>
      <c r="BP69" s="405">
        <v>2</v>
      </c>
      <c r="BQ69" s="419">
        <f t="shared" si="158"/>
        <v>-0.56000000000000005</v>
      </c>
      <c r="BR69" s="406"/>
      <c r="BS69" s="407">
        <f t="shared" si="159"/>
        <v>8.666666666666667E-2</v>
      </c>
      <c r="BT69" s="404">
        <f>(0.07-0)/2</f>
        <v>3.5000000000000003E-2</v>
      </c>
      <c r="BU69" s="391"/>
      <c r="BV69" s="405">
        <v>2</v>
      </c>
      <c r="BW69" s="419">
        <f t="shared" si="160"/>
        <v>-0.56999999999999995</v>
      </c>
      <c r="BX69" s="406"/>
      <c r="BY69" s="407">
        <f t="shared" si="161"/>
        <v>8.3333333333333329E-2</v>
      </c>
      <c r="BZ69" s="404">
        <f>(0.07-0)/2</f>
        <v>3.5000000000000003E-2</v>
      </c>
      <c r="CA69" s="391"/>
      <c r="CB69" s="405">
        <v>2</v>
      </c>
      <c r="CC69" s="419">
        <f t="shared" si="133"/>
        <v>0</v>
      </c>
      <c r="CD69" s="406">
        <f t="shared" si="164"/>
        <v>-0.7</v>
      </c>
      <c r="CE69" s="407">
        <f t="shared" si="162"/>
        <v>0.19999999999999998</v>
      </c>
      <c r="CF69" s="404">
        <f>(0.07-0)/2</f>
        <v>3.5000000000000003E-2</v>
      </c>
      <c r="CH69" s="405">
        <v>2</v>
      </c>
      <c r="CI69" s="419">
        <f t="shared" si="134"/>
        <v>0.04</v>
      </c>
      <c r="CJ69" s="406">
        <f t="shared" si="134"/>
        <v>-0.04</v>
      </c>
      <c r="CK69" s="407">
        <f t="shared" si="134"/>
        <v>0.08</v>
      </c>
      <c r="CL69" s="404">
        <f>(0.07-0)/2</f>
        <v>3.5000000000000003E-2</v>
      </c>
      <c r="CN69" s="405">
        <v>2</v>
      </c>
      <c r="CO69" s="419">
        <f t="shared" si="135"/>
        <v>-0.7</v>
      </c>
      <c r="CP69" s="406">
        <f t="shared" si="135"/>
        <v>-0.05</v>
      </c>
      <c r="CQ69" s="407">
        <f t="shared" si="135"/>
        <v>0.64999999999999991</v>
      </c>
      <c r="CR69" s="404">
        <f>(0.07-0)/2</f>
        <v>3.5000000000000003E-2</v>
      </c>
    </row>
    <row r="70" spans="2:96">
      <c r="B70" s="405">
        <v>8</v>
      </c>
      <c r="C70" s="419">
        <v>-0.11</v>
      </c>
      <c r="D70" s="419">
        <f t="shared" si="136"/>
        <v>-0.23</v>
      </c>
      <c r="E70" s="407">
        <f t="shared" si="137"/>
        <v>0.12000000000000001</v>
      </c>
      <c r="F70" s="408">
        <f>(-0.34+0.68)/2</f>
        <v>0.17</v>
      </c>
      <c r="G70" s="409"/>
      <c r="H70" s="405">
        <v>8</v>
      </c>
      <c r="I70" s="406">
        <v>-0.08</v>
      </c>
      <c r="J70" s="406">
        <f t="shared" si="138"/>
        <v>-0.12</v>
      </c>
      <c r="K70" s="407">
        <f t="shared" si="139"/>
        <v>3.9999999999999994E-2</v>
      </c>
      <c r="L70" s="408">
        <f t="shared" si="163"/>
        <v>0.02</v>
      </c>
      <c r="M70" s="409"/>
      <c r="N70" s="405">
        <v>8</v>
      </c>
      <c r="O70" s="419">
        <v>-0.16</v>
      </c>
      <c r="P70" s="406">
        <f t="shared" si="140"/>
        <v>-0.09</v>
      </c>
      <c r="Q70" s="407">
        <f t="shared" si="141"/>
        <v>7.0000000000000007E-2</v>
      </c>
      <c r="R70" s="404">
        <f>(0.08-0)/2</f>
        <v>0.04</v>
      </c>
      <c r="S70" s="391"/>
      <c r="T70" s="405">
        <v>8</v>
      </c>
      <c r="U70" s="419">
        <f t="shared" si="142"/>
        <v>-0.34</v>
      </c>
      <c r="V70" s="406"/>
      <c r="W70" s="407">
        <f t="shared" si="143"/>
        <v>8.666666666666667E-2</v>
      </c>
      <c r="X70" s="404">
        <f>(0.08-0)/2</f>
        <v>0.04</v>
      </c>
      <c r="Y70" s="391"/>
      <c r="Z70" s="405">
        <v>8</v>
      </c>
      <c r="AA70" s="419">
        <f t="shared" si="144"/>
        <v>0.15</v>
      </c>
      <c r="AB70" s="406">
        <v>0.47</v>
      </c>
      <c r="AC70" s="407">
        <f t="shared" si="145"/>
        <v>0.31999999999999995</v>
      </c>
      <c r="AD70" s="404">
        <f>(0.08-0)/2</f>
        <v>0.04</v>
      </c>
      <c r="AE70" s="391"/>
      <c r="AF70" s="405">
        <v>8</v>
      </c>
      <c r="AG70" s="419">
        <f t="shared" si="146"/>
        <v>0.17</v>
      </c>
      <c r="AH70" s="406">
        <v>0.45</v>
      </c>
      <c r="AI70" s="407">
        <f t="shared" si="147"/>
        <v>0.28000000000000003</v>
      </c>
      <c r="AJ70" s="404">
        <f>(0.08-0)/2</f>
        <v>0.04</v>
      </c>
      <c r="AK70" s="391"/>
      <c r="AL70" s="405">
        <v>8</v>
      </c>
      <c r="AM70" s="419">
        <f t="shared" si="148"/>
        <v>0.45</v>
      </c>
      <c r="AN70" s="406"/>
      <c r="AO70" s="407">
        <f t="shared" si="149"/>
        <v>8.3333333333333329E-2</v>
      </c>
      <c r="AP70" s="404">
        <f>(0.08-0)/2</f>
        <v>0.04</v>
      </c>
      <c r="AQ70" s="391"/>
      <c r="AR70" s="405">
        <v>8</v>
      </c>
      <c r="AS70" s="419">
        <f t="shared" si="150"/>
        <v>0.37</v>
      </c>
      <c r="AT70" s="406"/>
      <c r="AU70" s="407">
        <f t="shared" si="151"/>
        <v>8.3333333333333329E-2</v>
      </c>
      <c r="AV70" s="404">
        <f>(0.08-0)/2</f>
        <v>0.04</v>
      </c>
      <c r="AW70" s="391"/>
      <c r="AX70" s="405">
        <v>8</v>
      </c>
      <c r="AY70" s="419">
        <f t="shared" si="152"/>
        <v>0.49</v>
      </c>
      <c r="AZ70" s="406"/>
      <c r="BA70" s="407">
        <f t="shared" si="153"/>
        <v>0.26333333333333336</v>
      </c>
      <c r="BB70" s="404">
        <f>(0.08-0)/2</f>
        <v>0.04</v>
      </c>
      <c r="BC70" s="391"/>
      <c r="BD70" s="405">
        <v>8</v>
      </c>
      <c r="BE70" s="419">
        <f t="shared" si="154"/>
        <v>-0.06</v>
      </c>
      <c r="BF70" s="406"/>
      <c r="BG70" s="407">
        <f t="shared" si="155"/>
        <v>8.666666666666667E-2</v>
      </c>
      <c r="BH70" s="404">
        <f>(0.08-0)/2</f>
        <v>0.04</v>
      </c>
      <c r="BI70" s="391"/>
      <c r="BJ70" s="405">
        <v>8</v>
      </c>
      <c r="BK70" s="419">
        <f t="shared" si="156"/>
        <v>0.49</v>
      </c>
      <c r="BL70" s="406"/>
      <c r="BM70" s="407">
        <f t="shared" si="157"/>
        <v>0.26333333333333336</v>
      </c>
      <c r="BN70" s="404">
        <f>(0.08-0)/2</f>
        <v>0.04</v>
      </c>
      <c r="BO70" s="391"/>
      <c r="BP70" s="405">
        <v>8</v>
      </c>
      <c r="BQ70" s="419">
        <f t="shared" si="158"/>
        <v>-0.3</v>
      </c>
      <c r="BR70" s="406"/>
      <c r="BS70" s="407">
        <f t="shared" si="159"/>
        <v>8.666666666666667E-2</v>
      </c>
      <c r="BT70" s="404">
        <f>(0.08-0)/2</f>
        <v>0.04</v>
      </c>
      <c r="BU70" s="391"/>
      <c r="BV70" s="405">
        <v>8</v>
      </c>
      <c r="BW70" s="419">
        <f t="shared" si="160"/>
        <v>-0.31</v>
      </c>
      <c r="BX70" s="406"/>
      <c r="BY70" s="407">
        <f t="shared" si="161"/>
        <v>8.3333333333333329E-2</v>
      </c>
      <c r="BZ70" s="404">
        <f>(0.08-0)/2</f>
        <v>0.04</v>
      </c>
      <c r="CA70" s="391"/>
      <c r="CB70" s="405">
        <v>8</v>
      </c>
      <c r="CC70" s="419">
        <f t="shared" si="133"/>
        <v>0</v>
      </c>
      <c r="CD70" s="406">
        <f t="shared" si="164"/>
        <v>-0.7</v>
      </c>
      <c r="CE70" s="407">
        <f t="shared" si="162"/>
        <v>0.19999999999999998</v>
      </c>
      <c r="CF70" s="404">
        <f>(0.08-0)/2</f>
        <v>0.04</v>
      </c>
      <c r="CH70" s="405">
        <v>8</v>
      </c>
      <c r="CI70" s="419">
        <f t="shared" si="134"/>
        <v>0.08</v>
      </c>
      <c r="CJ70" s="406">
        <f t="shared" si="134"/>
        <v>0.01</v>
      </c>
      <c r="CK70" s="407">
        <f t="shared" si="134"/>
        <v>7.0000000000000007E-2</v>
      </c>
      <c r="CL70" s="404">
        <f>(0.08-0)/2</f>
        <v>0.04</v>
      </c>
      <c r="CN70" s="405">
        <v>8</v>
      </c>
      <c r="CO70" s="419">
        <f t="shared" si="135"/>
        <v>-0.46</v>
      </c>
      <c r="CP70" s="406">
        <f t="shared" si="135"/>
        <v>0.06</v>
      </c>
      <c r="CQ70" s="407">
        <f t="shared" si="135"/>
        <v>0.52</v>
      </c>
      <c r="CR70" s="404">
        <f>(0.08-0)/2</f>
        <v>0.04</v>
      </c>
    </row>
    <row r="71" spans="2:96">
      <c r="B71" s="405">
        <v>37</v>
      </c>
      <c r="C71" s="419">
        <v>0.09</v>
      </c>
      <c r="D71" s="419">
        <f t="shared" si="136"/>
        <v>0.15</v>
      </c>
      <c r="E71" s="407">
        <f t="shared" si="137"/>
        <v>0.06</v>
      </c>
      <c r="F71" s="408">
        <f>(0.23+0.22)/2</f>
        <v>0.22500000000000001</v>
      </c>
      <c r="G71" s="409"/>
      <c r="H71" s="405">
        <v>37</v>
      </c>
      <c r="I71" s="406">
        <v>0.17</v>
      </c>
      <c r="J71" s="406">
        <f t="shared" si="138"/>
        <v>0.18</v>
      </c>
      <c r="K71" s="407">
        <f t="shared" si="139"/>
        <v>9.9999999999999811E-3</v>
      </c>
      <c r="L71" s="408">
        <f>(0+0.05)/2</f>
        <v>2.5000000000000001E-2</v>
      </c>
      <c r="M71" s="409"/>
      <c r="N71" s="405">
        <v>37</v>
      </c>
      <c r="O71" s="419">
        <v>-0.13</v>
      </c>
      <c r="P71" s="406">
        <f t="shared" si="140"/>
        <v>0.02</v>
      </c>
      <c r="Q71" s="407">
        <f t="shared" si="141"/>
        <v>0.15</v>
      </c>
      <c r="R71" s="404">
        <f>(0.13-0)/2</f>
        <v>6.5000000000000002E-2</v>
      </c>
      <c r="S71" s="391"/>
      <c r="T71" s="405">
        <v>37</v>
      </c>
      <c r="U71" s="419">
        <f t="shared" si="142"/>
        <v>0.56000000000000005</v>
      </c>
      <c r="V71" s="406"/>
      <c r="W71" s="407">
        <f t="shared" si="143"/>
        <v>8.666666666666667E-2</v>
      </c>
      <c r="X71" s="404">
        <f>(0.13-0)/2</f>
        <v>6.5000000000000002E-2</v>
      </c>
      <c r="Y71" s="391"/>
      <c r="Z71" s="405">
        <v>37</v>
      </c>
      <c r="AA71" s="419">
        <f t="shared" si="144"/>
        <v>0.15</v>
      </c>
      <c r="AB71" s="406">
        <v>0.53</v>
      </c>
      <c r="AC71" s="407">
        <f t="shared" si="145"/>
        <v>0.38</v>
      </c>
      <c r="AD71" s="404">
        <f>(0.13-0)/2</f>
        <v>6.5000000000000002E-2</v>
      </c>
      <c r="AE71" s="391"/>
      <c r="AF71" s="405">
        <v>37</v>
      </c>
      <c r="AG71" s="419">
        <f t="shared" si="146"/>
        <v>0.17</v>
      </c>
      <c r="AH71" s="406">
        <v>0.68</v>
      </c>
      <c r="AI71" s="407">
        <f t="shared" si="147"/>
        <v>0.51</v>
      </c>
      <c r="AJ71" s="404">
        <f>(0.13-0)/2</f>
        <v>6.5000000000000002E-2</v>
      </c>
      <c r="AK71" s="391"/>
      <c r="AL71" s="405">
        <v>37</v>
      </c>
      <c r="AM71" s="419">
        <f t="shared" si="148"/>
        <v>0.43</v>
      </c>
      <c r="AN71" s="406"/>
      <c r="AO71" s="407">
        <f t="shared" si="149"/>
        <v>8.3333333333333329E-2</v>
      </c>
      <c r="AP71" s="404">
        <f>(0.13-0)/2</f>
        <v>6.5000000000000002E-2</v>
      </c>
      <c r="AQ71" s="391"/>
      <c r="AR71" s="405">
        <v>37</v>
      </c>
      <c r="AS71" s="419">
        <f t="shared" si="150"/>
        <v>0.33</v>
      </c>
      <c r="AT71" s="406"/>
      <c r="AU71" s="407">
        <f t="shared" si="151"/>
        <v>8.3333333333333329E-2</v>
      </c>
      <c r="AV71" s="404">
        <f>(0.13-0)/2</f>
        <v>6.5000000000000002E-2</v>
      </c>
      <c r="AW71" s="391"/>
      <c r="AX71" s="405">
        <v>37</v>
      </c>
      <c r="AY71" s="419">
        <f t="shared" si="152"/>
        <v>0.42</v>
      </c>
      <c r="AZ71" s="406"/>
      <c r="BA71" s="407">
        <f t="shared" si="153"/>
        <v>0.26333333333333336</v>
      </c>
      <c r="BB71" s="404">
        <f>(0.13-0)/2</f>
        <v>6.5000000000000002E-2</v>
      </c>
      <c r="BC71" s="391"/>
      <c r="BD71" s="405">
        <v>37</v>
      </c>
      <c r="BE71" s="419">
        <f t="shared" si="154"/>
        <v>0.69</v>
      </c>
      <c r="BF71" s="406"/>
      <c r="BG71" s="407">
        <f t="shared" si="155"/>
        <v>8.666666666666667E-2</v>
      </c>
      <c r="BH71" s="404">
        <f>(0.13-0)/2</f>
        <v>6.5000000000000002E-2</v>
      </c>
      <c r="BI71" s="391"/>
      <c r="BJ71" s="405">
        <v>37</v>
      </c>
      <c r="BK71" s="419">
        <f t="shared" si="156"/>
        <v>0.42</v>
      </c>
      <c r="BL71" s="406"/>
      <c r="BM71" s="407">
        <f t="shared" si="157"/>
        <v>0.26333333333333336</v>
      </c>
      <c r="BN71" s="404">
        <f>(0.13-0)/2</f>
        <v>6.5000000000000002E-2</v>
      </c>
      <c r="BO71" s="391"/>
      <c r="BP71" s="405">
        <v>37</v>
      </c>
      <c r="BQ71" s="419">
        <f t="shared" si="158"/>
        <v>0.47</v>
      </c>
      <c r="BR71" s="406"/>
      <c r="BS71" s="407">
        <f t="shared" si="159"/>
        <v>8.666666666666667E-2</v>
      </c>
      <c r="BT71" s="404">
        <f>(0.13-0)/2</f>
        <v>6.5000000000000002E-2</v>
      </c>
      <c r="BU71" s="391"/>
      <c r="BV71" s="405">
        <v>37</v>
      </c>
      <c r="BW71" s="419">
        <f t="shared" si="160"/>
        <v>0.55000000000000004</v>
      </c>
      <c r="BX71" s="406"/>
      <c r="BY71" s="407">
        <f t="shared" si="161"/>
        <v>8.3333333333333329E-2</v>
      </c>
      <c r="BZ71" s="404">
        <f>(0.13-0)/2</f>
        <v>6.5000000000000002E-2</v>
      </c>
      <c r="CA71" s="391"/>
      <c r="CB71" s="405">
        <v>37</v>
      </c>
      <c r="CC71" s="419">
        <f t="shared" si="133"/>
        <v>0</v>
      </c>
      <c r="CD71" s="406">
        <f t="shared" si="164"/>
        <v>-0.6</v>
      </c>
      <c r="CE71" s="407">
        <f t="shared" si="162"/>
        <v>0.19999999999999998</v>
      </c>
      <c r="CF71" s="404">
        <f>(0.13-0)/2</f>
        <v>6.5000000000000002E-2</v>
      </c>
      <c r="CH71" s="405">
        <v>37</v>
      </c>
      <c r="CI71" s="419">
        <f t="shared" si="134"/>
        <v>0.23</v>
      </c>
      <c r="CJ71" s="406">
        <f t="shared" si="134"/>
        <v>0.19</v>
      </c>
      <c r="CK71" s="407">
        <f t="shared" si="134"/>
        <v>4.0000000000000008E-2</v>
      </c>
      <c r="CL71" s="404">
        <f>(0.13-0)/2</f>
        <v>6.5000000000000002E-2</v>
      </c>
      <c r="CN71" s="405">
        <v>37</v>
      </c>
      <c r="CO71" s="419">
        <f t="shared" si="135"/>
        <v>0.42</v>
      </c>
      <c r="CP71" s="406">
        <f t="shared" si="135"/>
        <v>0.45</v>
      </c>
      <c r="CQ71" s="407">
        <f t="shared" si="135"/>
        <v>3.0000000000000027E-2</v>
      </c>
      <c r="CR71" s="404">
        <f>(0.13-0)/2</f>
        <v>6.5000000000000002E-2</v>
      </c>
    </row>
    <row r="72" spans="2:96">
      <c r="B72" s="405">
        <v>44</v>
      </c>
      <c r="C72" s="419">
        <v>0.12</v>
      </c>
      <c r="D72" s="419">
        <f t="shared" si="136"/>
        <v>0.24</v>
      </c>
      <c r="E72" s="407">
        <f t="shared" si="137"/>
        <v>0.12</v>
      </c>
      <c r="F72" s="408">
        <f>(0.38+0.2)/2</f>
        <v>0.29000000000000004</v>
      </c>
      <c r="G72" s="409"/>
      <c r="H72" s="405">
        <v>44</v>
      </c>
      <c r="I72" s="406">
        <v>0.19</v>
      </c>
      <c r="J72" s="406">
        <f t="shared" si="138"/>
        <v>0.25</v>
      </c>
      <c r="K72" s="407">
        <f t="shared" si="139"/>
        <v>0.06</v>
      </c>
      <c r="L72" s="408">
        <f>(0+0.05)/2</f>
        <v>2.5000000000000001E-2</v>
      </c>
      <c r="M72" s="409"/>
      <c r="N72" s="405">
        <v>44</v>
      </c>
      <c r="O72" s="419">
        <v>-0.18</v>
      </c>
      <c r="P72" s="406">
        <f t="shared" si="140"/>
        <v>0.03</v>
      </c>
      <c r="Q72" s="407">
        <f t="shared" si="141"/>
        <v>0.21</v>
      </c>
      <c r="R72" s="404">
        <f>(0.14-0)/2</f>
        <v>7.0000000000000007E-2</v>
      </c>
      <c r="S72" s="391"/>
      <c r="T72" s="405">
        <v>44</v>
      </c>
      <c r="U72" s="419">
        <f t="shared" si="142"/>
        <v>0.69</v>
      </c>
      <c r="V72" s="406"/>
      <c r="W72" s="407">
        <f t="shared" si="143"/>
        <v>8.666666666666667E-2</v>
      </c>
      <c r="X72" s="404">
        <f>(0.14-0)/2</f>
        <v>7.0000000000000007E-2</v>
      </c>
      <c r="Y72" s="391"/>
      <c r="Z72" s="405">
        <v>44</v>
      </c>
      <c r="AA72" s="419">
        <f t="shared" si="144"/>
        <v>0.16</v>
      </c>
      <c r="AB72" s="406">
        <v>0.56999999999999995</v>
      </c>
      <c r="AC72" s="407">
        <f t="shared" si="145"/>
        <v>0.40999999999999992</v>
      </c>
      <c r="AD72" s="404">
        <f>(0.14-0)/2</f>
        <v>7.0000000000000007E-2</v>
      </c>
      <c r="AE72" s="391"/>
      <c r="AF72" s="405">
        <v>44</v>
      </c>
      <c r="AG72" s="419">
        <f t="shared" si="146"/>
        <v>0.17</v>
      </c>
      <c r="AH72" s="406">
        <v>0.71</v>
      </c>
      <c r="AI72" s="407">
        <f t="shared" si="147"/>
        <v>0.53999999999999992</v>
      </c>
      <c r="AJ72" s="404">
        <f>(0.14-0)/2</f>
        <v>7.0000000000000007E-2</v>
      </c>
      <c r="AK72" s="391"/>
      <c r="AL72" s="405">
        <v>44</v>
      </c>
      <c r="AM72" s="419">
        <f t="shared" si="148"/>
        <v>0.44</v>
      </c>
      <c r="AN72" s="406"/>
      <c r="AO72" s="407">
        <f t="shared" si="149"/>
        <v>8.3333333333333329E-2</v>
      </c>
      <c r="AP72" s="404">
        <f>(0.14-0)/2</f>
        <v>7.0000000000000007E-2</v>
      </c>
      <c r="AQ72" s="391"/>
      <c r="AR72" s="405">
        <v>44</v>
      </c>
      <c r="AS72" s="419">
        <f t="shared" si="150"/>
        <v>0.33</v>
      </c>
      <c r="AT72" s="406"/>
      <c r="AU72" s="407">
        <f t="shared" si="151"/>
        <v>8.3333333333333329E-2</v>
      </c>
      <c r="AV72" s="404">
        <f>(0.14-0)/2</f>
        <v>7.0000000000000007E-2</v>
      </c>
      <c r="AW72" s="391"/>
      <c r="AX72" s="405">
        <v>44</v>
      </c>
      <c r="AY72" s="419">
        <f t="shared" si="152"/>
        <v>0.4</v>
      </c>
      <c r="AZ72" s="406"/>
      <c r="BA72" s="407">
        <f t="shared" si="153"/>
        <v>0.26333333333333336</v>
      </c>
      <c r="BB72" s="404">
        <f>(0.14-0)/2</f>
        <v>7.0000000000000007E-2</v>
      </c>
      <c r="BC72" s="391"/>
      <c r="BD72" s="405">
        <v>44</v>
      </c>
      <c r="BE72" s="419">
        <f t="shared" si="154"/>
        <v>0.78</v>
      </c>
      <c r="BF72" s="406"/>
      <c r="BG72" s="407">
        <f t="shared" si="155"/>
        <v>8.666666666666667E-2</v>
      </c>
      <c r="BH72" s="404">
        <f>(0.14-0)/2</f>
        <v>7.0000000000000007E-2</v>
      </c>
      <c r="BI72" s="391"/>
      <c r="BJ72" s="405">
        <v>44</v>
      </c>
      <c r="BK72" s="419">
        <f t="shared" si="156"/>
        <v>0.4</v>
      </c>
      <c r="BL72" s="406"/>
      <c r="BM72" s="407">
        <f t="shared" si="157"/>
        <v>0.26333333333333336</v>
      </c>
      <c r="BN72" s="404">
        <f>(0.14-0)/2</f>
        <v>7.0000000000000007E-2</v>
      </c>
      <c r="BO72" s="391"/>
      <c r="BP72" s="405">
        <v>44</v>
      </c>
      <c r="BQ72" s="419">
        <f t="shared" si="158"/>
        <v>0.56000000000000005</v>
      </c>
      <c r="BR72" s="406"/>
      <c r="BS72" s="407">
        <f t="shared" si="159"/>
        <v>8.666666666666667E-2</v>
      </c>
      <c r="BT72" s="404">
        <f>(0.14-0)/2</f>
        <v>7.0000000000000007E-2</v>
      </c>
      <c r="BU72" s="391"/>
      <c r="BV72" s="405">
        <v>44</v>
      </c>
      <c r="BW72" s="419">
        <f t="shared" si="160"/>
        <v>0.67</v>
      </c>
      <c r="BX72" s="406"/>
      <c r="BY72" s="407">
        <f t="shared" si="161"/>
        <v>8.3333333333333329E-2</v>
      </c>
      <c r="BZ72" s="404">
        <f>(0.14-0)/2</f>
        <v>7.0000000000000007E-2</v>
      </c>
      <c r="CA72" s="391"/>
      <c r="CB72" s="405">
        <v>44</v>
      </c>
      <c r="CC72" s="419">
        <f t="shared" si="133"/>
        <v>0</v>
      </c>
      <c r="CD72" s="406">
        <f t="shared" si="164"/>
        <v>-0.7</v>
      </c>
      <c r="CE72" s="407">
        <f t="shared" si="162"/>
        <v>0.19999999999999998</v>
      </c>
      <c r="CF72" s="404">
        <f>(0.14-0)/2</f>
        <v>7.0000000000000007E-2</v>
      </c>
      <c r="CH72" s="405">
        <v>44</v>
      </c>
      <c r="CI72" s="419">
        <f t="shared" si="134"/>
        <v>0.25</v>
      </c>
      <c r="CJ72" s="406">
        <f t="shared" si="134"/>
        <v>0.21</v>
      </c>
      <c r="CK72" s="407">
        <f t="shared" si="134"/>
        <v>4.0000000000000008E-2</v>
      </c>
      <c r="CL72" s="404">
        <f>(0.14-0)/2</f>
        <v>7.0000000000000007E-2</v>
      </c>
      <c r="CN72" s="405">
        <v>44</v>
      </c>
      <c r="CO72" s="419">
        <f t="shared" si="135"/>
        <v>0.56999999999999995</v>
      </c>
      <c r="CP72" s="406">
        <f t="shared" si="135"/>
        <v>0.52</v>
      </c>
      <c r="CQ72" s="407">
        <f t="shared" si="135"/>
        <v>4.9999999999999933E-2</v>
      </c>
      <c r="CR72" s="404">
        <f>(0.14-0)/2</f>
        <v>7.0000000000000007E-2</v>
      </c>
    </row>
    <row r="73" spans="2:96">
      <c r="B73" s="405">
        <v>50</v>
      </c>
      <c r="C73" s="419">
        <v>0.15</v>
      </c>
      <c r="D73" s="419">
        <f t="shared" si="136"/>
        <v>0.31</v>
      </c>
      <c r="E73" s="407">
        <f t="shared" si="137"/>
        <v>0.16</v>
      </c>
      <c r="F73" s="408">
        <f>(0.5+0.2)/2</f>
        <v>0.35</v>
      </c>
      <c r="G73" s="409"/>
      <c r="H73" s="405">
        <v>50</v>
      </c>
      <c r="I73" s="406">
        <v>0.2</v>
      </c>
      <c r="J73" s="406">
        <f t="shared" si="138"/>
        <v>0.3</v>
      </c>
      <c r="K73" s="407">
        <f t="shared" si="139"/>
        <v>9.9999999999999978E-2</v>
      </c>
      <c r="L73" s="408">
        <f>(0+0.05)/2</f>
        <v>2.5000000000000001E-2</v>
      </c>
      <c r="M73" s="409"/>
      <c r="N73" s="405">
        <v>50</v>
      </c>
      <c r="O73" s="419">
        <v>0.15</v>
      </c>
      <c r="P73" s="406">
        <f t="shared" si="140"/>
        <v>0.02</v>
      </c>
      <c r="Q73" s="407">
        <f t="shared" si="141"/>
        <v>0.13</v>
      </c>
      <c r="R73" s="404">
        <f>(0.15-0)/2</f>
        <v>7.4999999999999997E-2</v>
      </c>
      <c r="S73" s="391"/>
      <c r="T73" s="405">
        <v>50</v>
      </c>
      <c r="U73" s="419">
        <f t="shared" si="142"/>
        <v>0.76</v>
      </c>
      <c r="V73" s="406"/>
      <c r="W73" s="407">
        <f t="shared" si="143"/>
        <v>8.666666666666667E-2</v>
      </c>
      <c r="X73" s="404">
        <f>(0.15-0)/2</f>
        <v>7.4999999999999997E-2</v>
      </c>
      <c r="Y73" s="391"/>
      <c r="Z73" s="405">
        <v>50</v>
      </c>
      <c r="AA73" s="419">
        <f t="shared" si="144"/>
        <v>0.17</v>
      </c>
      <c r="AB73" s="406">
        <v>0.63</v>
      </c>
      <c r="AC73" s="407">
        <f t="shared" si="145"/>
        <v>0.45999999999999996</v>
      </c>
      <c r="AD73" s="404">
        <f>(0.15-0)/2</f>
        <v>7.4999999999999997E-2</v>
      </c>
      <c r="AE73" s="391"/>
      <c r="AF73" s="405">
        <v>50</v>
      </c>
      <c r="AG73" s="419">
        <f t="shared" si="146"/>
        <v>0.18</v>
      </c>
      <c r="AH73" s="406">
        <v>0.72</v>
      </c>
      <c r="AI73" s="407">
        <f t="shared" si="147"/>
        <v>0.54</v>
      </c>
      <c r="AJ73" s="404">
        <f>(0.15-0)/2</f>
        <v>7.4999999999999997E-2</v>
      </c>
      <c r="AK73" s="391"/>
      <c r="AL73" s="405">
        <v>50</v>
      </c>
      <c r="AM73" s="419">
        <f t="shared" si="148"/>
        <v>0.44</v>
      </c>
      <c r="AN73" s="406"/>
      <c r="AO73" s="407">
        <f t="shared" si="149"/>
        <v>8.3333333333333329E-2</v>
      </c>
      <c r="AP73" s="404">
        <f>(0.15-0)/2</f>
        <v>7.4999999999999997E-2</v>
      </c>
      <c r="AQ73" s="391"/>
      <c r="AR73" s="405">
        <v>50</v>
      </c>
      <c r="AS73" s="419">
        <f t="shared" si="150"/>
        <v>0.34</v>
      </c>
      <c r="AT73" s="406"/>
      <c r="AU73" s="407">
        <f t="shared" si="151"/>
        <v>8.3333333333333329E-2</v>
      </c>
      <c r="AV73" s="404">
        <f>(0.15-0)/2</f>
        <v>7.4999999999999997E-2</v>
      </c>
      <c r="AW73" s="391"/>
      <c r="AX73" s="405">
        <v>50</v>
      </c>
      <c r="AY73" s="419">
        <f t="shared" si="152"/>
        <v>0.38</v>
      </c>
      <c r="AZ73" s="406"/>
      <c r="BA73" s="407">
        <f t="shared" si="153"/>
        <v>0.26333333333333336</v>
      </c>
      <c r="BB73" s="404">
        <f>(0.15-0)/2</f>
        <v>7.4999999999999997E-2</v>
      </c>
      <c r="BC73" s="391"/>
      <c r="BD73" s="405">
        <v>50</v>
      </c>
      <c r="BE73" s="419">
        <f t="shared" si="154"/>
        <v>0.84</v>
      </c>
      <c r="BF73" s="406"/>
      <c r="BG73" s="407">
        <f t="shared" si="155"/>
        <v>8.666666666666667E-2</v>
      </c>
      <c r="BH73" s="404">
        <f>(0.15-0)/2</f>
        <v>7.4999999999999997E-2</v>
      </c>
      <c r="BI73" s="391"/>
      <c r="BJ73" s="405">
        <v>50</v>
      </c>
      <c r="BK73" s="419">
        <f t="shared" si="156"/>
        <v>0.38</v>
      </c>
      <c r="BL73" s="406"/>
      <c r="BM73" s="407">
        <f t="shared" si="157"/>
        <v>0.26333333333333336</v>
      </c>
      <c r="BN73" s="404">
        <f>(0.15-0)/2</f>
        <v>7.4999999999999997E-2</v>
      </c>
      <c r="BO73" s="391"/>
      <c r="BP73" s="405">
        <v>50</v>
      </c>
      <c r="BQ73" s="419">
        <f t="shared" si="158"/>
        <v>0.62</v>
      </c>
      <c r="BR73" s="406"/>
      <c r="BS73" s="407">
        <f t="shared" si="159"/>
        <v>8.666666666666667E-2</v>
      </c>
      <c r="BT73" s="404">
        <f>(0.15-0)/2</f>
        <v>7.4999999999999997E-2</v>
      </c>
      <c r="BU73" s="391"/>
      <c r="BV73" s="405">
        <v>50</v>
      </c>
      <c r="BW73" s="419">
        <f t="shared" si="160"/>
        <v>0.75</v>
      </c>
      <c r="BX73" s="406"/>
      <c r="BY73" s="407">
        <f t="shared" si="161"/>
        <v>8.3333333333333329E-2</v>
      </c>
      <c r="BZ73" s="404">
        <f>(0.15-0)/2</f>
        <v>7.4999999999999997E-2</v>
      </c>
      <c r="CA73" s="391"/>
      <c r="CB73" s="405">
        <v>50</v>
      </c>
      <c r="CC73" s="419">
        <f t="shared" si="133"/>
        <v>-1</v>
      </c>
      <c r="CD73" s="406">
        <f t="shared" si="164"/>
        <v>-0.7</v>
      </c>
      <c r="CE73" s="407">
        <f t="shared" si="162"/>
        <v>0.30000000000000004</v>
      </c>
      <c r="CF73" s="404">
        <f>(0.15-0)/2</f>
        <v>7.4999999999999997E-2</v>
      </c>
      <c r="CH73" s="405">
        <v>50</v>
      </c>
      <c r="CI73" s="419">
        <f t="shared" si="134"/>
        <v>0.27</v>
      </c>
      <c r="CJ73" s="406">
        <f t="shared" si="134"/>
        <v>0.22</v>
      </c>
      <c r="CK73" s="407">
        <f t="shared" si="134"/>
        <v>5.0000000000000017E-2</v>
      </c>
      <c r="CL73" s="404">
        <f>(0.15-0)/2</f>
        <v>7.4999999999999997E-2</v>
      </c>
      <c r="CN73" s="405">
        <v>50</v>
      </c>
      <c r="CO73" s="419">
        <f t="shared" si="135"/>
        <v>0.67</v>
      </c>
      <c r="CP73" s="406">
        <f t="shared" si="135"/>
        <v>0.56999999999999995</v>
      </c>
      <c r="CQ73" s="407">
        <f t="shared" si="135"/>
        <v>0.10000000000000009</v>
      </c>
      <c r="CR73" s="404">
        <f>(0.15-0)/2</f>
        <v>7.4999999999999997E-2</v>
      </c>
    </row>
    <row r="74" spans="2:96">
      <c r="B74" s="405">
        <v>100</v>
      </c>
      <c r="C74" s="419">
        <v>0.25</v>
      </c>
      <c r="D74" s="419">
        <f t="shared" si="136"/>
        <v>0.79</v>
      </c>
      <c r="E74" s="407">
        <f t="shared" si="137"/>
        <v>0.54</v>
      </c>
      <c r="F74" s="408">
        <f>(0.83+0.24)/2</f>
        <v>0.53499999999999992</v>
      </c>
      <c r="G74" s="409"/>
      <c r="H74" s="405">
        <v>100</v>
      </c>
      <c r="I74" s="406">
        <v>0.13</v>
      </c>
      <c r="J74" s="406">
        <f t="shared" si="138"/>
        <v>0.59</v>
      </c>
      <c r="K74" s="407">
        <f t="shared" si="139"/>
        <v>0.45999999999999996</v>
      </c>
      <c r="L74" s="408">
        <f>(0.02-0)/2</f>
        <v>0.01</v>
      </c>
      <c r="M74" s="409"/>
      <c r="N74" s="405">
        <v>100</v>
      </c>
      <c r="O74" s="419">
        <v>-0.12</v>
      </c>
      <c r="P74" s="406">
        <f t="shared" si="140"/>
        <v>-0.13</v>
      </c>
      <c r="Q74" s="407">
        <f t="shared" si="141"/>
        <v>1.0000000000000009E-2</v>
      </c>
      <c r="R74" s="404">
        <f>(0.2-0)/2</f>
        <v>0.1</v>
      </c>
      <c r="S74" s="391"/>
      <c r="T74" s="405">
        <v>100</v>
      </c>
      <c r="U74" s="419">
        <f t="shared" si="142"/>
        <v>0.68</v>
      </c>
      <c r="V74" s="406"/>
      <c r="W74" s="407">
        <f t="shared" si="143"/>
        <v>8.666666666666667E-2</v>
      </c>
      <c r="X74" s="404">
        <f>(0.2-0)/2</f>
        <v>0.1</v>
      </c>
      <c r="Y74" s="391"/>
      <c r="Z74" s="405">
        <v>100</v>
      </c>
      <c r="AA74" s="419">
        <f t="shared" si="144"/>
        <v>0.28000000000000003</v>
      </c>
      <c r="AB74" s="406">
        <v>0.34</v>
      </c>
      <c r="AC74" s="407">
        <f t="shared" si="145"/>
        <v>0.06</v>
      </c>
      <c r="AD74" s="404">
        <f>(0.2-0)/2</f>
        <v>0.1</v>
      </c>
      <c r="AE74" s="391"/>
      <c r="AF74" s="405">
        <v>100</v>
      </c>
      <c r="AG74" s="419">
        <f t="shared" si="146"/>
        <v>0.28000000000000003</v>
      </c>
      <c r="AH74" s="406">
        <v>0.54</v>
      </c>
      <c r="AI74" s="407">
        <f t="shared" si="147"/>
        <v>0.26</v>
      </c>
      <c r="AJ74" s="404">
        <f>(0.2-0)/2</f>
        <v>0.1</v>
      </c>
      <c r="AK74" s="391"/>
      <c r="AL74" s="405">
        <v>100</v>
      </c>
      <c r="AM74" s="419">
        <f t="shared" si="148"/>
        <v>0.53</v>
      </c>
      <c r="AN74" s="406"/>
      <c r="AO74" s="407">
        <f t="shared" si="149"/>
        <v>8.3333333333333329E-2</v>
      </c>
      <c r="AP74" s="404">
        <f>(0.2-0)/2</f>
        <v>0.1</v>
      </c>
      <c r="AQ74" s="391"/>
      <c r="AR74" s="405">
        <v>100</v>
      </c>
      <c r="AS74" s="419">
        <f t="shared" si="150"/>
        <v>0.46</v>
      </c>
      <c r="AT74" s="406"/>
      <c r="AU74" s="407">
        <f t="shared" si="151"/>
        <v>8.3333333333333329E-2</v>
      </c>
      <c r="AV74" s="404">
        <f>(0.2-0)/2</f>
        <v>0.1</v>
      </c>
      <c r="AW74" s="391"/>
      <c r="AX74" s="405">
        <v>100</v>
      </c>
      <c r="AY74" s="419">
        <f t="shared" si="152"/>
        <v>0.21</v>
      </c>
      <c r="AZ74" s="406"/>
      <c r="BA74" s="407">
        <f t="shared" si="153"/>
        <v>0.26333333333333336</v>
      </c>
      <c r="BB74" s="404">
        <f>(0.2-0)/2</f>
        <v>0.1</v>
      </c>
      <c r="BC74" s="391"/>
      <c r="BD74" s="405">
        <v>100</v>
      </c>
      <c r="BE74" s="419">
        <f t="shared" si="154"/>
        <v>0.65</v>
      </c>
      <c r="BF74" s="406"/>
      <c r="BG74" s="407">
        <f t="shared" si="155"/>
        <v>8.666666666666667E-2</v>
      </c>
      <c r="BH74" s="404">
        <f>(0.2-0)/2</f>
        <v>0.1</v>
      </c>
      <c r="BI74" s="391"/>
      <c r="BJ74" s="405">
        <v>100</v>
      </c>
      <c r="BK74" s="419">
        <f t="shared" si="156"/>
        <v>0.21</v>
      </c>
      <c r="BL74" s="406"/>
      <c r="BM74" s="407">
        <f t="shared" si="157"/>
        <v>0.26333333333333336</v>
      </c>
      <c r="BN74" s="404">
        <f>(0.2-0)/2</f>
        <v>0.1</v>
      </c>
      <c r="BO74" s="391"/>
      <c r="BP74" s="405">
        <v>100</v>
      </c>
      <c r="BQ74" s="419">
        <f t="shared" si="158"/>
        <v>0.39</v>
      </c>
      <c r="BR74" s="406"/>
      <c r="BS74" s="407">
        <f t="shared" si="159"/>
        <v>8.666666666666667E-2</v>
      </c>
      <c r="BT74" s="404">
        <f>(0.2-0)/2</f>
        <v>0.1</v>
      </c>
      <c r="BU74" s="391"/>
      <c r="BV74" s="405">
        <v>100</v>
      </c>
      <c r="BW74" s="419">
        <f t="shared" si="160"/>
        <v>0.71</v>
      </c>
      <c r="BX74" s="406"/>
      <c r="BY74" s="407">
        <f t="shared" si="161"/>
        <v>8.3333333333333329E-2</v>
      </c>
      <c r="BZ74" s="404">
        <f>(0.2-0)/2</f>
        <v>0.1</v>
      </c>
      <c r="CA74" s="391"/>
      <c r="CB74" s="405">
        <v>100</v>
      </c>
      <c r="CC74" s="419">
        <f t="shared" si="133"/>
        <v>-1.6</v>
      </c>
      <c r="CD74" s="406">
        <f t="shared" si="164"/>
        <v>-0.7</v>
      </c>
      <c r="CE74" s="407">
        <f t="shared" si="162"/>
        <v>0.90000000000000013</v>
      </c>
      <c r="CF74" s="404">
        <f>(0.2-0)/2</f>
        <v>0.1</v>
      </c>
      <c r="CH74" s="405">
        <v>100</v>
      </c>
      <c r="CI74" s="419">
        <f t="shared" si="134"/>
        <v>0.31</v>
      </c>
      <c r="CJ74" s="406">
        <f t="shared" si="134"/>
        <v>0.23</v>
      </c>
      <c r="CK74" s="407">
        <f t="shared" si="134"/>
        <v>7.9999999999999988E-2</v>
      </c>
      <c r="CL74" s="404">
        <f>(0.2-0)/2</f>
        <v>0.1</v>
      </c>
      <c r="CN74" s="405">
        <v>100</v>
      </c>
      <c r="CO74" s="419">
        <f t="shared" si="135"/>
        <v>0.95</v>
      </c>
      <c r="CP74" s="406">
        <f t="shared" si="135"/>
        <v>0.81</v>
      </c>
      <c r="CQ74" s="407">
        <f t="shared" si="135"/>
        <v>0.1399999999999999</v>
      </c>
      <c r="CR74" s="404">
        <f>(0.2-0)/2</f>
        <v>0.1</v>
      </c>
    </row>
    <row r="75" spans="2:96">
      <c r="B75" s="405">
        <v>150</v>
      </c>
      <c r="C75" s="419">
        <v>0.28000000000000003</v>
      </c>
      <c r="D75" s="419">
        <f t="shared" si="136"/>
        <v>0.78</v>
      </c>
      <c r="E75" s="407">
        <f t="shared" si="137"/>
        <v>0.5</v>
      </c>
      <c r="F75" s="408">
        <f>(0.31+0.29)/2</f>
        <v>0.3</v>
      </c>
      <c r="G75" s="409"/>
      <c r="H75" s="405">
        <v>150</v>
      </c>
      <c r="I75" s="406">
        <v>0.04</v>
      </c>
      <c r="J75" s="406">
        <f t="shared" si="138"/>
        <v>0.57999999999999996</v>
      </c>
      <c r="K75" s="407">
        <f t="shared" si="139"/>
        <v>0.53999999999999992</v>
      </c>
      <c r="L75" s="408">
        <f>(0.16-0)/2</f>
        <v>0.08</v>
      </c>
      <c r="M75" s="409"/>
      <c r="N75" s="405">
        <v>150</v>
      </c>
      <c r="O75" s="419">
        <v>-0.42</v>
      </c>
      <c r="P75" s="406">
        <f t="shared" si="140"/>
        <v>-0.25</v>
      </c>
      <c r="Q75" s="407">
        <f t="shared" si="141"/>
        <v>0.16999999999999998</v>
      </c>
      <c r="R75" s="404">
        <f>(0.21-0)/2</f>
        <v>0.105</v>
      </c>
      <c r="S75" s="391"/>
      <c r="T75" s="405">
        <v>150</v>
      </c>
      <c r="U75" s="419">
        <f t="shared" si="142"/>
        <v>-0.13</v>
      </c>
      <c r="V75" s="406"/>
      <c r="W75" s="407">
        <f t="shared" si="143"/>
        <v>8.666666666666667E-2</v>
      </c>
      <c r="X75" s="404">
        <f>(0.21-0)/2</f>
        <v>0.105</v>
      </c>
      <c r="Y75" s="391"/>
      <c r="Z75" s="405">
        <v>150</v>
      </c>
      <c r="AA75" s="419">
        <f t="shared" si="144"/>
        <v>0.49</v>
      </c>
      <c r="AB75" s="406">
        <v>-0.04</v>
      </c>
      <c r="AC75" s="407">
        <f t="shared" si="145"/>
        <v>0.53</v>
      </c>
      <c r="AD75" s="404">
        <f>(0.21-0)/2</f>
        <v>0.105</v>
      </c>
      <c r="AE75" s="391"/>
      <c r="AF75" s="405">
        <v>150</v>
      </c>
      <c r="AG75" s="419">
        <f t="shared" si="146"/>
        <v>0.47</v>
      </c>
      <c r="AH75" s="406">
        <v>0.1</v>
      </c>
      <c r="AI75" s="407">
        <f t="shared" si="147"/>
        <v>0.37</v>
      </c>
      <c r="AJ75" s="404">
        <f>(0.21-0)/2</f>
        <v>0.105</v>
      </c>
      <c r="AK75" s="391"/>
      <c r="AL75" s="405">
        <v>150</v>
      </c>
      <c r="AM75" s="419">
        <f t="shared" si="148"/>
        <v>0.7</v>
      </c>
      <c r="AN75" s="406"/>
      <c r="AO75" s="407">
        <f t="shared" si="149"/>
        <v>8.3333333333333329E-2</v>
      </c>
      <c r="AP75" s="404">
        <f>(0.21-0)/2</f>
        <v>0.105</v>
      </c>
      <c r="AQ75" s="391"/>
      <c r="AR75" s="405">
        <v>150</v>
      </c>
      <c r="AS75" s="419">
        <f t="shared" si="150"/>
        <v>0.68</v>
      </c>
      <c r="AT75" s="406"/>
      <c r="AU75" s="407">
        <f t="shared" si="151"/>
        <v>8.3333333333333329E-2</v>
      </c>
      <c r="AV75" s="404">
        <f>(0.21-0)/2</f>
        <v>0.105</v>
      </c>
      <c r="AW75" s="391"/>
      <c r="AX75" s="405">
        <v>150</v>
      </c>
      <c r="AY75" s="419">
        <f t="shared" si="152"/>
        <v>9.9999999999999995E-7</v>
      </c>
      <c r="AZ75" s="406"/>
      <c r="BA75" s="407">
        <f t="shared" si="153"/>
        <v>0.26333333333333336</v>
      </c>
      <c r="BB75" s="404">
        <f>(0.21-0)/2</f>
        <v>0.105</v>
      </c>
      <c r="BC75" s="391"/>
      <c r="BD75" s="405">
        <v>150</v>
      </c>
      <c r="BE75" s="419">
        <f t="shared" si="154"/>
        <v>0.06</v>
      </c>
      <c r="BF75" s="406"/>
      <c r="BG75" s="407">
        <f t="shared" si="155"/>
        <v>8.666666666666667E-2</v>
      </c>
      <c r="BH75" s="404">
        <f>(0.21-0)/2</f>
        <v>0.105</v>
      </c>
      <c r="BI75" s="391"/>
      <c r="BJ75" s="405">
        <v>150</v>
      </c>
      <c r="BK75" s="419">
        <f t="shared" si="156"/>
        <v>9.9999999999999995E-7</v>
      </c>
      <c r="BL75" s="406"/>
      <c r="BM75" s="407">
        <f t="shared" si="157"/>
        <v>0.26333333333333336</v>
      </c>
      <c r="BN75" s="404">
        <f>(0.21-0)/2</f>
        <v>0.105</v>
      </c>
      <c r="BO75" s="391"/>
      <c r="BP75" s="405">
        <v>150</v>
      </c>
      <c r="BQ75" s="419">
        <f t="shared" si="158"/>
        <v>-0.37</v>
      </c>
      <c r="BR75" s="406"/>
      <c r="BS75" s="407">
        <f t="shared" si="159"/>
        <v>8.666666666666667E-2</v>
      </c>
      <c r="BT75" s="404">
        <f>(0.21-0)/2</f>
        <v>0.105</v>
      </c>
      <c r="BU75" s="391"/>
      <c r="BV75" s="405">
        <v>150</v>
      </c>
      <c r="BW75" s="419">
        <f t="shared" si="160"/>
        <v>-0.11</v>
      </c>
      <c r="BX75" s="406"/>
      <c r="BY75" s="407">
        <f t="shared" si="161"/>
        <v>8.3333333333333329E-2</v>
      </c>
      <c r="BZ75" s="404">
        <f>(0.21-0)/2</f>
        <v>0.105</v>
      </c>
      <c r="CA75" s="391"/>
      <c r="CB75" s="405">
        <v>150</v>
      </c>
      <c r="CC75" s="419">
        <f t="shared" si="133"/>
        <v>-1.7</v>
      </c>
      <c r="CD75" s="406">
        <f t="shared" si="164"/>
        <v>-0.7</v>
      </c>
      <c r="CE75" s="407">
        <f t="shared" si="162"/>
        <v>1</v>
      </c>
      <c r="CF75" s="404">
        <f>(0.21-0)/2</f>
        <v>0.105</v>
      </c>
      <c r="CH75" s="405">
        <v>150</v>
      </c>
      <c r="CI75" s="419">
        <f t="shared" si="134"/>
        <v>0.3</v>
      </c>
      <c r="CJ75" s="406">
        <f t="shared" si="134"/>
        <v>0.22</v>
      </c>
      <c r="CK75" s="407">
        <f t="shared" si="134"/>
        <v>7.9999999999999988E-2</v>
      </c>
      <c r="CL75" s="404">
        <f>(0.21-0)/2</f>
        <v>0.105</v>
      </c>
      <c r="CN75" s="405">
        <v>150</v>
      </c>
      <c r="CO75" s="419">
        <f t="shared" si="135"/>
        <v>0.49</v>
      </c>
      <c r="CP75" s="406">
        <f t="shared" si="135"/>
        <v>0.87</v>
      </c>
      <c r="CQ75" s="407">
        <f t="shared" si="135"/>
        <v>0.38</v>
      </c>
      <c r="CR75" s="404">
        <f>(0.21-0)/2</f>
        <v>0.105</v>
      </c>
    </row>
    <row r="76" spans="2:96">
      <c r="B76" s="405">
        <v>200</v>
      </c>
      <c r="C76" s="419">
        <v>0.42</v>
      </c>
      <c r="D76" s="419">
        <f t="shared" si="136"/>
        <v>-0.02</v>
      </c>
      <c r="E76" s="407">
        <f t="shared" si="137"/>
        <v>0.44</v>
      </c>
      <c r="F76" s="408">
        <f>(-0.09+0.72)/2</f>
        <v>0.315</v>
      </c>
      <c r="G76" s="409"/>
      <c r="H76" s="405">
        <v>200</v>
      </c>
      <c r="I76" s="406">
        <v>0.43</v>
      </c>
      <c r="J76" s="406">
        <f t="shared" si="138"/>
        <v>0.19</v>
      </c>
      <c r="K76" s="407">
        <f t="shared" si="139"/>
        <v>0.24</v>
      </c>
      <c r="L76" s="408">
        <f>(0.37-0)/2</f>
        <v>0.185</v>
      </c>
      <c r="M76" s="409"/>
      <c r="N76" s="405">
        <v>200</v>
      </c>
      <c r="O76" s="419">
        <v>-0.09</v>
      </c>
      <c r="P76" s="406">
        <f t="shared" si="140"/>
        <v>0.04</v>
      </c>
      <c r="Q76" s="407">
        <f t="shared" si="141"/>
        <v>0.13</v>
      </c>
      <c r="R76" s="404">
        <f>(0.19-0)/2</f>
        <v>9.5000000000000001E-2</v>
      </c>
      <c r="S76" s="391"/>
      <c r="T76" s="405">
        <v>200</v>
      </c>
      <c r="U76" s="419">
        <f t="shared" si="142"/>
        <v>-0.84</v>
      </c>
      <c r="V76" s="406"/>
      <c r="W76" s="407">
        <f t="shared" si="143"/>
        <v>8.666666666666667E-2</v>
      </c>
      <c r="X76" s="404">
        <f>(0.19-0)/2</f>
        <v>9.5000000000000001E-2</v>
      </c>
      <c r="Y76" s="391"/>
      <c r="Z76" s="405">
        <v>200</v>
      </c>
      <c r="AA76" s="419">
        <f t="shared" si="144"/>
        <v>0.75</v>
      </c>
      <c r="AB76" s="406">
        <v>0.02</v>
      </c>
      <c r="AC76" s="407">
        <f t="shared" si="145"/>
        <v>0.73</v>
      </c>
      <c r="AD76" s="404">
        <f>(0.19-0)/2</f>
        <v>9.5000000000000001E-2</v>
      </c>
      <c r="AE76" s="391"/>
      <c r="AF76" s="405">
        <v>200</v>
      </c>
      <c r="AG76" s="419">
        <f t="shared" si="146"/>
        <v>0.76</v>
      </c>
      <c r="AH76" s="406">
        <v>-0.28999999999999998</v>
      </c>
      <c r="AI76" s="407">
        <f t="shared" si="147"/>
        <v>1.05</v>
      </c>
      <c r="AJ76" s="404">
        <f>(0.19-0)/2</f>
        <v>9.5000000000000001E-2</v>
      </c>
      <c r="AK76" s="391"/>
      <c r="AL76" s="405">
        <v>200</v>
      </c>
      <c r="AM76" s="419">
        <f t="shared" si="148"/>
        <v>0.91</v>
      </c>
      <c r="AN76" s="406"/>
      <c r="AO76" s="407">
        <f t="shared" si="149"/>
        <v>8.3333333333333329E-2</v>
      </c>
      <c r="AP76" s="404">
        <f>(0.19-0)/2</f>
        <v>9.5000000000000001E-2</v>
      </c>
      <c r="AQ76" s="391"/>
      <c r="AR76" s="405">
        <v>200</v>
      </c>
      <c r="AS76" s="419">
        <f t="shared" si="150"/>
        <v>0.9</v>
      </c>
      <c r="AT76" s="406"/>
      <c r="AU76" s="407">
        <f t="shared" si="151"/>
        <v>8.3333333333333329E-2</v>
      </c>
      <c r="AV76" s="404">
        <f>(0.19-0)/2</f>
        <v>9.5000000000000001E-2</v>
      </c>
      <c r="AW76" s="391"/>
      <c r="AX76" s="405">
        <v>200</v>
      </c>
      <c r="AY76" s="419">
        <f t="shared" si="152"/>
        <v>-0.26</v>
      </c>
      <c r="AZ76" s="406"/>
      <c r="BA76" s="407">
        <f t="shared" si="153"/>
        <v>0.26333333333333336</v>
      </c>
      <c r="BB76" s="404">
        <f>(0.19-0)/2</f>
        <v>9.5000000000000001E-2</v>
      </c>
      <c r="BC76" s="391"/>
      <c r="BD76" s="405">
        <v>200</v>
      </c>
      <c r="BE76" s="419">
        <f t="shared" si="154"/>
        <v>0.09</v>
      </c>
      <c r="BF76" s="406"/>
      <c r="BG76" s="407">
        <f t="shared" si="155"/>
        <v>8.666666666666667E-2</v>
      </c>
      <c r="BH76" s="404">
        <f>(0.19-0)/2</f>
        <v>9.5000000000000001E-2</v>
      </c>
      <c r="BI76" s="391"/>
      <c r="BJ76" s="405">
        <v>200</v>
      </c>
      <c r="BK76" s="419">
        <f t="shared" si="156"/>
        <v>-0.26</v>
      </c>
      <c r="BL76" s="406"/>
      <c r="BM76" s="407">
        <f t="shared" si="157"/>
        <v>0.26333333333333336</v>
      </c>
      <c r="BN76" s="404">
        <f>(0.19-0)/2</f>
        <v>9.5000000000000001E-2</v>
      </c>
      <c r="BO76" s="391"/>
      <c r="BP76" s="405">
        <v>200</v>
      </c>
      <c r="BQ76" s="419">
        <f t="shared" si="158"/>
        <v>-0.74</v>
      </c>
      <c r="BR76" s="406"/>
      <c r="BS76" s="407">
        <f t="shared" si="159"/>
        <v>8.666666666666667E-2</v>
      </c>
      <c r="BT76" s="404">
        <f>(0.19-0)/2</f>
        <v>9.5000000000000001E-2</v>
      </c>
      <c r="BU76" s="391"/>
      <c r="BV76" s="405">
        <v>200</v>
      </c>
      <c r="BW76" s="419">
        <f t="shared" si="160"/>
        <v>-1.08</v>
      </c>
      <c r="BX76" s="406"/>
      <c r="BY76" s="407">
        <f t="shared" si="161"/>
        <v>8.3333333333333329E-2</v>
      </c>
      <c r="BZ76" s="404">
        <f>(0.19-0)/2</f>
        <v>9.5000000000000001E-2</v>
      </c>
      <c r="CA76" s="391"/>
      <c r="CB76" s="405">
        <v>200</v>
      </c>
      <c r="CC76" s="419">
        <f t="shared" si="133"/>
        <v>-0.9</v>
      </c>
      <c r="CD76" s="406">
        <f t="shared" si="164"/>
        <v>-0.6</v>
      </c>
      <c r="CE76" s="407">
        <f t="shared" si="162"/>
        <v>0.30000000000000004</v>
      </c>
      <c r="CF76" s="404">
        <f>(0.19-0)/2</f>
        <v>9.5000000000000001E-2</v>
      </c>
      <c r="CH76" s="405">
        <v>200</v>
      </c>
      <c r="CI76" s="419">
        <f t="shared" si="134"/>
        <v>0.34</v>
      </c>
      <c r="CJ76" s="406">
        <f t="shared" si="134"/>
        <v>0.47</v>
      </c>
      <c r="CK76" s="407">
        <f t="shared" si="134"/>
        <v>0.12999999999999995</v>
      </c>
      <c r="CL76" s="404">
        <f>(0.19-0)/2</f>
        <v>9.5000000000000001E-2</v>
      </c>
      <c r="CN76" s="405">
        <v>200</v>
      </c>
      <c r="CO76" s="419">
        <f t="shared" si="135"/>
        <v>-0.26</v>
      </c>
      <c r="CP76" s="406">
        <f t="shared" si="135"/>
        <v>0.99</v>
      </c>
      <c r="CQ76" s="407">
        <f t="shared" si="135"/>
        <v>1.25</v>
      </c>
      <c r="CR76" s="404">
        <f>(0.19-0)/2</f>
        <v>9.5000000000000001E-2</v>
      </c>
    </row>
    <row r="77" spans="2:96" s="391" customFormat="1">
      <c r="B77" s="415"/>
      <c r="C77" s="392"/>
      <c r="D77" s="392"/>
      <c r="E77" s="412"/>
      <c r="F77" s="409"/>
      <c r="G77" s="409"/>
      <c r="H77" s="415"/>
      <c r="I77" s="392"/>
      <c r="J77" s="392"/>
      <c r="K77" s="412"/>
      <c r="L77" s="393"/>
      <c r="M77" s="409"/>
      <c r="N77" s="415"/>
      <c r="O77" s="392"/>
      <c r="P77" s="392"/>
      <c r="Q77" s="412"/>
      <c r="R77" s="393"/>
      <c r="T77" s="415"/>
      <c r="U77" s="392"/>
      <c r="V77" s="392"/>
      <c r="W77" s="412"/>
      <c r="X77" s="393"/>
      <c r="Z77" s="415"/>
      <c r="AA77" s="392"/>
      <c r="AB77" s="392"/>
      <c r="AC77" s="412"/>
      <c r="AD77" s="393"/>
      <c r="AF77" s="415"/>
      <c r="AG77" s="392"/>
      <c r="AH77" s="392"/>
      <c r="AI77" s="412"/>
      <c r="AJ77" s="393"/>
      <c r="AL77" s="415"/>
      <c r="AM77" s="392"/>
      <c r="AN77" s="392"/>
      <c r="AO77" s="412"/>
      <c r="AP77" s="393"/>
      <c r="AR77" s="415"/>
      <c r="AS77" s="392"/>
      <c r="AT77" s="392"/>
      <c r="AU77" s="412"/>
      <c r="AV77" s="393"/>
      <c r="AX77" s="415"/>
      <c r="AY77" s="392"/>
      <c r="AZ77" s="392"/>
      <c r="BA77" s="412"/>
      <c r="BB77" s="393"/>
      <c r="BD77" s="415"/>
      <c r="BE77" s="392"/>
      <c r="BF77" s="392"/>
      <c r="BG77" s="412"/>
      <c r="BH77" s="393"/>
      <c r="BJ77" s="415"/>
      <c r="BK77" s="392"/>
      <c r="BL77" s="392"/>
      <c r="BM77" s="412"/>
      <c r="BN77" s="393"/>
      <c r="BP77" s="415"/>
      <c r="BQ77" s="392"/>
      <c r="BR77" s="392"/>
      <c r="BS77" s="412"/>
      <c r="BT77" s="393"/>
      <c r="BV77" s="415"/>
      <c r="BW77" s="392"/>
      <c r="BX77" s="392"/>
      <c r="BY77" s="412"/>
      <c r="BZ77" s="393"/>
      <c r="CB77" s="415"/>
      <c r="CC77" s="392"/>
      <c r="CD77" s="392"/>
      <c r="CE77" s="412"/>
      <c r="CF77" s="393"/>
      <c r="CH77" s="415"/>
      <c r="CI77" s="392"/>
      <c r="CJ77" s="392"/>
      <c r="CK77" s="412"/>
      <c r="CL77" s="393"/>
      <c r="CN77" s="415"/>
      <c r="CO77" s="392"/>
      <c r="CP77" s="392"/>
      <c r="CQ77" s="412"/>
      <c r="CR77" s="393"/>
    </row>
    <row r="78" spans="2:96" ht="22.5" customHeight="1">
      <c r="B78" s="823" t="s">
        <v>336</v>
      </c>
      <c r="C78" s="825" t="str">
        <f>C63</f>
        <v>Thermocouple Data Logger, Merek : MADGETECH, Model : OctTemp 2000, SN : P40270</v>
      </c>
      <c r="D78" s="825"/>
      <c r="E78" s="825"/>
      <c r="F78" s="394" t="s">
        <v>329</v>
      </c>
      <c r="G78" s="395"/>
      <c r="H78" s="823" t="s">
        <v>336</v>
      </c>
      <c r="I78" s="825" t="str">
        <f>I63</f>
        <v>Thermocouple Data Logger, Merek : MADGETECH, Model : OctTemp 2000, SN : P41878</v>
      </c>
      <c r="J78" s="825"/>
      <c r="K78" s="825"/>
      <c r="L78" s="394" t="s">
        <v>329</v>
      </c>
      <c r="M78" s="395"/>
      <c r="N78" s="823" t="s">
        <v>336</v>
      </c>
      <c r="O78" s="825" t="str">
        <f>O63</f>
        <v>Mobile Corder, Merek : Yokogawa, Model : GP 10, SN : S5T810599</v>
      </c>
      <c r="P78" s="826"/>
      <c r="Q78" s="825"/>
      <c r="R78" s="394" t="s">
        <v>329</v>
      </c>
      <c r="S78" s="391"/>
      <c r="T78" s="823" t="s">
        <v>336</v>
      </c>
      <c r="U78" s="825" t="str">
        <f>U63</f>
        <v>Wireless Temperature Recorder : Merek : HIOKI, Model : LR 8510, SN : 200936000</v>
      </c>
      <c r="V78" s="826"/>
      <c r="W78" s="825"/>
      <c r="X78" s="394" t="s">
        <v>329</v>
      </c>
      <c r="Y78" s="391"/>
      <c r="Z78" s="823" t="s">
        <v>336</v>
      </c>
      <c r="AA78" s="825" t="str">
        <f>AA63</f>
        <v>Wireless Temperature Recorder : Merek : HIOKI, Model : LR 8510, SN : 200936001</v>
      </c>
      <c r="AB78" s="826"/>
      <c r="AC78" s="825"/>
      <c r="AD78" s="394" t="s">
        <v>329</v>
      </c>
      <c r="AE78" s="391"/>
      <c r="AF78" s="823" t="s">
        <v>336</v>
      </c>
      <c r="AG78" s="825" t="str">
        <f>AG63</f>
        <v>Wireless Temperature Recorder : Merek : HIOKI, Model : LR 8510, SN : 200821397</v>
      </c>
      <c r="AH78" s="826"/>
      <c r="AI78" s="825"/>
      <c r="AJ78" s="394" t="s">
        <v>329</v>
      </c>
      <c r="AK78" s="391"/>
      <c r="AL78" s="823" t="s">
        <v>336</v>
      </c>
      <c r="AM78" s="825" t="str">
        <f>AM63</f>
        <v>Wireless Temperature Recorder : Merek : HIOKI, Model : LR 8510, SN : 210411983</v>
      </c>
      <c r="AN78" s="826"/>
      <c r="AO78" s="825"/>
      <c r="AP78" s="394" t="s">
        <v>329</v>
      </c>
      <c r="AQ78" s="391"/>
      <c r="AR78" s="823" t="s">
        <v>336</v>
      </c>
      <c r="AS78" s="825" t="str">
        <f>AS63</f>
        <v>Wireless Temperature Recorder : Merek : HIOKI, Model : LR 8510, SN : 210411984</v>
      </c>
      <c r="AT78" s="826"/>
      <c r="AU78" s="825"/>
      <c r="AV78" s="394" t="s">
        <v>329</v>
      </c>
      <c r="AW78" s="391"/>
      <c r="AX78" s="823" t="s">
        <v>336</v>
      </c>
      <c r="AY78" s="825" t="str">
        <f>AY63</f>
        <v>Wireless Temperature Recorder : Merek : HIOKI, Model : LR 8510, SN : 210411985</v>
      </c>
      <c r="AZ78" s="826"/>
      <c r="BA78" s="825"/>
      <c r="BB78" s="394" t="s">
        <v>329</v>
      </c>
      <c r="BC78" s="391"/>
      <c r="BD78" s="823" t="s">
        <v>336</v>
      </c>
      <c r="BE78" s="825" t="str">
        <f>BE63</f>
        <v>Wireless Temperature Recorder : Merek : HIOKI, Model : LR 8510, SN : 210746054</v>
      </c>
      <c r="BF78" s="826"/>
      <c r="BG78" s="825"/>
      <c r="BH78" s="394" t="s">
        <v>329</v>
      </c>
      <c r="BI78" s="391"/>
      <c r="BJ78" s="823" t="s">
        <v>336</v>
      </c>
      <c r="BK78" s="825" t="str">
        <f>BK63</f>
        <v>Wireless Temperature Recorder : Merek : HIOKI, Model : LR 8510, SN : 210746055</v>
      </c>
      <c r="BL78" s="826"/>
      <c r="BM78" s="825"/>
      <c r="BN78" s="394" t="s">
        <v>329</v>
      </c>
      <c r="BO78" s="391"/>
      <c r="BP78" s="823" t="s">
        <v>336</v>
      </c>
      <c r="BQ78" s="825" t="str">
        <f>BQ63</f>
        <v>Wireless Temperature Recorder : Merek : HIOKI, Model : LR 8510, SN : 210746056</v>
      </c>
      <c r="BR78" s="826"/>
      <c r="BS78" s="825"/>
      <c r="BT78" s="394" t="s">
        <v>329</v>
      </c>
      <c r="BU78" s="391"/>
      <c r="BV78" s="823" t="s">
        <v>336</v>
      </c>
      <c r="BW78" s="825" t="str">
        <f>BW63</f>
        <v>Wireless Temperature Recorder : Merek : HIOKI, Model : LR 8510, SN : 200821396</v>
      </c>
      <c r="BX78" s="826"/>
      <c r="BY78" s="825"/>
      <c r="BZ78" s="394" t="s">
        <v>329</v>
      </c>
      <c r="CA78" s="391"/>
      <c r="CB78" s="823" t="s">
        <v>336</v>
      </c>
      <c r="CC78" s="825" t="str">
        <f>CC63</f>
        <v>Reference Thermometer, Merek : APPA, Model : APPA51, SN : 03002948</v>
      </c>
      <c r="CD78" s="826"/>
      <c r="CE78" s="825"/>
      <c r="CF78" s="394" t="s">
        <v>329</v>
      </c>
      <c r="CH78" s="823" t="s">
        <v>336</v>
      </c>
      <c r="CI78" s="825" t="str">
        <f>CI63</f>
        <v>Reference Thermometer, Merek : FLUKE, Model : 1524, SN : 1803038</v>
      </c>
      <c r="CJ78" s="826"/>
      <c r="CK78" s="825"/>
      <c r="CL78" s="394" t="s">
        <v>329</v>
      </c>
      <c r="CN78" s="823" t="s">
        <v>336</v>
      </c>
      <c r="CO78" s="825" t="str">
        <f>CO63</f>
        <v>Reference Thermometer, Merek : FLUKE, Model : 1524, SN : 1803037</v>
      </c>
      <c r="CP78" s="826"/>
      <c r="CQ78" s="825"/>
      <c r="CR78" s="394" t="s">
        <v>329</v>
      </c>
    </row>
    <row r="79" spans="2:96">
      <c r="B79" s="824"/>
      <c r="C79" s="402">
        <f>C64</f>
        <v>2021</v>
      </c>
      <c r="D79" s="402">
        <f>D64</f>
        <v>2022</v>
      </c>
      <c r="E79" s="398" t="s">
        <v>242</v>
      </c>
      <c r="F79" s="399"/>
      <c r="G79" s="400"/>
      <c r="H79" s="824"/>
      <c r="I79" s="401">
        <f>I64</f>
        <v>2021</v>
      </c>
      <c r="J79" s="402">
        <f>J64</f>
        <v>2022</v>
      </c>
      <c r="K79" s="398" t="s">
        <v>242</v>
      </c>
      <c r="L79" s="403"/>
      <c r="M79" s="400"/>
      <c r="N79" s="824"/>
      <c r="O79" s="401">
        <f>O4</f>
        <v>2021</v>
      </c>
      <c r="P79" s="402">
        <f>P4</f>
        <v>2023</v>
      </c>
      <c r="Q79" s="398" t="s">
        <v>242</v>
      </c>
      <c r="R79" s="404"/>
      <c r="S79" s="391"/>
      <c r="T79" s="824"/>
      <c r="U79" s="401">
        <f>U64</f>
        <v>2022</v>
      </c>
      <c r="V79" s="402"/>
      <c r="W79" s="398" t="s">
        <v>242</v>
      </c>
      <c r="X79" s="404"/>
      <c r="Y79" s="391"/>
      <c r="Z79" s="824"/>
      <c r="AA79" s="401">
        <f>AA64</f>
        <v>2023</v>
      </c>
      <c r="AB79" s="402">
        <f>AB64</f>
        <v>2021</v>
      </c>
      <c r="AC79" s="398" t="s">
        <v>242</v>
      </c>
      <c r="AD79" s="404"/>
      <c r="AE79" s="391"/>
      <c r="AF79" s="824"/>
      <c r="AG79" s="401">
        <f>AG64</f>
        <v>2023</v>
      </c>
      <c r="AH79" s="401">
        <f>AH64</f>
        <v>2021</v>
      </c>
      <c r="AI79" s="398" t="s">
        <v>242</v>
      </c>
      <c r="AJ79" s="404"/>
      <c r="AK79" s="391"/>
      <c r="AL79" s="824"/>
      <c r="AM79" s="401">
        <f>AM64</f>
        <v>2023</v>
      </c>
      <c r="AN79" s="402"/>
      <c r="AO79" s="398" t="s">
        <v>242</v>
      </c>
      <c r="AP79" s="404"/>
      <c r="AQ79" s="391"/>
      <c r="AR79" s="824"/>
      <c r="AS79" s="401">
        <f>AS64</f>
        <v>2023</v>
      </c>
      <c r="AT79" s="402"/>
      <c r="AU79" s="398" t="s">
        <v>242</v>
      </c>
      <c r="AV79" s="404"/>
      <c r="AW79" s="391"/>
      <c r="AX79" s="824"/>
      <c r="AY79" s="401">
        <f>AY64</f>
        <v>2021</v>
      </c>
      <c r="AZ79" s="402"/>
      <c r="BA79" s="398" t="s">
        <v>242</v>
      </c>
      <c r="BB79" s="404"/>
      <c r="BC79" s="391"/>
      <c r="BD79" s="824"/>
      <c r="BE79" s="401">
        <f>BE64</f>
        <v>2022</v>
      </c>
      <c r="BF79" s="402"/>
      <c r="BG79" s="398" t="s">
        <v>242</v>
      </c>
      <c r="BH79" s="404"/>
      <c r="BI79" s="391"/>
      <c r="BJ79" s="824"/>
      <c r="BK79" s="401">
        <f>BK64</f>
        <v>2021</v>
      </c>
      <c r="BL79" s="402"/>
      <c r="BM79" s="398" t="s">
        <v>242</v>
      </c>
      <c r="BN79" s="404"/>
      <c r="BO79" s="391"/>
      <c r="BP79" s="824"/>
      <c r="BQ79" s="401">
        <f>BQ64</f>
        <v>2022</v>
      </c>
      <c r="BR79" s="402"/>
      <c r="BS79" s="398" t="s">
        <v>242</v>
      </c>
      <c r="BT79" s="404"/>
      <c r="BU79" s="391"/>
      <c r="BV79" s="824"/>
      <c r="BW79" s="401">
        <f>BW64</f>
        <v>2022</v>
      </c>
      <c r="BX79" s="402"/>
      <c r="BY79" s="398" t="s">
        <v>242</v>
      </c>
      <c r="BZ79" s="404"/>
      <c r="CA79" s="391"/>
      <c r="CB79" s="824"/>
      <c r="CC79" s="401">
        <f>CC64</f>
        <v>2022</v>
      </c>
      <c r="CD79" s="402">
        <f>CD94</f>
        <v>2020</v>
      </c>
      <c r="CE79" s="398" t="s">
        <v>242</v>
      </c>
      <c r="CF79" s="404"/>
      <c r="CH79" s="824"/>
      <c r="CI79" s="401">
        <f>CI64</f>
        <v>2021</v>
      </c>
      <c r="CJ79" s="402">
        <f>CJ64</f>
        <v>2019</v>
      </c>
      <c r="CK79" s="398" t="s">
        <v>242</v>
      </c>
      <c r="CL79" s="404"/>
      <c r="CN79" s="824"/>
      <c r="CO79" s="401">
        <f>CO64</f>
        <v>2021</v>
      </c>
      <c r="CP79" s="402">
        <f>CP64</f>
        <v>2020</v>
      </c>
      <c r="CQ79" s="398" t="s">
        <v>242</v>
      </c>
      <c r="CR79" s="404"/>
    </row>
    <row r="80" spans="2:96">
      <c r="B80" s="405">
        <v>-20</v>
      </c>
      <c r="C80" s="406">
        <v>-0.32</v>
      </c>
      <c r="D80" s="406">
        <f t="shared" ref="D80:D91" si="165">U192</f>
        <v>-0.63</v>
      </c>
      <c r="E80" s="407">
        <f t="shared" ref="E80:E91" si="166">IF(OR(C80=0,D80=0),$U$204/3,((MAX(C80:D80)-(MIN(C80:D80)))))</f>
        <v>0.31</v>
      </c>
      <c r="F80" s="408">
        <v>0.11</v>
      </c>
      <c r="G80" s="409"/>
      <c r="H80" s="405">
        <v>-20</v>
      </c>
      <c r="I80" s="406">
        <v>-0.77</v>
      </c>
      <c r="J80" s="406">
        <f t="shared" ref="J80:J91" si="167">V192</f>
        <v>-0.43</v>
      </c>
      <c r="K80" s="407">
        <f t="shared" ref="K80:K91" si="168">IF(OR(I80=0,J80=0),$V$204/3,((MAX(I80:J80)-(MIN(I80:J80)))))</f>
        <v>0.34</v>
      </c>
      <c r="L80" s="408">
        <v>0.09</v>
      </c>
      <c r="M80" s="409"/>
      <c r="N80" s="405">
        <v>-20</v>
      </c>
      <c r="O80" s="406">
        <v>-0.62</v>
      </c>
      <c r="P80" s="406">
        <f t="shared" ref="P80:P91" si="169">W192</f>
        <v>-0.45</v>
      </c>
      <c r="Q80" s="407">
        <f t="shared" ref="Q80:Q91" si="170">IF(OR(O80=0,P80=0),$W$204/3,((MAX(O80:P80)-(MIN(O80:P80)))))</f>
        <v>0.16999999999999998</v>
      </c>
      <c r="R80" s="404">
        <v>9.9999999999999995E-7</v>
      </c>
      <c r="S80" s="391"/>
      <c r="T80" s="405">
        <v>-20</v>
      </c>
      <c r="U80" s="406">
        <f t="shared" ref="U80:U91" si="171">X192</f>
        <v>-1.37</v>
      </c>
      <c r="V80" s="406"/>
      <c r="W80" s="407">
        <f t="shared" ref="W80:W91" si="172">IF(OR(U80=0,V80=0),$X$204/3,((MAX(U80:V80)-(MIN(U80:V80)))))</f>
        <v>8.666666666666667E-2</v>
      </c>
      <c r="X80" s="404">
        <v>9.9999999999999995E-7</v>
      </c>
      <c r="Y80" s="391"/>
      <c r="Z80" s="405">
        <v>-20</v>
      </c>
      <c r="AA80" s="406">
        <f t="shared" ref="AA80:AA91" si="173">Y192</f>
        <v>0.11</v>
      </c>
      <c r="AB80" s="406">
        <v>-0.57999999999999996</v>
      </c>
      <c r="AC80" s="407">
        <f t="shared" ref="AC80:AC91" si="174">IF(OR(AA80=0,AB80=0),$Y$204/3,((MAX(AA80:AB80)-(MIN(AA80:AB80)))))</f>
        <v>0.69</v>
      </c>
      <c r="AD80" s="404">
        <v>9.9999999999999995E-7</v>
      </c>
      <c r="AE80" s="391"/>
      <c r="AF80" s="405">
        <v>-20</v>
      </c>
      <c r="AG80" s="406">
        <f t="shared" ref="AG80:AG91" si="175">Z192</f>
        <v>0.15</v>
      </c>
      <c r="AH80" s="406">
        <v>-7.0000000000000007E-2</v>
      </c>
      <c r="AI80" s="407">
        <f t="shared" ref="AI80:AI91" si="176">IF(OR(AG80=0,AH80=0),$Z$204/3,((MAX(AG80:AH80)-(MIN(AG80:AH80)))))</f>
        <v>0.22</v>
      </c>
      <c r="AJ80" s="404">
        <v>9.9999999999999995E-7</v>
      </c>
      <c r="AK80" s="391"/>
      <c r="AL80" s="405">
        <v>-20</v>
      </c>
      <c r="AM80" s="406">
        <f t="shared" ref="AM80:AM91" si="177">AA192</f>
        <v>0.48</v>
      </c>
      <c r="AN80" s="406"/>
      <c r="AO80" s="407">
        <f t="shared" ref="AO80:AO91" si="178">IF(OR(AM80=0,AN80=0),$AA$204/3,((MAX(AM80:AN80)-(MIN(AM80:AN80)))))</f>
        <v>0.08</v>
      </c>
      <c r="AP80" s="404">
        <v>9.9999999999999995E-7</v>
      </c>
      <c r="AQ80" s="391"/>
      <c r="AR80" s="405">
        <v>-20</v>
      </c>
      <c r="AS80" s="406">
        <f t="shared" ref="AS80:AS91" si="179">AB192</f>
        <v>0.35</v>
      </c>
      <c r="AT80" s="406"/>
      <c r="AU80" s="407">
        <f t="shared" ref="AU80:AU91" si="180">IF(OR(AS80=0,AT80=0),$AB$204/3,((MAX(AS80:AT80)-(MIN(AS80:AT80)))))</f>
        <v>8.3333333333333329E-2</v>
      </c>
      <c r="AV80" s="404">
        <v>9.9999999999999995E-7</v>
      </c>
      <c r="AW80" s="391"/>
      <c r="AX80" s="405">
        <v>-20</v>
      </c>
      <c r="AY80" s="406">
        <f t="shared" ref="AY80:AY91" si="181">AC192</f>
        <v>0.57999999999999996</v>
      </c>
      <c r="AZ80" s="406"/>
      <c r="BA80" s="407">
        <f t="shared" ref="BA80:BA91" si="182">IF(OR(AY80=0,AZ80=0),$AC$204/3,((MAX(AY80:AZ80)-(MIN(AY80:AZ80)))))</f>
        <v>0.26333333333333336</v>
      </c>
      <c r="BB80" s="404">
        <v>9.9999999999999995E-7</v>
      </c>
      <c r="BC80" s="391"/>
      <c r="BD80" s="405">
        <v>-20</v>
      </c>
      <c r="BE80" s="406">
        <f t="shared" ref="BE80:BE91" si="183">AD192</f>
        <v>-0.91</v>
      </c>
      <c r="BF80" s="406"/>
      <c r="BG80" s="407">
        <f t="shared" ref="BG80:BG91" si="184">IF(OR(BE80=0,BF80=0),$AD$204/3,((MAX(BE80:BF80)-(MIN(BE80:BF80)))))</f>
        <v>9.0000000000000011E-2</v>
      </c>
      <c r="BH80" s="404">
        <v>9.9999999999999995E-7</v>
      </c>
      <c r="BI80" s="391"/>
      <c r="BJ80" s="405">
        <v>-20</v>
      </c>
      <c r="BK80" s="406">
        <f t="shared" ref="BK80:BK91" si="185">AE192</f>
        <v>0.57999999999999996</v>
      </c>
      <c r="BL80" s="406"/>
      <c r="BM80" s="407">
        <f t="shared" ref="BM80:BM91" si="186">IF(OR(BK80=0,BL80=0),$AE$204/3,((MAX(BK80:BL80)-(MIN(BK80:BL80)))))</f>
        <v>0.26333333333333336</v>
      </c>
      <c r="BN80" s="404">
        <v>9.9999999999999995E-7</v>
      </c>
      <c r="BO80" s="391"/>
      <c r="BP80" s="405">
        <v>-20</v>
      </c>
      <c r="BQ80" s="406">
        <f t="shared" ref="BQ80:BQ91" si="187">AF192</f>
        <v>-1.27</v>
      </c>
      <c r="BR80" s="406"/>
      <c r="BS80" s="407">
        <f t="shared" ref="BS80:BS91" si="188">IF(OR(BQ80=0,BR80=0),$AF$204/3,((MAX(BQ80:BR80)-(MIN(BQ80:BR80)))))</f>
        <v>8.666666666666667E-2</v>
      </c>
      <c r="BT80" s="404">
        <v>9.9999999999999995E-7</v>
      </c>
      <c r="BU80" s="391"/>
      <c r="BV80" s="405">
        <v>-20</v>
      </c>
      <c r="BW80" s="406">
        <f t="shared" ref="BW80:BW91" si="189">AG192</f>
        <v>-1.43</v>
      </c>
      <c r="BX80" s="406"/>
      <c r="BY80" s="407">
        <f t="shared" ref="BY80:BY91" si="190">IF(OR(BW80=0,BX80=0),$AG$204/3,((MAX(BW80:BX80)-(MIN(BW80:BX80)))))</f>
        <v>8.3333333333333329E-2</v>
      </c>
      <c r="BZ80" s="404">
        <v>9.9999999999999995E-7</v>
      </c>
      <c r="CA80" s="391"/>
      <c r="CB80" s="405">
        <v>-20</v>
      </c>
      <c r="CC80" s="406">
        <f>CC66</f>
        <v>-1.1000000000000001</v>
      </c>
      <c r="CD80" s="406">
        <f>CD95</f>
        <v>-0.7</v>
      </c>
      <c r="CE80" s="407">
        <f>CE66</f>
        <v>0.40000000000000013</v>
      </c>
      <c r="CF80" s="404">
        <v>9.9999999999999995E-7</v>
      </c>
      <c r="CH80" s="405">
        <v>-20</v>
      </c>
      <c r="CI80" s="406">
        <f>CI50</f>
        <v>-0.15</v>
      </c>
      <c r="CJ80" s="406">
        <f>CJ50</f>
        <v>-0.32</v>
      </c>
      <c r="CK80" s="407">
        <f>CK50</f>
        <v>0.17</v>
      </c>
      <c r="CL80" s="404">
        <v>9.9999999999999995E-7</v>
      </c>
      <c r="CN80" s="405">
        <v>-20</v>
      </c>
      <c r="CO80" s="406">
        <f>CO50</f>
        <v>-1.8</v>
      </c>
      <c r="CP80" s="406">
        <f>CP50</f>
        <v>-0.51</v>
      </c>
      <c r="CQ80" s="407">
        <f>CQ50</f>
        <v>1.29</v>
      </c>
      <c r="CR80" s="404">
        <v>9.9999999999999995E-7</v>
      </c>
    </row>
    <row r="81" spans="2:96">
      <c r="B81" s="405">
        <v>-15</v>
      </c>
      <c r="C81" s="406">
        <v>-0.24</v>
      </c>
      <c r="D81" s="406">
        <f t="shared" si="165"/>
        <v>-0.56000000000000005</v>
      </c>
      <c r="E81" s="407">
        <f t="shared" si="166"/>
        <v>0.32000000000000006</v>
      </c>
      <c r="F81" s="408">
        <f>(-0.51+1.71)/2</f>
        <v>0.6</v>
      </c>
      <c r="G81" s="409"/>
      <c r="H81" s="405">
        <v>-15</v>
      </c>
      <c r="I81" s="406">
        <v>-0.63</v>
      </c>
      <c r="J81" s="406">
        <f t="shared" si="167"/>
        <v>-0.37</v>
      </c>
      <c r="K81" s="407">
        <f t="shared" si="168"/>
        <v>0.26</v>
      </c>
      <c r="L81" s="408">
        <f t="shared" ref="L81:L86" si="191">(0+0.07)/2</f>
        <v>3.5000000000000003E-2</v>
      </c>
      <c r="M81" s="409"/>
      <c r="N81" s="405">
        <v>-15</v>
      </c>
      <c r="O81" s="406">
        <v>-0.5</v>
      </c>
      <c r="P81" s="406">
        <f t="shared" si="169"/>
        <v>-0.38</v>
      </c>
      <c r="Q81" s="407">
        <f t="shared" si="170"/>
        <v>0.12</v>
      </c>
      <c r="R81" s="404">
        <f>(0.05-0)/2</f>
        <v>2.5000000000000001E-2</v>
      </c>
      <c r="S81" s="391"/>
      <c r="T81" s="405">
        <v>-15</v>
      </c>
      <c r="U81" s="406">
        <f t="shared" si="171"/>
        <v>-1.1399999999999999</v>
      </c>
      <c r="V81" s="406"/>
      <c r="W81" s="407">
        <f t="shared" si="172"/>
        <v>8.666666666666667E-2</v>
      </c>
      <c r="X81" s="404">
        <f>(0.05-0)/2</f>
        <v>2.5000000000000001E-2</v>
      </c>
      <c r="Y81" s="391"/>
      <c r="Z81" s="405">
        <v>-15</v>
      </c>
      <c r="AA81" s="406">
        <f t="shared" si="173"/>
        <v>0.15</v>
      </c>
      <c r="AB81" s="406">
        <v>9.9999999999999995E-7</v>
      </c>
      <c r="AC81" s="407">
        <f t="shared" si="174"/>
        <v>0.14999899999999999</v>
      </c>
      <c r="AD81" s="404">
        <f>(0.05-0)/2</f>
        <v>2.5000000000000001E-2</v>
      </c>
      <c r="AE81" s="391"/>
      <c r="AF81" s="405">
        <v>-15</v>
      </c>
      <c r="AG81" s="406">
        <f t="shared" si="175"/>
        <v>0.18</v>
      </c>
      <c r="AH81" s="406">
        <v>9.9999999999999995E-7</v>
      </c>
      <c r="AI81" s="407">
        <f t="shared" si="176"/>
        <v>0.17999899999999999</v>
      </c>
      <c r="AJ81" s="404">
        <f>(0.05-0)/2</f>
        <v>2.5000000000000001E-2</v>
      </c>
      <c r="AK81" s="391"/>
      <c r="AL81" s="405">
        <v>-15</v>
      </c>
      <c r="AM81" s="406">
        <f t="shared" si="177"/>
        <v>0.49</v>
      </c>
      <c r="AN81" s="406"/>
      <c r="AO81" s="407">
        <f t="shared" si="178"/>
        <v>0.08</v>
      </c>
      <c r="AP81" s="404">
        <f>(0.05-0)/2</f>
        <v>2.5000000000000001E-2</v>
      </c>
      <c r="AQ81" s="391"/>
      <c r="AR81" s="405">
        <v>-15</v>
      </c>
      <c r="AS81" s="406">
        <f t="shared" si="179"/>
        <v>0.38</v>
      </c>
      <c r="AT81" s="406"/>
      <c r="AU81" s="407">
        <f t="shared" si="180"/>
        <v>8.3333333333333329E-2</v>
      </c>
      <c r="AV81" s="404">
        <f>(0.05-0)/2</f>
        <v>2.5000000000000001E-2</v>
      </c>
      <c r="AW81" s="391"/>
      <c r="AX81" s="405">
        <v>-15</v>
      </c>
      <c r="AY81" s="406">
        <f t="shared" si="181"/>
        <v>9.9999999999999995E-7</v>
      </c>
      <c r="AZ81" s="406"/>
      <c r="BA81" s="407">
        <f t="shared" si="182"/>
        <v>0.26333333333333336</v>
      </c>
      <c r="BB81" s="404">
        <f>(0.05-0)/2</f>
        <v>2.5000000000000001E-2</v>
      </c>
      <c r="BC81" s="391"/>
      <c r="BD81" s="405">
        <v>-15</v>
      </c>
      <c r="BE81" s="406">
        <f t="shared" si="183"/>
        <v>-0.65</v>
      </c>
      <c r="BF81" s="406"/>
      <c r="BG81" s="407">
        <f t="shared" si="184"/>
        <v>9.0000000000000011E-2</v>
      </c>
      <c r="BH81" s="404">
        <f>(0.05-0)/2</f>
        <v>2.5000000000000001E-2</v>
      </c>
      <c r="BI81" s="391"/>
      <c r="BJ81" s="405">
        <v>-15</v>
      </c>
      <c r="BK81" s="406">
        <f t="shared" si="185"/>
        <v>9.9999999999999995E-7</v>
      </c>
      <c r="BL81" s="406"/>
      <c r="BM81" s="407">
        <f t="shared" si="186"/>
        <v>0.26333333333333336</v>
      </c>
      <c r="BN81" s="404">
        <f>(0.05-0)/2</f>
        <v>2.5000000000000001E-2</v>
      </c>
      <c r="BO81" s="391"/>
      <c r="BP81" s="405">
        <v>-15</v>
      </c>
      <c r="BQ81" s="406">
        <f t="shared" si="187"/>
        <v>-1.01</v>
      </c>
      <c r="BR81" s="406"/>
      <c r="BS81" s="407">
        <f t="shared" si="188"/>
        <v>8.666666666666667E-2</v>
      </c>
      <c r="BT81" s="404">
        <f>(0.05-0)/2</f>
        <v>2.5000000000000001E-2</v>
      </c>
      <c r="BU81" s="391"/>
      <c r="BV81" s="405">
        <v>-15</v>
      </c>
      <c r="BW81" s="406">
        <f t="shared" si="189"/>
        <v>-1.17</v>
      </c>
      <c r="BX81" s="406"/>
      <c r="BY81" s="407">
        <f t="shared" si="190"/>
        <v>8.3333333333333329E-2</v>
      </c>
      <c r="BZ81" s="404">
        <f>(0.05-0)/2</f>
        <v>2.5000000000000001E-2</v>
      </c>
      <c r="CA81" s="391"/>
      <c r="CB81" s="405">
        <v>-15</v>
      </c>
      <c r="CC81" s="406">
        <f t="shared" ref="CC81:CC91" si="192">CC67</f>
        <v>-1.2</v>
      </c>
      <c r="CD81" s="406">
        <f t="shared" ref="CD81:CD91" si="193">CD96</f>
        <v>-0.7</v>
      </c>
      <c r="CE81" s="407">
        <f t="shared" ref="CE81:CE91" si="194">CE66</f>
        <v>0.40000000000000013</v>
      </c>
      <c r="CF81" s="404">
        <f>(0.05-0)/2</f>
        <v>2.5000000000000001E-2</v>
      </c>
      <c r="CH81" s="405">
        <v>-15</v>
      </c>
      <c r="CI81" s="406">
        <f t="shared" ref="CI81:CI91" si="195">CI66</f>
        <v>-0.1</v>
      </c>
      <c r="CJ81" s="406">
        <f t="shared" ref="CJ81:CJ91" si="196">CJ51</f>
        <v>-0.24</v>
      </c>
      <c r="CK81" s="407">
        <f t="shared" ref="CK81:CK91" si="197">CK66</f>
        <v>0.13999999999999999</v>
      </c>
      <c r="CL81" s="404">
        <f>(0.05-0)/2</f>
        <v>2.5000000000000001E-2</v>
      </c>
      <c r="CN81" s="405">
        <v>-15</v>
      </c>
      <c r="CO81" s="406">
        <f t="shared" ref="CO81:CP91" si="198">CO51</f>
        <v>-1.52</v>
      </c>
      <c r="CP81" s="406">
        <f t="shared" si="198"/>
        <v>-0.39</v>
      </c>
      <c r="CQ81" s="407">
        <f t="shared" ref="CQ81:CQ91" si="199">CQ66</f>
        <v>1.1299999999999999</v>
      </c>
      <c r="CR81" s="404">
        <f>(0.05-0)/2</f>
        <v>2.5000000000000001E-2</v>
      </c>
    </row>
    <row r="82" spans="2:96">
      <c r="B82" s="405">
        <v>-10</v>
      </c>
      <c r="C82" s="406">
        <v>-0.18</v>
      </c>
      <c r="D82" s="406">
        <f t="shared" si="165"/>
        <v>-0.49</v>
      </c>
      <c r="E82" s="407">
        <f t="shared" si="166"/>
        <v>0.31</v>
      </c>
      <c r="F82" s="408">
        <f>(-0.45+1.41)/2</f>
        <v>0.48</v>
      </c>
      <c r="G82" s="409"/>
      <c r="H82" s="405">
        <v>-10</v>
      </c>
      <c r="I82" s="406">
        <v>9.9999999999999995E-7</v>
      </c>
      <c r="J82" s="406">
        <f t="shared" si="167"/>
        <v>-0.31</v>
      </c>
      <c r="K82" s="407">
        <f t="shared" si="168"/>
        <v>0.31000099999999997</v>
      </c>
      <c r="L82" s="408">
        <f t="shared" si="191"/>
        <v>3.5000000000000003E-2</v>
      </c>
      <c r="M82" s="409"/>
      <c r="N82" s="405">
        <v>-10</v>
      </c>
      <c r="O82" s="406">
        <v>-0.41</v>
      </c>
      <c r="P82" s="406">
        <f t="shared" si="169"/>
        <v>-0.31</v>
      </c>
      <c r="Q82" s="407">
        <f t="shared" si="170"/>
        <v>9.9999999999999978E-2</v>
      </c>
      <c r="R82" s="404">
        <f>(0.06-0)/2</f>
        <v>0.03</v>
      </c>
      <c r="S82" s="391"/>
      <c r="T82" s="405">
        <v>-10</v>
      </c>
      <c r="U82" s="406">
        <f t="shared" si="171"/>
        <v>-0.9</v>
      </c>
      <c r="V82" s="406"/>
      <c r="W82" s="407">
        <f t="shared" si="172"/>
        <v>8.666666666666667E-2</v>
      </c>
      <c r="X82" s="404">
        <f>(0.06-0)/2</f>
        <v>0.03</v>
      </c>
      <c r="Y82" s="391"/>
      <c r="Z82" s="405">
        <v>-10</v>
      </c>
      <c r="AA82" s="406">
        <f t="shared" si="173"/>
        <v>0.18</v>
      </c>
      <c r="AB82" s="406">
        <v>-0.31</v>
      </c>
      <c r="AC82" s="407">
        <f t="shared" si="174"/>
        <v>0.49</v>
      </c>
      <c r="AD82" s="404">
        <f>(0.06-0)/2</f>
        <v>0.03</v>
      </c>
      <c r="AE82" s="391"/>
      <c r="AF82" s="405">
        <v>-10</v>
      </c>
      <c r="AG82" s="406">
        <f t="shared" si="175"/>
        <v>0.2</v>
      </c>
      <c r="AH82" s="406">
        <v>0.16</v>
      </c>
      <c r="AI82" s="407">
        <f t="shared" si="176"/>
        <v>4.0000000000000008E-2</v>
      </c>
      <c r="AJ82" s="404">
        <f>(0.06-0)/2</f>
        <v>0.03</v>
      </c>
      <c r="AK82" s="391"/>
      <c r="AL82" s="405">
        <v>-10</v>
      </c>
      <c r="AM82" s="406">
        <f t="shared" si="177"/>
        <v>0.5</v>
      </c>
      <c r="AN82" s="406"/>
      <c r="AO82" s="407">
        <f t="shared" si="178"/>
        <v>0.08</v>
      </c>
      <c r="AP82" s="404">
        <f>(0.06-0)/2</f>
        <v>0.03</v>
      </c>
      <c r="AQ82" s="391"/>
      <c r="AR82" s="405">
        <v>-10</v>
      </c>
      <c r="AS82" s="406">
        <f t="shared" si="179"/>
        <v>0.4</v>
      </c>
      <c r="AT82" s="406"/>
      <c r="AU82" s="407">
        <f t="shared" si="180"/>
        <v>8.3333333333333329E-2</v>
      </c>
      <c r="AV82" s="404">
        <f>(0.06-0)/2</f>
        <v>0.03</v>
      </c>
      <c r="AW82" s="391"/>
      <c r="AX82" s="405">
        <v>-10</v>
      </c>
      <c r="AY82" s="406">
        <f t="shared" si="181"/>
        <v>0.55000000000000004</v>
      </c>
      <c r="AZ82" s="406"/>
      <c r="BA82" s="407">
        <f t="shared" si="182"/>
        <v>0.26333333333333336</v>
      </c>
      <c r="BB82" s="404">
        <f>(0.06-0)/2</f>
        <v>0.03</v>
      </c>
      <c r="BC82" s="391"/>
      <c r="BD82" s="405">
        <v>-10</v>
      </c>
      <c r="BE82" s="406">
        <f t="shared" si="183"/>
        <v>-0.46</v>
      </c>
      <c r="BF82" s="406"/>
      <c r="BG82" s="407">
        <f t="shared" si="184"/>
        <v>9.0000000000000011E-2</v>
      </c>
      <c r="BH82" s="404">
        <f>(0.06-0)/2</f>
        <v>0.03</v>
      </c>
      <c r="BI82" s="391"/>
      <c r="BJ82" s="405">
        <v>-10</v>
      </c>
      <c r="BK82" s="406">
        <f t="shared" si="185"/>
        <v>0.55000000000000004</v>
      </c>
      <c r="BL82" s="406"/>
      <c r="BM82" s="407">
        <f t="shared" si="186"/>
        <v>0.26333333333333336</v>
      </c>
      <c r="BN82" s="404">
        <f>(0.06-0)/2</f>
        <v>0.03</v>
      </c>
      <c r="BO82" s="391"/>
      <c r="BP82" s="405">
        <v>-10</v>
      </c>
      <c r="BQ82" s="406">
        <f t="shared" si="187"/>
        <v>-0.8</v>
      </c>
      <c r="BR82" s="406"/>
      <c r="BS82" s="407">
        <f t="shared" si="188"/>
        <v>8.666666666666667E-2</v>
      </c>
      <c r="BT82" s="404">
        <f>(0.06-0)/2</f>
        <v>0.03</v>
      </c>
      <c r="BU82" s="391"/>
      <c r="BV82" s="405">
        <v>-10</v>
      </c>
      <c r="BW82" s="406">
        <f t="shared" si="189"/>
        <v>-0.94</v>
      </c>
      <c r="BX82" s="406"/>
      <c r="BY82" s="407">
        <f t="shared" si="190"/>
        <v>8.3333333333333329E-2</v>
      </c>
      <c r="BZ82" s="404">
        <f>(0.06-0)/2</f>
        <v>0.03</v>
      </c>
      <c r="CA82" s="391"/>
      <c r="CB82" s="405">
        <v>-10</v>
      </c>
      <c r="CC82" s="406">
        <f t="shared" si="192"/>
        <v>-1.4</v>
      </c>
      <c r="CD82" s="406">
        <f t="shared" si="193"/>
        <v>-0.7</v>
      </c>
      <c r="CE82" s="407">
        <f t="shared" si="194"/>
        <v>0.5</v>
      </c>
      <c r="CF82" s="404">
        <f>(0.06-0)/2</f>
        <v>0.03</v>
      </c>
      <c r="CH82" s="405">
        <v>-10</v>
      </c>
      <c r="CI82" s="406">
        <f t="shared" si="195"/>
        <v>-0.05</v>
      </c>
      <c r="CJ82" s="406">
        <f t="shared" si="196"/>
        <v>-0.18</v>
      </c>
      <c r="CK82" s="407">
        <f t="shared" si="197"/>
        <v>0.13</v>
      </c>
      <c r="CL82" s="404">
        <f>(0.06-0)/2</f>
        <v>0.03</v>
      </c>
      <c r="CN82" s="405">
        <v>-10</v>
      </c>
      <c r="CO82" s="406">
        <f t="shared" si="198"/>
        <v>-1.26</v>
      </c>
      <c r="CP82" s="406">
        <f t="shared" si="198"/>
        <v>-0.28000000000000003</v>
      </c>
      <c r="CQ82" s="407">
        <f t="shared" si="199"/>
        <v>0.98</v>
      </c>
      <c r="CR82" s="404">
        <f>(0.06-0)/2</f>
        <v>0.03</v>
      </c>
    </row>
    <row r="83" spans="2:96">
      <c r="B83" s="405">
        <v>9.9999999999999995E-7</v>
      </c>
      <c r="C83" s="406">
        <v>-0.06</v>
      </c>
      <c r="D83" s="406">
        <f t="shared" si="165"/>
        <v>-0.35</v>
      </c>
      <c r="E83" s="407">
        <f t="shared" si="166"/>
        <v>0.28999999999999998</v>
      </c>
      <c r="F83" s="408">
        <f>(-0.36+0.9)/2</f>
        <v>0.27</v>
      </c>
      <c r="G83" s="409"/>
      <c r="H83" s="405">
        <v>9.9999999999999995E-7</v>
      </c>
      <c r="I83" s="406">
        <v>-0.28000000000000003</v>
      </c>
      <c r="J83" s="406">
        <f t="shared" si="167"/>
        <v>-0.19</v>
      </c>
      <c r="K83" s="407">
        <f t="shared" si="168"/>
        <v>9.0000000000000024E-2</v>
      </c>
      <c r="L83" s="408">
        <f t="shared" si="191"/>
        <v>3.5000000000000003E-2</v>
      </c>
      <c r="M83" s="409"/>
      <c r="N83" s="405">
        <v>9.9999999999999995E-7</v>
      </c>
      <c r="O83" s="406">
        <v>-0.34</v>
      </c>
      <c r="P83" s="406">
        <f t="shared" si="169"/>
        <v>-0.21</v>
      </c>
      <c r="Q83" s="407">
        <f t="shared" si="170"/>
        <v>0.13000000000000003</v>
      </c>
      <c r="R83" s="404">
        <f>(0.08-0)/2</f>
        <v>0.04</v>
      </c>
      <c r="S83" s="391"/>
      <c r="T83" s="405">
        <v>9.9999999999999995E-7</v>
      </c>
      <c r="U83" s="406">
        <f t="shared" si="171"/>
        <v>-0.27</v>
      </c>
      <c r="V83" s="406"/>
      <c r="W83" s="407">
        <f t="shared" si="172"/>
        <v>8.666666666666667E-2</v>
      </c>
      <c r="X83" s="404">
        <f>(0.08-0)/2</f>
        <v>0.04</v>
      </c>
      <c r="Y83" s="391"/>
      <c r="Z83" s="405">
        <v>9.9999999999999995E-7</v>
      </c>
      <c r="AA83" s="406">
        <f t="shared" si="173"/>
        <v>0.16</v>
      </c>
      <c r="AB83" s="406">
        <v>-0.08</v>
      </c>
      <c r="AC83" s="407">
        <f t="shared" si="174"/>
        <v>0.24</v>
      </c>
      <c r="AD83" s="404">
        <f>(0.08-0)/2</f>
        <v>0.04</v>
      </c>
      <c r="AE83" s="391"/>
      <c r="AF83" s="405">
        <v>9.9999999999999995E-7</v>
      </c>
      <c r="AG83" s="406">
        <f t="shared" si="175"/>
        <v>0.19</v>
      </c>
      <c r="AH83" s="406">
        <v>0.34</v>
      </c>
      <c r="AI83" s="407">
        <f t="shared" si="176"/>
        <v>0.15000000000000002</v>
      </c>
      <c r="AJ83" s="404">
        <f>(0.08-0)/2</f>
        <v>0.04</v>
      </c>
      <c r="AK83" s="391"/>
      <c r="AL83" s="405">
        <v>9.9999999999999995E-7</v>
      </c>
      <c r="AM83" s="406">
        <f t="shared" si="177"/>
        <v>0.45</v>
      </c>
      <c r="AN83" s="406"/>
      <c r="AO83" s="407">
        <f t="shared" si="178"/>
        <v>0.08</v>
      </c>
      <c r="AP83" s="404">
        <f>(0.08-0)/2</f>
        <v>0.04</v>
      </c>
      <c r="AQ83" s="391"/>
      <c r="AR83" s="405">
        <v>9.9999999999999995E-7</v>
      </c>
      <c r="AS83" s="406">
        <f t="shared" si="179"/>
        <v>0.38</v>
      </c>
      <c r="AT83" s="406"/>
      <c r="AU83" s="407">
        <f t="shared" si="180"/>
        <v>8.3333333333333329E-2</v>
      </c>
      <c r="AV83" s="404">
        <f>(0.08-0)/2</f>
        <v>0.04</v>
      </c>
      <c r="AW83" s="391"/>
      <c r="AX83" s="405">
        <v>9.9999999999999995E-7</v>
      </c>
      <c r="AY83" s="406">
        <f t="shared" si="181"/>
        <v>0.52</v>
      </c>
      <c r="AZ83" s="406"/>
      <c r="BA83" s="407">
        <f t="shared" si="182"/>
        <v>0.26333333333333336</v>
      </c>
      <c r="BB83" s="404">
        <f>(0.08-0)/2</f>
        <v>0.04</v>
      </c>
      <c r="BC83" s="391"/>
      <c r="BD83" s="405">
        <v>9.9999999999999995E-7</v>
      </c>
      <c r="BE83" s="406">
        <f t="shared" si="183"/>
        <v>-0.25</v>
      </c>
      <c r="BF83" s="406"/>
      <c r="BG83" s="407">
        <f t="shared" si="184"/>
        <v>9.0000000000000011E-2</v>
      </c>
      <c r="BH83" s="404">
        <f>(0.08-0)/2</f>
        <v>0.04</v>
      </c>
      <c r="BI83" s="391"/>
      <c r="BJ83" s="405">
        <v>9.9999999999999995E-7</v>
      </c>
      <c r="BK83" s="406">
        <f t="shared" si="185"/>
        <v>0.52</v>
      </c>
      <c r="BL83" s="406"/>
      <c r="BM83" s="407">
        <f t="shared" si="186"/>
        <v>0.26333333333333336</v>
      </c>
      <c r="BN83" s="404">
        <f>(0.08-0)/2</f>
        <v>0.04</v>
      </c>
      <c r="BO83" s="391"/>
      <c r="BP83" s="405">
        <v>9.9999999999999995E-7</v>
      </c>
      <c r="BQ83" s="406">
        <f t="shared" si="187"/>
        <v>-0.61</v>
      </c>
      <c r="BR83" s="406"/>
      <c r="BS83" s="407">
        <f t="shared" si="188"/>
        <v>8.666666666666667E-2</v>
      </c>
      <c r="BT83" s="404">
        <f>(0.08-0)/2</f>
        <v>0.04</v>
      </c>
      <c r="BU83" s="391"/>
      <c r="BV83" s="405">
        <v>9.9999999999999995E-7</v>
      </c>
      <c r="BW83" s="406">
        <f t="shared" si="189"/>
        <v>-0.53</v>
      </c>
      <c r="BX83" s="406"/>
      <c r="BY83" s="407">
        <f t="shared" si="190"/>
        <v>8.3333333333333329E-2</v>
      </c>
      <c r="BZ83" s="404">
        <f>(0.08-0)/2</f>
        <v>0.04</v>
      </c>
      <c r="CA83" s="391"/>
      <c r="CB83" s="405">
        <v>9.9999999999999995E-7</v>
      </c>
      <c r="CC83" s="406">
        <f t="shared" si="192"/>
        <v>0</v>
      </c>
      <c r="CD83" s="406">
        <f t="shared" si="193"/>
        <v>-0.7</v>
      </c>
      <c r="CE83" s="407">
        <f t="shared" si="194"/>
        <v>0.7</v>
      </c>
      <c r="CF83" s="404">
        <f>(0.08-0)/2</f>
        <v>0.04</v>
      </c>
      <c r="CH83" s="405">
        <v>9.9999999999999995E-7</v>
      </c>
      <c r="CI83" s="406">
        <f t="shared" si="195"/>
        <v>0.03</v>
      </c>
      <c r="CJ83" s="406">
        <f t="shared" si="196"/>
        <v>-0.06</v>
      </c>
      <c r="CK83" s="407">
        <f t="shared" si="197"/>
        <v>0.09</v>
      </c>
      <c r="CL83" s="404">
        <f>(0.08-0)/2</f>
        <v>0.04</v>
      </c>
      <c r="CN83" s="405">
        <v>9.9999999999999995E-7</v>
      </c>
      <c r="CO83" s="406">
        <f t="shared" si="198"/>
        <v>-0.79</v>
      </c>
      <c r="CP83" s="406">
        <f t="shared" si="198"/>
        <v>-0.08</v>
      </c>
      <c r="CQ83" s="407">
        <f t="shared" si="199"/>
        <v>0.71000000000000008</v>
      </c>
      <c r="CR83" s="404">
        <f>(0.08-0)/2</f>
        <v>0.04</v>
      </c>
    </row>
    <row r="84" spans="2:96">
      <c r="B84" s="405">
        <v>2</v>
      </c>
      <c r="C84" s="406">
        <v>-0.04</v>
      </c>
      <c r="D84" s="406">
        <f t="shared" si="165"/>
        <v>-0.32</v>
      </c>
      <c r="E84" s="407">
        <f t="shared" si="166"/>
        <v>0.28000000000000003</v>
      </c>
      <c r="F84" s="408">
        <f>(-0.35+0.8)/2</f>
        <v>0.22500000000000003</v>
      </c>
      <c r="G84" s="409"/>
      <c r="H84" s="405">
        <v>2</v>
      </c>
      <c r="I84" s="406">
        <v>-0.25</v>
      </c>
      <c r="J84" s="406">
        <f t="shared" si="167"/>
        <v>-0.17</v>
      </c>
      <c r="K84" s="407">
        <f t="shared" si="168"/>
        <v>7.9999999999999988E-2</v>
      </c>
      <c r="L84" s="408">
        <f t="shared" si="191"/>
        <v>3.5000000000000003E-2</v>
      </c>
      <c r="M84" s="409"/>
      <c r="N84" s="405">
        <v>2</v>
      </c>
      <c r="O84" s="406">
        <v>-0.33</v>
      </c>
      <c r="P84" s="406">
        <f t="shared" si="169"/>
        <v>-0.19</v>
      </c>
      <c r="Q84" s="407">
        <f t="shared" si="170"/>
        <v>0.14000000000000001</v>
      </c>
      <c r="R84" s="404">
        <f>(0.08-0)/2</f>
        <v>0.04</v>
      </c>
      <c r="S84" s="391"/>
      <c r="T84" s="405">
        <v>2</v>
      </c>
      <c r="U84" s="406">
        <f t="shared" si="171"/>
        <v>-0.56999999999999995</v>
      </c>
      <c r="V84" s="406"/>
      <c r="W84" s="407">
        <f t="shared" si="172"/>
        <v>8.666666666666667E-2</v>
      </c>
      <c r="X84" s="404">
        <f>(0.08-0)/2</f>
        <v>0.04</v>
      </c>
      <c r="Y84" s="391"/>
      <c r="Z84" s="405">
        <v>2</v>
      </c>
      <c r="AA84" s="406">
        <f t="shared" si="173"/>
        <v>0.2</v>
      </c>
      <c r="AB84" s="406">
        <v>-0.04</v>
      </c>
      <c r="AC84" s="407">
        <f t="shared" si="174"/>
        <v>0.24000000000000002</v>
      </c>
      <c r="AD84" s="404">
        <f>(0.08-0)/2</f>
        <v>0.04</v>
      </c>
      <c r="AE84" s="391"/>
      <c r="AF84" s="405">
        <v>2</v>
      </c>
      <c r="AG84" s="406">
        <f t="shared" si="175"/>
        <v>0.2</v>
      </c>
      <c r="AH84" s="406">
        <v>0.38</v>
      </c>
      <c r="AI84" s="407">
        <f t="shared" si="176"/>
        <v>0.18</v>
      </c>
      <c r="AJ84" s="404">
        <f>(0.08-0)/2</f>
        <v>0.04</v>
      </c>
      <c r="AK84" s="391"/>
      <c r="AL84" s="405">
        <v>2</v>
      </c>
      <c r="AM84" s="406">
        <f t="shared" si="177"/>
        <v>0.48</v>
      </c>
      <c r="AN84" s="406"/>
      <c r="AO84" s="407">
        <f t="shared" si="178"/>
        <v>0.08</v>
      </c>
      <c r="AP84" s="404">
        <f>(0.08-0)/2</f>
        <v>0.04</v>
      </c>
      <c r="AQ84" s="391"/>
      <c r="AR84" s="405">
        <v>2</v>
      </c>
      <c r="AS84" s="406">
        <f t="shared" si="179"/>
        <v>0.39</v>
      </c>
      <c r="AT84" s="406"/>
      <c r="AU84" s="407">
        <f t="shared" si="180"/>
        <v>8.3333333333333329E-2</v>
      </c>
      <c r="AV84" s="404">
        <f>(0.08-0)/2</f>
        <v>0.04</v>
      </c>
      <c r="AW84" s="391"/>
      <c r="AX84" s="405">
        <v>2</v>
      </c>
      <c r="AY84" s="406">
        <f t="shared" si="181"/>
        <v>0.51</v>
      </c>
      <c r="AZ84" s="406"/>
      <c r="BA84" s="407">
        <f t="shared" si="182"/>
        <v>0.26333333333333336</v>
      </c>
      <c r="BB84" s="404">
        <f>(0.08-0)/2</f>
        <v>0.04</v>
      </c>
      <c r="BC84" s="391"/>
      <c r="BD84" s="405">
        <v>2</v>
      </c>
      <c r="BE84" s="406">
        <f t="shared" si="183"/>
        <v>-0.27</v>
      </c>
      <c r="BF84" s="406"/>
      <c r="BG84" s="407">
        <f t="shared" si="184"/>
        <v>9.0000000000000011E-2</v>
      </c>
      <c r="BH84" s="404">
        <f>(0.08-0)/2</f>
        <v>0.04</v>
      </c>
      <c r="BI84" s="391"/>
      <c r="BJ84" s="405">
        <v>2</v>
      </c>
      <c r="BK84" s="406">
        <f t="shared" si="185"/>
        <v>0.51</v>
      </c>
      <c r="BL84" s="406"/>
      <c r="BM84" s="407">
        <f t="shared" si="186"/>
        <v>0.26333333333333336</v>
      </c>
      <c r="BN84" s="404">
        <f>(0.08-0)/2</f>
        <v>0.04</v>
      </c>
      <c r="BO84" s="391"/>
      <c r="BP84" s="405">
        <v>2</v>
      </c>
      <c r="BQ84" s="406">
        <f t="shared" si="187"/>
        <v>-0.5</v>
      </c>
      <c r="BR84" s="406"/>
      <c r="BS84" s="407">
        <f t="shared" si="188"/>
        <v>8.666666666666667E-2</v>
      </c>
      <c r="BT84" s="404">
        <f>(0.08-0)/2</f>
        <v>0.04</v>
      </c>
      <c r="BU84" s="391"/>
      <c r="BV84" s="405">
        <v>2</v>
      </c>
      <c r="BW84" s="406">
        <f t="shared" si="189"/>
        <v>-0.6</v>
      </c>
      <c r="BX84" s="406"/>
      <c r="BY84" s="407">
        <f t="shared" si="190"/>
        <v>8.3333333333333329E-2</v>
      </c>
      <c r="BZ84" s="404">
        <f>(0.08-0)/2</f>
        <v>0.04</v>
      </c>
      <c r="CA84" s="391"/>
      <c r="CB84" s="405">
        <v>2</v>
      </c>
      <c r="CC84" s="406">
        <f t="shared" si="192"/>
        <v>0</v>
      </c>
      <c r="CD84" s="406">
        <f t="shared" si="193"/>
        <v>-0.7</v>
      </c>
      <c r="CE84" s="407">
        <f t="shared" si="194"/>
        <v>0.19999999999999998</v>
      </c>
      <c r="CF84" s="404">
        <f>(0.08-0)/2</f>
        <v>0.04</v>
      </c>
      <c r="CH84" s="405">
        <v>2</v>
      </c>
      <c r="CI84" s="406">
        <f t="shared" si="195"/>
        <v>0.04</v>
      </c>
      <c r="CJ84" s="406">
        <f t="shared" si="196"/>
        <v>-0.04</v>
      </c>
      <c r="CK84" s="407">
        <f t="shared" si="197"/>
        <v>0.08</v>
      </c>
      <c r="CL84" s="404">
        <f>(0.08-0)/2</f>
        <v>0.04</v>
      </c>
      <c r="CN84" s="405">
        <v>2</v>
      </c>
      <c r="CO84" s="406">
        <f t="shared" si="198"/>
        <v>-0.7</v>
      </c>
      <c r="CP84" s="406">
        <f t="shared" si="198"/>
        <v>-0.05</v>
      </c>
      <c r="CQ84" s="407">
        <f t="shared" si="199"/>
        <v>0.64999999999999991</v>
      </c>
      <c r="CR84" s="404">
        <f>(0.08-0)/2</f>
        <v>0.04</v>
      </c>
    </row>
    <row r="85" spans="2:96">
      <c r="B85" s="405">
        <v>8</v>
      </c>
      <c r="C85" s="406">
        <v>0.01</v>
      </c>
      <c r="D85" s="406">
        <f t="shared" si="165"/>
        <v>-0.24</v>
      </c>
      <c r="E85" s="407">
        <f t="shared" si="166"/>
        <v>0.25</v>
      </c>
      <c r="F85" s="408">
        <f>(-0.3+0.54)/2</f>
        <v>0.12000000000000002</v>
      </c>
      <c r="G85" s="409"/>
      <c r="H85" s="405">
        <v>8</v>
      </c>
      <c r="I85" s="406">
        <v>-0.14000000000000001</v>
      </c>
      <c r="J85" s="406">
        <f t="shared" si="167"/>
        <v>-0.1</v>
      </c>
      <c r="K85" s="407">
        <f t="shared" si="168"/>
        <v>4.0000000000000008E-2</v>
      </c>
      <c r="L85" s="408">
        <f t="shared" si="191"/>
        <v>3.5000000000000003E-2</v>
      </c>
      <c r="M85" s="409"/>
      <c r="N85" s="405">
        <v>8</v>
      </c>
      <c r="O85" s="406">
        <v>-0.21</v>
      </c>
      <c r="P85" s="406">
        <f t="shared" si="169"/>
        <v>-0.14000000000000001</v>
      </c>
      <c r="Q85" s="407">
        <f t="shared" si="170"/>
        <v>6.9999999999999979E-2</v>
      </c>
      <c r="R85" s="404">
        <f>(0.09-0)/2</f>
        <v>4.4999999999999998E-2</v>
      </c>
      <c r="S85" s="391"/>
      <c r="T85" s="405">
        <v>8</v>
      </c>
      <c r="U85" s="406">
        <f t="shared" si="171"/>
        <v>-0.3</v>
      </c>
      <c r="V85" s="406"/>
      <c r="W85" s="407">
        <f t="shared" si="172"/>
        <v>8.666666666666667E-2</v>
      </c>
      <c r="X85" s="404">
        <f>(0.09-0)/2</f>
        <v>4.4999999999999998E-2</v>
      </c>
      <c r="Y85" s="391"/>
      <c r="Z85" s="405">
        <v>8</v>
      </c>
      <c r="AA85" s="406">
        <f t="shared" si="173"/>
        <v>0.19</v>
      </c>
      <c r="AB85" s="406">
        <v>0.08</v>
      </c>
      <c r="AC85" s="407">
        <f t="shared" si="174"/>
        <v>0.11</v>
      </c>
      <c r="AD85" s="404">
        <f>(0.09-0)/2</f>
        <v>4.4999999999999998E-2</v>
      </c>
      <c r="AE85" s="391"/>
      <c r="AF85" s="405">
        <v>8</v>
      </c>
      <c r="AG85" s="406">
        <f t="shared" si="175"/>
        <v>0.19</v>
      </c>
      <c r="AH85" s="406">
        <v>0.47</v>
      </c>
      <c r="AI85" s="407">
        <f t="shared" si="176"/>
        <v>0.27999999999999997</v>
      </c>
      <c r="AJ85" s="404">
        <f>(0.09-0)/2</f>
        <v>4.4999999999999998E-2</v>
      </c>
      <c r="AK85" s="391"/>
      <c r="AL85" s="405">
        <v>8</v>
      </c>
      <c r="AM85" s="406">
        <f t="shared" si="177"/>
        <v>0.47</v>
      </c>
      <c r="AN85" s="406"/>
      <c r="AO85" s="407">
        <f t="shared" si="178"/>
        <v>0.08</v>
      </c>
      <c r="AP85" s="404">
        <f>(0.09-0)/2</f>
        <v>4.4999999999999998E-2</v>
      </c>
      <c r="AQ85" s="391"/>
      <c r="AR85" s="405">
        <v>8</v>
      </c>
      <c r="AS85" s="406">
        <f t="shared" si="179"/>
        <v>0.37</v>
      </c>
      <c r="AT85" s="406"/>
      <c r="AU85" s="407">
        <f t="shared" si="180"/>
        <v>8.3333333333333329E-2</v>
      </c>
      <c r="AV85" s="404">
        <f>(0.09-0)/2</f>
        <v>4.4999999999999998E-2</v>
      </c>
      <c r="AW85" s="391"/>
      <c r="AX85" s="405">
        <v>8</v>
      </c>
      <c r="AY85" s="406">
        <f t="shared" si="181"/>
        <v>0.5</v>
      </c>
      <c r="AZ85" s="406"/>
      <c r="BA85" s="407">
        <f t="shared" si="182"/>
        <v>0.26333333333333336</v>
      </c>
      <c r="BB85" s="404">
        <f>(0.09-0)/2</f>
        <v>4.4999999999999998E-2</v>
      </c>
      <c r="BC85" s="391"/>
      <c r="BD85" s="405">
        <v>8</v>
      </c>
      <c r="BE85" s="406">
        <f t="shared" si="183"/>
        <v>-0.03</v>
      </c>
      <c r="BF85" s="406"/>
      <c r="BG85" s="407">
        <f t="shared" si="184"/>
        <v>9.0000000000000011E-2</v>
      </c>
      <c r="BH85" s="404">
        <f>(0.09-0)/2</f>
        <v>4.4999999999999998E-2</v>
      </c>
      <c r="BI85" s="391"/>
      <c r="BJ85" s="405">
        <v>8</v>
      </c>
      <c r="BK85" s="406">
        <f t="shared" si="185"/>
        <v>0.5</v>
      </c>
      <c r="BL85" s="406"/>
      <c r="BM85" s="407">
        <f t="shared" si="186"/>
        <v>0.26333333333333336</v>
      </c>
      <c r="BN85" s="404">
        <f>(0.09-0)/2</f>
        <v>4.4999999999999998E-2</v>
      </c>
      <c r="BO85" s="391"/>
      <c r="BP85" s="405">
        <v>8</v>
      </c>
      <c r="BQ85" s="406">
        <f t="shared" si="187"/>
        <v>-0.27</v>
      </c>
      <c r="BR85" s="406"/>
      <c r="BS85" s="407">
        <f t="shared" si="188"/>
        <v>8.666666666666667E-2</v>
      </c>
      <c r="BT85" s="404">
        <f>(0.09-0)/2</f>
        <v>4.4999999999999998E-2</v>
      </c>
      <c r="BU85" s="391"/>
      <c r="BV85" s="405">
        <v>8</v>
      </c>
      <c r="BW85" s="406">
        <f t="shared" si="189"/>
        <v>-0.34</v>
      </c>
      <c r="BX85" s="406"/>
      <c r="BY85" s="407">
        <f t="shared" si="190"/>
        <v>8.3333333333333329E-2</v>
      </c>
      <c r="BZ85" s="404">
        <f>(0.09-0)/2</f>
        <v>4.4999999999999998E-2</v>
      </c>
      <c r="CA85" s="391"/>
      <c r="CB85" s="405">
        <v>8</v>
      </c>
      <c r="CC85" s="406">
        <f t="shared" si="192"/>
        <v>0</v>
      </c>
      <c r="CD85" s="406">
        <f t="shared" si="193"/>
        <v>-0.7</v>
      </c>
      <c r="CE85" s="407">
        <f t="shared" si="194"/>
        <v>0.19999999999999998</v>
      </c>
      <c r="CF85" s="404">
        <f>(0.09-0)/2</f>
        <v>4.4999999999999998E-2</v>
      </c>
      <c r="CH85" s="405">
        <v>8</v>
      </c>
      <c r="CI85" s="406">
        <f t="shared" si="195"/>
        <v>0.08</v>
      </c>
      <c r="CJ85" s="406">
        <f t="shared" si="196"/>
        <v>0.01</v>
      </c>
      <c r="CK85" s="407">
        <f t="shared" si="197"/>
        <v>7.0000000000000007E-2</v>
      </c>
      <c r="CL85" s="404">
        <f>(0.09-0)/2</f>
        <v>4.4999999999999998E-2</v>
      </c>
      <c r="CN85" s="405">
        <v>8</v>
      </c>
      <c r="CO85" s="406">
        <f t="shared" si="198"/>
        <v>-0.46</v>
      </c>
      <c r="CP85" s="406">
        <f t="shared" si="198"/>
        <v>0.06</v>
      </c>
      <c r="CQ85" s="407">
        <f t="shared" si="199"/>
        <v>0.52</v>
      </c>
      <c r="CR85" s="404">
        <f>(0.09-0)/2</f>
        <v>4.4999999999999998E-2</v>
      </c>
    </row>
    <row r="86" spans="2:96">
      <c r="B86" s="405">
        <v>37</v>
      </c>
      <c r="C86" s="406">
        <v>0.19</v>
      </c>
      <c r="D86" s="406">
        <f t="shared" si="165"/>
        <v>0.16</v>
      </c>
      <c r="E86" s="407">
        <f t="shared" si="166"/>
        <v>0.03</v>
      </c>
      <c r="F86" s="408">
        <f>(0.38+0.17)/2</f>
        <v>0.27500000000000002</v>
      </c>
      <c r="G86" s="409"/>
      <c r="H86" s="405">
        <v>37</v>
      </c>
      <c r="I86" s="406">
        <v>0.18</v>
      </c>
      <c r="J86" s="406">
        <f t="shared" si="167"/>
        <v>0.19</v>
      </c>
      <c r="K86" s="407">
        <f t="shared" si="168"/>
        <v>1.0000000000000009E-2</v>
      </c>
      <c r="L86" s="408">
        <f t="shared" si="191"/>
        <v>3.5000000000000003E-2</v>
      </c>
      <c r="M86" s="409"/>
      <c r="N86" s="405">
        <v>37</v>
      </c>
      <c r="O86" s="406">
        <v>-0.31</v>
      </c>
      <c r="P86" s="406">
        <f t="shared" si="169"/>
        <v>-0.02</v>
      </c>
      <c r="Q86" s="407">
        <f t="shared" si="170"/>
        <v>0.28999999999999998</v>
      </c>
      <c r="R86" s="404">
        <f>(0.14-0)/2</f>
        <v>7.0000000000000007E-2</v>
      </c>
      <c r="S86" s="391"/>
      <c r="T86" s="405">
        <v>37</v>
      </c>
      <c r="U86" s="406">
        <f t="shared" si="171"/>
        <v>0.56999999999999995</v>
      </c>
      <c r="V86" s="406"/>
      <c r="W86" s="407">
        <f t="shared" si="172"/>
        <v>8.666666666666667E-2</v>
      </c>
      <c r="X86" s="404">
        <f>(0.14-0)/2</f>
        <v>7.0000000000000007E-2</v>
      </c>
      <c r="Y86" s="391"/>
      <c r="Z86" s="405">
        <v>37</v>
      </c>
      <c r="AA86" s="406">
        <f t="shared" si="173"/>
        <v>0.18</v>
      </c>
      <c r="AB86" s="406">
        <v>0.48</v>
      </c>
      <c r="AC86" s="407">
        <f t="shared" si="174"/>
        <v>0.3</v>
      </c>
      <c r="AD86" s="404">
        <f>(0.14-0)/2</f>
        <v>7.0000000000000007E-2</v>
      </c>
      <c r="AE86" s="391"/>
      <c r="AF86" s="405">
        <v>37</v>
      </c>
      <c r="AG86" s="406">
        <f t="shared" si="175"/>
        <v>0.18</v>
      </c>
      <c r="AH86" s="406">
        <v>0.74</v>
      </c>
      <c r="AI86" s="407">
        <f t="shared" si="176"/>
        <v>0.56000000000000005</v>
      </c>
      <c r="AJ86" s="404">
        <f>(0.14-0)/2</f>
        <v>7.0000000000000007E-2</v>
      </c>
      <c r="AK86" s="391"/>
      <c r="AL86" s="405">
        <v>37</v>
      </c>
      <c r="AM86" s="406">
        <f t="shared" si="177"/>
        <v>0.45</v>
      </c>
      <c r="AN86" s="406"/>
      <c r="AO86" s="407">
        <f t="shared" si="178"/>
        <v>0.08</v>
      </c>
      <c r="AP86" s="404">
        <f>(0.14-0)/2</f>
        <v>7.0000000000000007E-2</v>
      </c>
      <c r="AQ86" s="391"/>
      <c r="AR86" s="405">
        <v>37</v>
      </c>
      <c r="AS86" s="406">
        <f t="shared" si="179"/>
        <v>0.33</v>
      </c>
      <c r="AT86" s="406"/>
      <c r="AU86" s="407">
        <f t="shared" si="180"/>
        <v>8.3333333333333329E-2</v>
      </c>
      <c r="AV86" s="404">
        <f>(0.14-0)/2</f>
        <v>7.0000000000000007E-2</v>
      </c>
      <c r="AW86" s="391"/>
      <c r="AX86" s="405">
        <v>37</v>
      </c>
      <c r="AY86" s="406">
        <f t="shared" si="181"/>
        <v>0.4</v>
      </c>
      <c r="AZ86" s="406"/>
      <c r="BA86" s="407">
        <f t="shared" si="182"/>
        <v>0.26333333333333336</v>
      </c>
      <c r="BB86" s="404">
        <f>(0.14-0)/2</f>
        <v>7.0000000000000007E-2</v>
      </c>
      <c r="BC86" s="391"/>
      <c r="BD86" s="405">
        <v>37</v>
      </c>
      <c r="BE86" s="406">
        <f t="shared" si="183"/>
        <v>0.7</v>
      </c>
      <c r="BF86" s="406"/>
      <c r="BG86" s="407">
        <f t="shared" si="184"/>
        <v>9.0000000000000011E-2</v>
      </c>
      <c r="BH86" s="404">
        <f>(0.14-0)/2</f>
        <v>7.0000000000000007E-2</v>
      </c>
      <c r="BI86" s="391"/>
      <c r="BJ86" s="405">
        <v>37</v>
      </c>
      <c r="BK86" s="406">
        <f t="shared" si="185"/>
        <v>0.4</v>
      </c>
      <c r="BL86" s="406"/>
      <c r="BM86" s="407">
        <f t="shared" si="186"/>
        <v>0.26333333333333336</v>
      </c>
      <c r="BN86" s="404">
        <f>(0.14-0)/2</f>
        <v>7.0000000000000007E-2</v>
      </c>
      <c r="BO86" s="391"/>
      <c r="BP86" s="405">
        <v>37</v>
      </c>
      <c r="BQ86" s="406">
        <f t="shared" si="187"/>
        <v>0.49</v>
      </c>
      <c r="BR86" s="406"/>
      <c r="BS86" s="407">
        <f t="shared" si="188"/>
        <v>8.666666666666667E-2</v>
      </c>
      <c r="BT86" s="404">
        <f>(0.14-0)/2</f>
        <v>7.0000000000000007E-2</v>
      </c>
      <c r="BU86" s="391"/>
      <c r="BV86" s="405">
        <v>37</v>
      </c>
      <c r="BW86" s="406">
        <f t="shared" si="189"/>
        <v>0.56000000000000005</v>
      </c>
      <c r="BX86" s="406"/>
      <c r="BY86" s="407">
        <f t="shared" si="190"/>
        <v>8.3333333333333329E-2</v>
      </c>
      <c r="BZ86" s="404">
        <f>(0.14-0)/2</f>
        <v>7.0000000000000007E-2</v>
      </c>
      <c r="CA86" s="391"/>
      <c r="CB86" s="405">
        <v>37</v>
      </c>
      <c r="CC86" s="406">
        <f t="shared" si="192"/>
        <v>0</v>
      </c>
      <c r="CD86" s="406">
        <f t="shared" si="193"/>
        <v>-0.6</v>
      </c>
      <c r="CE86" s="407">
        <f t="shared" si="194"/>
        <v>0.19999999999999998</v>
      </c>
      <c r="CF86" s="404">
        <f>(0.14-0)/2</f>
        <v>7.0000000000000007E-2</v>
      </c>
      <c r="CH86" s="405">
        <v>37</v>
      </c>
      <c r="CI86" s="406">
        <f t="shared" si="195"/>
        <v>0.23</v>
      </c>
      <c r="CJ86" s="406">
        <f t="shared" si="196"/>
        <v>0.19</v>
      </c>
      <c r="CK86" s="407">
        <f t="shared" si="197"/>
        <v>4.0000000000000008E-2</v>
      </c>
      <c r="CL86" s="404">
        <f>(0.14-0)/2</f>
        <v>7.0000000000000007E-2</v>
      </c>
      <c r="CN86" s="405">
        <v>37</v>
      </c>
      <c r="CO86" s="406">
        <f t="shared" si="198"/>
        <v>0.42</v>
      </c>
      <c r="CP86" s="406">
        <f t="shared" si="198"/>
        <v>0.45</v>
      </c>
      <c r="CQ86" s="407">
        <f t="shared" si="199"/>
        <v>3.0000000000000027E-2</v>
      </c>
      <c r="CR86" s="404">
        <f>(0.14-0)/2</f>
        <v>7.0000000000000007E-2</v>
      </c>
    </row>
    <row r="87" spans="2:96">
      <c r="B87" s="405">
        <v>44</v>
      </c>
      <c r="C87" s="406">
        <v>0.21</v>
      </c>
      <c r="D87" s="406">
        <f t="shared" si="165"/>
        <v>0.25</v>
      </c>
      <c r="E87" s="407">
        <f t="shared" si="166"/>
        <v>4.0000000000000008E-2</v>
      </c>
      <c r="F87" s="408">
        <f>(0.52+0.15)/2</f>
        <v>0.33500000000000002</v>
      </c>
      <c r="G87" s="409"/>
      <c r="H87" s="405">
        <v>44</v>
      </c>
      <c r="I87" s="406">
        <v>0.21</v>
      </c>
      <c r="J87" s="406">
        <f t="shared" si="167"/>
        <v>0.25</v>
      </c>
      <c r="K87" s="407">
        <f t="shared" si="168"/>
        <v>4.0000000000000008E-2</v>
      </c>
      <c r="L87" s="408">
        <f>(0+0.09)/2</f>
        <v>4.4999999999999998E-2</v>
      </c>
      <c r="M87" s="409"/>
      <c r="N87" s="405">
        <v>44</v>
      </c>
      <c r="O87" s="406">
        <v>-0.15</v>
      </c>
      <c r="P87" s="406">
        <f t="shared" si="169"/>
        <v>-0.01</v>
      </c>
      <c r="Q87" s="407">
        <f t="shared" si="170"/>
        <v>0.13999999999999999</v>
      </c>
      <c r="R87" s="404">
        <f>(0.15-0)/2</f>
        <v>7.4999999999999997E-2</v>
      </c>
      <c r="S87" s="391"/>
      <c r="T87" s="405">
        <v>44</v>
      </c>
      <c r="U87" s="406">
        <f t="shared" si="171"/>
        <v>0.68</v>
      </c>
      <c r="V87" s="406"/>
      <c r="W87" s="407">
        <f t="shared" si="172"/>
        <v>8.666666666666667E-2</v>
      </c>
      <c r="X87" s="404">
        <f>(0.15-0)/2</f>
        <v>7.4999999999999997E-2</v>
      </c>
      <c r="Y87" s="391"/>
      <c r="Z87" s="405">
        <v>44</v>
      </c>
      <c r="AA87" s="406">
        <f t="shared" si="173"/>
        <v>0.18</v>
      </c>
      <c r="AB87" s="406">
        <v>0.54</v>
      </c>
      <c r="AC87" s="407">
        <f t="shared" si="174"/>
        <v>0.36000000000000004</v>
      </c>
      <c r="AD87" s="404">
        <f>(0.15-0)/2</f>
        <v>7.4999999999999997E-2</v>
      </c>
      <c r="AE87" s="391"/>
      <c r="AF87" s="405">
        <v>44</v>
      </c>
      <c r="AG87" s="406">
        <f t="shared" si="175"/>
        <v>0.18</v>
      </c>
      <c r="AH87" s="406">
        <v>0.77</v>
      </c>
      <c r="AI87" s="407">
        <f t="shared" si="176"/>
        <v>0.59000000000000008</v>
      </c>
      <c r="AJ87" s="404">
        <f>(0.15-0)/2</f>
        <v>7.4999999999999997E-2</v>
      </c>
      <c r="AK87" s="391"/>
      <c r="AL87" s="405">
        <v>44</v>
      </c>
      <c r="AM87" s="406">
        <f t="shared" si="177"/>
        <v>0.46</v>
      </c>
      <c r="AN87" s="406"/>
      <c r="AO87" s="407">
        <f t="shared" si="178"/>
        <v>0.08</v>
      </c>
      <c r="AP87" s="404">
        <f>(0.15-0)/2</f>
        <v>7.4999999999999997E-2</v>
      </c>
      <c r="AQ87" s="391"/>
      <c r="AR87" s="405">
        <v>44</v>
      </c>
      <c r="AS87" s="406">
        <f t="shared" si="179"/>
        <v>0.33</v>
      </c>
      <c r="AT87" s="406"/>
      <c r="AU87" s="407">
        <f t="shared" si="180"/>
        <v>8.3333333333333329E-2</v>
      </c>
      <c r="AV87" s="404">
        <f>(0.15-0)/2</f>
        <v>7.4999999999999997E-2</v>
      </c>
      <c r="AW87" s="391"/>
      <c r="AX87" s="405">
        <v>44</v>
      </c>
      <c r="AY87" s="406">
        <f t="shared" si="181"/>
        <v>0.38</v>
      </c>
      <c r="AZ87" s="406"/>
      <c r="BA87" s="407">
        <f t="shared" si="182"/>
        <v>0.26333333333333336</v>
      </c>
      <c r="BB87" s="404">
        <f>(0.15-0)/2</f>
        <v>7.4999999999999997E-2</v>
      </c>
      <c r="BC87" s="391"/>
      <c r="BD87" s="405">
        <v>44</v>
      </c>
      <c r="BE87" s="406">
        <f t="shared" si="183"/>
        <v>0.79</v>
      </c>
      <c r="BF87" s="406"/>
      <c r="BG87" s="407">
        <f t="shared" si="184"/>
        <v>9.0000000000000011E-2</v>
      </c>
      <c r="BH87" s="404">
        <f>(0.15-0)/2</f>
        <v>7.4999999999999997E-2</v>
      </c>
      <c r="BI87" s="391"/>
      <c r="BJ87" s="405">
        <v>44</v>
      </c>
      <c r="BK87" s="406">
        <f t="shared" si="185"/>
        <v>0.38</v>
      </c>
      <c r="BL87" s="406"/>
      <c r="BM87" s="407">
        <f t="shared" si="186"/>
        <v>0.26333333333333336</v>
      </c>
      <c r="BN87" s="404">
        <f>(0.15-0)/2</f>
        <v>7.4999999999999997E-2</v>
      </c>
      <c r="BO87" s="391"/>
      <c r="BP87" s="405">
        <v>44</v>
      </c>
      <c r="BQ87" s="406">
        <f t="shared" si="187"/>
        <v>0.59</v>
      </c>
      <c r="BR87" s="406"/>
      <c r="BS87" s="407">
        <f t="shared" si="188"/>
        <v>8.666666666666667E-2</v>
      </c>
      <c r="BT87" s="404">
        <f>(0.15-0)/2</f>
        <v>7.4999999999999997E-2</v>
      </c>
      <c r="BU87" s="391"/>
      <c r="BV87" s="405">
        <v>44</v>
      </c>
      <c r="BW87" s="406">
        <f t="shared" si="189"/>
        <v>0.7</v>
      </c>
      <c r="BX87" s="406"/>
      <c r="BY87" s="407">
        <f t="shared" si="190"/>
        <v>8.3333333333333329E-2</v>
      </c>
      <c r="BZ87" s="404">
        <f>(0.15-0)/2</f>
        <v>7.4999999999999997E-2</v>
      </c>
      <c r="CA87" s="391"/>
      <c r="CB87" s="405">
        <v>44</v>
      </c>
      <c r="CC87" s="406">
        <f t="shared" si="192"/>
        <v>-1</v>
      </c>
      <c r="CD87" s="406">
        <f t="shared" si="193"/>
        <v>-0.7</v>
      </c>
      <c r="CE87" s="407">
        <f t="shared" si="194"/>
        <v>0.19999999999999998</v>
      </c>
      <c r="CF87" s="404">
        <f>(0.15-0)/2</f>
        <v>7.4999999999999997E-2</v>
      </c>
      <c r="CH87" s="405">
        <v>44</v>
      </c>
      <c r="CI87" s="406">
        <f t="shared" si="195"/>
        <v>0.25</v>
      </c>
      <c r="CJ87" s="406">
        <f t="shared" si="196"/>
        <v>0.21</v>
      </c>
      <c r="CK87" s="407">
        <f t="shared" si="197"/>
        <v>4.0000000000000008E-2</v>
      </c>
      <c r="CL87" s="404">
        <f>(0.15-0)/2</f>
        <v>7.4999999999999997E-2</v>
      </c>
      <c r="CN87" s="405">
        <v>44</v>
      </c>
      <c r="CO87" s="406">
        <f t="shared" si="198"/>
        <v>0.56999999999999995</v>
      </c>
      <c r="CP87" s="406">
        <f t="shared" si="198"/>
        <v>0.52</v>
      </c>
      <c r="CQ87" s="407">
        <f t="shared" si="199"/>
        <v>4.9999999999999933E-2</v>
      </c>
      <c r="CR87" s="404">
        <f>(0.15-0)/2</f>
        <v>7.4999999999999997E-2</v>
      </c>
    </row>
    <row r="88" spans="2:96">
      <c r="B88" s="405">
        <v>50</v>
      </c>
      <c r="C88" s="406">
        <v>0.22</v>
      </c>
      <c r="D88" s="406">
        <f t="shared" si="165"/>
        <v>0.32</v>
      </c>
      <c r="E88" s="407">
        <f t="shared" si="166"/>
        <v>0.1</v>
      </c>
      <c r="F88" s="408">
        <f>(0.62+0.14)/2</f>
        <v>0.38</v>
      </c>
      <c r="G88" s="409"/>
      <c r="H88" s="405">
        <v>50</v>
      </c>
      <c r="I88" s="406">
        <v>0.24</v>
      </c>
      <c r="J88" s="406">
        <f t="shared" si="167"/>
        <v>0.3</v>
      </c>
      <c r="K88" s="407">
        <f t="shared" si="168"/>
        <v>0.06</v>
      </c>
      <c r="L88" s="408">
        <f>(0+0.08)/2</f>
        <v>0.04</v>
      </c>
      <c r="M88" s="409"/>
      <c r="N88" s="405">
        <v>50</v>
      </c>
      <c r="O88" s="406">
        <v>0.2</v>
      </c>
      <c r="P88" s="406">
        <f t="shared" si="169"/>
        <v>-0.02</v>
      </c>
      <c r="Q88" s="407">
        <f t="shared" si="170"/>
        <v>0.22</v>
      </c>
      <c r="R88" s="404">
        <f>(0.16-0)/2</f>
        <v>0.08</v>
      </c>
      <c r="S88" s="391"/>
      <c r="T88" s="405">
        <v>50</v>
      </c>
      <c r="U88" s="406">
        <f t="shared" si="171"/>
        <v>0.76</v>
      </c>
      <c r="V88" s="406"/>
      <c r="W88" s="407">
        <f t="shared" si="172"/>
        <v>8.666666666666667E-2</v>
      </c>
      <c r="X88" s="404">
        <f>(0.16-0)/2</f>
        <v>0.08</v>
      </c>
      <c r="Y88" s="391"/>
      <c r="Z88" s="405">
        <v>50</v>
      </c>
      <c r="AA88" s="406">
        <f t="shared" si="173"/>
        <v>0.19</v>
      </c>
      <c r="AB88" s="406">
        <v>0.57999999999999996</v>
      </c>
      <c r="AC88" s="407">
        <f t="shared" si="174"/>
        <v>0.38999999999999996</v>
      </c>
      <c r="AD88" s="404">
        <f>(0.16-0)/2</f>
        <v>0.08</v>
      </c>
      <c r="AE88" s="391"/>
      <c r="AF88" s="405">
        <v>50</v>
      </c>
      <c r="AG88" s="406">
        <f t="shared" si="175"/>
        <v>0.19</v>
      </c>
      <c r="AH88" s="406">
        <v>0.78</v>
      </c>
      <c r="AI88" s="407">
        <f t="shared" si="176"/>
        <v>0.59000000000000008</v>
      </c>
      <c r="AJ88" s="404">
        <f>(0.16-0)/2</f>
        <v>0.08</v>
      </c>
      <c r="AK88" s="391"/>
      <c r="AL88" s="405">
        <v>50</v>
      </c>
      <c r="AM88" s="406">
        <f t="shared" si="177"/>
        <v>0.46</v>
      </c>
      <c r="AN88" s="406"/>
      <c r="AO88" s="407">
        <f t="shared" si="178"/>
        <v>0.08</v>
      </c>
      <c r="AP88" s="404">
        <f>(0.16-0)/2</f>
        <v>0.08</v>
      </c>
      <c r="AQ88" s="391"/>
      <c r="AR88" s="405">
        <v>50</v>
      </c>
      <c r="AS88" s="406">
        <f t="shared" si="179"/>
        <v>0.34</v>
      </c>
      <c r="AT88" s="406"/>
      <c r="AU88" s="407">
        <f t="shared" si="180"/>
        <v>8.3333333333333329E-2</v>
      </c>
      <c r="AV88" s="404">
        <f>(0.16-0)/2</f>
        <v>0.08</v>
      </c>
      <c r="AW88" s="391"/>
      <c r="AX88" s="405">
        <v>50</v>
      </c>
      <c r="AY88" s="406">
        <f t="shared" si="181"/>
        <v>0.36</v>
      </c>
      <c r="AZ88" s="406"/>
      <c r="BA88" s="407">
        <f t="shared" si="182"/>
        <v>0.26333333333333336</v>
      </c>
      <c r="BB88" s="404">
        <f>(0.16-0)/2</f>
        <v>0.08</v>
      </c>
      <c r="BC88" s="391"/>
      <c r="BD88" s="405">
        <v>50</v>
      </c>
      <c r="BE88" s="406">
        <f t="shared" si="183"/>
        <v>0.84</v>
      </c>
      <c r="BF88" s="406"/>
      <c r="BG88" s="407">
        <f t="shared" si="184"/>
        <v>9.0000000000000011E-2</v>
      </c>
      <c r="BH88" s="404">
        <f>(0.16-0)/2</f>
        <v>0.08</v>
      </c>
      <c r="BI88" s="391"/>
      <c r="BJ88" s="405">
        <v>50</v>
      </c>
      <c r="BK88" s="406">
        <f t="shared" si="185"/>
        <v>0.36</v>
      </c>
      <c r="BL88" s="406"/>
      <c r="BM88" s="407">
        <f t="shared" si="186"/>
        <v>0.26333333333333336</v>
      </c>
      <c r="BN88" s="404">
        <f>(0.16-0)/2</f>
        <v>0.08</v>
      </c>
      <c r="BO88" s="391"/>
      <c r="BP88" s="405">
        <v>50</v>
      </c>
      <c r="BQ88" s="406">
        <f t="shared" si="187"/>
        <v>0.66</v>
      </c>
      <c r="BR88" s="406"/>
      <c r="BS88" s="407">
        <f t="shared" si="188"/>
        <v>8.666666666666667E-2</v>
      </c>
      <c r="BT88" s="404">
        <f>(0.16-0)/2</f>
        <v>0.08</v>
      </c>
      <c r="BU88" s="391"/>
      <c r="BV88" s="405">
        <v>50</v>
      </c>
      <c r="BW88" s="406">
        <f t="shared" si="189"/>
        <v>0.79</v>
      </c>
      <c r="BX88" s="406"/>
      <c r="BY88" s="407">
        <f t="shared" si="190"/>
        <v>8.3333333333333329E-2</v>
      </c>
      <c r="BZ88" s="404">
        <f>(0.16-0)/2</f>
        <v>0.08</v>
      </c>
      <c r="CA88" s="391"/>
      <c r="CB88" s="405">
        <v>50</v>
      </c>
      <c r="CC88" s="406">
        <f t="shared" si="192"/>
        <v>-1.6</v>
      </c>
      <c r="CD88" s="406">
        <f t="shared" si="193"/>
        <v>-0.7</v>
      </c>
      <c r="CE88" s="407">
        <f t="shared" si="194"/>
        <v>0.30000000000000004</v>
      </c>
      <c r="CF88" s="404">
        <f>(0.16-0)/2</f>
        <v>0.08</v>
      </c>
      <c r="CH88" s="405">
        <v>50</v>
      </c>
      <c r="CI88" s="406">
        <f t="shared" si="195"/>
        <v>0.27</v>
      </c>
      <c r="CJ88" s="406">
        <f t="shared" si="196"/>
        <v>0.22</v>
      </c>
      <c r="CK88" s="407">
        <f t="shared" si="197"/>
        <v>5.0000000000000017E-2</v>
      </c>
      <c r="CL88" s="404">
        <f>(0.16-0)/2</f>
        <v>0.08</v>
      </c>
      <c r="CN88" s="405">
        <v>50</v>
      </c>
      <c r="CO88" s="406">
        <f t="shared" si="198"/>
        <v>0.67</v>
      </c>
      <c r="CP88" s="406">
        <f t="shared" si="198"/>
        <v>0.56999999999999995</v>
      </c>
      <c r="CQ88" s="407">
        <f t="shared" si="199"/>
        <v>0.10000000000000009</v>
      </c>
      <c r="CR88" s="404">
        <f>(0.16-0)/2</f>
        <v>0.08</v>
      </c>
    </row>
    <row r="89" spans="2:96">
      <c r="B89" s="405">
        <v>100</v>
      </c>
      <c r="C89" s="406">
        <v>0.23</v>
      </c>
      <c r="D89" s="406">
        <f t="shared" si="165"/>
        <v>0.78</v>
      </c>
      <c r="E89" s="407">
        <f t="shared" si="166"/>
        <v>0.55000000000000004</v>
      </c>
      <c r="F89" s="408">
        <f>(0.8+0.13)/2</f>
        <v>0.46500000000000002</v>
      </c>
      <c r="G89" s="409"/>
      <c r="H89" s="405">
        <v>100</v>
      </c>
      <c r="I89" s="406">
        <v>0.17</v>
      </c>
      <c r="J89" s="406">
        <f t="shared" si="167"/>
        <v>0.57999999999999996</v>
      </c>
      <c r="K89" s="407">
        <f t="shared" si="168"/>
        <v>0.40999999999999992</v>
      </c>
      <c r="L89" s="408">
        <f>(0.03-0)/2</f>
        <v>1.4999999999999999E-2</v>
      </c>
      <c r="M89" s="409"/>
      <c r="N89" s="405">
        <v>100</v>
      </c>
      <c r="O89" s="406">
        <v>0.05</v>
      </c>
      <c r="P89" s="406">
        <f t="shared" si="169"/>
        <v>-0.14000000000000001</v>
      </c>
      <c r="Q89" s="407">
        <f t="shared" si="170"/>
        <v>0.19</v>
      </c>
      <c r="R89" s="404">
        <f>(0.2-0)/2</f>
        <v>0.1</v>
      </c>
      <c r="S89" s="391"/>
      <c r="T89" s="405">
        <v>100</v>
      </c>
      <c r="U89" s="406">
        <f t="shared" si="171"/>
        <v>0.65</v>
      </c>
      <c r="V89" s="406"/>
      <c r="W89" s="407">
        <f t="shared" si="172"/>
        <v>8.666666666666667E-2</v>
      </c>
      <c r="X89" s="404">
        <f>(0.2-0)/2</f>
        <v>0.1</v>
      </c>
      <c r="Y89" s="391"/>
      <c r="Z89" s="405">
        <v>100</v>
      </c>
      <c r="AA89" s="406">
        <f t="shared" si="173"/>
        <v>0.28999999999999998</v>
      </c>
      <c r="AB89" s="406">
        <v>0.61</v>
      </c>
      <c r="AC89" s="407">
        <f t="shared" si="174"/>
        <v>0.32</v>
      </c>
      <c r="AD89" s="404">
        <f>(0.2-0)/2</f>
        <v>0.1</v>
      </c>
      <c r="AE89" s="391"/>
      <c r="AF89" s="405">
        <v>100</v>
      </c>
      <c r="AG89" s="406">
        <f t="shared" si="175"/>
        <v>0.28000000000000003</v>
      </c>
      <c r="AH89" s="406">
        <v>0.62</v>
      </c>
      <c r="AI89" s="407">
        <f t="shared" si="176"/>
        <v>0.33999999999999997</v>
      </c>
      <c r="AJ89" s="404">
        <f>(0.2-0)/2</f>
        <v>0.1</v>
      </c>
      <c r="AK89" s="391"/>
      <c r="AL89" s="405">
        <v>100</v>
      </c>
      <c r="AM89" s="406">
        <f t="shared" si="177"/>
        <v>0.53</v>
      </c>
      <c r="AN89" s="406"/>
      <c r="AO89" s="407">
        <f t="shared" si="178"/>
        <v>0.08</v>
      </c>
      <c r="AP89" s="404">
        <f>(0.2-0)/2</f>
        <v>0.1</v>
      </c>
      <c r="AQ89" s="391"/>
      <c r="AR89" s="405">
        <v>100</v>
      </c>
      <c r="AS89" s="406">
        <f t="shared" si="179"/>
        <v>0.46</v>
      </c>
      <c r="AT89" s="406"/>
      <c r="AU89" s="407">
        <f t="shared" si="180"/>
        <v>8.3333333333333329E-2</v>
      </c>
      <c r="AV89" s="404">
        <f>(0.2-0)/2</f>
        <v>0.1</v>
      </c>
      <c r="AW89" s="391"/>
      <c r="AX89" s="405">
        <v>100</v>
      </c>
      <c r="AY89" s="406">
        <f t="shared" si="181"/>
        <v>0.17</v>
      </c>
      <c r="AZ89" s="406"/>
      <c r="BA89" s="407">
        <f t="shared" si="182"/>
        <v>0.26333333333333336</v>
      </c>
      <c r="BB89" s="404">
        <f>(0.2-0)/2</f>
        <v>0.1</v>
      </c>
      <c r="BC89" s="391"/>
      <c r="BD89" s="405">
        <v>100</v>
      </c>
      <c r="BE89" s="406">
        <f t="shared" si="183"/>
        <v>0.63</v>
      </c>
      <c r="BF89" s="406"/>
      <c r="BG89" s="407">
        <f t="shared" si="184"/>
        <v>9.0000000000000011E-2</v>
      </c>
      <c r="BH89" s="404">
        <f>(0.2-0)/2</f>
        <v>0.1</v>
      </c>
      <c r="BI89" s="391"/>
      <c r="BJ89" s="405">
        <v>100</v>
      </c>
      <c r="BK89" s="406">
        <f t="shared" si="185"/>
        <v>0.17</v>
      </c>
      <c r="BL89" s="406"/>
      <c r="BM89" s="407">
        <f t="shared" si="186"/>
        <v>0.26333333333333336</v>
      </c>
      <c r="BN89" s="404">
        <f>(0.2-0)/2</f>
        <v>0.1</v>
      </c>
      <c r="BO89" s="391"/>
      <c r="BP89" s="405">
        <v>100</v>
      </c>
      <c r="BQ89" s="406">
        <f t="shared" si="187"/>
        <v>0.63</v>
      </c>
      <c r="BR89" s="406"/>
      <c r="BS89" s="407">
        <f t="shared" si="188"/>
        <v>8.666666666666667E-2</v>
      </c>
      <c r="BT89" s="404">
        <f>(0.2-0)/2</f>
        <v>0.1</v>
      </c>
      <c r="BU89" s="391"/>
      <c r="BV89" s="405">
        <v>100</v>
      </c>
      <c r="BW89" s="406">
        <f t="shared" si="189"/>
        <v>0.87</v>
      </c>
      <c r="BX89" s="406"/>
      <c r="BY89" s="407">
        <f t="shared" si="190"/>
        <v>8.3333333333333329E-2</v>
      </c>
      <c r="BZ89" s="404">
        <f>(0.2-0)/2</f>
        <v>0.1</v>
      </c>
      <c r="CA89" s="391"/>
      <c r="CB89" s="405">
        <v>100</v>
      </c>
      <c r="CC89" s="406">
        <f t="shared" si="192"/>
        <v>-1.7</v>
      </c>
      <c r="CD89" s="406">
        <f t="shared" si="193"/>
        <v>-0.7</v>
      </c>
      <c r="CE89" s="407">
        <f t="shared" si="194"/>
        <v>0.90000000000000013</v>
      </c>
      <c r="CF89" s="404">
        <f>(0.2-0)/2</f>
        <v>0.1</v>
      </c>
      <c r="CH89" s="405">
        <v>100</v>
      </c>
      <c r="CI89" s="406">
        <f t="shared" si="195"/>
        <v>0.31</v>
      </c>
      <c r="CJ89" s="406">
        <f t="shared" si="196"/>
        <v>0.23</v>
      </c>
      <c r="CK89" s="407">
        <f t="shared" si="197"/>
        <v>7.9999999999999988E-2</v>
      </c>
      <c r="CL89" s="404">
        <f>(0.2-0)/2</f>
        <v>0.1</v>
      </c>
      <c r="CN89" s="405">
        <v>100</v>
      </c>
      <c r="CO89" s="406">
        <f t="shared" si="198"/>
        <v>0.95</v>
      </c>
      <c r="CP89" s="406">
        <f t="shared" si="198"/>
        <v>0.81</v>
      </c>
      <c r="CQ89" s="407">
        <f t="shared" si="199"/>
        <v>0.1399999999999999</v>
      </c>
      <c r="CR89" s="404">
        <f>(0.2-0)/2</f>
        <v>0.1</v>
      </c>
    </row>
    <row r="90" spans="2:96">
      <c r="B90" s="405">
        <v>150</v>
      </c>
      <c r="C90" s="406">
        <v>0.22</v>
      </c>
      <c r="D90" s="406">
        <f t="shared" si="165"/>
        <v>0.77</v>
      </c>
      <c r="E90" s="407">
        <f t="shared" si="166"/>
        <v>0.55000000000000004</v>
      </c>
      <c r="F90" s="408">
        <f>(0.26+0.06)/2</f>
        <v>0.16</v>
      </c>
      <c r="G90" s="409"/>
      <c r="H90" s="405">
        <v>150</v>
      </c>
      <c r="I90" s="406">
        <v>0.02</v>
      </c>
      <c r="J90" s="406">
        <f t="shared" si="167"/>
        <v>0.57999999999999996</v>
      </c>
      <c r="K90" s="407">
        <f t="shared" si="168"/>
        <v>0.55999999999999994</v>
      </c>
      <c r="L90" s="408">
        <f>(0.28-0)/2</f>
        <v>0.14000000000000001</v>
      </c>
      <c r="M90" s="409"/>
      <c r="N90" s="405">
        <v>150</v>
      </c>
      <c r="O90" s="406">
        <v>-0.17</v>
      </c>
      <c r="P90" s="406">
        <f t="shared" si="169"/>
        <v>-0.24</v>
      </c>
      <c r="Q90" s="407">
        <f t="shared" si="170"/>
        <v>6.9999999999999979E-2</v>
      </c>
      <c r="R90" s="404">
        <f>(0.21-0)/2</f>
        <v>0.105</v>
      </c>
      <c r="S90" s="391"/>
      <c r="T90" s="405">
        <v>150</v>
      </c>
      <c r="U90" s="406">
        <f t="shared" si="171"/>
        <v>-0.23</v>
      </c>
      <c r="V90" s="406"/>
      <c r="W90" s="407">
        <f t="shared" si="172"/>
        <v>8.666666666666667E-2</v>
      </c>
      <c r="X90" s="404">
        <f>(0.21-0)/2</f>
        <v>0.105</v>
      </c>
      <c r="Y90" s="391"/>
      <c r="Z90" s="405">
        <v>150</v>
      </c>
      <c r="AA90" s="406">
        <f t="shared" si="173"/>
        <v>0.47</v>
      </c>
      <c r="AB90" s="406">
        <v>0.3</v>
      </c>
      <c r="AC90" s="407">
        <f t="shared" si="174"/>
        <v>0.16999999999999998</v>
      </c>
      <c r="AD90" s="404">
        <f>(0.21-0)/2</f>
        <v>0.105</v>
      </c>
      <c r="AE90" s="391"/>
      <c r="AF90" s="405">
        <v>150</v>
      </c>
      <c r="AG90" s="406">
        <f t="shared" si="175"/>
        <v>0.48</v>
      </c>
      <c r="AH90" s="406">
        <v>0.17</v>
      </c>
      <c r="AI90" s="407">
        <f t="shared" si="176"/>
        <v>0.30999999999999994</v>
      </c>
      <c r="AJ90" s="404">
        <f>(0.21-0)/2</f>
        <v>0.105</v>
      </c>
      <c r="AK90" s="391"/>
      <c r="AL90" s="405">
        <v>150</v>
      </c>
      <c r="AM90" s="406">
        <f t="shared" si="177"/>
        <v>0.69</v>
      </c>
      <c r="AN90" s="406"/>
      <c r="AO90" s="407">
        <f t="shared" si="178"/>
        <v>0.08</v>
      </c>
      <c r="AP90" s="404">
        <f>(0.21-0)/2</f>
        <v>0.105</v>
      </c>
      <c r="AQ90" s="391"/>
      <c r="AR90" s="405">
        <v>150</v>
      </c>
      <c r="AS90" s="406">
        <f t="shared" si="179"/>
        <v>0.68</v>
      </c>
      <c r="AT90" s="406"/>
      <c r="AU90" s="407">
        <f t="shared" si="180"/>
        <v>8.3333333333333329E-2</v>
      </c>
      <c r="AV90" s="404">
        <f>(0.21-0)/2</f>
        <v>0.105</v>
      </c>
      <c r="AW90" s="391"/>
      <c r="AX90" s="405">
        <v>150</v>
      </c>
      <c r="AY90" s="406">
        <f t="shared" si="181"/>
        <v>-0.05</v>
      </c>
      <c r="AZ90" s="406"/>
      <c r="BA90" s="407">
        <f t="shared" si="182"/>
        <v>0.26333333333333336</v>
      </c>
      <c r="BB90" s="404">
        <f>(0.21-0)/2</f>
        <v>0.105</v>
      </c>
      <c r="BC90" s="391"/>
      <c r="BD90" s="405">
        <v>150</v>
      </c>
      <c r="BE90" s="406">
        <f t="shared" si="183"/>
        <v>-0.04</v>
      </c>
      <c r="BF90" s="406"/>
      <c r="BG90" s="407">
        <f t="shared" si="184"/>
        <v>9.0000000000000011E-2</v>
      </c>
      <c r="BH90" s="404">
        <f>(0.21-0)/2</f>
        <v>0.105</v>
      </c>
      <c r="BI90" s="391"/>
      <c r="BJ90" s="405">
        <v>150</v>
      </c>
      <c r="BK90" s="406">
        <f t="shared" si="185"/>
        <v>-0.05</v>
      </c>
      <c r="BL90" s="406"/>
      <c r="BM90" s="407">
        <f t="shared" si="186"/>
        <v>0.26333333333333336</v>
      </c>
      <c r="BN90" s="404">
        <f>(0.21-0)/2</f>
        <v>0.105</v>
      </c>
      <c r="BO90" s="391"/>
      <c r="BP90" s="405">
        <v>150</v>
      </c>
      <c r="BQ90" s="406">
        <f t="shared" si="187"/>
        <v>-0.1</v>
      </c>
      <c r="BR90" s="406"/>
      <c r="BS90" s="407">
        <f t="shared" si="188"/>
        <v>8.666666666666667E-2</v>
      </c>
      <c r="BT90" s="404">
        <f>(0.21-0)/2</f>
        <v>0.105</v>
      </c>
      <c r="BU90" s="391"/>
      <c r="BV90" s="405">
        <v>150</v>
      </c>
      <c r="BW90" s="406">
        <f t="shared" si="189"/>
        <v>7.0000000000000007E-2</v>
      </c>
      <c r="BX90" s="406"/>
      <c r="BY90" s="407">
        <f t="shared" si="190"/>
        <v>8.3333333333333329E-2</v>
      </c>
      <c r="BZ90" s="404">
        <f>(0.21-0)/2</f>
        <v>0.105</v>
      </c>
      <c r="CA90" s="391"/>
      <c r="CB90" s="405">
        <v>150</v>
      </c>
      <c r="CC90" s="406">
        <f t="shared" si="192"/>
        <v>-0.9</v>
      </c>
      <c r="CD90" s="406">
        <f t="shared" si="193"/>
        <v>-0.7</v>
      </c>
      <c r="CE90" s="407">
        <f t="shared" si="194"/>
        <v>1</v>
      </c>
      <c r="CF90" s="404">
        <f>(0.21-0)/2</f>
        <v>0.105</v>
      </c>
      <c r="CH90" s="405">
        <v>150</v>
      </c>
      <c r="CI90" s="406">
        <f t="shared" si="195"/>
        <v>0.3</v>
      </c>
      <c r="CJ90" s="406">
        <f t="shared" si="196"/>
        <v>0.22</v>
      </c>
      <c r="CK90" s="407">
        <f t="shared" si="197"/>
        <v>7.9999999999999988E-2</v>
      </c>
      <c r="CL90" s="404">
        <f>(0.21-0)/2</f>
        <v>0.105</v>
      </c>
      <c r="CN90" s="405">
        <v>150</v>
      </c>
      <c r="CO90" s="406">
        <f t="shared" si="198"/>
        <v>0.49</v>
      </c>
      <c r="CP90" s="406">
        <f t="shared" si="198"/>
        <v>0.87</v>
      </c>
      <c r="CQ90" s="407">
        <f t="shared" si="199"/>
        <v>0.38</v>
      </c>
      <c r="CR90" s="404">
        <f>(0.21-0)/2</f>
        <v>0.105</v>
      </c>
    </row>
    <row r="91" spans="2:96">
      <c r="B91" s="405">
        <v>200</v>
      </c>
      <c r="C91" s="406">
        <v>0.47</v>
      </c>
      <c r="D91" s="406">
        <f t="shared" si="165"/>
        <v>0.06</v>
      </c>
      <c r="E91" s="407">
        <f t="shared" si="166"/>
        <v>0.41</v>
      </c>
      <c r="F91" s="408">
        <f>(0.31+0.37)/2</f>
        <v>0.33999999999999997</v>
      </c>
      <c r="G91" s="409"/>
      <c r="H91" s="405">
        <v>200</v>
      </c>
      <c r="I91" s="406">
        <v>0.3</v>
      </c>
      <c r="J91" s="406">
        <f t="shared" si="167"/>
        <v>0.26</v>
      </c>
      <c r="K91" s="407">
        <f t="shared" si="168"/>
        <v>3.999999999999998E-2</v>
      </c>
      <c r="L91" s="408">
        <f>(0.67-0)/2</f>
        <v>0.33500000000000002</v>
      </c>
      <c r="M91" s="409"/>
      <c r="N91" s="405">
        <v>200</v>
      </c>
      <c r="O91" s="406">
        <v>0.21</v>
      </c>
      <c r="P91" s="406">
        <f t="shared" si="169"/>
        <v>0.03</v>
      </c>
      <c r="Q91" s="407">
        <f t="shared" si="170"/>
        <v>0.18</v>
      </c>
      <c r="R91" s="404">
        <f>(0.18-0)/2</f>
        <v>0.09</v>
      </c>
      <c r="S91" s="391"/>
      <c r="T91" s="405">
        <v>200</v>
      </c>
      <c r="U91" s="406">
        <f t="shared" si="171"/>
        <v>-1.1299999999999999</v>
      </c>
      <c r="V91" s="406"/>
      <c r="W91" s="407">
        <f t="shared" si="172"/>
        <v>8.666666666666667E-2</v>
      </c>
      <c r="X91" s="404">
        <f>(0.18-0)/2</f>
        <v>0.09</v>
      </c>
      <c r="Y91" s="391"/>
      <c r="Z91" s="405">
        <v>200</v>
      </c>
      <c r="AA91" s="406">
        <f t="shared" si="173"/>
        <v>0.71</v>
      </c>
      <c r="AB91" s="406">
        <v>-0.08</v>
      </c>
      <c r="AC91" s="407">
        <f t="shared" si="174"/>
        <v>0.78999999999999992</v>
      </c>
      <c r="AD91" s="404">
        <f>(0.18-0)/2</f>
        <v>0.09</v>
      </c>
      <c r="AE91" s="391"/>
      <c r="AF91" s="405">
        <v>200</v>
      </c>
      <c r="AG91" s="406">
        <f t="shared" si="175"/>
        <v>0.75</v>
      </c>
      <c r="AH91" s="406">
        <v>-0.24</v>
      </c>
      <c r="AI91" s="407">
        <f t="shared" si="176"/>
        <v>0.99</v>
      </c>
      <c r="AJ91" s="404">
        <f>(0.18-0)/2</f>
        <v>0.09</v>
      </c>
      <c r="AK91" s="391"/>
      <c r="AL91" s="405">
        <v>200</v>
      </c>
      <c r="AM91" s="406">
        <f t="shared" si="177"/>
        <v>0.92</v>
      </c>
      <c r="AN91" s="406"/>
      <c r="AO91" s="407">
        <f t="shared" si="178"/>
        <v>0.08</v>
      </c>
      <c r="AP91" s="404">
        <f>(0.18-0)/2</f>
        <v>0.09</v>
      </c>
      <c r="AQ91" s="391"/>
      <c r="AR91" s="405">
        <v>200</v>
      </c>
      <c r="AS91" s="406">
        <f t="shared" si="179"/>
        <v>0.91</v>
      </c>
      <c r="AT91" s="406"/>
      <c r="AU91" s="407">
        <f t="shared" si="180"/>
        <v>8.3333333333333329E-2</v>
      </c>
      <c r="AV91" s="404">
        <f>(0.18-0)/2</f>
        <v>0.09</v>
      </c>
      <c r="AW91" s="391"/>
      <c r="AX91" s="405">
        <v>200</v>
      </c>
      <c r="AY91" s="406">
        <f t="shared" si="181"/>
        <v>-0.28999999999999998</v>
      </c>
      <c r="AZ91" s="406"/>
      <c r="BA91" s="407">
        <f t="shared" si="182"/>
        <v>0.26333333333333336</v>
      </c>
      <c r="BB91" s="404">
        <f>(0.18-0)/2</f>
        <v>0.09</v>
      </c>
      <c r="BC91" s="391"/>
      <c r="BD91" s="405">
        <v>200</v>
      </c>
      <c r="BE91" s="406">
        <f t="shared" si="183"/>
        <v>-0.26</v>
      </c>
      <c r="BF91" s="406"/>
      <c r="BG91" s="407">
        <f t="shared" si="184"/>
        <v>9.0000000000000011E-2</v>
      </c>
      <c r="BH91" s="404">
        <f>(0.18-0)/2</f>
        <v>0.09</v>
      </c>
      <c r="BI91" s="391"/>
      <c r="BJ91" s="405">
        <v>200</v>
      </c>
      <c r="BK91" s="406">
        <f t="shared" si="185"/>
        <v>-0.28999999999999998</v>
      </c>
      <c r="BL91" s="406"/>
      <c r="BM91" s="407">
        <f t="shared" si="186"/>
        <v>0.26333333333333336</v>
      </c>
      <c r="BN91" s="404">
        <f>(0.18-0)/2</f>
        <v>0.09</v>
      </c>
      <c r="BO91" s="391"/>
      <c r="BP91" s="405">
        <v>200</v>
      </c>
      <c r="BQ91" s="406">
        <f t="shared" si="187"/>
        <v>-0.93</v>
      </c>
      <c r="BR91" s="406"/>
      <c r="BS91" s="407">
        <f t="shared" si="188"/>
        <v>8.666666666666667E-2</v>
      </c>
      <c r="BT91" s="404">
        <f>(0.18-0)/2</f>
        <v>0.09</v>
      </c>
      <c r="BU91" s="391"/>
      <c r="BV91" s="405">
        <v>200</v>
      </c>
      <c r="BW91" s="406">
        <f t="shared" si="189"/>
        <v>-1.1000000000000001</v>
      </c>
      <c r="BX91" s="406"/>
      <c r="BY91" s="407">
        <f t="shared" si="190"/>
        <v>8.3333333333333329E-2</v>
      </c>
      <c r="BZ91" s="404">
        <f>(0.18-0)/2</f>
        <v>0.09</v>
      </c>
      <c r="CA91" s="391"/>
      <c r="CB91" s="405">
        <v>200</v>
      </c>
      <c r="CC91" s="406">
        <f t="shared" si="192"/>
        <v>0</v>
      </c>
      <c r="CD91" s="406">
        <f t="shared" si="193"/>
        <v>-0.6</v>
      </c>
      <c r="CE91" s="407">
        <f t="shared" si="194"/>
        <v>0.30000000000000004</v>
      </c>
      <c r="CF91" s="404">
        <f>(0.18-0)/2</f>
        <v>0.09</v>
      </c>
      <c r="CH91" s="405">
        <v>200</v>
      </c>
      <c r="CI91" s="406">
        <f t="shared" si="195"/>
        <v>0.34</v>
      </c>
      <c r="CJ91" s="406">
        <f t="shared" si="196"/>
        <v>0.47</v>
      </c>
      <c r="CK91" s="407">
        <f t="shared" si="197"/>
        <v>0.12999999999999995</v>
      </c>
      <c r="CL91" s="404">
        <f>(0.18-0)/2</f>
        <v>0.09</v>
      </c>
      <c r="CN91" s="405">
        <v>200</v>
      </c>
      <c r="CO91" s="406">
        <f t="shared" si="198"/>
        <v>-0.26</v>
      </c>
      <c r="CP91" s="406">
        <f t="shared" si="198"/>
        <v>0.99</v>
      </c>
      <c r="CQ91" s="407">
        <f t="shared" si="199"/>
        <v>1.25</v>
      </c>
      <c r="CR91" s="404">
        <f>(0.18-0)/2</f>
        <v>0.09</v>
      </c>
    </row>
    <row r="92" spans="2:96" s="391" customFormat="1">
      <c r="B92" s="415"/>
      <c r="C92" s="392"/>
      <c r="D92" s="392"/>
      <c r="E92" s="412"/>
      <c r="F92" s="409"/>
      <c r="G92" s="409"/>
      <c r="H92" s="415"/>
      <c r="I92" s="392"/>
      <c r="J92" s="392"/>
      <c r="K92" s="412"/>
      <c r="L92" s="393"/>
      <c r="M92" s="409"/>
      <c r="N92" s="415"/>
      <c r="O92" s="392"/>
      <c r="P92" s="392"/>
      <c r="Q92" s="412"/>
      <c r="R92" s="393"/>
      <c r="T92" s="415"/>
      <c r="U92" s="392"/>
      <c r="V92" s="392"/>
      <c r="W92" s="412"/>
      <c r="X92" s="393"/>
      <c r="Z92" s="415"/>
      <c r="AA92" s="392"/>
      <c r="AB92" s="392"/>
      <c r="AC92" s="412"/>
      <c r="AD92" s="393"/>
      <c r="AF92" s="415"/>
      <c r="AG92" s="392"/>
      <c r="AH92" s="392"/>
      <c r="AI92" s="412"/>
      <c r="AJ92" s="393"/>
      <c r="AL92" s="415"/>
      <c r="AM92" s="392"/>
      <c r="AN92" s="392"/>
      <c r="AO92" s="412"/>
      <c r="AP92" s="393"/>
      <c r="AR92" s="415"/>
      <c r="AS92" s="392"/>
      <c r="AT92" s="392"/>
      <c r="AU92" s="412"/>
      <c r="AV92" s="393"/>
      <c r="AX92" s="415"/>
      <c r="AY92" s="392"/>
      <c r="AZ92" s="392"/>
      <c r="BA92" s="412"/>
      <c r="BB92" s="393"/>
      <c r="BD92" s="415"/>
      <c r="BE92" s="392"/>
      <c r="BF92" s="392"/>
      <c r="BG92" s="412"/>
      <c r="BH92" s="393"/>
      <c r="BJ92" s="415"/>
      <c r="BK92" s="392"/>
      <c r="BL92" s="392"/>
      <c r="BM92" s="412"/>
      <c r="BN92" s="393"/>
      <c r="BP92" s="415"/>
      <c r="BQ92" s="392"/>
      <c r="BR92" s="392"/>
      <c r="BS92" s="412"/>
      <c r="BT92" s="393"/>
      <c r="BV92" s="415"/>
      <c r="BW92" s="392"/>
      <c r="BX92" s="392"/>
      <c r="BY92" s="412"/>
      <c r="BZ92" s="393"/>
      <c r="CB92" s="415"/>
      <c r="CC92" s="392"/>
      <c r="CD92" s="392"/>
      <c r="CE92" s="412"/>
      <c r="CF92" s="393"/>
      <c r="CH92" s="415"/>
      <c r="CI92" s="392"/>
      <c r="CJ92" s="392"/>
      <c r="CK92" s="412"/>
      <c r="CL92" s="393"/>
      <c r="CN92" s="415"/>
      <c r="CO92" s="392"/>
      <c r="CP92" s="392"/>
      <c r="CQ92" s="412"/>
      <c r="CR92" s="393"/>
    </row>
    <row r="93" spans="2:96" ht="21.75" customHeight="1">
      <c r="B93" s="823" t="s">
        <v>337</v>
      </c>
      <c r="C93" s="825" t="str">
        <f>C78</f>
        <v>Thermocouple Data Logger, Merek : MADGETECH, Model : OctTemp 2000, SN : P40270</v>
      </c>
      <c r="D93" s="825"/>
      <c r="E93" s="825"/>
      <c r="F93" s="394" t="s">
        <v>329</v>
      </c>
      <c r="G93" s="395"/>
      <c r="H93" s="823" t="s">
        <v>337</v>
      </c>
      <c r="I93" s="825" t="str">
        <f>I78</f>
        <v>Thermocouple Data Logger, Merek : MADGETECH, Model : OctTemp 2000, SN : P41878</v>
      </c>
      <c r="J93" s="825"/>
      <c r="K93" s="825"/>
      <c r="L93" s="394" t="s">
        <v>329</v>
      </c>
      <c r="M93" s="395"/>
      <c r="N93" s="823" t="s">
        <v>337</v>
      </c>
      <c r="O93" s="825" t="str">
        <f>O78</f>
        <v>Mobile Corder, Merek : Yokogawa, Model : GP 10, SN : S5T810599</v>
      </c>
      <c r="P93" s="826"/>
      <c r="Q93" s="825"/>
      <c r="R93" s="394" t="s">
        <v>329</v>
      </c>
      <c r="S93" s="391"/>
      <c r="T93" s="823" t="s">
        <v>337</v>
      </c>
      <c r="U93" s="825" t="str">
        <f>U78</f>
        <v>Wireless Temperature Recorder : Merek : HIOKI, Model : LR 8510, SN : 200936000</v>
      </c>
      <c r="V93" s="826"/>
      <c r="W93" s="825"/>
      <c r="X93" s="394" t="s">
        <v>329</v>
      </c>
      <c r="Y93" s="391"/>
      <c r="Z93" s="823" t="s">
        <v>337</v>
      </c>
      <c r="AA93" s="825" t="str">
        <f>AA78</f>
        <v>Wireless Temperature Recorder : Merek : HIOKI, Model : LR 8510, SN : 200936001</v>
      </c>
      <c r="AB93" s="826"/>
      <c r="AC93" s="825"/>
      <c r="AD93" s="394" t="s">
        <v>329</v>
      </c>
      <c r="AE93" s="391"/>
      <c r="AF93" s="823" t="s">
        <v>337</v>
      </c>
      <c r="AG93" s="825" t="str">
        <f>AG78</f>
        <v>Wireless Temperature Recorder : Merek : HIOKI, Model : LR 8510, SN : 200821397</v>
      </c>
      <c r="AH93" s="826"/>
      <c r="AI93" s="825"/>
      <c r="AJ93" s="394" t="s">
        <v>329</v>
      </c>
      <c r="AK93" s="391"/>
      <c r="AL93" s="823" t="s">
        <v>337</v>
      </c>
      <c r="AM93" s="825" t="str">
        <f>AM78</f>
        <v>Wireless Temperature Recorder : Merek : HIOKI, Model : LR 8510, SN : 210411983</v>
      </c>
      <c r="AN93" s="826"/>
      <c r="AO93" s="825"/>
      <c r="AP93" s="394" t="s">
        <v>329</v>
      </c>
      <c r="AQ93" s="391"/>
      <c r="AR93" s="823" t="s">
        <v>337</v>
      </c>
      <c r="AS93" s="825" t="str">
        <f>AS78</f>
        <v>Wireless Temperature Recorder : Merek : HIOKI, Model : LR 8510, SN : 210411984</v>
      </c>
      <c r="AT93" s="826"/>
      <c r="AU93" s="825"/>
      <c r="AV93" s="394" t="s">
        <v>329</v>
      </c>
      <c r="AW93" s="391"/>
      <c r="AX93" s="823" t="s">
        <v>337</v>
      </c>
      <c r="AY93" s="825" t="str">
        <f>AY78</f>
        <v>Wireless Temperature Recorder : Merek : HIOKI, Model : LR 8510, SN : 210411985</v>
      </c>
      <c r="AZ93" s="826"/>
      <c r="BA93" s="825"/>
      <c r="BB93" s="394" t="s">
        <v>329</v>
      </c>
      <c r="BC93" s="391"/>
      <c r="BD93" s="823" t="s">
        <v>337</v>
      </c>
      <c r="BE93" s="825" t="str">
        <f>BE78</f>
        <v>Wireless Temperature Recorder : Merek : HIOKI, Model : LR 8510, SN : 210746054</v>
      </c>
      <c r="BF93" s="826"/>
      <c r="BG93" s="825"/>
      <c r="BH93" s="394" t="s">
        <v>329</v>
      </c>
      <c r="BI93" s="391"/>
      <c r="BJ93" s="823" t="s">
        <v>337</v>
      </c>
      <c r="BK93" s="825" t="str">
        <f>BK78</f>
        <v>Wireless Temperature Recorder : Merek : HIOKI, Model : LR 8510, SN : 210746055</v>
      </c>
      <c r="BL93" s="826"/>
      <c r="BM93" s="825"/>
      <c r="BN93" s="394" t="s">
        <v>329</v>
      </c>
      <c r="BO93" s="391"/>
      <c r="BP93" s="823" t="s">
        <v>337</v>
      </c>
      <c r="BQ93" s="825" t="str">
        <f>BQ78</f>
        <v>Wireless Temperature Recorder : Merek : HIOKI, Model : LR 8510, SN : 210746056</v>
      </c>
      <c r="BR93" s="826"/>
      <c r="BS93" s="825"/>
      <c r="BT93" s="394" t="s">
        <v>329</v>
      </c>
      <c r="BU93" s="391"/>
      <c r="BV93" s="823" t="s">
        <v>337</v>
      </c>
      <c r="BW93" s="825" t="str">
        <f>BW78</f>
        <v>Wireless Temperature Recorder : Merek : HIOKI, Model : LR 8510, SN : 200821396</v>
      </c>
      <c r="BX93" s="826"/>
      <c r="BY93" s="825"/>
      <c r="BZ93" s="394" t="s">
        <v>329</v>
      </c>
      <c r="CA93" s="391"/>
      <c r="CB93" s="823" t="s">
        <v>337</v>
      </c>
      <c r="CC93" s="825" t="str">
        <f t="shared" ref="CC93:CC106" si="200">CC78</f>
        <v>Reference Thermometer, Merek : APPA, Model : APPA51, SN : 03002948</v>
      </c>
      <c r="CD93" s="826"/>
      <c r="CE93" s="825"/>
      <c r="CF93" s="394" t="s">
        <v>329</v>
      </c>
      <c r="CH93" s="823" t="s">
        <v>337</v>
      </c>
      <c r="CI93" s="825" t="str">
        <f t="shared" ref="CI93:CJ106" si="201">CI78</f>
        <v>Reference Thermometer, Merek : FLUKE, Model : 1524, SN : 1803038</v>
      </c>
      <c r="CJ93" s="826"/>
      <c r="CK93" s="825"/>
      <c r="CL93" s="394" t="s">
        <v>329</v>
      </c>
      <c r="CN93" s="823" t="s">
        <v>337</v>
      </c>
      <c r="CO93" s="825" t="str">
        <f t="shared" ref="CO93:CP106" si="202">CO78</f>
        <v>Reference Thermometer, Merek : FLUKE, Model : 1524, SN : 1803037</v>
      </c>
      <c r="CP93" s="826"/>
      <c r="CQ93" s="825"/>
      <c r="CR93" s="394" t="s">
        <v>329</v>
      </c>
    </row>
    <row r="94" spans="2:96">
      <c r="B94" s="824"/>
      <c r="C94" s="402">
        <f>C79</f>
        <v>2021</v>
      </c>
      <c r="D94" s="402">
        <f>D79</f>
        <v>2022</v>
      </c>
      <c r="E94" s="398" t="s">
        <v>242</v>
      </c>
      <c r="F94" s="399"/>
      <c r="G94" s="400"/>
      <c r="H94" s="824"/>
      <c r="I94" s="401">
        <f>I79</f>
        <v>2021</v>
      </c>
      <c r="J94" s="402">
        <f>J79</f>
        <v>2022</v>
      </c>
      <c r="K94" s="398" t="s">
        <v>242</v>
      </c>
      <c r="L94" s="403"/>
      <c r="M94" s="400"/>
      <c r="N94" s="824"/>
      <c r="O94" s="401">
        <f>O4</f>
        <v>2021</v>
      </c>
      <c r="P94" s="402">
        <f>P4</f>
        <v>2023</v>
      </c>
      <c r="Q94" s="398" t="s">
        <v>242</v>
      </c>
      <c r="R94" s="404"/>
      <c r="S94" s="391"/>
      <c r="T94" s="824"/>
      <c r="U94" s="401">
        <f>U79</f>
        <v>2022</v>
      </c>
      <c r="V94" s="402"/>
      <c r="W94" s="398" t="s">
        <v>242</v>
      </c>
      <c r="X94" s="404"/>
      <c r="Y94" s="391"/>
      <c r="Z94" s="824"/>
      <c r="AA94" s="401">
        <f>AA79</f>
        <v>2023</v>
      </c>
      <c r="AB94" s="402">
        <f>AB79</f>
        <v>2021</v>
      </c>
      <c r="AC94" s="398" t="s">
        <v>242</v>
      </c>
      <c r="AD94" s="404"/>
      <c r="AE94" s="391"/>
      <c r="AF94" s="824"/>
      <c r="AG94" s="401">
        <f>AG79</f>
        <v>2023</v>
      </c>
      <c r="AH94" s="401">
        <f>AH79</f>
        <v>2021</v>
      </c>
      <c r="AI94" s="398" t="s">
        <v>242</v>
      </c>
      <c r="AJ94" s="404"/>
      <c r="AK94" s="391"/>
      <c r="AL94" s="824"/>
      <c r="AM94" s="401">
        <f>AM79</f>
        <v>2023</v>
      </c>
      <c r="AN94" s="402"/>
      <c r="AO94" s="398" t="s">
        <v>242</v>
      </c>
      <c r="AP94" s="404"/>
      <c r="AQ94" s="391"/>
      <c r="AR94" s="824"/>
      <c r="AS94" s="401">
        <f>AS79</f>
        <v>2023</v>
      </c>
      <c r="AT94" s="402"/>
      <c r="AU94" s="398" t="s">
        <v>242</v>
      </c>
      <c r="AV94" s="404"/>
      <c r="AW94" s="391"/>
      <c r="AX94" s="824"/>
      <c r="AY94" s="401">
        <f>AY79</f>
        <v>2021</v>
      </c>
      <c r="AZ94" s="402"/>
      <c r="BA94" s="398" t="s">
        <v>242</v>
      </c>
      <c r="BB94" s="404"/>
      <c r="BC94" s="391"/>
      <c r="BD94" s="824"/>
      <c r="BE94" s="401">
        <f>BE79</f>
        <v>2022</v>
      </c>
      <c r="BF94" s="402"/>
      <c r="BG94" s="398" t="s">
        <v>242</v>
      </c>
      <c r="BH94" s="404"/>
      <c r="BI94" s="391"/>
      <c r="BJ94" s="824"/>
      <c r="BK94" s="401">
        <f>BK79</f>
        <v>2021</v>
      </c>
      <c r="BL94" s="402"/>
      <c r="BM94" s="398" t="s">
        <v>242</v>
      </c>
      <c r="BN94" s="404"/>
      <c r="BO94" s="391"/>
      <c r="BP94" s="824"/>
      <c r="BQ94" s="401">
        <f>BQ79</f>
        <v>2022</v>
      </c>
      <c r="BR94" s="402"/>
      <c r="BS94" s="398" t="s">
        <v>242</v>
      </c>
      <c r="BT94" s="404"/>
      <c r="BU94" s="391"/>
      <c r="BV94" s="824"/>
      <c r="BW94" s="401">
        <f>BW79</f>
        <v>2022</v>
      </c>
      <c r="BX94" s="402"/>
      <c r="BY94" s="398" t="s">
        <v>242</v>
      </c>
      <c r="BZ94" s="404"/>
      <c r="CA94" s="391"/>
      <c r="CB94" s="824"/>
      <c r="CC94" s="401">
        <f t="shared" si="200"/>
        <v>2022</v>
      </c>
      <c r="CD94" s="402">
        <f>CD109</f>
        <v>2020</v>
      </c>
      <c r="CE94" s="398" t="s">
        <v>242</v>
      </c>
      <c r="CF94" s="404"/>
      <c r="CH94" s="824"/>
      <c r="CI94" s="401">
        <f t="shared" si="201"/>
        <v>2021</v>
      </c>
      <c r="CJ94" s="402">
        <f>CJ79</f>
        <v>2019</v>
      </c>
      <c r="CK94" s="398" t="s">
        <v>242</v>
      </c>
      <c r="CL94" s="404"/>
      <c r="CN94" s="824"/>
      <c r="CO94" s="401">
        <f t="shared" si="202"/>
        <v>2021</v>
      </c>
      <c r="CP94" s="402">
        <f>CP79</f>
        <v>2020</v>
      </c>
      <c r="CQ94" s="398" t="s">
        <v>242</v>
      </c>
      <c r="CR94" s="404"/>
    </row>
    <row r="95" spans="2:96">
      <c r="B95" s="405">
        <v>-20</v>
      </c>
      <c r="C95" s="406">
        <v>-0.41</v>
      </c>
      <c r="D95" s="406">
        <f t="shared" ref="D95:D106" si="203">C209</f>
        <v>-0.56999999999999995</v>
      </c>
      <c r="E95" s="407">
        <f t="shared" ref="E95:E106" si="204">IF(OR(C95=0,D95=0),$C$221/3,((MAX(C95:D95)-(MIN(C95:D95)))))</f>
        <v>0.15999999999999998</v>
      </c>
      <c r="F95" s="408">
        <v>0.1</v>
      </c>
      <c r="G95" s="409"/>
      <c r="H95" s="405">
        <v>-20</v>
      </c>
      <c r="I95" s="406">
        <v>-0.75</v>
      </c>
      <c r="J95" s="406">
        <f t="shared" ref="J95:J106" si="205">D209</f>
        <v>-0.49</v>
      </c>
      <c r="K95" s="407">
        <f>IF(OR(I95=0,J95=0),$D$221/3,((MAX(I95:J95)-(MIN(I95:J95)))))</f>
        <v>0.26</v>
      </c>
      <c r="L95" s="408">
        <v>0.09</v>
      </c>
      <c r="M95" s="409"/>
      <c r="N95" s="405">
        <v>-20</v>
      </c>
      <c r="O95" s="406">
        <v>-0.67</v>
      </c>
      <c r="P95" s="406">
        <f t="shared" ref="P95:P106" si="206">E209</f>
        <v>-0.36</v>
      </c>
      <c r="Q95" s="407">
        <f t="shared" ref="Q95:Q106" si="207">IF(OR(O95=0,P95=0),$E$221/3,((MAX(O95:P95)-(MIN(O95:P95)))))</f>
        <v>0.31000000000000005</v>
      </c>
      <c r="R95" s="404">
        <v>9.9999999999999995E-7</v>
      </c>
      <c r="S95" s="391"/>
      <c r="T95" s="405">
        <v>-20</v>
      </c>
      <c r="U95" s="406">
        <f t="shared" ref="U95:U106" si="208">F209</f>
        <v>-1.33</v>
      </c>
      <c r="V95" s="406"/>
      <c r="W95" s="407">
        <f t="shared" ref="W95:W106" si="209">IF(OR(U95=0,V95=0),$F$221/3,((MAX(U95:V95)-(MIN(U95:V95)))))</f>
        <v>8.3333333333333329E-2</v>
      </c>
      <c r="X95" s="404">
        <v>9.9999999999999995E-7</v>
      </c>
      <c r="Y95" s="391"/>
      <c r="Z95" s="405">
        <v>-20</v>
      </c>
      <c r="AA95" s="406">
        <f t="shared" ref="AA95:AA106" si="210">G209</f>
        <v>0.13</v>
      </c>
      <c r="AB95" s="406">
        <v>-0.52</v>
      </c>
      <c r="AC95" s="407">
        <f t="shared" ref="AC95:AC106" si="211">IF(OR(AA95=0,AB95=0),$G$221/3,((MAX(AA95:AB95)-(MIN(AA95:AB95)))))</f>
        <v>0.65</v>
      </c>
      <c r="AD95" s="404">
        <v>9.9999999999999995E-7</v>
      </c>
      <c r="AE95" s="391"/>
      <c r="AF95" s="405">
        <v>-20</v>
      </c>
      <c r="AG95" s="406">
        <f t="shared" ref="AG95:AG106" si="212">H209</f>
        <v>0.16</v>
      </c>
      <c r="AH95" s="406">
        <v>-0.09</v>
      </c>
      <c r="AI95" s="407">
        <f t="shared" ref="AI95:AI106" si="213">IF(OR(AG95=0,AH95=0),$H$221/3,((MAX(AG95:AH95)-(MIN(AG95:AH95)))))</f>
        <v>0.25</v>
      </c>
      <c r="AJ95" s="404">
        <v>9.9999999999999995E-7</v>
      </c>
      <c r="AK95" s="391"/>
      <c r="AL95" s="405">
        <v>-20</v>
      </c>
      <c r="AM95" s="406">
        <f t="shared" ref="AM95:AM105" si="214">I209</f>
        <v>0.45</v>
      </c>
      <c r="AN95" s="406"/>
      <c r="AO95" s="407">
        <f t="shared" ref="AO95:AO106" si="215">IF(OR(AM95=0,AN95=0),$I$221/3,((MAX(AM95:AN95)-(MIN(AM95:AN95)))))</f>
        <v>8.3333333333333329E-2</v>
      </c>
      <c r="AP95" s="404">
        <v>9.9999999999999995E-7</v>
      </c>
      <c r="AQ95" s="391"/>
      <c r="AR95" s="405">
        <v>-20</v>
      </c>
      <c r="AS95" s="406">
        <f t="shared" ref="AS95:AS106" si="216">J209</f>
        <v>0.37</v>
      </c>
      <c r="AT95" s="406"/>
      <c r="AU95" s="407">
        <f t="shared" ref="AU95:AU106" si="217">IF(OR(AS95=0,AT95=0),$J$221/3,((MAX(AS95:AT95)-(MIN(AS95:AT95)))))</f>
        <v>8.3333333333333329E-2</v>
      </c>
      <c r="AV95" s="404">
        <v>9.9999999999999995E-7</v>
      </c>
      <c r="AW95" s="391"/>
      <c r="AX95" s="405">
        <v>-20</v>
      </c>
      <c r="AY95" s="406">
        <f t="shared" ref="AY95:AY106" si="218">K209</f>
        <v>0.54</v>
      </c>
      <c r="AZ95" s="406"/>
      <c r="BA95" s="407">
        <f t="shared" ref="BA95:BA106" si="219">IF(OR(AY95=0,AZ95=0),$K$221/3,((MAX(AY95:AZ95)-(MIN(AY95:AZ95)))))</f>
        <v>0.26333333333333336</v>
      </c>
      <c r="BB95" s="404">
        <v>9.9999999999999995E-7</v>
      </c>
      <c r="BC95" s="391"/>
      <c r="BD95" s="405">
        <v>-20</v>
      </c>
      <c r="BE95" s="406">
        <f t="shared" ref="BE95:BE106" si="220">L209</f>
        <v>-0.91</v>
      </c>
      <c r="BF95" s="406"/>
      <c r="BG95" s="407">
        <f t="shared" ref="BG95:BG106" si="221">IF(OR(BE95=0,BF95=0),$L$221/3,((MAX(BE95:BF95)-(MIN(BE95:BF95)))))</f>
        <v>9.0000000000000011E-2</v>
      </c>
      <c r="BH95" s="404">
        <v>9.9999999999999995E-7</v>
      </c>
      <c r="BI95" s="391"/>
      <c r="BJ95" s="405">
        <v>-20</v>
      </c>
      <c r="BK95" s="406">
        <f t="shared" ref="BK95:BK106" si="222">M209</f>
        <v>0.54</v>
      </c>
      <c r="BL95" s="406"/>
      <c r="BM95" s="407">
        <f t="shared" ref="BM95:BM106" si="223">IF(OR(BK95=0,BL95=0),$M$221/3,((MAX(BK95:BL95)-(MIN(BK95:BL95)))))</f>
        <v>0.26333333333333336</v>
      </c>
      <c r="BN95" s="404">
        <v>9.9999999999999995E-7</v>
      </c>
      <c r="BO95" s="391"/>
      <c r="BP95" s="405">
        <v>-20</v>
      </c>
      <c r="BQ95" s="406">
        <f t="shared" ref="BQ95:BQ106" si="224">N209</f>
        <v>-1.3</v>
      </c>
      <c r="BR95" s="406"/>
      <c r="BS95" s="407">
        <f t="shared" ref="BS95:BS106" si="225">IF(OR(BQ95=0,BR95=0),$N$221/3,((MAX(BQ95:BR95)-(MIN(BQ95:BR95)))))</f>
        <v>8.666666666666667E-2</v>
      </c>
      <c r="BT95" s="404">
        <v>9.9999999999999995E-7</v>
      </c>
      <c r="BU95" s="391"/>
      <c r="BV95" s="405">
        <v>-20</v>
      </c>
      <c r="BW95" s="406">
        <f t="shared" ref="BW95:BW106" si="226">O209</f>
        <v>-1.34</v>
      </c>
      <c r="BX95" s="406"/>
      <c r="BY95" s="407">
        <f t="shared" ref="BY95:BY106" si="227">IF(OR(BW95=0,BX95=0),$O$221/3,((MAX(BW95:BX95)-(MIN(BW95:BX95)))))</f>
        <v>9.0000000000000011E-2</v>
      </c>
      <c r="BZ95" s="404">
        <v>9.9999999999999995E-7</v>
      </c>
      <c r="CA95" s="391"/>
      <c r="CB95" s="405">
        <v>-20</v>
      </c>
      <c r="CC95" s="406">
        <f t="shared" si="200"/>
        <v>-1.1000000000000001</v>
      </c>
      <c r="CD95" s="406">
        <f>CD110</f>
        <v>-0.7</v>
      </c>
      <c r="CE95" s="407">
        <f t="shared" ref="CE95:CE106" si="228">CE80</f>
        <v>0.40000000000000013</v>
      </c>
      <c r="CF95" s="404">
        <v>9.9999999999999995E-7</v>
      </c>
      <c r="CH95" s="405">
        <v>-20</v>
      </c>
      <c r="CI95" s="406">
        <f t="shared" si="201"/>
        <v>-0.15</v>
      </c>
      <c r="CJ95" s="406">
        <f>CJ80</f>
        <v>-0.32</v>
      </c>
      <c r="CK95" s="407">
        <f t="shared" ref="CK95:CK106" si="229">CK80</f>
        <v>0.17</v>
      </c>
      <c r="CL95" s="404">
        <v>9.9999999999999995E-7</v>
      </c>
      <c r="CN95" s="405">
        <v>-20</v>
      </c>
      <c r="CO95" s="406">
        <f t="shared" si="202"/>
        <v>-1.8</v>
      </c>
      <c r="CP95" s="406">
        <f>CP80</f>
        <v>-0.51</v>
      </c>
      <c r="CQ95" s="407">
        <f t="shared" ref="CQ95:CQ106" si="230">CQ80</f>
        <v>1.29</v>
      </c>
      <c r="CR95" s="404">
        <v>9.9999999999999995E-7</v>
      </c>
    </row>
    <row r="96" spans="2:96">
      <c r="B96" s="405">
        <v>-15</v>
      </c>
      <c r="C96" s="406">
        <v>-0.36</v>
      </c>
      <c r="D96" s="406">
        <f t="shared" si="203"/>
        <v>-0.52</v>
      </c>
      <c r="E96" s="407">
        <f>IF(OR(C96=0,D96=0),$C$221/3,((MAX(C96:D96)-(MIN(C96:D96)))))</f>
        <v>0.16000000000000003</v>
      </c>
      <c r="F96" s="408">
        <f>(-0.81+1.76)/2</f>
        <v>0.47499999999999998</v>
      </c>
      <c r="G96" s="409"/>
      <c r="H96" s="405">
        <v>-15</v>
      </c>
      <c r="I96" s="406">
        <v>-0.62</v>
      </c>
      <c r="J96" s="406">
        <f t="shared" si="205"/>
        <v>-0.42</v>
      </c>
      <c r="K96" s="407">
        <f t="shared" ref="K96:K106" si="231">IF(OR(I96=0,J96=0),$D$221/3,((MAX(I96:J96)-(MIN(I96:J96)))))</f>
        <v>0.2</v>
      </c>
      <c r="L96" s="408">
        <f t="shared" ref="L96:L101" si="232">(0+0.11)/2</f>
        <v>5.5E-2</v>
      </c>
      <c r="M96" s="409"/>
      <c r="N96" s="405">
        <v>-15</v>
      </c>
      <c r="O96" s="406">
        <v>-0.53</v>
      </c>
      <c r="P96" s="406">
        <f t="shared" si="206"/>
        <v>-0.3</v>
      </c>
      <c r="Q96" s="407">
        <f t="shared" si="207"/>
        <v>0.23000000000000004</v>
      </c>
      <c r="R96" s="404">
        <f>(0.08-0)/2</f>
        <v>0.04</v>
      </c>
      <c r="S96" s="391"/>
      <c r="T96" s="405">
        <v>-15</v>
      </c>
      <c r="U96" s="406">
        <f t="shared" si="208"/>
        <v>-1.1000000000000001</v>
      </c>
      <c r="V96" s="406"/>
      <c r="W96" s="407">
        <f t="shared" si="209"/>
        <v>8.3333333333333329E-2</v>
      </c>
      <c r="X96" s="404">
        <f>(0.08-0)/2</f>
        <v>0.04</v>
      </c>
      <c r="Y96" s="391"/>
      <c r="Z96" s="405">
        <v>-15</v>
      </c>
      <c r="AA96" s="406">
        <f t="shared" si="210"/>
        <v>0.18</v>
      </c>
      <c r="AB96" s="406">
        <v>0</v>
      </c>
      <c r="AC96" s="407">
        <f t="shared" si="211"/>
        <v>8.666666666666667E-2</v>
      </c>
      <c r="AD96" s="404">
        <f>(0.08-0)/2</f>
        <v>0.04</v>
      </c>
      <c r="AE96" s="391"/>
      <c r="AF96" s="405">
        <v>-15</v>
      </c>
      <c r="AG96" s="406">
        <f t="shared" si="212"/>
        <v>0.2</v>
      </c>
      <c r="AH96" s="406">
        <v>9.9999999999999995E-7</v>
      </c>
      <c r="AI96" s="407">
        <f t="shared" si="213"/>
        <v>0.19999900000000001</v>
      </c>
      <c r="AJ96" s="404">
        <f>(0.08-0)/2</f>
        <v>0.04</v>
      </c>
      <c r="AK96" s="391"/>
      <c r="AL96" s="405">
        <v>-15</v>
      </c>
      <c r="AM96" s="406">
        <f t="shared" si="214"/>
        <v>0.46</v>
      </c>
      <c r="AN96" s="406"/>
      <c r="AO96" s="407">
        <f t="shared" si="215"/>
        <v>8.3333333333333329E-2</v>
      </c>
      <c r="AP96" s="404">
        <f>(0.08-0)/2</f>
        <v>0.04</v>
      </c>
      <c r="AQ96" s="391"/>
      <c r="AR96" s="405">
        <v>-15</v>
      </c>
      <c r="AS96" s="406">
        <f t="shared" si="216"/>
        <v>0.39</v>
      </c>
      <c r="AT96" s="406"/>
      <c r="AU96" s="407">
        <f t="shared" si="217"/>
        <v>8.3333333333333329E-2</v>
      </c>
      <c r="AV96" s="404">
        <f>(0.08-0)/2</f>
        <v>0.04</v>
      </c>
      <c r="AW96" s="391"/>
      <c r="AX96" s="405">
        <v>-15</v>
      </c>
      <c r="AY96" s="406">
        <f t="shared" si="218"/>
        <v>9.9999999999999995E-7</v>
      </c>
      <c r="AZ96" s="406"/>
      <c r="BA96" s="407">
        <f t="shared" si="219"/>
        <v>0.26333333333333336</v>
      </c>
      <c r="BB96" s="404">
        <f>(0.08-0)/2</f>
        <v>0.04</v>
      </c>
      <c r="BC96" s="391"/>
      <c r="BD96" s="405">
        <v>-15</v>
      </c>
      <c r="BE96" s="406">
        <f t="shared" si="220"/>
        <v>-0.66</v>
      </c>
      <c r="BF96" s="406"/>
      <c r="BG96" s="407">
        <f t="shared" si="221"/>
        <v>9.0000000000000011E-2</v>
      </c>
      <c r="BH96" s="404">
        <f>(0.08-0)/2</f>
        <v>0.04</v>
      </c>
      <c r="BI96" s="391"/>
      <c r="BJ96" s="405">
        <v>-15</v>
      </c>
      <c r="BK96" s="406">
        <f t="shared" si="222"/>
        <v>9.9999999999999995E-7</v>
      </c>
      <c r="BL96" s="406"/>
      <c r="BM96" s="407">
        <f t="shared" si="223"/>
        <v>0.26333333333333336</v>
      </c>
      <c r="BN96" s="404">
        <f>(0.08-0)/2</f>
        <v>0.04</v>
      </c>
      <c r="BO96" s="391"/>
      <c r="BP96" s="405">
        <v>-15</v>
      </c>
      <c r="BQ96" s="406">
        <f t="shared" si="224"/>
        <v>-1.05</v>
      </c>
      <c r="BR96" s="406"/>
      <c r="BS96" s="407">
        <f t="shared" si="225"/>
        <v>8.666666666666667E-2</v>
      </c>
      <c r="BT96" s="404">
        <f>(0.08-0)/2</f>
        <v>0.04</v>
      </c>
      <c r="BU96" s="391"/>
      <c r="BV96" s="405">
        <v>-15</v>
      </c>
      <c r="BW96" s="406">
        <f t="shared" si="226"/>
        <v>-1.05</v>
      </c>
      <c r="BX96" s="406"/>
      <c r="BY96" s="407">
        <f t="shared" si="227"/>
        <v>9.0000000000000011E-2</v>
      </c>
      <c r="BZ96" s="404">
        <f>(0.08-0)/2</f>
        <v>0.04</v>
      </c>
      <c r="CA96" s="391"/>
      <c r="CB96" s="405">
        <v>-15</v>
      </c>
      <c r="CC96" s="406">
        <f t="shared" si="200"/>
        <v>-1.2</v>
      </c>
      <c r="CD96" s="406">
        <f t="shared" ref="CD96:CD106" si="233">CD111</f>
        <v>-0.7</v>
      </c>
      <c r="CE96" s="407">
        <f t="shared" si="228"/>
        <v>0.40000000000000013</v>
      </c>
      <c r="CF96" s="404">
        <f>(0.08-0)/2</f>
        <v>0.04</v>
      </c>
      <c r="CH96" s="405">
        <v>-15</v>
      </c>
      <c r="CI96" s="406">
        <f t="shared" si="201"/>
        <v>-0.1</v>
      </c>
      <c r="CJ96" s="406">
        <f t="shared" si="201"/>
        <v>-0.24</v>
      </c>
      <c r="CK96" s="407">
        <f t="shared" si="229"/>
        <v>0.13999999999999999</v>
      </c>
      <c r="CL96" s="404">
        <f>(0.08-0)/2</f>
        <v>0.04</v>
      </c>
      <c r="CN96" s="405">
        <v>-15</v>
      </c>
      <c r="CO96" s="406">
        <f t="shared" si="202"/>
        <v>-1.52</v>
      </c>
      <c r="CP96" s="406">
        <f t="shared" si="202"/>
        <v>-0.39</v>
      </c>
      <c r="CQ96" s="407">
        <f t="shared" si="230"/>
        <v>1.1299999999999999</v>
      </c>
      <c r="CR96" s="404">
        <f>(0.08-0)/2</f>
        <v>0.04</v>
      </c>
    </row>
    <row r="97" spans="2:96">
      <c r="B97" s="405">
        <v>-10</v>
      </c>
      <c r="C97" s="406">
        <v>-0.31</v>
      </c>
      <c r="D97" s="406">
        <f t="shared" si="203"/>
        <v>-0.46</v>
      </c>
      <c r="E97" s="407">
        <f t="shared" si="204"/>
        <v>0.15000000000000002</v>
      </c>
      <c r="F97" s="408">
        <f>(-0.73+1.54)/2</f>
        <v>0.40500000000000003</v>
      </c>
      <c r="G97" s="409"/>
      <c r="H97" s="405">
        <v>-10</v>
      </c>
      <c r="I97" s="406">
        <v>9.9999999999999995E-7</v>
      </c>
      <c r="J97" s="406">
        <f t="shared" si="205"/>
        <v>-0.35</v>
      </c>
      <c r="K97" s="407">
        <f>IF(OR(I97=0,J97=0),$D$221/3,((MAX(I97:J97)-(MIN(I97:J97)))))</f>
        <v>0.35000099999999995</v>
      </c>
      <c r="L97" s="408">
        <f t="shared" si="232"/>
        <v>5.5E-2</v>
      </c>
      <c r="M97" s="409"/>
      <c r="N97" s="405">
        <v>-10</v>
      </c>
      <c r="O97" s="406">
        <v>-0.44</v>
      </c>
      <c r="P97" s="406">
        <f t="shared" si="206"/>
        <v>-0.25</v>
      </c>
      <c r="Q97" s="407">
        <f t="shared" si="207"/>
        <v>0.19</v>
      </c>
      <c r="R97" s="404">
        <f>(0.09-0)/2</f>
        <v>4.4999999999999998E-2</v>
      </c>
      <c r="S97" s="391"/>
      <c r="T97" s="405">
        <v>-10</v>
      </c>
      <c r="U97" s="406">
        <f t="shared" si="208"/>
        <v>-0.85</v>
      </c>
      <c r="V97" s="406"/>
      <c r="W97" s="407">
        <f t="shared" si="209"/>
        <v>8.3333333333333329E-2</v>
      </c>
      <c r="X97" s="404">
        <f>(0.09-0)/2</f>
        <v>4.4999999999999998E-2</v>
      </c>
      <c r="Y97" s="391"/>
      <c r="Z97" s="405">
        <v>-10</v>
      </c>
      <c r="AA97" s="406">
        <f t="shared" si="210"/>
        <v>0.21</v>
      </c>
      <c r="AB97" s="406">
        <v>-0.23</v>
      </c>
      <c r="AC97" s="407">
        <f t="shared" si="211"/>
        <v>0.44</v>
      </c>
      <c r="AD97" s="404">
        <f>(0.09-0)/2</f>
        <v>4.4999999999999998E-2</v>
      </c>
      <c r="AE97" s="391"/>
      <c r="AF97" s="405">
        <v>-10</v>
      </c>
      <c r="AG97" s="406">
        <f t="shared" si="212"/>
        <v>0.2</v>
      </c>
      <c r="AH97" s="406">
        <v>0.12</v>
      </c>
      <c r="AI97" s="407">
        <f t="shared" si="213"/>
        <v>8.0000000000000016E-2</v>
      </c>
      <c r="AJ97" s="404">
        <f>(0.09-0)/2</f>
        <v>4.4999999999999998E-2</v>
      </c>
      <c r="AK97" s="391"/>
      <c r="AL97" s="405">
        <v>-10</v>
      </c>
      <c r="AM97" s="406">
        <f t="shared" si="214"/>
        <v>0.47</v>
      </c>
      <c r="AN97" s="406"/>
      <c r="AO97" s="407">
        <f t="shared" si="215"/>
        <v>8.3333333333333329E-2</v>
      </c>
      <c r="AP97" s="404">
        <f>(0.09-0)/2</f>
        <v>4.4999999999999998E-2</v>
      </c>
      <c r="AQ97" s="391"/>
      <c r="AR97" s="405">
        <v>-10</v>
      </c>
      <c r="AS97" s="406">
        <f t="shared" si="216"/>
        <v>0.4</v>
      </c>
      <c r="AT97" s="406"/>
      <c r="AU97" s="407">
        <f t="shared" si="217"/>
        <v>8.3333333333333329E-2</v>
      </c>
      <c r="AV97" s="404">
        <f>(0.09-0)/2</f>
        <v>4.4999999999999998E-2</v>
      </c>
      <c r="AW97" s="391"/>
      <c r="AX97" s="405">
        <v>-10</v>
      </c>
      <c r="AY97" s="406">
        <f t="shared" si="218"/>
        <v>0.52</v>
      </c>
      <c r="AZ97" s="406"/>
      <c r="BA97" s="407">
        <f t="shared" si="219"/>
        <v>0.26333333333333336</v>
      </c>
      <c r="BB97" s="404">
        <f>(0.09-0)/2</f>
        <v>4.4999999999999998E-2</v>
      </c>
      <c r="BC97" s="391"/>
      <c r="BD97" s="405">
        <v>-10</v>
      </c>
      <c r="BE97" s="406">
        <f t="shared" si="220"/>
        <v>-0.47</v>
      </c>
      <c r="BF97" s="406"/>
      <c r="BG97" s="407">
        <f t="shared" si="221"/>
        <v>9.0000000000000011E-2</v>
      </c>
      <c r="BH97" s="404">
        <f>(0.09-0)/2</f>
        <v>4.4999999999999998E-2</v>
      </c>
      <c r="BI97" s="391"/>
      <c r="BJ97" s="405">
        <v>-10</v>
      </c>
      <c r="BK97" s="406">
        <f t="shared" si="222"/>
        <v>0.52</v>
      </c>
      <c r="BL97" s="406"/>
      <c r="BM97" s="407">
        <f t="shared" si="223"/>
        <v>0.26333333333333336</v>
      </c>
      <c r="BN97" s="404">
        <f>(0.09-0)/2</f>
        <v>4.4999999999999998E-2</v>
      </c>
      <c r="BO97" s="391"/>
      <c r="BP97" s="405">
        <v>-10</v>
      </c>
      <c r="BQ97" s="406">
        <f t="shared" si="224"/>
        <v>-0.84</v>
      </c>
      <c r="BR97" s="406"/>
      <c r="BS97" s="407">
        <f t="shared" si="225"/>
        <v>8.666666666666667E-2</v>
      </c>
      <c r="BT97" s="404">
        <f>(0.09-0)/2</f>
        <v>4.4999999999999998E-2</v>
      </c>
      <c r="BU97" s="391"/>
      <c r="BV97" s="405">
        <v>-10</v>
      </c>
      <c r="BW97" s="406">
        <f t="shared" si="226"/>
        <v>-0.81</v>
      </c>
      <c r="BX97" s="406"/>
      <c r="BY97" s="407">
        <f t="shared" si="227"/>
        <v>9.0000000000000011E-2</v>
      </c>
      <c r="BZ97" s="404">
        <f>(0.09-0)/2</f>
        <v>4.4999999999999998E-2</v>
      </c>
      <c r="CA97" s="391"/>
      <c r="CB97" s="405">
        <v>-10</v>
      </c>
      <c r="CC97" s="406">
        <f t="shared" si="200"/>
        <v>-1.4</v>
      </c>
      <c r="CD97" s="406">
        <f t="shared" si="233"/>
        <v>-0.7</v>
      </c>
      <c r="CE97" s="407">
        <f t="shared" si="228"/>
        <v>0.5</v>
      </c>
      <c r="CF97" s="404">
        <f>(0.09-0)/2</f>
        <v>4.4999999999999998E-2</v>
      </c>
      <c r="CH97" s="405">
        <v>-10</v>
      </c>
      <c r="CI97" s="406">
        <f t="shared" si="201"/>
        <v>-0.05</v>
      </c>
      <c r="CJ97" s="406">
        <f t="shared" si="201"/>
        <v>-0.18</v>
      </c>
      <c r="CK97" s="407">
        <f t="shared" si="229"/>
        <v>0.13</v>
      </c>
      <c r="CL97" s="404">
        <f>(0.09-0)/2</f>
        <v>4.4999999999999998E-2</v>
      </c>
      <c r="CN97" s="405">
        <v>-10</v>
      </c>
      <c r="CO97" s="406">
        <f t="shared" si="202"/>
        <v>-1.26</v>
      </c>
      <c r="CP97" s="406">
        <f t="shared" si="202"/>
        <v>-0.28000000000000003</v>
      </c>
      <c r="CQ97" s="407">
        <f t="shared" si="230"/>
        <v>0.98</v>
      </c>
      <c r="CR97" s="404">
        <f>(0.09-0)/2</f>
        <v>4.4999999999999998E-2</v>
      </c>
    </row>
    <row r="98" spans="2:96">
      <c r="B98" s="405">
        <v>9.9999999999999995E-7</v>
      </c>
      <c r="C98" s="406">
        <v>-0.22</v>
      </c>
      <c r="D98" s="406">
        <f t="shared" si="203"/>
        <v>-0.33</v>
      </c>
      <c r="E98" s="407">
        <f t="shared" si="204"/>
        <v>0.11000000000000001</v>
      </c>
      <c r="F98" s="408">
        <f>(-0.59+1.12)/2</f>
        <v>0.26500000000000007</v>
      </c>
      <c r="G98" s="409"/>
      <c r="H98" s="405">
        <v>9.9999999999999995E-7</v>
      </c>
      <c r="I98" s="406">
        <v>-0.28000000000000003</v>
      </c>
      <c r="J98" s="406">
        <f t="shared" si="205"/>
        <v>-0.22</v>
      </c>
      <c r="K98" s="407">
        <f t="shared" si="231"/>
        <v>6.0000000000000026E-2</v>
      </c>
      <c r="L98" s="408">
        <f t="shared" si="232"/>
        <v>5.5E-2</v>
      </c>
      <c r="M98" s="409"/>
      <c r="N98" s="405">
        <v>9.9999999999999995E-7</v>
      </c>
      <c r="O98" s="406">
        <v>-0.36</v>
      </c>
      <c r="P98" s="406">
        <f t="shared" si="206"/>
        <v>-0.16</v>
      </c>
      <c r="Q98" s="407">
        <f t="shared" si="207"/>
        <v>0.19999999999999998</v>
      </c>
      <c r="R98" s="404">
        <f>(0.12-0)/2</f>
        <v>0.06</v>
      </c>
      <c r="S98" s="391"/>
      <c r="T98" s="405">
        <v>9.9999999999999995E-7</v>
      </c>
      <c r="U98" s="406">
        <f t="shared" si="208"/>
        <v>-0.28000000000000003</v>
      </c>
      <c r="V98" s="406"/>
      <c r="W98" s="407">
        <f t="shared" si="209"/>
        <v>8.3333333333333329E-2</v>
      </c>
      <c r="X98" s="404">
        <f>(0.12-0)/2</f>
        <v>0.06</v>
      </c>
      <c r="Y98" s="391"/>
      <c r="Z98" s="405">
        <v>9.9999999999999995E-7</v>
      </c>
      <c r="AA98" s="406">
        <f t="shared" si="210"/>
        <v>0.18</v>
      </c>
      <c r="AB98" s="406">
        <v>0.01</v>
      </c>
      <c r="AC98" s="407">
        <f t="shared" si="211"/>
        <v>0.16999999999999998</v>
      </c>
      <c r="AD98" s="404">
        <f>(0.12-0)/2</f>
        <v>0.06</v>
      </c>
      <c r="AE98" s="391"/>
      <c r="AF98" s="405">
        <v>9.9999999999999995E-7</v>
      </c>
      <c r="AG98" s="406">
        <f t="shared" si="212"/>
        <v>0.21</v>
      </c>
      <c r="AH98" s="406">
        <v>0.28999999999999998</v>
      </c>
      <c r="AI98" s="407">
        <f t="shared" si="213"/>
        <v>7.9999999999999988E-2</v>
      </c>
      <c r="AJ98" s="404">
        <f>(0.12-0)/2</f>
        <v>0.06</v>
      </c>
      <c r="AK98" s="391"/>
      <c r="AL98" s="405">
        <v>9.9999999999999995E-7</v>
      </c>
      <c r="AM98" s="406">
        <f t="shared" si="214"/>
        <v>0.44</v>
      </c>
      <c r="AN98" s="406"/>
      <c r="AO98" s="407">
        <f t="shared" si="215"/>
        <v>8.3333333333333329E-2</v>
      </c>
      <c r="AP98" s="404">
        <f>(0.12-0)/2</f>
        <v>0.06</v>
      </c>
      <c r="AQ98" s="391"/>
      <c r="AR98" s="405">
        <v>9.9999999999999995E-7</v>
      </c>
      <c r="AS98" s="406">
        <f t="shared" si="216"/>
        <v>0.39</v>
      </c>
      <c r="AT98" s="406"/>
      <c r="AU98" s="407">
        <f t="shared" si="217"/>
        <v>8.3333333333333329E-2</v>
      </c>
      <c r="AV98" s="404">
        <f>(0.12-0)/2</f>
        <v>0.06</v>
      </c>
      <c r="AW98" s="391"/>
      <c r="AX98" s="405">
        <v>9.9999999999999995E-7</v>
      </c>
      <c r="AY98" s="406">
        <f t="shared" si="218"/>
        <v>0.5</v>
      </c>
      <c r="AZ98" s="406"/>
      <c r="BA98" s="407">
        <f t="shared" si="219"/>
        <v>0.26333333333333336</v>
      </c>
      <c r="BB98" s="404">
        <f>(0.12-0)/2</f>
        <v>0.06</v>
      </c>
      <c r="BC98" s="391"/>
      <c r="BD98" s="405">
        <v>9.9999999999999995E-7</v>
      </c>
      <c r="BE98" s="406">
        <f t="shared" si="220"/>
        <v>-0.25</v>
      </c>
      <c r="BF98" s="406"/>
      <c r="BG98" s="407">
        <f t="shared" si="221"/>
        <v>9.0000000000000011E-2</v>
      </c>
      <c r="BH98" s="404">
        <f>(0.12-0)/2</f>
        <v>0.06</v>
      </c>
      <c r="BI98" s="391"/>
      <c r="BJ98" s="405">
        <v>9.9999999999999995E-7</v>
      </c>
      <c r="BK98" s="406">
        <f t="shared" si="222"/>
        <v>0.5</v>
      </c>
      <c r="BL98" s="406"/>
      <c r="BM98" s="407">
        <f t="shared" si="223"/>
        <v>0.26333333333333336</v>
      </c>
      <c r="BN98" s="404">
        <f>(0.12-0)/2</f>
        <v>0.06</v>
      </c>
      <c r="BO98" s="391"/>
      <c r="BP98" s="405">
        <v>9.9999999999999995E-7</v>
      </c>
      <c r="BQ98" s="406">
        <f t="shared" si="224"/>
        <v>-0.57999999999999996</v>
      </c>
      <c r="BR98" s="406"/>
      <c r="BS98" s="407">
        <f t="shared" si="225"/>
        <v>8.666666666666667E-2</v>
      </c>
      <c r="BT98" s="404">
        <f>(0.12-0)/2</f>
        <v>0.06</v>
      </c>
      <c r="BU98" s="391"/>
      <c r="BV98" s="405">
        <v>9.9999999999999995E-7</v>
      </c>
      <c r="BW98" s="406">
        <f t="shared" si="226"/>
        <v>-0.46</v>
      </c>
      <c r="BX98" s="406"/>
      <c r="BY98" s="407">
        <f t="shared" si="227"/>
        <v>9.0000000000000011E-2</v>
      </c>
      <c r="BZ98" s="404">
        <f>(0.12-0)/2</f>
        <v>0.06</v>
      </c>
      <c r="CA98" s="391"/>
      <c r="CB98" s="405">
        <v>9.9999999999999995E-7</v>
      </c>
      <c r="CC98" s="406">
        <f t="shared" si="200"/>
        <v>0</v>
      </c>
      <c r="CD98" s="406">
        <f t="shared" si="233"/>
        <v>-0.7</v>
      </c>
      <c r="CE98" s="407">
        <f t="shared" si="228"/>
        <v>0.7</v>
      </c>
      <c r="CF98" s="404">
        <f>(0.12-0)/2</f>
        <v>0.06</v>
      </c>
      <c r="CH98" s="405">
        <v>9.9999999999999995E-7</v>
      </c>
      <c r="CI98" s="406">
        <f t="shared" si="201"/>
        <v>0.03</v>
      </c>
      <c r="CJ98" s="406">
        <f t="shared" si="201"/>
        <v>-0.06</v>
      </c>
      <c r="CK98" s="407">
        <f t="shared" si="229"/>
        <v>0.09</v>
      </c>
      <c r="CL98" s="404">
        <f>(0.12-0)/2</f>
        <v>0.06</v>
      </c>
      <c r="CN98" s="405">
        <v>9.9999999999999995E-7</v>
      </c>
      <c r="CO98" s="406">
        <f t="shared" si="202"/>
        <v>-0.79</v>
      </c>
      <c r="CP98" s="406">
        <f t="shared" si="202"/>
        <v>-0.08</v>
      </c>
      <c r="CQ98" s="407">
        <f t="shared" si="230"/>
        <v>0.71000000000000008</v>
      </c>
      <c r="CR98" s="404">
        <f>(0.12-0)/2</f>
        <v>0.06</v>
      </c>
    </row>
    <row r="99" spans="2:96">
      <c r="B99" s="405">
        <v>2</v>
      </c>
      <c r="C99" s="406">
        <v>-0.21</v>
      </c>
      <c r="D99" s="406">
        <f t="shared" si="203"/>
        <v>-0.3</v>
      </c>
      <c r="E99" s="407">
        <f t="shared" si="204"/>
        <v>0.09</v>
      </c>
      <c r="F99" s="408">
        <f>(-0.56+1.04)/2</f>
        <v>0.24</v>
      </c>
      <c r="G99" s="409"/>
      <c r="H99" s="405">
        <v>2</v>
      </c>
      <c r="I99" s="406">
        <v>-0.24</v>
      </c>
      <c r="J99" s="406">
        <f t="shared" si="205"/>
        <v>-0.19</v>
      </c>
      <c r="K99" s="407">
        <f t="shared" si="231"/>
        <v>4.9999999999999989E-2</v>
      </c>
      <c r="L99" s="408">
        <f t="shared" si="232"/>
        <v>5.5E-2</v>
      </c>
      <c r="M99" s="409"/>
      <c r="N99" s="405">
        <v>2</v>
      </c>
      <c r="O99" s="406">
        <v>-0.33</v>
      </c>
      <c r="P99" s="406">
        <f t="shared" si="206"/>
        <v>-0.15</v>
      </c>
      <c r="Q99" s="407">
        <f t="shared" si="207"/>
        <v>0.18000000000000002</v>
      </c>
      <c r="R99" s="404">
        <f>(0.12-0)/2</f>
        <v>0.06</v>
      </c>
      <c r="S99" s="391"/>
      <c r="T99" s="405">
        <v>2</v>
      </c>
      <c r="U99" s="406">
        <f t="shared" si="208"/>
        <v>-0.49</v>
      </c>
      <c r="V99" s="406"/>
      <c r="W99" s="407">
        <f t="shared" si="209"/>
        <v>8.3333333333333329E-2</v>
      </c>
      <c r="X99" s="404">
        <f>(0.12-0)/2</f>
        <v>0.06</v>
      </c>
      <c r="Y99" s="391"/>
      <c r="Z99" s="405">
        <v>2</v>
      </c>
      <c r="AA99" s="406">
        <f t="shared" si="210"/>
        <v>0.23</v>
      </c>
      <c r="AB99" s="406">
        <v>0.05</v>
      </c>
      <c r="AC99" s="407">
        <f t="shared" si="211"/>
        <v>0.18</v>
      </c>
      <c r="AD99" s="404">
        <f>(0.12-0)/2</f>
        <v>0.06</v>
      </c>
      <c r="AE99" s="391"/>
      <c r="AF99" s="405">
        <v>2</v>
      </c>
      <c r="AG99" s="406">
        <f t="shared" si="212"/>
        <v>0.23</v>
      </c>
      <c r="AH99" s="406">
        <v>0.33</v>
      </c>
      <c r="AI99" s="407">
        <f t="shared" si="213"/>
        <v>0.1</v>
      </c>
      <c r="AJ99" s="404">
        <f>(0.12-0)/2</f>
        <v>0.06</v>
      </c>
      <c r="AK99" s="391"/>
      <c r="AL99" s="405">
        <v>2</v>
      </c>
      <c r="AM99" s="406">
        <f t="shared" si="214"/>
        <v>0.46</v>
      </c>
      <c r="AN99" s="406"/>
      <c r="AO99" s="407">
        <f t="shared" si="215"/>
        <v>8.3333333333333329E-2</v>
      </c>
      <c r="AP99" s="404">
        <f>(0.12-0)/2</f>
        <v>0.06</v>
      </c>
      <c r="AQ99" s="391"/>
      <c r="AR99" s="405">
        <v>2</v>
      </c>
      <c r="AS99" s="406">
        <f t="shared" si="216"/>
        <v>0.4</v>
      </c>
      <c r="AT99" s="406"/>
      <c r="AU99" s="407">
        <f t="shared" si="217"/>
        <v>8.3333333333333329E-2</v>
      </c>
      <c r="AV99" s="404">
        <f>(0.12-0)/2</f>
        <v>0.06</v>
      </c>
      <c r="AW99" s="391"/>
      <c r="AX99" s="405">
        <v>2</v>
      </c>
      <c r="AY99" s="406">
        <f t="shared" si="218"/>
        <v>0.5</v>
      </c>
      <c r="AZ99" s="406"/>
      <c r="BA99" s="407">
        <f t="shared" si="219"/>
        <v>0.26333333333333336</v>
      </c>
      <c r="BB99" s="404">
        <f>(0.12-0)/2</f>
        <v>0.06</v>
      </c>
      <c r="BC99" s="391"/>
      <c r="BD99" s="405">
        <v>2</v>
      </c>
      <c r="BE99" s="406">
        <f t="shared" si="220"/>
        <v>-0.28000000000000003</v>
      </c>
      <c r="BF99" s="406"/>
      <c r="BG99" s="407">
        <f t="shared" si="221"/>
        <v>9.0000000000000011E-2</v>
      </c>
      <c r="BH99" s="404">
        <f>(0.12-0)/2</f>
        <v>0.06</v>
      </c>
      <c r="BI99" s="391"/>
      <c r="BJ99" s="405">
        <v>2</v>
      </c>
      <c r="BK99" s="406">
        <f t="shared" si="222"/>
        <v>0.5</v>
      </c>
      <c r="BL99" s="406"/>
      <c r="BM99" s="407">
        <f t="shared" si="223"/>
        <v>0.26333333333333336</v>
      </c>
      <c r="BN99" s="404">
        <f>(0.12-0)/2</f>
        <v>0.06</v>
      </c>
      <c r="BO99" s="391"/>
      <c r="BP99" s="405">
        <v>2</v>
      </c>
      <c r="BQ99" s="406">
        <f t="shared" si="224"/>
        <v>-0.54</v>
      </c>
      <c r="BR99" s="406"/>
      <c r="BS99" s="407">
        <f t="shared" si="225"/>
        <v>8.666666666666667E-2</v>
      </c>
      <c r="BT99" s="404">
        <f>(0.12-0)/2</f>
        <v>0.06</v>
      </c>
      <c r="BU99" s="391"/>
      <c r="BV99" s="405">
        <v>2</v>
      </c>
      <c r="BW99" s="406">
        <f t="shared" si="226"/>
        <v>-0.56000000000000005</v>
      </c>
      <c r="BX99" s="406"/>
      <c r="BY99" s="407">
        <f t="shared" si="227"/>
        <v>9.0000000000000011E-2</v>
      </c>
      <c r="BZ99" s="404">
        <f>(0.12-0)/2</f>
        <v>0.06</v>
      </c>
      <c r="CA99" s="391"/>
      <c r="CB99" s="405">
        <v>2</v>
      </c>
      <c r="CC99" s="406">
        <f t="shared" si="200"/>
        <v>0</v>
      </c>
      <c r="CD99" s="406">
        <f t="shared" si="233"/>
        <v>-0.7</v>
      </c>
      <c r="CE99" s="407">
        <f t="shared" si="228"/>
        <v>0.19999999999999998</v>
      </c>
      <c r="CF99" s="404">
        <f>(0.12-0)/2</f>
        <v>0.06</v>
      </c>
      <c r="CH99" s="405">
        <v>2</v>
      </c>
      <c r="CI99" s="406">
        <f t="shared" si="201"/>
        <v>0.04</v>
      </c>
      <c r="CJ99" s="406">
        <f t="shared" si="201"/>
        <v>-0.04</v>
      </c>
      <c r="CK99" s="407">
        <f t="shared" si="229"/>
        <v>0.08</v>
      </c>
      <c r="CL99" s="404">
        <f>(0.12-0)/2</f>
        <v>0.06</v>
      </c>
      <c r="CN99" s="405">
        <v>2</v>
      </c>
      <c r="CO99" s="406">
        <f t="shared" si="202"/>
        <v>-0.7</v>
      </c>
      <c r="CP99" s="406">
        <f t="shared" si="202"/>
        <v>-0.05</v>
      </c>
      <c r="CQ99" s="407">
        <f t="shared" si="230"/>
        <v>0.64999999999999991</v>
      </c>
      <c r="CR99" s="404">
        <f>(0.12-0)/2</f>
        <v>0.06</v>
      </c>
    </row>
    <row r="100" spans="2:96">
      <c r="B100" s="405">
        <v>8</v>
      </c>
      <c r="C100" s="406">
        <v>-0.16</v>
      </c>
      <c r="D100" s="406">
        <f t="shared" si="203"/>
        <v>-0.23</v>
      </c>
      <c r="E100" s="407">
        <f t="shared" si="204"/>
        <v>7.0000000000000007E-2</v>
      </c>
      <c r="F100" s="408">
        <f>(-0.49+0.81)/2</f>
        <v>0.16000000000000003</v>
      </c>
      <c r="G100" s="409"/>
      <c r="H100" s="405">
        <v>8</v>
      </c>
      <c r="I100" s="406">
        <v>-0.14000000000000001</v>
      </c>
      <c r="J100" s="406">
        <f t="shared" si="205"/>
        <v>-0.12</v>
      </c>
      <c r="K100" s="407">
        <f t="shared" si="231"/>
        <v>2.0000000000000018E-2</v>
      </c>
      <c r="L100" s="408">
        <f t="shared" si="232"/>
        <v>5.5E-2</v>
      </c>
      <c r="M100" s="409"/>
      <c r="N100" s="405">
        <v>8</v>
      </c>
      <c r="O100" s="406">
        <v>-0.21</v>
      </c>
      <c r="P100" s="406">
        <f t="shared" si="206"/>
        <v>-0.11</v>
      </c>
      <c r="Q100" s="407">
        <f t="shared" si="207"/>
        <v>9.9999999999999992E-2</v>
      </c>
      <c r="R100" s="404">
        <f>(0.14-0)/2</f>
        <v>7.0000000000000007E-2</v>
      </c>
      <c r="S100" s="391"/>
      <c r="T100" s="405">
        <v>8</v>
      </c>
      <c r="U100" s="406">
        <f t="shared" si="208"/>
        <v>-0.26</v>
      </c>
      <c r="V100" s="406"/>
      <c r="W100" s="407">
        <f t="shared" si="209"/>
        <v>8.3333333333333329E-2</v>
      </c>
      <c r="X100" s="404">
        <f>(0.14-0)/2</f>
        <v>7.0000000000000007E-2</v>
      </c>
      <c r="Y100" s="391"/>
      <c r="Z100" s="405">
        <v>8</v>
      </c>
      <c r="AA100" s="406">
        <f t="shared" si="210"/>
        <v>0.22</v>
      </c>
      <c r="AB100" s="406">
        <v>0.18</v>
      </c>
      <c r="AC100" s="407">
        <f t="shared" si="211"/>
        <v>4.0000000000000008E-2</v>
      </c>
      <c r="AD100" s="404">
        <f>(0.14-0)/2</f>
        <v>7.0000000000000007E-2</v>
      </c>
      <c r="AE100" s="391"/>
      <c r="AF100" s="405">
        <v>8</v>
      </c>
      <c r="AG100" s="406">
        <f t="shared" si="212"/>
        <v>0.22</v>
      </c>
      <c r="AH100" s="406">
        <v>0.41</v>
      </c>
      <c r="AI100" s="407">
        <f t="shared" si="213"/>
        <v>0.18999999999999997</v>
      </c>
      <c r="AJ100" s="404">
        <f>(0.14-0)/2</f>
        <v>7.0000000000000007E-2</v>
      </c>
      <c r="AK100" s="391"/>
      <c r="AL100" s="405">
        <v>8</v>
      </c>
      <c r="AM100" s="406">
        <f t="shared" si="214"/>
        <v>0.46</v>
      </c>
      <c r="AN100" s="406"/>
      <c r="AO100" s="407">
        <f t="shared" si="215"/>
        <v>8.3333333333333329E-2</v>
      </c>
      <c r="AP100" s="404">
        <f>(0.14-0)/2</f>
        <v>7.0000000000000007E-2</v>
      </c>
      <c r="AQ100" s="391"/>
      <c r="AR100" s="405">
        <v>8</v>
      </c>
      <c r="AS100" s="406">
        <f t="shared" si="216"/>
        <v>0.38</v>
      </c>
      <c r="AT100" s="406"/>
      <c r="AU100" s="407">
        <f t="shared" si="217"/>
        <v>8.3333333333333329E-2</v>
      </c>
      <c r="AV100" s="404">
        <f>(0.14-0)/2</f>
        <v>7.0000000000000007E-2</v>
      </c>
      <c r="AW100" s="391"/>
      <c r="AX100" s="405">
        <v>8</v>
      </c>
      <c r="AY100" s="406">
        <f t="shared" si="218"/>
        <v>0.48</v>
      </c>
      <c r="AZ100" s="406"/>
      <c r="BA100" s="407">
        <f t="shared" si="219"/>
        <v>0.26333333333333336</v>
      </c>
      <c r="BB100" s="404">
        <f>(0.14-0)/2</f>
        <v>7.0000000000000007E-2</v>
      </c>
      <c r="BC100" s="391"/>
      <c r="BD100" s="405">
        <v>8</v>
      </c>
      <c r="BE100" s="406">
        <f t="shared" si="220"/>
        <v>-0.04</v>
      </c>
      <c r="BF100" s="406"/>
      <c r="BG100" s="407">
        <f t="shared" si="221"/>
        <v>9.0000000000000011E-2</v>
      </c>
      <c r="BH100" s="404">
        <f>(0.14-0)/2</f>
        <v>7.0000000000000007E-2</v>
      </c>
      <c r="BI100" s="391"/>
      <c r="BJ100" s="405">
        <v>8</v>
      </c>
      <c r="BK100" s="406">
        <f t="shared" si="222"/>
        <v>0.48</v>
      </c>
      <c r="BL100" s="406"/>
      <c r="BM100" s="407">
        <f t="shared" si="223"/>
        <v>0.26333333333333336</v>
      </c>
      <c r="BN100" s="404">
        <f>(0.14-0)/2</f>
        <v>7.0000000000000007E-2</v>
      </c>
      <c r="BO100" s="391"/>
      <c r="BP100" s="405">
        <v>8</v>
      </c>
      <c r="BQ100" s="406">
        <f t="shared" si="224"/>
        <v>-0.3</v>
      </c>
      <c r="BR100" s="406"/>
      <c r="BS100" s="407">
        <f t="shared" si="225"/>
        <v>8.666666666666667E-2</v>
      </c>
      <c r="BT100" s="404">
        <f>(0.14-0)/2</f>
        <v>7.0000000000000007E-2</v>
      </c>
      <c r="BU100" s="391"/>
      <c r="BV100" s="405">
        <v>8</v>
      </c>
      <c r="BW100" s="406">
        <f t="shared" si="226"/>
        <v>-0.28999999999999998</v>
      </c>
      <c r="BX100" s="406"/>
      <c r="BY100" s="407">
        <f t="shared" si="227"/>
        <v>9.0000000000000011E-2</v>
      </c>
      <c r="BZ100" s="404">
        <f>(0.14-0)/2</f>
        <v>7.0000000000000007E-2</v>
      </c>
      <c r="CA100" s="391"/>
      <c r="CB100" s="405">
        <v>8</v>
      </c>
      <c r="CC100" s="406">
        <f t="shared" si="200"/>
        <v>0</v>
      </c>
      <c r="CD100" s="406">
        <f t="shared" si="233"/>
        <v>-0.7</v>
      </c>
      <c r="CE100" s="407">
        <f t="shared" si="228"/>
        <v>0.19999999999999998</v>
      </c>
      <c r="CF100" s="404">
        <f>(0.14-0)/2</f>
        <v>7.0000000000000007E-2</v>
      </c>
      <c r="CH100" s="405">
        <v>8</v>
      </c>
      <c r="CI100" s="406">
        <f t="shared" si="201"/>
        <v>0.08</v>
      </c>
      <c r="CJ100" s="406">
        <f t="shared" si="201"/>
        <v>0.01</v>
      </c>
      <c r="CK100" s="407">
        <f t="shared" si="229"/>
        <v>7.0000000000000007E-2</v>
      </c>
      <c r="CL100" s="404">
        <f>(0.14-0)/2</f>
        <v>7.0000000000000007E-2</v>
      </c>
      <c r="CN100" s="405">
        <v>8</v>
      </c>
      <c r="CO100" s="406">
        <f t="shared" si="202"/>
        <v>-0.46</v>
      </c>
      <c r="CP100" s="406">
        <f t="shared" si="202"/>
        <v>0.06</v>
      </c>
      <c r="CQ100" s="407">
        <f t="shared" si="230"/>
        <v>0.52</v>
      </c>
      <c r="CR100" s="404">
        <f>(0.14-0)/2</f>
        <v>7.0000000000000007E-2</v>
      </c>
    </row>
    <row r="101" spans="2:96">
      <c r="B101" s="405">
        <v>37</v>
      </c>
      <c r="C101" s="406">
        <v>0.01</v>
      </c>
      <c r="D101" s="406">
        <f t="shared" si="203"/>
        <v>0.15</v>
      </c>
      <c r="E101" s="407">
        <f t="shared" si="204"/>
        <v>0.13999999999999999</v>
      </c>
      <c r="F101" s="408">
        <f>(0.09+0.26)/2</f>
        <v>0.17499999999999999</v>
      </c>
      <c r="G101" s="409"/>
      <c r="H101" s="405">
        <v>37</v>
      </c>
      <c r="I101" s="406">
        <v>0.16</v>
      </c>
      <c r="J101" s="406">
        <f t="shared" si="205"/>
        <v>0.2</v>
      </c>
      <c r="K101" s="407">
        <f t="shared" si="231"/>
        <v>4.0000000000000008E-2</v>
      </c>
      <c r="L101" s="408">
        <f t="shared" si="232"/>
        <v>5.5E-2</v>
      </c>
      <c r="M101" s="409"/>
      <c r="N101" s="405">
        <v>37</v>
      </c>
      <c r="O101" s="406">
        <v>-0.09</v>
      </c>
      <c r="P101" s="406">
        <f t="shared" si="206"/>
        <v>-0.04</v>
      </c>
      <c r="Q101" s="407">
        <f t="shared" si="207"/>
        <v>4.9999999999999996E-2</v>
      </c>
      <c r="R101" s="404">
        <f>(0.19-0)/2</f>
        <v>9.5000000000000001E-2</v>
      </c>
      <c r="S101" s="391"/>
      <c r="T101" s="405">
        <v>37</v>
      </c>
      <c r="U101" s="406">
        <f t="shared" si="208"/>
        <v>0.55000000000000004</v>
      </c>
      <c r="V101" s="406"/>
      <c r="W101" s="407">
        <f t="shared" si="209"/>
        <v>8.3333333333333329E-2</v>
      </c>
      <c r="X101" s="404">
        <f>(0.19-0)/2</f>
        <v>9.5000000000000001E-2</v>
      </c>
      <c r="Y101" s="391"/>
      <c r="Z101" s="405">
        <v>37</v>
      </c>
      <c r="AA101" s="406">
        <f t="shared" si="210"/>
        <v>0.19</v>
      </c>
      <c r="AB101" s="406">
        <v>0.59</v>
      </c>
      <c r="AC101" s="407">
        <f t="shared" si="211"/>
        <v>0.39999999999999997</v>
      </c>
      <c r="AD101" s="404">
        <f>(0.19-0)/2</f>
        <v>9.5000000000000001E-2</v>
      </c>
      <c r="AE101" s="391"/>
      <c r="AF101" s="405">
        <v>37</v>
      </c>
      <c r="AG101" s="406">
        <f t="shared" si="212"/>
        <v>0.21</v>
      </c>
      <c r="AH101" s="406">
        <v>0.67</v>
      </c>
      <c r="AI101" s="407">
        <f t="shared" si="213"/>
        <v>0.46000000000000008</v>
      </c>
      <c r="AJ101" s="404">
        <f>(0.19-0)/2</f>
        <v>9.5000000000000001E-2</v>
      </c>
      <c r="AK101" s="391"/>
      <c r="AL101" s="405">
        <v>37</v>
      </c>
      <c r="AM101" s="406">
        <f t="shared" si="214"/>
        <v>0.46</v>
      </c>
      <c r="AN101" s="406"/>
      <c r="AO101" s="407">
        <f t="shared" si="215"/>
        <v>8.3333333333333329E-2</v>
      </c>
      <c r="AP101" s="404">
        <f>(0.19-0)/2</f>
        <v>9.5000000000000001E-2</v>
      </c>
      <c r="AQ101" s="391"/>
      <c r="AR101" s="405">
        <v>37</v>
      </c>
      <c r="AS101" s="406">
        <f t="shared" si="216"/>
        <v>0.33</v>
      </c>
      <c r="AT101" s="406"/>
      <c r="AU101" s="407">
        <f t="shared" si="217"/>
        <v>8.3333333333333329E-2</v>
      </c>
      <c r="AV101" s="404">
        <f>(0.19-0)/2</f>
        <v>9.5000000000000001E-2</v>
      </c>
      <c r="AW101" s="391"/>
      <c r="AX101" s="405">
        <v>37</v>
      </c>
      <c r="AY101" s="406">
        <f t="shared" si="218"/>
        <v>0.41</v>
      </c>
      <c r="AZ101" s="406"/>
      <c r="BA101" s="407">
        <f t="shared" si="219"/>
        <v>0.26333333333333336</v>
      </c>
      <c r="BB101" s="404">
        <f>(0.19-0)/2</f>
        <v>9.5000000000000001E-2</v>
      </c>
      <c r="BC101" s="391"/>
      <c r="BD101" s="405">
        <v>37</v>
      </c>
      <c r="BE101" s="406">
        <f t="shared" si="220"/>
        <v>0.7</v>
      </c>
      <c r="BF101" s="406"/>
      <c r="BG101" s="407">
        <f t="shared" si="221"/>
        <v>9.0000000000000011E-2</v>
      </c>
      <c r="BH101" s="404">
        <f>(0.19-0)/2</f>
        <v>9.5000000000000001E-2</v>
      </c>
      <c r="BI101" s="391"/>
      <c r="BJ101" s="405">
        <v>37</v>
      </c>
      <c r="BK101" s="406">
        <f t="shared" si="222"/>
        <v>0.41</v>
      </c>
      <c r="BL101" s="406"/>
      <c r="BM101" s="407">
        <f t="shared" si="223"/>
        <v>0.26333333333333336</v>
      </c>
      <c r="BN101" s="404">
        <f>(0.19-0)/2</f>
        <v>9.5000000000000001E-2</v>
      </c>
      <c r="BO101" s="391"/>
      <c r="BP101" s="405">
        <v>37</v>
      </c>
      <c r="BQ101" s="406">
        <f t="shared" si="224"/>
        <v>0.5</v>
      </c>
      <c r="BR101" s="406"/>
      <c r="BS101" s="407">
        <f t="shared" si="225"/>
        <v>8.666666666666667E-2</v>
      </c>
      <c r="BT101" s="404">
        <f>(0.19-0)/2</f>
        <v>9.5000000000000001E-2</v>
      </c>
      <c r="BU101" s="391"/>
      <c r="BV101" s="405">
        <v>37</v>
      </c>
      <c r="BW101" s="406">
        <f t="shared" si="226"/>
        <v>0.6</v>
      </c>
      <c r="BX101" s="406"/>
      <c r="BY101" s="407">
        <f t="shared" si="227"/>
        <v>9.0000000000000011E-2</v>
      </c>
      <c r="BZ101" s="404">
        <f>(0.19-0)/2</f>
        <v>9.5000000000000001E-2</v>
      </c>
      <c r="CA101" s="391"/>
      <c r="CB101" s="405">
        <v>37</v>
      </c>
      <c r="CC101" s="406">
        <f t="shared" si="200"/>
        <v>0</v>
      </c>
      <c r="CD101" s="406">
        <f t="shared" si="233"/>
        <v>-0.6</v>
      </c>
      <c r="CE101" s="407">
        <f t="shared" si="228"/>
        <v>0.19999999999999998</v>
      </c>
      <c r="CF101" s="404">
        <f>(0.19-0)/2</f>
        <v>9.5000000000000001E-2</v>
      </c>
      <c r="CH101" s="405">
        <v>37</v>
      </c>
      <c r="CI101" s="406">
        <f t="shared" si="201"/>
        <v>0.23</v>
      </c>
      <c r="CJ101" s="406">
        <f t="shared" si="201"/>
        <v>0.19</v>
      </c>
      <c r="CK101" s="407">
        <f t="shared" si="229"/>
        <v>4.0000000000000008E-2</v>
      </c>
      <c r="CL101" s="404">
        <f>(0.19-0)/2</f>
        <v>9.5000000000000001E-2</v>
      </c>
      <c r="CN101" s="405">
        <v>37</v>
      </c>
      <c r="CO101" s="406">
        <f t="shared" si="202"/>
        <v>0.42</v>
      </c>
      <c r="CP101" s="406">
        <f t="shared" si="202"/>
        <v>0.45</v>
      </c>
      <c r="CQ101" s="407">
        <f t="shared" si="230"/>
        <v>3.0000000000000027E-2</v>
      </c>
      <c r="CR101" s="404">
        <f>(0.19-0)/2</f>
        <v>9.5000000000000001E-2</v>
      </c>
    </row>
    <row r="102" spans="2:96">
      <c r="B102" s="405">
        <v>44</v>
      </c>
      <c r="C102" s="406">
        <v>0.04</v>
      </c>
      <c r="D102" s="406">
        <f t="shared" si="203"/>
        <v>0.24</v>
      </c>
      <c r="E102" s="407">
        <f t="shared" si="204"/>
        <v>0.19999999999999998</v>
      </c>
      <c r="F102" s="408">
        <f>(0.26+0.23)/2</f>
        <v>0.245</v>
      </c>
      <c r="G102" s="409"/>
      <c r="H102" s="405">
        <v>44</v>
      </c>
      <c r="I102" s="406">
        <v>0.19</v>
      </c>
      <c r="J102" s="406">
        <f t="shared" si="205"/>
        <v>0.26</v>
      </c>
      <c r="K102" s="407">
        <f t="shared" si="231"/>
        <v>7.0000000000000007E-2</v>
      </c>
      <c r="L102" s="408">
        <f>(0+0.1)/2</f>
        <v>0.05</v>
      </c>
      <c r="M102" s="409"/>
      <c r="N102" s="405">
        <v>44</v>
      </c>
      <c r="O102" s="406">
        <v>-0.11</v>
      </c>
      <c r="P102" s="406">
        <f t="shared" si="206"/>
        <v>-0.04</v>
      </c>
      <c r="Q102" s="407">
        <f t="shared" si="207"/>
        <v>7.0000000000000007E-2</v>
      </c>
      <c r="R102" s="404">
        <f>(0.13-0)/2</f>
        <v>6.5000000000000002E-2</v>
      </c>
      <c r="S102" s="391"/>
      <c r="T102" s="405">
        <v>44</v>
      </c>
      <c r="U102" s="406">
        <f t="shared" si="208"/>
        <v>0.67</v>
      </c>
      <c r="V102" s="406"/>
      <c r="W102" s="407">
        <f t="shared" si="209"/>
        <v>8.3333333333333329E-2</v>
      </c>
      <c r="X102" s="404">
        <f>(0.13-0)/2</f>
        <v>6.5000000000000002E-2</v>
      </c>
      <c r="Y102" s="391"/>
      <c r="Z102" s="405">
        <v>44</v>
      </c>
      <c r="AA102" s="406">
        <f t="shared" si="210"/>
        <v>0.2</v>
      </c>
      <c r="AB102" s="406">
        <v>0.66</v>
      </c>
      <c r="AC102" s="407">
        <f t="shared" si="211"/>
        <v>0.46</v>
      </c>
      <c r="AD102" s="404">
        <f>(0.13-0)/2</f>
        <v>6.5000000000000002E-2</v>
      </c>
      <c r="AE102" s="391"/>
      <c r="AF102" s="405">
        <v>44</v>
      </c>
      <c r="AG102" s="406">
        <f t="shared" si="212"/>
        <v>0.21</v>
      </c>
      <c r="AH102" s="406">
        <v>0.7</v>
      </c>
      <c r="AI102" s="407">
        <f t="shared" si="213"/>
        <v>0.49</v>
      </c>
      <c r="AJ102" s="404">
        <f>(0.13-0)/2</f>
        <v>6.5000000000000002E-2</v>
      </c>
      <c r="AK102" s="391"/>
      <c r="AL102" s="405">
        <v>44</v>
      </c>
      <c r="AM102" s="406">
        <f t="shared" si="214"/>
        <v>0.47</v>
      </c>
      <c r="AN102" s="406"/>
      <c r="AO102" s="407">
        <f t="shared" si="215"/>
        <v>8.3333333333333329E-2</v>
      </c>
      <c r="AP102" s="404">
        <f>(0.13-0)/2</f>
        <v>6.5000000000000002E-2</v>
      </c>
      <c r="AQ102" s="391"/>
      <c r="AR102" s="405">
        <v>44</v>
      </c>
      <c r="AS102" s="406">
        <f t="shared" si="216"/>
        <v>0.33</v>
      </c>
      <c r="AT102" s="406"/>
      <c r="AU102" s="407">
        <f t="shared" si="217"/>
        <v>8.3333333333333329E-2</v>
      </c>
      <c r="AV102" s="404">
        <f>(0.13-0)/2</f>
        <v>6.5000000000000002E-2</v>
      </c>
      <c r="AW102" s="391"/>
      <c r="AX102" s="405">
        <v>44</v>
      </c>
      <c r="AY102" s="406">
        <f t="shared" si="218"/>
        <v>0.39</v>
      </c>
      <c r="AZ102" s="406"/>
      <c r="BA102" s="407">
        <f t="shared" si="219"/>
        <v>0.26333333333333336</v>
      </c>
      <c r="BB102" s="404">
        <f>(0.13-0)/2</f>
        <v>6.5000000000000002E-2</v>
      </c>
      <c r="BC102" s="391"/>
      <c r="BD102" s="405">
        <v>44</v>
      </c>
      <c r="BE102" s="406">
        <f t="shared" si="220"/>
        <v>0.79</v>
      </c>
      <c r="BF102" s="406"/>
      <c r="BG102" s="407">
        <f t="shared" si="221"/>
        <v>9.0000000000000011E-2</v>
      </c>
      <c r="BH102" s="404">
        <f>(0.13-0)/2</f>
        <v>6.5000000000000002E-2</v>
      </c>
      <c r="BI102" s="391"/>
      <c r="BJ102" s="405">
        <v>44</v>
      </c>
      <c r="BK102" s="406">
        <f t="shared" si="222"/>
        <v>0.39</v>
      </c>
      <c r="BL102" s="406"/>
      <c r="BM102" s="407">
        <f t="shared" si="223"/>
        <v>0.26333333333333336</v>
      </c>
      <c r="BN102" s="404">
        <f>(0.13-0)/2</f>
        <v>6.5000000000000002E-2</v>
      </c>
      <c r="BO102" s="391"/>
      <c r="BP102" s="405">
        <v>44</v>
      </c>
      <c r="BQ102" s="406">
        <f t="shared" si="224"/>
        <v>0.61</v>
      </c>
      <c r="BR102" s="406"/>
      <c r="BS102" s="407">
        <f t="shared" si="225"/>
        <v>8.666666666666667E-2</v>
      </c>
      <c r="BT102" s="404">
        <f>(0.13-0)/2</f>
        <v>6.5000000000000002E-2</v>
      </c>
      <c r="BU102" s="391"/>
      <c r="BV102" s="405">
        <v>44</v>
      </c>
      <c r="BW102" s="406">
        <f t="shared" si="226"/>
        <v>0.72</v>
      </c>
      <c r="BX102" s="406"/>
      <c r="BY102" s="407">
        <f t="shared" si="227"/>
        <v>9.0000000000000011E-2</v>
      </c>
      <c r="BZ102" s="404">
        <f>(0.13-0)/2</f>
        <v>6.5000000000000002E-2</v>
      </c>
      <c r="CA102" s="391"/>
      <c r="CB102" s="405">
        <v>44</v>
      </c>
      <c r="CC102" s="406">
        <f t="shared" si="200"/>
        <v>-1</v>
      </c>
      <c r="CD102" s="406">
        <f t="shared" si="233"/>
        <v>-0.7</v>
      </c>
      <c r="CE102" s="407">
        <f t="shared" si="228"/>
        <v>0.19999999999999998</v>
      </c>
      <c r="CF102" s="404">
        <f>(0.13-0)/2</f>
        <v>6.5000000000000002E-2</v>
      </c>
      <c r="CH102" s="405">
        <v>44</v>
      </c>
      <c r="CI102" s="406">
        <f t="shared" si="201"/>
        <v>0.25</v>
      </c>
      <c r="CJ102" s="406">
        <f t="shared" si="201"/>
        <v>0.21</v>
      </c>
      <c r="CK102" s="407">
        <f t="shared" si="229"/>
        <v>4.0000000000000008E-2</v>
      </c>
      <c r="CL102" s="404">
        <f>(0.13-0)/2</f>
        <v>6.5000000000000002E-2</v>
      </c>
      <c r="CN102" s="405">
        <v>44</v>
      </c>
      <c r="CO102" s="406">
        <f t="shared" si="202"/>
        <v>0.56999999999999995</v>
      </c>
      <c r="CP102" s="406">
        <f t="shared" si="202"/>
        <v>0.52</v>
      </c>
      <c r="CQ102" s="407">
        <f t="shared" si="230"/>
        <v>4.9999999999999933E-2</v>
      </c>
      <c r="CR102" s="404">
        <f>(0.13-0)/2</f>
        <v>6.5000000000000002E-2</v>
      </c>
    </row>
    <row r="103" spans="2:96">
      <c r="B103" s="405">
        <v>50</v>
      </c>
      <c r="C103" s="406">
        <v>7.0000000000000007E-2</v>
      </c>
      <c r="D103" s="406">
        <f t="shared" si="203"/>
        <v>0.31</v>
      </c>
      <c r="E103" s="407">
        <f t="shared" si="204"/>
        <v>0.24</v>
      </c>
      <c r="F103" s="408">
        <f>(0.4+0.21)/2</f>
        <v>0.30499999999999999</v>
      </c>
      <c r="G103" s="409"/>
      <c r="H103" s="405">
        <v>50</v>
      </c>
      <c r="I103" s="406">
        <v>0.21</v>
      </c>
      <c r="J103" s="406">
        <f t="shared" si="205"/>
        <v>0.31</v>
      </c>
      <c r="K103" s="407">
        <f t="shared" si="231"/>
        <v>0.1</v>
      </c>
      <c r="L103" s="408">
        <f>(0+0.08)/2</f>
        <v>0.04</v>
      </c>
      <c r="M103" s="409"/>
      <c r="N103" s="405">
        <v>50</v>
      </c>
      <c r="O103" s="406">
        <v>0.25</v>
      </c>
      <c r="P103" s="406">
        <f t="shared" si="206"/>
        <v>-0.05</v>
      </c>
      <c r="Q103" s="407">
        <f t="shared" si="207"/>
        <v>0.3</v>
      </c>
      <c r="R103" s="404">
        <f>(0.21-0)/2</f>
        <v>0.105</v>
      </c>
      <c r="S103" s="391"/>
      <c r="T103" s="405">
        <v>50</v>
      </c>
      <c r="U103" s="406">
        <f t="shared" si="208"/>
        <v>0.75</v>
      </c>
      <c r="V103" s="406"/>
      <c r="W103" s="407">
        <f t="shared" si="209"/>
        <v>8.3333333333333329E-2</v>
      </c>
      <c r="X103" s="404">
        <f>(0.21-0)/2</f>
        <v>0.105</v>
      </c>
      <c r="Y103" s="391"/>
      <c r="Z103" s="405">
        <v>50</v>
      </c>
      <c r="AA103" s="406">
        <f t="shared" si="210"/>
        <v>0.2</v>
      </c>
      <c r="AB103" s="406">
        <v>0.7</v>
      </c>
      <c r="AC103" s="407">
        <f t="shared" si="211"/>
        <v>0.49999999999999994</v>
      </c>
      <c r="AD103" s="404">
        <f>(0.21-0)/2</f>
        <v>0.105</v>
      </c>
      <c r="AE103" s="391"/>
      <c r="AF103" s="405">
        <v>50</v>
      </c>
      <c r="AG103" s="406">
        <f t="shared" si="212"/>
        <v>0.22</v>
      </c>
      <c r="AH103" s="406">
        <v>0.71</v>
      </c>
      <c r="AI103" s="407">
        <f t="shared" si="213"/>
        <v>0.49</v>
      </c>
      <c r="AJ103" s="404">
        <f>(0.21-0)/2</f>
        <v>0.105</v>
      </c>
      <c r="AK103" s="391"/>
      <c r="AL103" s="405">
        <v>50</v>
      </c>
      <c r="AM103" s="406">
        <f t="shared" si="214"/>
        <v>0.47</v>
      </c>
      <c r="AN103" s="406"/>
      <c r="AO103" s="407">
        <f t="shared" si="215"/>
        <v>8.3333333333333329E-2</v>
      </c>
      <c r="AP103" s="404">
        <f>(0.21-0)/2</f>
        <v>0.105</v>
      </c>
      <c r="AQ103" s="391"/>
      <c r="AR103" s="405">
        <v>50</v>
      </c>
      <c r="AS103" s="406">
        <f t="shared" si="216"/>
        <v>0.33</v>
      </c>
      <c r="AT103" s="406"/>
      <c r="AU103" s="407">
        <f t="shared" si="217"/>
        <v>8.3333333333333329E-2</v>
      </c>
      <c r="AV103" s="404">
        <f>(0.21-0)/2</f>
        <v>0.105</v>
      </c>
      <c r="AW103" s="391"/>
      <c r="AX103" s="405">
        <v>50</v>
      </c>
      <c r="AY103" s="406">
        <f t="shared" si="218"/>
        <v>0.37</v>
      </c>
      <c r="AZ103" s="406"/>
      <c r="BA103" s="407">
        <f t="shared" si="219"/>
        <v>0.26333333333333336</v>
      </c>
      <c r="BB103" s="404">
        <f>(0.21-0)/2</f>
        <v>0.105</v>
      </c>
      <c r="BC103" s="391"/>
      <c r="BD103" s="405">
        <v>50</v>
      </c>
      <c r="BE103" s="406">
        <f t="shared" si="220"/>
        <v>0.84</v>
      </c>
      <c r="BF103" s="406"/>
      <c r="BG103" s="407">
        <f t="shared" si="221"/>
        <v>9.0000000000000011E-2</v>
      </c>
      <c r="BH103" s="404">
        <f>(0.21-0)/2</f>
        <v>0.105</v>
      </c>
      <c r="BI103" s="391"/>
      <c r="BJ103" s="405">
        <v>50</v>
      </c>
      <c r="BK103" s="406">
        <f t="shared" si="222"/>
        <v>0.37</v>
      </c>
      <c r="BL103" s="406"/>
      <c r="BM103" s="407">
        <f t="shared" si="223"/>
        <v>0.26333333333333336</v>
      </c>
      <c r="BN103" s="404">
        <f>(0.21-0)/2</f>
        <v>0.105</v>
      </c>
      <c r="BO103" s="391"/>
      <c r="BP103" s="405">
        <v>50</v>
      </c>
      <c r="BQ103" s="406">
        <f t="shared" si="224"/>
        <v>0.68</v>
      </c>
      <c r="BR103" s="406"/>
      <c r="BS103" s="407">
        <f t="shared" si="225"/>
        <v>8.666666666666667E-2</v>
      </c>
      <c r="BT103" s="404">
        <f>(0.21-0)/2</f>
        <v>0.105</v>
      </c>
      <c r="BU103" s="391"/>
      <c r="BV103" s="405">
        <v>50</v>
      </c>
      <c r="BW103" s="406">
        <f t="shared" si="226"/>
        <v>0.8</v>
      </c>
      <c r="BX103" s="406"/>
      <c r="BY103" s="407">
        <f t="shared" si="227"/>
        <v>9.0000000000000011E-2</v>
      </c>
      <c r="BZ103" s="404">
        <f>(0.21-0)/2</f>
        <v>0.105</v>
      </c>
      <c r="CA103" s="391"/>
      <c r="CB103" s="405">
        <v>50</v>
      </c>
      <c r="CC103" s="406">
        <f t="shared" si="200"/>
        <v>-1.6</v>
      </c>
      <c r="CD103" s="406">
        <f t="shared" si="233"/>
        <v>-0.7</v>
      </c>
      <c r="CE103" s="407">
        <f t="shared" si="228"/>
        <v>0.30000000000000004</v>
      </c>
      <c r="CF103" s="404">
        <f>(0.21-0)/2</f>
        <v>0.105</v>
      </c>
      <c r="CH103" s="405">
        <v>50</v>
      </c>
      <c r="CI103" s="406">
        <f t="shared" si="201"/>
        <v>0.27</v>
      </c>
      <c r="CJ103" s="406">
        <f t="shared" si="201"/>
        <v>0.22</v>
      </c>
      <c r="CK103" s="407">
        <f t="shared" si="229"/>
        <v>5.0000000000000017E-2</v>
      </c>
      <c r="CL103" s="404">
        <f>(0.21-0)/2</f>
        <v>0.105</v>
      </c>
      <c r="CN103" s="405">
        <v>50</v>
      </c>
      <c r="CO103" s="406">
        <f t="shared" si="202"/>
        <v>0.67</v>
      </c>
      <c r="CP103" s="406">
        <f t="shared" si="202"/>
        <v>0.56999999999999995</v>
      </c>
      <c r="CQ103" s="407">
        <f t="shared" si="230"/>
        <v>0.10000000000000009</v>
      </c>
      <c r="CR103" s="404">
        <f>(0.21-0)/2</f>
        <v>0.105</v>
      </c>
    </row>
    <row r="104" spans="2:96">
      <c r="B104" s="405">
        <v>100</v>
      </c>
      <c r="C104" s="406">
        <v>0.2</v>
      </c>
      <c r="D104" s="406">
        <f t="shared" si="203"/>
        <v>0.77</v>
      </c>
      <c r="E104" s="407">
        <f t="shared" si="204"/>
        <v>0.57000000000000006</v>
      </c>
      <c r="F104" s="408">
        <f>(0.95+0.15)/2</f>
        <v>0.54999999999999993</v>
      </c>
      <c r="G104" s="409"/>
      <c r="H104" s="405">
        <v>100</v>
      </c>
      <c r="I104" s="406">
        <v>0.14000000000000001</v>
      </c>
      <c r="J104" s="406">
        <f t="shared" si="205"/>
        <v>0.56999999999999995</v>
      </c>
      <c r="K104" s="407">
        <f t="shared" si="231"/>
        <v>0.42999999999999994</v>
      </c>
      <c r="L104" s="408">
        <f>(0.01-0)/2</f>
        <v>5.0000000000000001E-3</v>
      </c>
      <c r="M104" s="409"/>
      <c r="N104" s="405">
        <v>100</v>
      </c>
      <c r="O104" s="406">
        <v>0.18</v>
      </c>
      <c r="P104" s="406">
        <f t="shared" si="206"/>
        <v>-0.19</v>
      </c>
      <c r="Q104" s="407">
        <f t="shared" si="207"/>
        <v>0.37</v>
      </c>
      <c r="R104" s="404">
        <f>(0.26-0)/2</f>
        <v>0.13</v>
      </c>
      <c r="S104" s="391"/>
      <c r="T104" s="405">
        <v>100</v>
      </c>
      <c r="U104" s="406">
        <f t="shared" si="208"/>
        <v>0.79</v>
      </c>
      <c r="V104" s="406"/>
      <c r="W104" s="407">
        <f t="shared" si="209"/>
        <v>8.3333333333333329E-2</v>
      </c>
      <c r="X104" s="404">
        <f>(0.26-0)/2</f>
        <v>0.13</v>
      </c>
      <c r="Y104" s="391"/>
      <c r="Z104" s="405">
        <v>100</v>
      </c>
      <c r="AA104" s="406">
        <f t="shared" si="210"/>
        <v>0.28999999999999998</v>
      </c>
      <c r="AB104" s="406">
        <v>0.73</v>
      </c>
      <c r="AC104" s="407">
        <f t="shared" si="211"/>
        <v>0.44</v>
      </c>
      <c r="AD104" s="404">
        <f>(0.26-0)/2</f>
        <v>0.13</v>
      </c>
      <c r="AE104" s="391"/>
      <c r="AF104" s="405">
        <v>100</v>
      </c>
      <c r="AG104" s="406">
        <f t="shared" si="212"/>
        <v>0.32</v>
      </c>
      <c r="AH104" s="406">
        <v>0.57999999999999996</v>
      </c>
      <c r="AI104" s="407">
        <f t="shared" si="213"/>
        <v>0.25999999999999995</v>
      </c>
      <c r="AJ104" s="404">
        <f>(0.26-0)/2</f>
        <v>0.13</v>
      </c>
      <c r="AK104" s="391"/>
      <c r="AL104" s="405">
        <v>100</v>
      </c>
      <c r="AM104" s="406">
        <f t="shared" si="214"/>
        <v>0.57999999999999996</v>
      </c>
      <c r="AN104" s="406"/>
      <c r="AO104" s="407">
        <f t="shared" si="215"/>
        <v>8.3333333333333329E-2</v>
      </c>
      <c r="AP104" s="404">
        <f>(0.26-0)/2</f>
        <v>0.13</v>
      </c>
      <c r="AQ104" s="391"/>
      <c r="AR104" s="405">
        <v>100</v>
      </c>
      <c r="AS104" s="406">
        <f t="shared" si="216"/>
        <v>0.42</v>
      </c>
      <c r="AT104" s="406"/>
      <c r="AU104" s="407">
        <f t="shared" si="217"/>
        <v>8.3333333333333329E-2</v>
      </c>
      <c r="AV104" s="404">
        <f>(0.26-0)/2</f>
        <v>0.13</v>
      </c>
      <c r="AW104" s="391"/>
      <c r="AX104" s="405">
        <v>100</v>
      </c>
      <c r="AY104" s="406">
        <f t="shared" si="218"/>
        <v>0.2</v>
      </c>
      <c r="AZ104" s="406"/>
      <c r="BA104" s="407">
        <f t="shared" si="219"/>
        <v>0.26333333333333336</v>
      </c>
      <c r="BB104" s="404">
        <f>(0.26-0)/2</f>
        <v>0.13</v>
      </c>
      <c r="BC104" s="391"/>
      <c r="BD104" s="405">
        <v>100</v>
      </c>
      <c r="BE104" s="406">
        <f t="shared" si="220"/>
        <v>0.6</v>
      </c>
      <c r="BF104" s="406"/>
      <c r="BG104" s="407">
        <f t="shared" si="221"/>
        <v>9.0000000000000011E-2</v>
      </c>
      <c r="BH104" s="404">
        <f>(0.26-0)/2</f>
        <v>0.13</v>
      </c>
      <c r="BI104" s="391"/>
      <c r="BJ104" s="405">
        <v>100</v>
      </c>
      <c r="BK104" s="406">
        <f t="shared" si="222"/>
        <v>0.2</v>
      </c>
      <c r="BL104" s="406"/>
      <c r="BM104" s="407">
        <f t="shared" si="223"/>
        <v>0.26333333333333336</v>
      </c>
      <c r="BN104" s="404">
        <f>(0.26-0)/2</f>
        <v>0.13</v>
      </c>
      <c r="BO104" s="391"/>
      <c r="BP104" s="405">
        <v>100</v>
      </c>
      <c r="BQ104" s="406">
        <f t="shared" si="224"/>
        <v>0.63</v>
      </c>
      <c r="BR104" s="406"/>
      <c r="BS104" s="407">
        <f t="shared" si="225"/>
        <v>8.666666666666667E-2</v>
      </c>
      <c r="BT104" s="404">
        <f>(0.26-0)/2</f>
        <v>0.13</v>
      </c>
      <c r="BU104" s="391"/>
      <c r="BV104" s="405">
        <v>100</v>
      </c>
      <c r="BW104" s="406">
        <f t="shared" si="226"/>
        <v>0.68</v>
      </c>
      <c r="BX104" s="406"/>
      <c r="BY104" s="407">
        <f t="shared" si="227"/>
        <v>9.0000000000000011E-2</v>
      </c>
      <c r="BZ104" s="404">
        <f>(0.26-0)/2</f>
        <v>0.13</v>
      </c>
      <c r="CA104" s="391"/>
      <c r="CB104" s="405">
        <v>100</v>
      </c>
      <c r="CC104" s="406">
        <f t="shared" si="200"/>
        <v>-1.7</v>
      </c>
      <c r="CD104" s="406">
        <f t="shared" si="233"/>
        <v>-0.7</v>
      </c>
      <c r="CE104" s="407">
        <f t="shared" si="228"/>
        <v>0.90000000000000013</v>
      </c>
      <c r="CF104" s="404">
        <f>(0.26-0)/2</f>
        <v>0.13</v>
      </c>
      <c r="CH104" s="405">
        <v>100</v>
      </c>
      <c r="CI104" s="406">
        <f t="shared" si="201"/>
        <v>0.31</v>
      </c>
      <c r="CJ104" s="406">
        <f t="shared" si="201"/>
        <v>0.23</v>
      </c>
      <c r="CK104" s="407">
        <f t="shared" si="229"/>
        <v>7.9999999999999988E-2</v>
      </c>
      <c r="CL104" s="404">
        <f>(0.26-0)/2</f>
        <v>0.13</v>
      </c>
      <c r="CN104" s="405">
        <v>100</v>
      </c>
      <c r="CO104" s="406">
        <f t="shared" si="202"/>
        <v>0.95</v>
      </c>
      <c r="CP104" s="406">
        <f t="shared" si="202"/>
        <v>0.81</v>
      </c>
      <c r="CQ104" s="407">
        <f t="shared" si="230"/>
        <v>0.1399999999999999</v>
      </c>
      <c r="CR104" s="404">
        <f>(0.26-0)/2</f>
        <v>0.13</v>
      </c>
    </row>
    <row r="105" spans="2:96">
      <c r="B105" s="405">
        <v>150</v>
      </c>
      <c r="C105" s="406">
        <v>0.28000000000000003</v>
      </c>
      <c r="D105" s="406">
        <f t="shared" si="203"/>
        <v>0.77</v>
      </c>
      <c r="E105" s="407">
        <f t="shared" si="204"/>
        <v>0.49</v>
      </c>
      <c r="F105" s="408">
        <f>(0.56+0.1)/2</f>
        <v>0.33</v>
      </c>
      <c r="G105" s="409"/>
      <c r="H105" s="405">
        <v>150</v>
      </c>
      <c r="I105" s="406">
        <v>0.02</v>
      </c>
      <c r="J105" s="406">
        <f t="shared" si="205"/>
        <v>0.55000000000000004</v>
      </c>
      <c r="K105" s="407">
        <f t="shared" si="231"/>
        <v>0.53</v>
      </c>
      <c r="L105" s="408">
        <f>(0.15-0)/2</f>
        <v>7.4999999999999997E-2</v>
      </c>
      <c r="M105" s="409"/>
      <c r="N105" s="405">
        <v>150</v>
      </c>
      <c r="O105" s="406">
        <v>0.05</v>
      </c>
      <c r="P105" s="406">
        <f t="shared" si="206"/>
        <v>-0.27</v>
      </c>
      <c r="Q105" s="407">
        <f t="shared" si="207"/>
        <v>0.32</v>
      </c>
      <c r="R105" s="404">
        <f>(0.25-0)/2</f>
        <v>0.125</v>
      </c>
      <c r="S105" s="391"/>
      <c r="T105" s="405">
        <v>150</v>
      </c>
      <c r="U105" s="406">
        <f t="shared" si="208"/>
        <v>0.06</v>
      </c>
      <c r="V105" s="406"/>
      <c r="W105" s="407">
        <f t="shared" si="209"/>
        <v>8.3333333333333329E-2</v>
      </c>
      <c r="X105" s="404">
        <f>(0.25-0)/2</f>
        <v>0.125</v>
      </c>
      <c r="Y105" s="391"/>
      <c r="Z105" s="405">
        <v>150</v>
      </c>
      <c r="AA105" s="406">
        <f t="shared" si="210"/>
        <v>0.47</v>
      </c>
      <c r="AB105" s="406">
        <v>0.38</v>
      </c>
      <c r="AC105" s="407">
        <f t="shared" si="211"/>
        <v>8.9999999999999969E-2</v>
      </c>
      <c r="AD105" s="404">
        <f>(0.25-0)/2</f>
        <v>0.125</v>
      </c>
      <c r="AE105" s="391"/>
      <c r="AF105" s="405">
        <v>150</v>
      </c>
      <c r="AG105" s="406">
        <f t="shared" si="212"/>
        <v>0.52</v>
      </c>
      <c r="AH105" s="406">
        <v>0.19</v>
      </c>
      <c r="AI105" s="407">
        <f t="shared" si="213"/>
        <v>0.33</v>
      </c>
      <c r="AJ105" s="404">
        <f>(0.25-0)/2</f>
        <v>0.125</v>
      </c>
      <c r="AK105" s="391"/>
      <c r="AL105" s="405">
        <v>150</v>
      </c>
      <c r="AM105" s="406">
        <f t="shared" si="214"/>
        <v>0.76</v>
      </c>
      <c r="AN105" s="406"/>
      <c r="AO105" s="407">
        <f t="shared" si="215"/>
        <v>8.3333333333333329E-2</v>
      </c>
      <c r="AP105" s="404">
        <f>(0.25-0)/2</f>
        <v>0.125</v>
      </c>
      <c r="AQ105" s="391"/>
      <c r="AR105" s="405">
        <v>150</v>
      </c>
      <c r="AS105" s="406">
        <f t="shared" si="216"/>
        <v>0.62</v>
      </c>
      <c r="AT105" s="406"/>
      <c r="AU105" s="407">
        <f t="shared" si="217"/>
        <v>8.3333333333333329E-2</v>
      </c>
      <c r="AV105" s="404">
        <f>(0.25-0)/2</f>
        <v>0.125</v>
      </c>
      <c r="AW105" s="391"/>
      <c r="AX105" s="405">
        <v>150</v>
      </c>
      <c r="AY105" s="406">
        <f t="shared" si="218"/>
        <v>-0.02</v>
      </c>
      <c r="AZ105" s="406"/>
      <c r="BA105" s="407">
        <f t="shared" si="219"/>
        <v>0.26333333333333336</v>
      </c>
      <c r="BB105" s="404">
        <f>(0.25-0)/2</f>
        <v>0.125</v>
      </c>
      <c r="BC105" s="391"/>
      <c r="BD105" s="405">
        <v>150</v>
      </c>
      <c r="BE105" s="406">
        <f t="shared" si="220"/>
        <v>-0.1</v>
      </c>
      <c r="BF105" s="406"/>
      <c r="BG105" s="407">
        <f t="shared" si="221"/>
        <v>9.0000000000000011E-2</v>
      </c>
      <c r="BH105" s="404">
        <f>(0.25-0)/2</f>
        <v>0.125</v>
      </c>
      <c r="BI105" s="391"/>
      <c r="BJ105" s="405">
        <v>150</v>
      </c>
      <c r="BK105" s="406">
        <f t="shared" si="222"/>
        <v>-0.02</v>
      </c>
      <c r="BL105" s="406"/>
      <c r="BM105" s="407">
        <f t="shared" si="223"/>
        <v>0.26333333333333336</v>
      </c>
      <c r="BN105" s="404">
        <f>(0.25-0)/2</f>
        <v>0.125</v>
      </c>
      <c r="BO105" s="391"/>
      <c r="BP105" s="405">
        <v>150</v>
      </c>
      <c r="BQ105" s="406">
        <f t="shared" si="224"/>
        <v>-7.0000000000000007E-2</v>
      </c>
      <c r="BR105" s="406"/>
      <c r="BS105" s="407">
        <f t="shared" si="225"/>
        <v>8.666666666666667E-2</v>
      </c>
      <c r="BT105" s="404">
        <f>(0.25-0)/2</f>
        <v>0.125</v>
      </c>
      <c r="BU105" s="391"/>
      <c r="BV105" s="405">
        <v>150</v>
      </c>
      <c r="BW105" s="406">
        <f t="shared" si="226"/>
        <v>-0.3</v>
      </c>
      <c r="BX105" s="406"/>
      <c r="BY105" s="407">
        <f t="shared" si="227"/>
        <v>9.0000000000000011E-2</v>
      </c>
      <c r="BZ105" s="404">
        <f>(0.25-0)/2</f>
        <v>0.125</v>
      </c>
      <c r="CA105" s="391"/>
      <c r="CB105" s="405">
        <v>150</v>
      </c>
      <c r="CC105" s="406">
        <f t="shared" si="200"/>
        <v>-0.9</v>
      </c>
      <c r="CD105" s="406">
        <f t="shared" si="233"/>
        <v>-0.7</v>
      </c>
      <c r="CE105" s="407">
        <f t="shared" si="228"/>
        <v>1</v>
      </c>
      <c r="CF105" s="404">
        <f>(0.25-0)/2</f>
        <v>0.125</v>
      </c>
      <c r="CH105" s="405">
        <v>150</v>
      </c>
      <c r="CI105" s="406">
        <f t="shared" si="201"/>
        <v>0.3</v>
      </c>
      <c r="CJ105" s="406">
        <f t="shared" si="201"/>
        <v>0.22</v>
      </c>
      <c r="CK105" s="407">
        <f t="shared" si="229"/>
        <v>7.9999999999999988E-2</v>
      </c>
      <c r="CL105" s="404">
        <f>(0.25-0)/2</f>
        <v>0.125</v>
      </c>
      <c r="CN105" s="405">
        <v>150</v>
      </c>
      <c r="CO105" s="406">
        <f t="shared" si="202"/>
        <v>0.49</v>
      </c>
      <c r="CP105" s="406">
        <f t="shared" si="202"/>
        <v>0.87</v>
      </c>
      <c r="CQ105" s="407">
        <f t="shared" si="230"/>
        <v>0.38</v>
      </c>
      <c r="CR105" s="404">
        <f>(0.25-0)/2</f>
        <v>0.125</v>
      </c>
    </row>
    <row r="106" spans="2:96">
      <c r="B106" s="405">
        <v>200</v>
      </c>
      <c r="C106" s="406">
        <v>0.44</v>
      </c>
      <c r="D106" s="406">
        <f t="shared" si="203"/>
        <v>0.02</v>
      </c>
      <c r="E106" s="407">
        <f t="shared" si="204"/>
        <v>0.42</v>
      </c>
      <c r="F106" s="408">
        <f>(0.23+0.79)/2</f>
        <v>0.51</v>
      </c>
      <c r="G106" s="409"/>
      <c r="H106" s="405">
        <v>200</v>
      </c>
      <c r="I106" s="406">
        <v>0.38</v>
      </c>
      <c r="J106" s="406">
        <f t="shared" si="205"/>
        <v>0.24</v>
      </c>
      <c r="K106" s="407">
        <f t="shared" si="231"/>
        <v>0.14000000000000001</v>
      </c>
      <c r="L106" s="408">
        <f>(0.35-0)/2</f>
        <v>0.17499999999999999</v>
      </c>
      <c r="M106" s="409"/>
      <c r="N106" s="405">
        <v>200</v>
      </c>
      <c r="O106" s="406">
        <v>0.51</v>
      </c>
      <c r="P106" s="406">
        <f t="shared" si="206"/>
        <v>0.04</v>
      </c>
      <c r="Q106" s="407">
        <f t="shared" si="207"/>
        <v>0.47000000000000003</v>
      </c>
      <c r="R106" s="404">
        <f>(0.19-0)/2</f>
        <v>9.5000000000000001E-2</v>
      </c>
      <c r="S106" s="391"/>
      <c r="T106" s="405">
        <v>200</v>
      </c>
      <c r="U106" s="406">
        <f t="shared" si="208"/>
        <v>-0.9</v>
      </c>
      <c r="V106" s="406"/>
      <c r="W106" s="407">
        <f t="shared" si="209"/>
        <v>8.3333333333333329E-2</v>
      </c>
      <c r="X106" s="404">
        <f>(0.19-0)/2</f>
        <v>9.5000000000000001E-2</v>
      </c>
      <c r="Y106" s="391"/>
      <c r="Z106" s="405">
        <v>200</v>
      </c>
      <c r="AA106" s="406">
        <f t="shared" si="210"/>
        <v>0.7</v>
      </c>
      <c r="AB106" s="406">
        <v>-0.04</v>
      </c>
      <c r="AC106" s="407">
        <f t="shared" si="211"/>
        <v>0.74</v>
      </c>
      <c r="AD106" s="404">
        <f>(0.19-0)/2</f>
        <v>9.5000000000000001E-2</v>
      </c>
      <c r="AE106" s="391"/>
      <c r="AF106" s="405">
        <v>200</v>
      </c>
      <c r="AG106" s="406">
        <f t="shared" si="212"/>
        <v>0.76</v>
      </c>
      <c r="AH106" s="406">
        <v>-0.16</v>
      </c>
      <c r="AI106" s="407">
        <f t="shared" si="213"/>
        <v>0.92</v>
      </c>
      <c r="AJ106" s="404">
        <f>(0.19-0)/2</f>
        <v>9.5000000000000001E-2</v>
      </c>
      <c r="AK106" s="391"/>
      <c r="AL106" s="405">
        <v>200</v>
      </c>
      <c r="AM106" s="406">
        <f>I220</f>
        <v>0.98</v>
      </c>
      <c r="AN106" s="406"/>
      <c r="AO106" s="407">
        <f t="shared" si="215"/>
        <v>8.3333333333333329E-2</v>
      </c>
      <c r="AP106" s="404">
        <f>(0.19-0)/2</f>
        <v>9.5000000000000001E-2</v>
      </c>
      <c r="AQ106" s="391"/>
      <c r="AR106" s="405">
        <v>200</v>
      </c>
      <c r="AS106" s="406">
        <f t="shared" si="216"/>
        <v>0.83</v>
      </c>
      <c r="AT106" s="406"/>
      <c r="AU106" s="407">
        <f t="shared" si="217"/>
        <v>8.3333333333333329E-2</v>
      </c>
      <c r="AV106" s="404">
        <f>(0.19-0)/2</f>
        <v>9.5000000000000001E-2</v>
      </c>
      <c r="AW106" s="391"/>
      <c r="AX106" s="405">
        <v>200</v>
      </c>
      <c r="AY106" s="406">
        <f t="shared" si="218"/>
        <v>-0.28000000000000003</v>
      </c>
      <c r="AZ106" s="406"/>
      <c r="BA106" s="407">
        <f t="shared" si="219"/>
        <v>0.26333333333333336</v>
      </c>
      <c r="BB106" s="404">
        <f>(0.19-0)/2</f>
        <v>9.5000000000000001E-2</v>
      </c>
      <c r="BC106" s="391"/>
      <c r="BD106" s="405">
        <v>200</v>
      </c>
      <c r="BE106" s="406">
        <f t="shared" si="220"/>
        <v>-0.31</v>
      </c>
      <c r="BF106" s="406"/>
      <c r="BG106" s="407">
        <f t="shared" si="221"/>
        <v>9.0000000000000011E-2</v>
      </c>
      <c r="BH106" s="404">
        <f>(0.19-0)/2</f>
        <v>9.5000000000000001E-2</v>
      </c>
      <c r="BI106" s="391"/>
      <c r="BJ106" s="405">
        <v>200</v>
      </c>
      <c r="BK106" s="406">
        <f t="shared" si="222"/>
        <v>-0.28000000000000003</v>
      </c>
      <c r="BL106" s="406"/>
      <c r="BM106" s="407">
        <f t="shared" si="223"/>
        <v>0.26333333333333336</v>
      </c>
      <c r="BN106" s="404">
        <f>(0.19-0)/2</f>
        <v>9.5000000000000001E-2</v>
      </c>
      <c r="BO106" s="391"/>
      <c r="BP106" s="405">
        <v>200</v>
      </c>
      <c r="BQ106" s="406">
        <f t="shared" si="224"/>
        <v>-0.74</v>
      </c>
      <c r="BR106" s="406"/>
      <c r="BS106" s="407">
        <f t="shared" si="225"/>
        <v>8.666666666666667E-2</v>
      </c>
      <c r="BT106" s="404">
        <f>(0.19-0)/2</f>
        <v>9.5000000000000001E-2</v>
      </c>
      <c r="BU106" s="391"/>
      <c r="BV106" s="405">
        <v>200</v>
      </c>
      <c r="BW106" s="406">
        <f t="shared" si="226"/>
        <v>-1.43</v>
      </c>
      <c r="BX106" s="406"/>
      <c r="BY106" s="407">
        <f t="shared" si="227"/>
        <v>9.0000000000000011E-2</v>
      </c>
      <c r="BZ106" s="404">
        <f>(0.19-0)/2</f>
        <v>9.5000000000000001E-2</v>
      </c>
      <c r="CA106" s="391"/>
      <c r="CB106" s="405">
        <v>200</v>
      </c>
      <c r="CC106" s="406">
        <f t="shared" si="200"/>
        <v>0</v>
      </c>
      <c r="CD106" s="406">
        <f t="shared" si="233"/>
        <v>-0.6</v>
      </c>
      <c r="CE106" s="407">
        <f t="shared" si="228"/>
        <v>0.30000000000000004</v>
      </c>
      <c r="CF106" s="404">
        <f>(0.19-0)/2</f>
        <v>9.5000000000000001E-2</v>
      </c>
      <c r="CH106" s="405">
        <v>200</v>
      </c>
      <c r="CI106" s="406">
        <f t="shared" si="201"/>
        <v>0.34</v>
      </c>
      <c r="CJ106" s="406">
        <f t="shared" si="201"/>
        <v>0.47</v>
      </c>
      <c r="CK106" s="407">
        <f t="shared" si="229"/>
        <v>0.12999999999999995</v>
      </c>
      <c r="CL106" s="404">
        <f>(0.19-0)/2</f>
        <v>9.5000000000000001E-2</v>
      </c>
      <c r="CN106" s="405">
        <v>200</v>
      </c>
      <c r="CO106" s="406">
        <f t="shared" si="202"/>
        <v>-0.26</v>
      </c>
      <c r="CP106" s="406">
        <f t="shared" si="202"/>
        <v>0.99</v>
      </c>
      <c r="CQ106" s="407">
        <f t="shared" si="230"/>
        <v>1.25</v>
      </c>
      <c r="CR106" s="404">
        <f>(0.19-0)/2</f>
        <v>9.5000000000000001E-2</v>
      </c>
    </row>
    <row r="107" spans="2:96" s="391" customFormat="1">
      <c r="B107" s="415"/>
      <c r="C107" s="392"/>
      <c r="D107" s="392"/>
      <c r="E107" s="412"/>
      <c r="F107" s="409"/>
      <c r="G107" s="409"/>
      <c r="H107" s="415"/>
      <c r="I107" s="392"/>
      <c r="J107" s="392"/>
      <c r="K107" s="412"/>
      <c r="L107" s="393"/>
      <c r="M107" s="409"/>
      <c r="N107" s="415"/>
      <c r="O107" s="392"/>
      <c r="P107" s="392"/>
      <c r="Q107" s="412"/>
      <c r="R107" s="393"/>
      <c r="T107" s="415"/>
      <c r="U107" s="392"/>
      <c r="V107" s="392"/>
      <c r="W107" s="412"/>
      <c r="X107" s="393"/>
      <c r="Z107" s="415"/>
      <c r="AA107" s="392"/>
      <c r="AB107" s="392"/>
      <c r="AC107" s="412"/>
      <c r="AD107" s="393"/>
      <c r="AF107" s="415"/>
      <c r="AG107" s="392"/>
      <c r="AH107" s="392"/>
      <c r="AI107" s="412"/>
      <c r="AJ107" s="393"/>
      <c r="AL107" s="415"/>
      <c r="AM107" s="392"/>
      <c r="AN107" s="392"/>
      <c r="AO107" s="412"/>
      <c r="AP107" s="393"/>
      <c r="AR107" s="415"/>
      <c r="AS107" s="392"/>
      <c r="AT107" s="392"/>
      <c r="AU107" s="412"/>
      <c r="AV107" s="393"/>
      <c r="AX107" s="415"/>
      <c r="AY107" s="392"/>
      <c r="AZ107" s="392"/>
      <c r="BA107" s="412"/>
      <c r="BB107" s="393"/>
      <c r="BD107" s="415"/>
      <c r="BE107" s="392"/>
      <c r="BF107" s="392"/>
      <c r="BG107" s="412"/>
      <c r="BH107" s="393"/>
      <c r="BJ107" s="415"/>
      <c r="BK107" s="392"/>
      <c r="BL107" s="392"/>
      <c r="BM107" s="412"/>
      <c r="BN107" s="393"/>
      <c r="BP107" s="415"/>
      <c r="BQ107" s="392"/>
      <c r="BR107" s="392"/>
      <c r="BS107" s="412"/>
      <c r="BT107" s="393"/>
      <c r="BV107" s="415"/>
      <c r="BW107" s="392"/>
      <c r="BX107" s="392"/>
      <c r="BY107" s="412"/>
      <c r="BZ107" s="393"/>
      <c r="CB107" s="415"/>
      <c r="CC107" s="392"/>
      <c r="CD107" s="392"/>
      <c r="CE107" s="412"/>
      <c r="CF107" s="393"/>
      <c r="CH107" s="415"/>
      <c r="CI107" s="392"/>
      <c r="CJ107" s="392"/>
      <c r="CK107" s="412"/>
      <c r="CL107" s="393"/>
      <c r="CN107" s="415"/>
      <c r="CO107" s="392"/>
      <c r="CP107" s="392"/>
      <c r="CQ107" s="412"/>
      <c r="CR107" s="393"/>
    </row>
    <row r="108" spans="2:96" ht="24.75" customHeight="1">
      <c r="B108" s="823" t="s">
        <v>338</v>
      </c>
      <c r="C108" s="825" t="str">
        <f>C93</f>
        <v>Thermocouple Data Logger, Merek : MADGETECH, Model : OctTemp 2000, SN : P40270</v>
      </c>
      <c r="D108" s="825"/>
      <c r="E108" s="825"/>
      <c r="F108" s="394" t="s">
        <v>329</v>
      </c>
      <c r="G108" s="395"/>
      <c r="H108" s="823" t="s">
        <v>338</v>
      </c>
      <c r="I108" s="825" t="str">
        <f>I93</f>
        <v>Thermocouple Data Logger, Merek : MADGETECH, Model : OctTemp 2000, SN : P41878</v>
      </c>
      <c r="J108" s="825"/>
      <c r="K108" s="825"/>
      <c r="L108" s="394" t="s">
        <v>329</v>
      </c>
      <c r="M108" s="395"/>
      <c r="N108" s="823" t="s">
        <v>338</v>
      </c>
      <c r="O108" s="825" t="str">
        <f>O93</f>
        <v>Mobile Corder, Merek : Yokogawa, Model : GP 10, SN : S5T810599</v>
      </c>
      <c r="P108" s="826"/>
      <c r="Q108" s="825"/>
      <c r="R108" s="394" t="s">
        <v>329</v>
      </c>
      <c r="S108" s="391"/>
      <c r="T108" s="823" t="s">
        <v>338</v>
      </c>
      <c r="U108" s="825" t="str">
        <f>U93</f>
        <v>Wireless Temperature Recorder : Merek : HIOKI, Model : LR 8510, SN : 200936000</v>
      </c>
      <c r="V108" s="826"/>
      <c r="W108" s="825"/>
      <c r="X108" s="394" t="s">
        <v>329</v>
      </c>
      <c r="Y108" s="391"/>
      <c r="Z108" s="823" t="s">
        <v>338</v>
      </c>
      <c r="AA108" s="825" t="str">
        <f>AA93</f>
        <v>Wireless Temperature Recorder : Merek : HIOKI, Model : LR 8510, SN : 200936001</v>
      </c>
      <c r="AB108" s="826"/>
      <c r="AC108" s="825"/>
      <c r="AD108" s="394" t="s">
        <v>329</v>
      </c>
      <c r="AE108" s="391"/>
      <c r="AF108" s="823" t="s">
        <v>338</v>
      </c>
      <c r="AG108" s="825" t="str">
        <f>AG93</f>
        <v>Wireless Temperature Recorder : Merek : HIOKI, Model : LR 8510, SN : 200821397</v>
      </c>
      <c r="AH108" s="826"/>
      <c r="AI108" s="825"/>
      <c r="AJ108" s="394" t="s">
        <v>329</v>
      </c>
      <c r="AK108" s="391"/>
      <c r="AL108" s="823" t="s">
        <v>338</v>
      </c>
      <c r="AM108" s="825" t="str">
        <f>AM93</f>
        <v>Wireless Temperature Recorder : Merek : HIOKI, Model : LR 8510, SN : 210411983</v>
      </c>
      <c r="AN108" s="826"/>
      <c r="AO108" s="825"/>
      <c r="AP108" s="394" t="s">
        <v>329</v>
      </c>
      <c r="AQ108" s="391"/>
      <c r="AR108" s="823" t="s">
        <v>338</v>
      </c>
      <c r="AS108" s="825" t="str">
        <f>AS93</f>
        <v>Wireless Temperature Recorder : Merek : HIOKI, Model : LR 8510, SN : 210411984</v>
      </c>
      <c r="AT108" s="826"/>
      <c r="AU108" s="825"/>
      <c r="AV108" s="394" t="s">
        <v>329</v>
      </c>
      <c r="AW108" s="391"/>
      <c r="AX108" s="823" t="s">
        <v>338</v>
      </c>
      <c r="AY108" s="825" t="str">
        <f>AY93</f>
        <v>Wireless Temperature Recorder : Merek : HIOKI, Model : LR 8510, SN : 210411985</v>
      </c>
      <c r="AZ108" s="826"/>
      <c r="BA108" s="825"/>
      <c r="BB108" s="394" t="s">
        <v>329</v>
      </c>
      <c r="BC108" s="391"/>
      <c r="BD108" s="823" t="s">
        <v>338</v>
      </c>
      <c r="BE108" s="825" t="str">
        <f>BE93</f>
        <v>Wireless Temperature Recorder : Merek : HIOKI, Model : LR 8510, SN : 210746054</v>
      </c>
      <c r="BF108" s="826"/>
      <c r="BG108" s="825"/>
      <c r="BH108" s="394" t="s">
        <v>329</v>
      </c>
      <c r="BI108" s="391"/>
      <c r="BJ108" s="823" t="s">
        <v>338</v>
      </c>
      <c r="BK108" s="825" t="str">
        <f>BK93</f>
        <v>Wireless Temperature Recorder : Merek : HIOKI, Model : LR 8510, SN : 210746055</v>
      </c>
      <c r="BL108" s="826"/>
      <c r="BM108" s="825"/>
      <c r="BN108" s="394" t="s">
        <v>329</v>
      </c>
      <c r="BO108" s="391"/>
      <c r="BP108" s="823" t="s">
        <v>338</v>
      </c>
      <c r="BQ108" s="825" t="str">
        <f>BQ93</f>
        <v>Wireless Temperature Recorder : Merek : HIOKI, Model : LR 8510, SN : 210746056</v>
      </c>
      <c r="BR108" s="826"/>
      <c r="BS108" s="825"/>
      <c r="BT108" s="394" t="s">
        <v>329</v>
      </c>
      <c r="BU108" s="391"/>
      <c r="BV108" s="823" t="s">
        <v>338</v>
      </c>
      <c r="BW108" s="825" t="str">
        <f>BW93</f>
        <v>Wireless Temperature Recorder : Merek : HIOKI, Model : LR 8510, SN : 200821396</v>
      </c>
      <c r="BX108" s="826"/>
      <c r="BY108" s="825"/>
      <c r="BZ108" s="394" t="s">
        <v>329</v>
      </c>
      <c r="CA108" s="391"/>
      <c r="CB108" s="823" t="s">
        <v>338</v>
      </c>
      <c r="CC108" s="825" t="str">
        <f t="shared" ref="CC108:CC121" si="234">CC93</f>
        <v>Reference Thermometer, Merek : APPA, Model : APPA51, SN : 03002948</v>
      </c>
      <c r="CD108" s="826"/>
      <c r="CE108" s="825"/>
      <c r="CF108" s="394" t="s">
        <v>329</v>
      </c>
      <c r="CH108" s="823" t="s">
        <v>338</v>
      </c>
      <c r="CI108" s="825" t="str">
        <f t="shared" ref="CI108:CJ121" si="235">CI93</f>
        <v>Reference Thermometer, Merek : FLUKE, Model : 1524, SN : 1803038</v>
      </c>
      <c r="CJ108" s="826"/>
      <c r="CK108" s="825"/>
      <c r="CL108" s="394" t="s">
        <v>329</v>
      </c>
      <c r="CN108" s="823" t="s">
        <v>338</v>
      </c>
      <c r="CO108" s="825" t="str">
        <f t="shared" ref="CO108:CP121" si="236">CO93</f>
        <v>Reference Thermometer, Merek : FLUKE, Model : 1524, SN : 1803037</v>
      </c>
      <c r="CP108" s="826"/>
      <c r="CQ108" s="825"/>
      <c r="CR108" s="394" t="s">
        <v>329</v>
      </c>
    </row>
    <row r="109" spans="2:96">
      <c r="B109" s="824"/>
      <c r="C109" s="402">
        <f>C94</f>
        <v>2021</v>
      </c>
      <c r="D109" s="402">
        <f>D94</f>
        <v>2022</v>
      </c>
      <c r="E109" s="398" t="s">
        <v>242</v>
      </c>
      <c r="F109" s="399"/>
      <c r="G109" s="400"/>
      <c r="H109" s="824"/>
      <c r="I109" s="401">
        <f>I94</f>
        <v>2021</v>
      </c>
      <c r="J109" s="402">
        <f>J94</f>
        <v>2022</v>
      </c>
      <c r="K109" s="398" t="s">
        <v>242</v>
      </c>
      <c r="L109" s="403"/>
      <c r="M109" s="400"/>
      <c r="N109" s="824"/>
      <c r="O109" s="401">
        <f>O4</f>
        <v>2021</v>
      </c>
      <c r="P109" s="402">
        <f>P4</f>
        <v>2023</v>
      </c>
      <c r="Q109" s="398" t="s">
        <v>242</v>
      </c>
      <c r="R109" s="404"/>
      <c r="S109" s="391"/>
      <c r="T109" s="824"/>
      <c r="U109" s="401">
        <f>U94</f>
        <v>2022</v>
      </c>
      <c r="V109" s="402"/>
      <c r="W109" s="398" t="s">
        <v>242</v>
      </c>
      <c r="X109" s="404"/>
      <c r="Y109" s="391"/>
      <c r="Z109" s="824"/>
      <c r="AA109" s="401">
        <f>AA94</f>
        <v>2023</v>
      </c>
      <c r="AB109" s="402">
        <f>AB94</f>
        <v>2021</v>
      </c>
      <c r="AC109" s="398" t="s">
        <v>242</v>
      </c>
      <c r="AD109" s="404"/>
      <c r="AE109" s="391"/>
      <c r="AF109" s="824"/>
      <c r="AG109" s="401">
        <f>AG94</f>
        <v>2023</v>
      </c>
      <c r="AH109" s="401">
        <f>AH94</f>
        <v>2021</v>
      </c>
      <c r="AI109" s="398" t="s">
        <v>242</v>
      </c>
      <c r="AJ109" s="404"/>
      <c r="AK109" s="391"/>
      <c r="AL109" s="824"/>
      <c r="AM109" s="401">
        <f>AM94</f>
        <v>2023</v>
      </c>
      <c r="AN109" s="402"/>
      <c r="AO109" s="398" t="s">
        <v>242</v>
      </c>
      <c r="AP109" s="404"/>
      <c r="AQ109" s="391"/>
      <c r="AR109" s="824"/>
      <c r="AS109" s="401">
        <f>AS94</f>
        <v>2023</v>
      </c>
      <c r="AT109" s="402"/>
      <c r="AU109" s="398" t="s">
        <v>242</v>
      </c>
      <c r="AV109" s="404"/>
      <c r="AW109" s="391"/>
      <c r="AX109" s="824"/>
      <c r="AY109" s="401">
        <f>AY94</f>
        <v>2021</v>
      </c>
      <c r="AZ109" s="402"/>
      <c r="BA109" s="398" t="s">
        <v>242</v>
      </c>
      <c r="BB109" s="404"/>
      <c r="BC109" s="391"/>
      <c r="BD109" s="824"/>
      <c r="BE109" s="401">
        <f>BE94</f>
        <v>2022</v>
      </c>
      <c r="BF109" s="402"/>
      <c r="BG109" s="398" t="s">
        <v>242</v>
      </c>
      <c r="BH109" s="404"/>
      <c r="BI109" s="391"/>
      <c r="BJ109" s="824"/>
      <c r="BK109" s="401">
        <f>BK94</f>
        <v>2021</v>
      </c>
      <c r="BL109" s="402"/>
      <c r="BM109" s="398" t="s">
        <v>242</v>
      </c>
      <c r="BN109" s="404"/>
      <c r="BO109" s="391"/>
      <c r="BP109" s="824"/>
      <c r="BQ109" s="401">
        <f>BQ94</f>
        <v>2022</v>
      </c>
      <c r="BR109" s="402"/>
      <c r="BS109" s="398" t="s">
        <v>242</v>
      </c>
      <c r="BT109" s="404"/>
      <c r="BU109" s="391"/>
      <c r="BV109" s="824"/>
      <c r="BW109" s="401">
        <f>BW94</f>
        <v>2022</v>
      </c>
      <c r="BX109" s="402"/>
      <c r="BY109" s="398" t="s">
        <v>242</v>
      </c>
      <c r="BZ109" s="404">
        <f>$B$289</f>
        <v>1.9000000000000001</v>
      </c>
      <c r="CB109" s="824"/>
      <c r="CC109" s="401">
        <f t="shared" si="234"/>
        <v>2022</v>
      </c>
      <c r="CD109" s="402">
        <f>CD124</f>
        <v>2020</v>
      </c>
      <c r="CE109" s="398" t="s">
        <v>242</v>
      </c>
      <c r="CF109" s="404"/>
      <c r="CG109" s="421"/>
      <c r="CH109" s="824"/>
      <c r="CI109" s="401">
        <f t="shared" si="235"/>
        <v>2021</v>
      </c>
      <c r="CJ109" s="402">
        <f>CJ94</f>
        <v>2019</v>
      </c>
      <c r="CK109" s="398" t="s">
        <v>242</v>
      </c>
      <c r="CL109" s="404"/>
      <c r="CN109" s="824"/>
      <c r="CO109" s="401">
        <f t="shared" si="236"/>
        <v>2021</v>
      </c>
      <c r="CP109" s="402">
        <f>CP94</f>
        <v>2020</v>
      </c>
      <c r="CQ109" s="398" t="s">
        <v>242</v>
      </c>
      <c r="CR109" s="404"/>
    </row>
    <row r="110" spans="2:96">
      <c r="B110" s="405">
        <v>-20</v>
      </c>
      <c r="C110" s="406">
        <v>-0.48</v>
      </c>
      <c r="D110" s="410">
        <f t="shared" ref="D110:D121" si="237">U209</f>
        <v>-0.65</v>
      </c>
      <c r="E110" s="407">
        <f t="shared" ref="E110:E121" si="238">IF(OR(C110=0,D110=0),$U$221/3,((MAX(C110:D110)-(MIN(C110:D110)))))</f>
        <v>0.17000000000000004</v>
      </c>
      <c r="F110" s="408">
        <v>0.08</v>
      </c>
      <c r="G110" s="409"/>
      <c r="H110" s="405">
        <v>-20</v>
      </c>
      <c r="I110" s="406">
        <v>-0.74</v>
      </c>
      <c r="J110" s="406">
        <f t="shared" ref="J110:J121" si="239">V209</f>
        <v>-0.47</v>
      </c>
      <c r="K110" s="407">
        <f t="shared" ref="K110:K121" si="240">IF(OR(I110=0,J110=0),$V$221/3,((MAX(I110:J110)-(MIN(I110:J110)))))</f>
        <v>0.27</v>
      </c>
      <c r="L110" s="408">
        <v>0.1</v>
      </c>
      <c r="M110" s="409"/>
      <c r="N110" s="405">
        <v>-20</v>
      </c>
      <c r="O110" s="422">
        <v>-0.6</v>
      </c>
      <c r="P110" s="406">
        <f t="shared" ref="P110:P121" si="241">W209</f>
        <v>-0.43</v>
      </c>
      <c r="Q110" s="407">
        <f t="shared" ref="Q110:Q121" si="242">IF(OR(O110=0,P110=0),$W$221/3,((MAX(O110:P110)-(MIN(O110:P110)))))</f>
        <v>0.16999999999999998</v>
      </c>
      <c r="R110" s="404">
        <v>9.9999999999999995E-7</v>
      </c>
      <c r="S110" s="391"/>
      <c r="T110" s="405">
        <v>-20</v>
      </c>
      <c r="U110" s="410">
        <f t="shared" ref="U110:U121" si="243">X209</f>
        <v>-1.31</v>
      </c>
      <c r="V110" s="406"/>
      <c r="W110" s="407">
        <f t="shared" ref="W110:W121" si="244">IF(OR(U110=0,V110=0),$X$221/3,((MAX(U110:V110)-(MIN(U110:V110)))))</f>
        <v>8.666666666666667E-2</v>
      </c>
      <c r="X110" s="404">
        <v>9.9999999999999995E-7</v>
      </c>
      <c r="Y110" s="391"/>
      <c r="Z110" s="405">
        <v>-20</v>
      </c>
      <c r="AA110" s="410">
        <f t="shared" ref="AA110:AA121" si="245">Y209</f>
        <v>0.19</v>
      </c>
      <c r="AB110" s="406">
        <v>-0.63</v>
      </c>
      <c r="AC110" s="407">
        <f t="shared" ref="AC110:AC121" si="246">IF(OR(AA110=0,AB110=0),$Y$221/3,((MAX(AA110:AB110)-(MIN(AA110:AB110)))))</f>
        <v>0.82000000000000006</v>
      </c>
      <c r="AD110" s="404">
        <v>9.9999999999999995E-7</v>
      </c>
      <c r="AE110" s="391"/>
      <c r="AF110" s="405">
        <v>-20</v>
      </c>
      <c r="AG110" s="410">
        <f t="shared" ref="AG110:AG121" si="247">Z209</f>
        <v>0.2</v>
      </c>
      <c r="AH110" s="406">
        <v>-0.1</v>
      </c>
      <c r="AI110" s="407">
        <f t="shared" ref="AI110:AI121" si="248">IF(OR(AG110=0,AH110=0),$Z$221/3,((MAX(AG110:AH110)-(MIN(AG110:AH110)))))</f>
        <v>0.30000000000000004</v>
      </c>
      <c r="AJ110" s="404">
        <v>9.9999999999999995E-7</v>
      </c>
      <c r="AK110" s="391"/>
      <c r="AL110" s="405">
        <v>-20</v>
      </c>
      <c r="AM110" s="410">
        <f t="shared" ref="AM110:AM121" si="249">AA209</f>
        <v>0.46</v>
      </c>
      <c r="AN110" s="406"/>
      <c r="AO110" s="407">
        <f t="shared" ref="AO110:AO121" si="250">IF(OR(AM110=0,AN110=0),$AA$221/3,((MAX(AM110:AN110)-(MIN(AM110:AN110)))))</f>
        <v>8.3333333333333329E-2</v>
      </c>
      <c r="AP110" s="404">
        <v>9.9999999999999995E-7</v>
      </c>
      <c r="AQ110" s="391"/>
      <c r="AR110" s="405">
        <v>-20</v>
      </c>
      <c r="AS110" s="410">
        <f t="shared" ref="AS110:AS121" si="251">AB209</f>
        <v>0.36</v>
      </c>
      <c r="AT110" s="406"/>
      <c r="AU110" s="407">
        <f t="shared" ref="AU110:AU121" si="252">IF(OR(AS110=0,AT110=0),$AB$221/3,((MAX(AS110:AT110)-(MIN(AS110:AT110)))))</f>
        <v>8.3333333333333329E-2</v>
      </c>
      <c r="AV110" s="404">
        <v>9.9999999999999995E-7</v>
      </c>
      <c r="AW110" s="391"/>
      <c r="AX110" s="405">
        <v>-20</v>
      </c>
      <c r="AY110" s="410">
        <f t="shared" ref="AY110:AY121" si="253">AC209</f>
        <v>0.52</v>
      </c>
      <c r="AZ110" s="406"/>
      <c r="BA110" s="407">
        <f t="shared" ref="BA110:BA121" si="254">IF(OR(AY110=0,AZ110=0),$AC$221/3,((MAX(AY110:AZ110)-(MIN(AY110:AZ110)))))</f>
        <v>0.26333333333333336</v>
      </c>
      <c r="BB110" s="404">
        <v>9.9999999999999995E-7</v>
      </c>
      <c r="BC110" s="391"/>
      <c r="BD110" s="405">
        <v>-20</v>
      </c>
      <c r="BE110" s="410">
        <f t="shared" ref="BE110:BE121" si="255">AD209</f>
        <v>-0.95</v>
      </c>
      <c r="BF110" s="406"/>
      <c r="BG110" s="407">
        <f t="shared" ref="BG110:BG121" si="256">IF(OR(BE110=0,BF110=0),$AD$221/3,((MAX(BE110:BF110)-(MIN(BE110:BF110)))))</f>
        <v>9.0000000000000011E-2</v>
      </c>
      <c r="BH110" s="404">
        <v>9.9999999999999995E-7</v>
      </c>
      <c r="BI110" s="391"/>
      <c r="BJ110" s="405">
        <v>-20</v>
      </c>
      <c r="BK110" s="410">
        <f t="shared" ref="BK110:BK121" si="257">AE209</f>
        <v>0.52</v>
      </c>
      <c r="BL110" s="406"/>
      <c r="BM110" s="407">
        <f t="shared" ref="BM110:BM121" si="258">IF(OR(BK110=0,BL110=0),$AE$221/3,((MAX(BK110:BL110)-(MIN(BK110:BL110)))))</f>
        <v>0.26333333333333336</v>
      </c>
      <c r="BN110" s="404">
        <v>9.9999999999999995E-7</v>
      </c>
      <c r="BO110" s="391"/>
      <c r="BP110" s="405">
        <v>-20</v>
      </c>
      <c r="BQ110" s="410">
        <f t="shared" ref="BQ110:BQ121" si="259">AF209</f>
        <v>-1.22</v>
      </c>
      <c r="BR110" s="406"/>
      <c r="BS110" s="407">
        <f t="shared" ref="BS110:BS121" si="260">IF(OR(BQ110=0,BR110=0),$AF$221/3,((MAX(BQ110:BR110)-(MIN(BQ110:BR110)))))</f>
        <v>8.666666666666667E-2</v>
      </c>
      <c r="BT110" s="404">
        <v>9.9999999999999995E-7</v>
      </c>
      <c r="BU110" s="391"/>
      <c r="BV110" s="405">
        <v>-20</v>
      </c>
      <c r="BW110" s="410">
        <v>-1.36</v>
      </c>
      <c r="BX110" s="406"/>
      <c r="BY110" s="407">
        <f>IF(OR(BW110=0,BX110=0),$AG$221/3,((MAX(BW110:BX110)-(MIN(BW110:BX110)))))</f>
        <v>9.3333333333333338E-2</v>
      </c>
      <c r="BZ110" s="660">
        <f>IF($BZ$109&lt;=$BV$111,$BV$110,IF($BZ$109&lt;=$BV$112,$BV$111,IF($BZ$109&lt;=$BV$113,$BV$112,IF($BZ$109&lt;=$BV$114,$BV$113,IF($BZ$109&lt;=$BV$115,$BV$114)))))</f>
        <v>9.9999999999999995E-7</v>
      </c>
      <c r="CB110" s="405">
        <v>-20</v>
      </c>
      <c r="CC110" s="410">
        <f t="shared" si="234"/>
        <v>-1.1000000000000001</v>
      </c>
      <c r="CD110" s="406">
        <f>CD125</f>
        <v>-0.7</v>
      </c>
      <c r="CE110" s="407">
        <f t="shared" ref="CE110:CE121" si="261">CE95</f>
        <v>0.40000000000000013</v>
      </c>
      <c r="CF110" s="404">
        <v>9.9999999999999995E-7</v>
      </c>
      <c r="CG110" s="421"/>
      <c r="CH110" s="405">
        <v>-20</v>
      </c>
      <c r="CI110" s="410">
        <f t="shared" si="235"/>
        <v>-0.15</v>
      </c>
      <c r="CJ110" s="406">
        <f>CJ95</f>
        <v>-0.32</v>
      </c>
      <c r="CK110" s="407">
        <f t="shared" ref="CK110:CK121" si="262">CK95</f>
        <v>0.17</v>
      </c>
      <c r="CL110" s="404">
        <v>9.9999999999999995E-7</v>
      </c>
      <c r="CN110" s="405">
        <v>-20</v>
      </c>
      <c r="CO110" s="410">
        <f t="shared" si="236"/>
        <v>-1.8</v>
      </c>
      <c r="CP110" s="406">
        <f>CP95</f>
        <v>-0.51</v>
      </c>
      <c r="CQ110" s="407">
        <f t="shared" ref="CQ110:CQ121" si="263">CQ95</f>
        <v>1.29</v>
      </c>
      <c r="CR110" s="404">
        <v>9.9999999999999995E-7</v>
      </c>
    </row>
    <row r="111" spans="2:96">
      <c r="B111" s="405">
        <v>-15</v>
      </c>
      <c r="C111" s="406">
        <v>-0.4</v>
      </c>
      <c r="D111" s="410">
        <f t="shared" si="237"/>
        <v>-0.56999999999999995</v>
      </c>
      <c r="E111" s="407">
        <f t="shared" si="238"/>
        <v>0.16999999999999993</v>
      </c>
      <c r="F111" s="408">
        <f>(-0.51+1.57)/2</f>
        <v>0.53</v>
      </c>
      <c r="G111" s="409"/>
      <c r="H111" s="405">
        <v>-15</v>
      </c>
      <c r="I111" s="406">
        <v>-0.61</v>
      </c>
      <c r="J111" s="406">
        <f t="shared" si="239"/>
        <v>-0.4</v>
      </c>
      <c r="K111" s="407">
        <f t="shared" si="240"/>
        <v>0.20999999999999996</v>
      </c>
      <c r="L111" s="408">
        <f>(0+0.07)/2</f>
        <v>3.5000000000000003E-2</v>
      </c>
      <c r="M111" s="409"/>
      <c r="N111" s="405">
        <v>-15</v>
      </c>
      <c r="O111" s="422">
        <v>-0.47</v>
      </c>
      <c r="P111" s="406">
        <f t="shared" si="241"/>
        <v>-0.37</v>
      </c>
      <c r="Q111" s="407">
        <f t="shared" si="242"/>
        <v>9.9999999999999978E-2</v>
      </c>
      <c r="R111" s="404">
        <f>(0.08-0)/2</f>
        <v>0.04</v>
      </c>
      <c r="S111" s="391"/>
      <c r="T111" s="405">
        <v>-15</v>
      </c>
      <c r="U111" s="410">
        <f t="shared" si="243"/>
        <v>-1.07</v>
      </c>
      <c r="V111" s="406"/>
      <c r="W111" s="407">
        <f t="shared" si="244"/>
        <v>8.666666666666667E-2</v>
      </c>
      <c r="X111" s="404">
        <f>(0.08-0)/2</f>
        <v>0.04</v>
      </c>
      <c r="Y111" s="391"/>
      <c r="Z111" s="405">
        <v>-15</v>
      </c>
      <c r="AA111" s="410">
        <f t="shared" si="245"/>
        <v>0.23</v>
      </c>
      <c r="AB111" s="406">
        <v>0</v>
      </c>
      <c r="AC111" s="407">
        <f t="shared" si="246"/>
        <v>8.666666666666667E-2</v>
      </c>
      <c r="AD111" s="404">
        <f>(0.08-0)/2</f>
        <v>0.04</v>
      </c>
      <c r="AE111" s="391"/>
      <c r="AF111" s="405">
        <v>-15</v>
      </c>
      <c r="AG111" s="410">
        <f t="shared" si="247"/>
        <v>0.23</v>
      </c>
      <c r="AH111" s="406">
        <v>9.9999999999999995E-7</v>
      </c>
      <c r="AI111" s="407">
        <f t="shared" si="248"/>
        <v>0.22999900000000001</v>
      </c>
      <c r="AJ111" s="404">
        <f>(0.08-0)/2</f>
        <v>0.04</v>
      </c>
      <c r="AK111" s="391"/>
      <c r="AL111" s="405">
        <v>-15</v>
      </c>
      <c r="AM111" s="410">
        <f t="shared" si="249"/>
        <v>0.47</v>
      </c>
      <c r="AN111" s="406"/>
      <c r="AO111" s="407">
        <f t="shared" si="250"/>
        <v>8.3333333333333329E-2</v>
      </c>
      <c r="AP111" s="404">
        <f>(0.08-0)/2</f>
        <v>0.04</v>
      </c>
      <c r="AQ111" s="391"/>
      <c r="AR111" s="405">
        <v>-15</v>
      </c>
      <c r="AS111" s="410">
        <f t="shared" si="251"/>
        <v>0.38</v>
      </c>
      <c r="AT111" s="406"/>
      <c r="AU111" s="407">
        <f t="shared" si="252"/>
        <v>8.3333333333333329E-2</v>
      </c>
      <c r="AV111" s="404">
        <f>(0.08-0)/2</f>
        <v>0.04</v>
      </c>
      <c r="AW111" s="391"/>
      <c r="AX111" s="405">
        <v>-15</v>
      </c>
      <c r="AY111" s="410">
        <f t="shared" si="253"/>
        <v>9.9999999999999995E-7</v>
      </c>
      <c r="AZ111" s="406"/>
      <c r="BA111" s="407">
        <f t="shared" si="254"/>
        <v>0.26333333333333336</v>
      </c>
      <c r="BB111" s="404">
        <f>(0.08-0)/2</f>
        <v>0.04</v>
      </c>
      <c r="BC111" s="391"/>
      <c r="BD111" s="405">
        <v>-15</v>
      </c>
      <c r="BE111" s="410">
        <f t="shared" si="255"/>
        <v>-0.69</v>
      </c>
      <c r="BF111" s="406"/>
      <c r="BG111" s="407">
        <f t="shared" si="256"/>
        <v>9.0000000000000011E-2</v>
      </c>
      <c r="BH111" s="404">
        <f>(0.08-0)/2</f>
        <v>0.04</v>
      </c>
      <c r="BI111" s="391"/>
      <c r="BJ111" s="405">
        <v>-15</v>
      </c>
      <c r="BK111" s="410">
        <f t="shared" si="257"/>
        <v>9.9999999999999995E-7</v>
      </c>
      <c r="BL111" s="406"/>
      <c r="BM111" s="407">
        <f t="shared" si="258"/>
        <v>0.26333333333333336</v>
      </c>
      <c r="BN111" s="404">
        <f>(0.08-0)/2</f>
        <v>0.04</v>
      </c>
      <c r="BO111" s="391"/>
      <c r="BP111" s="405">
        <v>-15</v>
      </c>
      <c r="BQ111" s="410">
        <f t="shared" si="259"/>
        <v>-0.97</v>
      </c>
      <c r="BR111" s="406"/>
      <c r="BS111" s="407">
        <f t="shared" si="260"/>
        <v>8.666666666666667E-2</v>
      </c>
      <c r="BT111" s="404">
        <f>(0.08-0)/2</f>
        <v>0.04</v>
      </c>
      <c r="BU111" s="391"/>
      <c r="BV111" s="405">
        <v>-15</v>
      </c>
      <c r="BW111" s="410">
        <v>-1.0900000000000001</v>
      </c>
      <c r="BX111" s="406"/>
      <c r="BY111" s="407">
        <f>IF(OR(BW111=0,BX111=0),$AG$221/3,((MAX(BW111:BX111)-(MIN(BW111:BX111)))))</f>
        <v>9.3333333333333338E-2</v>
      </c>
      <c r="BZ111" s="656"/>
      <c r="CB111" s="405">
        <v>-15</v>
      </c>
      <c r="CC111" s="410">
        <f t="shared" si="234"/>
        <v>-1.2</v>
      </c>
      <c r="CD111" s="406">
        <f t="shared" ref="CD111:CD121" si="264">CD126</f>
        <v>-0.7</v>
      </c>
      <c r="CE111" s="407">
        <f t="shared" si="261"/>
        <v>0.40000000000000013</v>
      </c>
      <c r="CF111" s="404">
        <f>(0.08-0)/2</f>
        <v>0.04</v>
      </c>
      <c r="CG111" s="423"/>
      <c r="CH111" s="405">
        <v>-15</v>
      </c>
      <c r="CI111" s="410">
        <f t="shared" si="235"/>
        <v>-0.1</v>
      </c>
      <c r="CJ111" s="406">
        <f t="shared" si="235"/>
        <v>-0.24</v>
      </c>
      <c r="CK111" s="407">
        <f t="shared" si="262"/>
        <v>0.13999999999999999</v>
      </c>
      <c r="CL111" s="404">
        <f>(0.08-0)/2</f>
        <v>0.04</v>
      </c>
      <c r="CN111" s="405">
        <v>-15</v>
      </c>
      <c r="CO111" s="410">
        <f t="shared" si="236"/>
        <v>-1.52</v>
      </c>
      <c r="CP111" s="406">
        <f t="shared" si="236"/>
        <v>-0.39</v>
      </c>
      <c r="CQ111" s="407">
        <f t="shared" si="263"/>
        <v>1.1299999999999999</v>
      </c>
      <c r="CR111" s="404">
        <f>(0.08-0)/2</f>
        <v>0.04</v>
      </c>
    </row>
    <row r="112" spans="2:96">
      <c r="B112" s="405">
        <v>-10</v>
      </c>
      <c r="C112" s="406">
        <v>-0.33</v>
      </c>
      <c r="D112" s="410">
        <f t="shared" si="237"/>
        <v>-0.5</v>
      </c>
      <c r="E112" s="407">
        <f t="shared" si="238"/>
        <v>0.16999999999999998</v>
      </c>
      <c r="F112" s="408">
        <f>(-0.45+1.35)/2</f>
        <v>0.45000000000000007</v>
      </c>
      <c r="G112" s="409"/>
      <c r="H112" s="405">
        <v>-10</v>
      </c>
      <c r="I112" s="406">
        <v>9.9999999999999995E-7</v>
      </c>
      <c r="J112" s="406">
        <f t="shared" si="239"/>
        <v>-0.34</v>
      </c>
      <c r="K112" s="407">
        <f t="shared" si="240"/>
        <v>0.340001</v>
      </c>
      <c r="L112" s="408">
        <f>(0+0.07)/2</f>
        <v>3.5000000000000003E-2</v>
      </c>
      <c r="M112" s="409"/>
      <c r="N112" s="405">
        <v>-10</v>
      </c>
      <c r="O112" s="422">
        <v>-0.39</v>
      </c>
      <c r="P112" s="406">
        <f t="shared" si="241"/>
        <v>-0.31</v>
      </c>
      <c r="Q112" s="407">
        <f t="shared" si="242"/>
        <v>8.0000000000000016E-2</v>
      </c>
      <c r="R112" s="404">
        <f>(0.09-0)/2</f>
        <v>4.4999999999999998E-2</v>
      </c>
      <c r="S112" s="391"/>
      <c r="T112" s="405">
        <v>-10</v>
      </c>
      <c r="U112" s="410">
        <f t="shared" si="243"/>
        <v>-0.82</v>
      </c>
      <c r="V112" s="406"/>
      <c r="W112" s="407">
        <f t="shared" si="244"/>
        <v>8.666666666666667E-2</v>
      </c>
      <c r="X112" s="404">
        <f>(0.09-0)/2</f>
        <v>4.4999999999999998E-2</v>
      </c>
      <c r="Y112" s="391"/>
      <c r="Z112" s="405">
        <v>-10</v>
      </c>
      <c r="AA112" s="410">
        <f t="shared" si="245"/>
        <v>0.26</v>
      </c>
      <c r="AB112" s="406">
        <v>-0.31</v>
      </c>
      <c r="AC112" s="407">
        <f t="shared" si="246"/>
        <v>0.57000000000000006</v>
      </c>
      <c r="AD112" s="404">
        <f>(0.09-0)/2</f>
        <v>4.4999999999999998E-2</v>
      </c>
      <c r="AE112" s="391"/>
      <c r="AF112" s="405">
        <v>-10</v>
      </c>
      <c r="AG112" s="410">
        <f>Z211</f>
        <v>0.25</v>
      </c>
      <c r="AH112" s="406">
        <v>0.13</v>
      </c>
      <c r="AI112" s="407">
        <f t="shared" si="248"/>
        <v>0.12</v>
      </c>
      <c r="AJ112" s="404">
        <f>(0.09-0)/2</f>
        <v>4.4999999999999998E-2</v>
      </c>
      <c r="AK112" s="391"/>
      <c r="AL112" s="405">
        <v>-10</v>
      </c>
      <c r="AM112" s="410">
        <f t="shared" si="249"/>
        <v>0.48</v>
      </c>
      <c r="AN112" s="406"/>
      <c r="AO112" s="407">
        <f t="shared" si="250"/>
        <v>8.3333333333333329E-2</v>
      </c>
      <c r="AP112" s="404">
        <f>(0.09-0)/2</f>
        <v>4.4999999999999998E-2</v>
      </c>
      <c r="AQ112" s="391"/>
      <c r="AR112" s="405">
        <v>-10</v>
      </c>
      <c r="AS112" s="410">
        <f t="shared" si="251"/>
        <v>0.4</v>
      </c>
      <c r="AT112" s="406"/>
      <c r="AU112" s="407">
        <f t="shared" si="252"/>
        <v>8.3333333333333329E-2</v>
      </c>
      <c r="AV112" s="404">
        <f>(0.09-0)/2</f>
        <v>4.4999999999999998E-2</v>
      </c>
      <c r="AW112" s="391"/>
      <c r="AX112" s="405">
        <v>-10</v>
      </c>
      <c r="AY112" s="410">
        <f t="shared" si="253"/>
        <v>0.5</v>
      </c>
      <c r="AZ112" s="406"/>
      <c r="BA112" s="407">
        <f t="shared" si="254"/>
        <v>0.26333333333333336</v>
      </c>
      <c r="BB112" s="404">
        <f>(0.09-0)/2</f>
        <v>4.4999999999999998E-2</v>
      </c>
      <c r="BC112" s="391"/>
      <c r="BD112" s="405">
        <v>-10</v>
      </c>
      <c r="BE112" s="410">
        <f t="shared" si="255"/>
        <v>-0.49</v>
      </c>
      <c r="BF112" s="406"/>
      <c r="BG112" s="407">
        <f t="shared" si="256"/>
        <v>9.0000000000000011E-2</v>
      </c>
      <c r="BH112" s="404">
        <f>(0.09-0)/2</f>
        <v>4.4999999999999998E-2</v>
      </c>
      <c r="BI112" s="391"/>
      <c r="BJ112" s="405">
        <v>-10</v>
      </c>
      <c r="BK112" s="410">
        <f t="shared" si="257"/>
        <v>0.5</v>
      </c>
      <c r="BL112" s="406"/>
      <c r="BM112" s="407">
        <f t="shared" si="258"/>
        <v>0.26333333333333336</v>
      </c>
      <c r="BN112" s="404">
        <f>(0.09-0)/2</f>
        <v>4.4999999999999998E-2</v>
      </c>
      <c r="BO112" s="391"/>
      <c r="BP112" s="405">
        <v>-10</v>
      </c>
      <c r="BQ112" s="410">
        <f t="shared" si="259"/>
        <v>-0.77</v>
      </c>
      <c r="BR112" s="406"/>
      <c r="BS112" s="407">
        <f t="shared" si="260"/>
        <v>8.666666666666667E-2</v>
      </c>
      <c r="BT112" s="404">
        <f>(0.09-0)/2</f>
        <v>4.4999999999999998E-2</v>
      </c>
      <c r="BU112" s="391"/>
      <c r="BV112" s="405">
        <v>-10</v>
      </c>
      <c r="BW112" s="410">
        <v>-0.85</v>
      </c>
      <c r="BX112" s="406"/>
      <c r="BY112" s="407">
        <f t="shared" ref="BY112:BY121" si="265">IF(OR(BW112=0,BX112=0),$AG$221/3,((MAX(BW112:BX112)-(MIN(BW112:BX112)))))</f>
        <v>9.3333333333333338E-2</v>
      </c>
      <c r="BZ112" s="655">
        <f>IF($BZ$109&lt;=$BP$110,$BP$110,IF($BZ$109&lt;=$BP$111,$BP$111,IF($BZ$109&lt;=$BP$112,$BP$112,IF($BZ$109&lt;=$BP$113,$BP$113,IF($BT$109&lt;=$BP$114,$BP$114,IF($BT$109&lt;=$BP$115,$BP$115))))))</f>
        <v>2</v>
      </c>
      <c r="CB112" s="405">
        <v>-10</v>
      </c>
      <c r="CC112" s="410">
        <f t="shared" si="234"/>
        <v>-1.4</v>
      </c>
      <c r="CD112" s="406">
        <f t="shared" si="264"/>
        <v>-0.7</v>
      </c>
      <c r="CE112" s="407">
        <f t="shared" si="261"/>
        <v>0.5</v>
      </c>
      <c r="CF112" s="404">
        <f>(0.09-0)/2</f>
        <v>4.4999999999999998E-2</v>
      </c>
      <c r="CG112" s="424"/>
      <c r="CH112" s="405">
        <v>-10</v>
      </c>
      <c r="CI112" s="410">
        <f t="shared" si="235"/>
        <v>-0.05</v>
      </c>
      <c r="CJ112" s="406">
        <f t="shared" si="235"/>
        <v>-0.18</v>
      </c>
      <c r="CK112" s="407">
        <f t="shared" si="262"/>
        <v>0.13</v>
      </c>
      <c r="CL112" s="404">
        <f>(0.09-0)/2</f>
        <v>4.4999999999999998E-2</v>
      </c>
      <c r="CN112" s="405">
        <v>-10</v>
      </c>
      <c r="CO112" s="410">
        <f t="shared" si="236"/>
        <v>-1.26</v>
      </c>
      <c r="CP112" s="406">
        <f t="shared" si="236"/>
        <v>-0.28000000000000003</v>
      </c>
      <c r="CQ112" s="407">
        <f t="shared" si="263"/>
        <v>0.98</v>
      </c>
      <c r="CR112" s="404">
        <f>(0.09-0)/2</f>
        <v>4.4999999999999998E-2</v>
      </c>
    </row>
    <row r="113" spans="2:96">
      <c r="B113" s="405">
        <v>9.9999999999999995E-7</v>
      </c>
      <c r="C113" s="406">
        <v>-0.2</v>
      </c>
      <c r="D113" s="410">
        <f t="shared" si="237"/>
        <v>-0.36</v>
      </c>
      <c r="E113" s="407">
        <f t="shared" si="238"/>
        <v>0.15999999999999998</v>
      </c>
      <c r="F113" s="408">
        <f>(-0.34+0.95)/2</f>
        <v>0.30499999999999994</v>
      </c>
      <c r="G113" s="409"/>
      <c r="H113" s="405">
        <v>9.9999999999999995E-7</v>
      </c>
      <c r="I113" s="406">
        <v>-0.28999999999999998</v>
      </c>
      <c r="J113" s="406">
        <f t="shared" si="239"/>
        <v>-0.21</v>
      </c>
      <c r="K113" s="407">
        <f t="shared" si="240"/>
        <v>7.9999999999999988E-2</v>
      </c>
      <c r="L113" s="408">
        <f>(0+0.08)/2</f>
        <v>0.04</v>
      </c>
      <c r="M113" s="409"/>
      <c r="N113" s="405">
        <v>9.9999999999999995E-7</v>
      </c>
      <c r="O113" s="422">
        <v>-0.33</v>
      </c>
      <c r="P113" s="406">
        <f t="shared" si="241"/>
        <v>-0.21</v>
      </c>
      <c r="Q113" s="407">
        <f t="shared" si="242"/>
        <v>0.12000000000000002</v>
      </c>
      <c r="R113" s="404">
        <f>(0.11-0)/2</f>
        <v>5.5E-2</v>
      </c>
      <c r="S113" s="391"/>
      <c r="T113" s="405">
        <v>9.9999999999999995E-7</v>
      </c>
      <c r="U113" s="410">
        <f t="shared" si="243"/>
        <v>-0.28999999999999998</v>
      </c>
      <c r="V113" s="406"/>
      <c r="W113" s="407">
        <f t="shared" si="244"/>
        <v>8.666666666666667E-2</v>
      </c>
      <c r="X113" s="404">
        <f>(0.11-0)/2</f>
        <v>5.5E-2</v>
      </c>
      <c r="Y113" s="391"/>
      <c r="Z113" s="405">
        <v>9.9999999999999995E-7</v>
      </c>
      <c r="AA113" s="410">
        <f t="shared" si="245"/>
        <v>0.22</v>
      </c>
      <c r="AB113" s="406">
        <v>-0.05</v>
      </c>
      <c r="AC113" s="407">
        <f t="shared" si="246"/>
        <v>0.27</v>
      </c>
      <c r="AD113" s="404">
        <f>(0.11-0)/2</f>
        <v>5.5E-2</v>
      </c>
      <c r="AE113" s="391"/>
      <c r="AF113" s="405">
        <v>9.9999999999999995E-7</v>
      </c>
      <c r="AG113" s="410">
        <f t="shared" si="247"/>
        <v>0.21</v>
      </c>
      <c r="AH113" s="406">
        <v>0.32</v>
      </c>
      <c r="AI113" s="407">
        <f t="shared" si="248"/>
        <v>0.11000000000000001</v>
      </c>
      <c r="AJ113" s="404">
        <f>(0.11-0)/2</f>
        <v>5.5E-2</v>
      </c>
      <c r="AK113" s="391"/>
      <c r="AL113" s="405">
        <v>9.9999999999999995E-7</v>
      </c>
      <c r="AM113" s="410">
        <f t="shared" si="249"/>
        <v>0.46</v>
      </c>
      <c r="AN113" s="406"/>
      <c r="AO113" s="407">
        <f t="shared" si="250"/>
        <v>8.3333333333333329E-2</v>
      </c>
      <c r="AP113" s="404">
        <f>(0.11-0)/2</f>
        <v>5.5E-2</v>
      </c>
      <c r="AQ113" s="391"/>
      <c r="AR113" s="405">
        <v>9.9999999999999995E-7</v>
      </c>
      <c r="AS113" s="410">
        <f t="shared" si="251"/>
        <v>0.39</v>
      </c>
      <c r="AT113" s="406"/>
      <c r="AU113" s="407">
        <f t="shared" si="252"/>
        <v>8.3333333333333329E-2</v>
      </c>
      <c r="AV113" s="404">
        <f>(0.11-0)/2</f>
        <v>5.5E-2</v>
      </c>
      <c r="AW113" s="391"/>
      <c r="AX113" s="405">
        <v>9.9999999999999995E-7</v>
      </c>
      <c r="AY113" s="410">
        <f t="shared" si="253"/>
        <v>0.48</v>
      </c>
      <c r="AZ113" s="406"/>
      <c r="BA113" s="407">
        <f t="shared" si="254"/>
        <v>0.26333333333333336</v>
      </c>
      <c r="BB113" s="404">
        <f>(0.11-0)/2</f>
        <v>5.5E-2</v>
      </c>
      <c r="BC113" s="391"/>
      <c r="BD113" s="405">
        <v>9.9999999999999995E-7</v>
      </c>
      <c r="BE113" s="410">
        <f t="shared" si="255"/>
        <v>-0.27</v>
      </c>
      <c r="BF113" s="406"/>
      <c r="BG113" s="407">
        <f t="shared" si="256"/>
        <v>9.0000000000000011E-2</v>
      </c>
      <c r="BH113" s="404">
        <f>(0.11-0)/2</f>
        <v>5.5E-2</v>
      </c>
      <c r="BI113" s="391"/>
      <c r="BJ113" s="405">
        <v>9.9999999999999995E-7</v>
      </c>
      <c r="BK113" s="410">
        <f t="shared" si="257"/>
        <v>0.48</v>
      </c>
      <c r="BL113" s="406"/>
      <c r="BM113" s="407">
        <f t="shared" si="258"/>
        <v>0.26333333333333336</v>
      </c>
      <c r="BN113" s="404">
        <f>(0.11-0)/2</f>
        <v>5.5E-2</v>
      </c>
      <c r="BO113" s="391"/>
      <c r="BP113" s="405">
        <v>9.9999999999999995E-7</v>
      </c>
      <c r="BQ113" s="410">
        <f t="shared" si="259"/>
        <v>-0.56000000000000005</v>
      </c>
      <c r="BR113" s="406"/>
      <c r="BS113" s="407">
        <f t="shared" si="260"/>
        <v>8.666666666666667E-2</v>
      </c>
      <c r="BT113" s="404">
        <f>(0.11-0)/2</f>
        <v>5.5E-2</v>
      </c>
      <c r="BU113" s="391"/>
      <c r="BV113" s="405">
        <v>9.9999999999999995E-7</v>
      </c>
      <c r="BW113" s="410">
        <v>-0.5</v>
      </c>
      <c r="BX113" s="406"/>
      <c r="BY113" s="407">
        <f t="shared" si="265"/>
        <v>9.3333333333333338E-2</v>
      </c>
      <c r="BZ113" s="656"/>
      <c r="CB113" s="405">
        <v>9.9999999999999995E-7</v>
      </c>
      <c r="CC113" s="410">
        <f t="shared" si="234"/>
        <v>0</v>
      </c>
      <c r="CD113" s="406">
        <f t="shared" si="264"/>
        <v>-0.7</v>
      </c>
      <c r="CE113" s="407">
        <f t="shared" si="261"/>
        <v>0.7</v>
      </c>
      <c r="CF113" s="404">
        <f>(0.11-0)/2</f>
        <v>5.5E-2</v>
      </c>
      <c r="CG113" s="425"/>
      <c r="CH113" s="405">
        <v>9.9999999999999995E-7</v>
      </c>
      <c r="CI113" s="410">
        <f t="shared" si="235"/>
        <v>0.03</v>
      </c>
      <c r="CJ113" s="406">
        <f t="shared" si="235"/>
        <v>-0.06</v>
      </c>
      <c r="CK113" s="407">
        <f t="shared" si="262"/>
        <v>0.09</v>
      </c>
      <c r="CL113" s="404">
        <f>(0.11-0)/2</f>
        <v>5.5E-2</v>
      </c>
      <c r="CN113" s="405">
        <v>9.9999999999999995E-7</v>
      </c>
      <c r="CO113" s="410">
        <f t="shared" si="236"/>
        <v>-0.79</v>
      </c>
      <c r="CP113" s="406">
        <f t="shared" si="236"/>
        <v>-0.08</v>
      </c>
      <c r="CQ113" s="407">
        <f t="shared" si="263"/>
        <v>0.71000000000000008</v>
      </c>
      <c r="CR113" s="404">
        <f>(0.11-0)/2</f>
        <v>5.5E-2</v>
      </c>
    </row>
    <row r="114" spans="2:96">
      <c r="B114" s="405">
        <v>2</v>
      </c>
      <c r="C114" s="406">
        <v>-0.18</v>
      </c>
      <c r="D114" s="410">
        <f t="shared" si="237"/>
        <v>-0.33</v>
      </c>
      <c r="E114" s="407">
        <f t="shared" si="238"/>
        <v>0.15000000000000002</v>
      </c>
      <c r="F114" s="408">
        <f>(-0.33+0.88)/2</f>
        <v>0.27500000000000002</v>
      </c>
      <c r="G114" s="409"/>
      <c r="H114" s="405">
        <v>2</v>
      </c>
      <c r="I114" s="406">
        <v>-0.26</v>
      </c>
      <c r="J114" s="406">
        <f t="shared" si="239"/>
        <v>-0.19</v>
      </c>
      <c r="K114" s="407">
        <f t="shared" si="240"/>
        <v>7.0000000000000007E-2</v>
      </c>
      <c r="L114" s="408">
        <f>(0+0.08)/2</f>
        <v>0.04</v>
      </c>
      <c r="M114" s="409"/>
      <c r="N114" s="405">
        <v>2</v>
      </c>
      <c r="O114" s="422">
        <v>-0.31</v>
      </c>
      <c r="P114" s="406">
        <f t="shared" si="241"/>
        <v>-0.2</v>
      </c>
      <c r="Q114" s="407">
        <f t="shared" si="242"/>
        <v>0.10999999999999999</v>
      </c>
      <c r="R114" s="404">
        <f>(0.11-0)/2</f>
        <v>5.5E-2</v>
      </c>
      <c r="S114" s="391"/>
      <c r="T114" s="405">
        <v>2</v>
      </c>
      <c r="U114" s="410">
        <f t="shared" si="243"/>
        <v>-0.51</v>
      </c>
      <c r="V114" s="406"/>
      <c r="W114" s="407">
        <f t="shared" si="244"/>
        <v>8.666666666666667E-2</v>
      </c>
      <c r="X114" s="404">
        <f>(0.11-0)/2</f>
        <v>5.5E-2</v>
      </c>
      <c r="Y114" s="391"/>
      <c r="Z114" s="405">
        <v>2</v>
      </c>
      <c r="AA114" s="410">
        <f t="shared" si="245"/>
        <v>0.27</v>
      </c>
      <c r="AB114" s="406">
        <v>0</v>
      </c>
      <c r="AC114" s="407">
        <f t="shared" si="246"/>
        <v>8.666666666666667E-2</v>
      </c>
      <c r="AD114" s="404">
        <f>(0.11-0)/2</f>
        <v>5.5E-2</v>
      </c>
      <c r="AE114" s="391"/>
      <c r="AF114" s="405">
        <v>2</v>
      </c>
      <c r="AG114" s="410">
        <f t="shared" si="247"/>
        <v>0.25</v>
      </c>
      <c r="AH114" s="406">
        <v>0.35</v>
      </c>
      <c r="AI114" s="407">
        <f t="shared" si="248"/>
        <v>9.9999999999999978E-2</v>
      </c>
      <c r="AJ114" s="404">
        <f>(0.11-0)/2</f>
        <v>5.5E-2</v>
      </c>
      <c r="AK114" s="391"/>
      <c r="AL114" s="405">
        <v>2</v>
      </c>
      <c r="AM114" s="410">
        <f t="shared" si="249"/>
        <v>0.48</v>
      </c>
      <c r="AN114" s="406"/>
      <c r="AO114" s="407">
        <f t="shared" si="250"/>
        <v>8.3333333333333329E-2</v>
      </c>
      <c r="AP114" s="404">
        <f>(0.11-0)/2</f>
        <v>5.5E-2</v>
      </c>
      <c r="AQ114" s="391"/>
      <c r="AR114" s="405">
        <v>2</v>
      </c>
      <c r="AS114" s="410">
        <f t="shared" si="251"/>
        <v>0.4</v>
      </c>
      <c r="AT114" s="406"/>
      <c r="AU114" s="407">
        <f t="shared" si="252"/>
        <v>8.3333333333333329E-2</v>
      </c>
      <c r="AV114" s="404">
        <f>(0.11-0)/2</f>
        <v>5.5E-2</v>
      </c>
      <c r="AW114" s="391"/>
      <c r="AX114" s="405">
        <v>2</v>
      </c>
      <c r="AY114" s="410">
        <f t="shared" si="253"/>
        <v>0.48</v>
      </c>
      <c r="AZ114" s="406"/>
      <c r="BA114" s="407">
        <f t="shared" si="254"/>
        <v>0.26333333333333336</v>
      </c>
      <c r="BB114" s="404">
        <f>(0.11-0)/2</f>
        <v>5.5E-2</v>
      </c>
      <c r="BC114" s="391"/>
      <c r="BD114" s="405">
        <v>2</v>
      </c>
      <c r="BE114" s="410">
        <f t="shared" si="255"/>
        <v>-0.27</v>
      </c>
      <c r="BF114" s="406"/>
      <c r="BG114" s="407">
        <f t="shared" si="256"/>
        <v>9.0000000000000011E-2</v>
      </c>
      <c r="BH114" s="404">
        <f>(0.11-0)/2</f>
        <v>5.5E-2</v>
      </c>
      <c r="BI114" s="391"/>
      <c r="BJ114" s="405">
        <v>2</v>
      </c>
      <c r="BK114" s="410">
        <f t="shared" si="257"/>
        <v>0.48</v>
      </c>
      <c r="BL114" s="406"/>
      <c r="BM114" s="407">
        <f t="shared" si="258"/>
        <v>0.26333333333333336</v>
      </c>
      <c r="BN114" s="404">
        <f>(0.11-0)/2</f>
        <v>5.5E-2</v>
      </c>
      <c r="BO114" s="391"/>
      <c r="BP114" s="405">
        <v>2</v>
      </c>
      <c r="BQ114" s="410">
        <f t="shared" si="259"/>
        <v>-0.51</v>
      </c>
      <c r="BR114" s="406"/>
      <c r="BS114" s="407">
        <f t="shared" si="260"/>
        <v>8.666666666666667E-2</v>
      </c>
      <c r="BT114" s="404">
        <f>(0.11-0)/2</f>
        <v>5.5E-2</v>
      </c>
      <c r="BU114" s="391"/>
      <c r="BV114" s="405">
        <v>2</v>
      </c>
      <c r="BW114" s="410">
        <v>-0.57999999999999996</v>
      </c>
      <c r="BX114" s="406"/>
      <c r="BY114" s="407">
        <f t="shared" si="265"/>
        <v>9.3333333333333338E-2</v>
      </c>
      <c r="BZ114" s="657">
        <f>VLOOKUP($BZ$110,$BV$110:$BY$115,4)</f>
        <v>9.3333333333333338E-2</v>
      </c>
      <c r="CB114" s="405">
        <v>2</v>
      </c>
      <c r="CC114" s="410">
        <f t="shared" si="234"/>
        <v>0</v>
      </c>
      <c r="CD114" s="406">
        <f t="shared" si="264"/>
        <v>-0.7</v>
      </c>
      <c r="CE114" s="407">
        <f t="shared" si="261"/>
        <v>0.19999999999999998</v>
      </c>
      <c r="CF114" s="404">
        <f>(0.11-0)/2</f>
        <v>5.5E-2</v>
      </c>
      <c r="CG114" s="426"/>
      <c r="CH114" s="405">
        <v>2</v>
      </c>
      <c r="CI114" s="410">
        <f t="shared" si="235"/>
        <v>0.04</v>
      </c>
      <c r="CJ114" s="406">
        <f t="shared" si="235"/>
        <v>-0.04</v>
      </c>
      <c r="CK114" s="407">
        <f t="shared" si="262"/>
        <v>0.08</v>
      </c>
      <c r="CL114" s="404">
        <f>(0.11-0)/2</f>
        <v>5.5E-2</v>
      </c>
      <c r="CN114" s="405">
        <v>2</v>
      </c>
      <c r="CO114" s="410">
        <f t="shared" si="236"/>
        <v>-0.7</v>
      </c>
      <c r="CP114" s="406">
        <f t="shared" si="236"/>
        <v>-0.05</v>
      </c>
      <c r="CQ114" s="407">
        <f t="shared" si="263"/>
        <v>0.64999999999999991</v>
      </c>
      <c r="CR114" s="404">
        <f>(0.11-0)/2</f>
        <v>5.5E-2</v>
      </c>
    </row>
    <row r="115" spans="2:96">
      <c r="B115" s="405">
        <v>8</v>
      </c>
      <c r="C115" s="406">
        <v>-0.11</v>
      </c>
      <c r="D115" s="410">
        <f t="shared" si="237"/>
        <v>-0.24</v>
      </c>
      <c r="E115" s="407">
        <f t="shared" si="238"/>
        <v>0.13</v>
      </c>
      <c r="F115" s="408">
        <f>(-0.28+0.66)/2</f>
        <v>0.19</v>
      </c>
      <c r="G115" s="409"/>
      <c r="H115" s="405">
        <v>8</v>
      </c>
      <c r="I115" s="406">
        <v>-0.16</v>
      </c>
      <c r="J115" s="406">
        <f t="shared" si="239"/>
        <v>-0.12</v>
      </c>
      <c r="K115" s="407">
        <f t="shared" si="240"/>
        <v>4.0000000000000008E-2</v>
      </c>
      <c r="L115" s="408">
        <f>(0+0.08)/2</f>
        <v>0.04</v>
      </c>
      <c r="M115" s="409"/>
      <c r="N115" s="405">
        <v>8</v>
      </c>
      <c r="O115" s="422">
        <v>-0.18</v>
      </c>
      <c r="P115" s="406">
        <f t="shared" si="241"/>
        <v>-0.16</v>
      </c>
      <c r="Q115" s="407">
        <f t="shared" si="242"/>
        <v>1.999999999999999E-2</v>
      </c>
      <c r="R115" s="404">
        <f>(0.12-0)/2</f>
        <v>0.06</v>
      </c>
      <c r="S115" s="391"/>
      <c r="T115" s="405">
        <v>8</v>
      </c>
      <c r="U115" s="410">
        <f t="shared" si="243"/>
        <v>-0.26</v>
      </c>
      <c r="V115" s="406"/>
      <c r="W115" s="407">
        <f t="shared" si="244"/>
        <v>8.666666666666667E-2</v>
      </c>
      <c r="X115" s="404">
        <f>(0.12-0)/2</f>
        <v>0.06</v>
      </c>
      <c r="Y115" s="391"/>
      <c r="Z115" s="405">
        <v>8</v>
      </c>
      <c r="AA115" s="410">
        <f t="shared" si="245"/>
        <v>0.25</v>
      </c>
      <c r="AB115" s="406">
        <v>0.13</v>
      </c>
      <c r="AC115" s="407">
        <f t="shared" si="246"/>
        <v>0.12</v>
      </c>
      <c r="AD115" s="404">
        <f>(0.12-0)/2</f>
        <v>0.06</v>
      </c>
      <c r="AE115" s="391"/>
      <c r="AF115" s="405">
        <v>8</v>
      </c>
      <c r="AG115" s="410">
        <f t="shared" si="247"/>
        <v>0.24</v>
      </c>
      <c r="AH115" s="406">
        <v>0.44</v>
      </c>
      <c r="AI115" s="407">
        <f t="shared" si="248"/>
        <v>0.2</v>
      </c>
      <c r="AJ115" s="404">
        <f>(0.12-0)/2</f>
        <v>0.06</v>
      </c>
      <c r="AK115" s="391"/>
      <c r="AL115" s="405">
        <v>8</v>
      </c>
      <c r="AM115" s="410">
        <f t="shared" si="249"/>
        <v>0.48</v>
      </c>
      <c r="AN115" s="406"/>
      <c r="AO115" s="407">
        <f t="shared" si="250"/>
        <v>8.3333333333333329E-2</v>
      </c>
      <c r="AP115" s="404">
        <f>(0.12-0)/2</f>
        <v>0.06</v>
      </c>
      <c r="AQ115" s="391"/>
      <c r="AR115" s="405">
        <v>8</v>
      </c>
      <c r="AS115" s="410">
        <f t="shared" si="251"/>
        <v>0.38</v>
      </c>
      <c r="AT115" s="406"/>
      <c r="AU115" s="407">
        <f t="shared" si="252"/>
        <v>8.3333333333333329E-2</v>
      </c>
      <c r="AV115" s="404">
        <f>(0.12-0)/2</f>
        <v>0.06</v>
      </c>
      <c r="AW115" s="391"/>
      <c r="AX115" s="405">
        <v>8</v>
      </c>
      <c r="AY115" s="410">
        <f t="shared" si="253"/>
        <v>0.46</v>
      </c>
      <c r="AZ115" s="406"/>
      <c r="BA115" s="407">
        <f t="shared" si="254"/>
        <v>0.26333333333333336</v>
      </c>
      <c r="BB115" s="404">
        <f>(0.12-0)/2</f>
        <v>0.06</v>
      </c>
      <c r="BC115" s="391"/>
      <c r="BD115" s="405">
        <v>8</v>
      </c>
      <c r="BE115" s="410">
        <f t="shared" si="255"/>
        <v>-0.03</v>
      </c>
      <c r="BF115" s="406"/>
      <c r="BG115" s="407">
        <f t="shared" si="256"/>
        <v>9.0000000000000011E-2</v>
      </c>
      <c r="BH115" s="404">
        <f>(0.12-0)/2</f>
        <v>0.06</v>
      </c>
      <c r="BI115" s="391"/>
      <c r="BJ115" s="405">
        <v>8</v>
      </c>
      <c r="BK115" s="410">
        <f t="shared" si="257"/>
        <v>0.46</v>
      </c>
      <c r="BL115" s="406"/>
      <c r="BM115" s="407">
        <f t="shared" si="258"/>
        <v>0.26333333333333336</v>
      </c>
      <c r="BN115" s="404">
        <f>(0.12-0)/2</f>
        <v>0.06</v>
      </c>
      <c r="BO115" s="391"/>
      <c r="BP115" s="405">
        <v>8</v>
      </c>
      <c r="BQ115" s="410">
        <f t="shared" si="259"/>
        <v>-0.26</v>
      </c>
      <c r="BR115" s="406"/>
      <c r="BS115" s="407">
        <f t="shared" si="260"/>
        <v>8.666666666666667E-2</v>
      </c>
      <c r="BT115" s="404">
        <f>(0.12-0)/2</f>
        <v>0.06</v>
      </c>
      <c r="BU115" s="391"/>
      <c r="BV115" s="405">
        <v>8</v>
      </c>
      <c r="BW115" s="410">
        <v>-0.3</v>
      </c>
      <c r="BX115" s="406"/>
      <c r="BY115" s="407">
        <f t="shared" si="265"/>
        <v>9.3333333333333338E-2</v>
      </c>
      <c r="BZ115" s="656"/>
      <c r="CB115" s="405">
        <v>8</v>
      </c>
      <c r="CC115" s="410">
        <f t="shared" si="234"/>
        <v>0</v>
      </c>
      <c r="CD115" s="406">
        <f t="shared" si="264"/>
        <v>-0.7</v>
      </c>
      <c r="CE115" s="407">
        <f t="shared" si="261"/>
        <v>0.19999999999999998</v>
      </c>
      <c r="CF115" s="404">
        <f>(0.12-0)/2</f>
        <v>0.06</v>
      </c>
      <c r="CG115" s="426"/>
      <c r="CH115" s="405">
        <v>8</v>
      </c>
      <c r="CI115" s="410">
        <f t="shared" si="235"/>
        <v>0.08</v>
      </c>
      <c r="CJ115" s="406">
        <f t="shared" si="235"/>
        <v>0.01</v>
      </c>
      <c r="CK115" s="407">
        <f t="shared" si="262"/>
        <v>7.0000000000000007E-2</v>
      </c>
      <c r="CL115" s="404">
        <f>(0.12-0)/2</f>
        <v>0.06</v>
      </c>
      <c r="CN115" s="405">
        <v>8</v>
      </c>
      <c r="CO115" s="410">
        <f t="shared" si="236"/>
        <v>-0.46</v>
      </c>
      <c r="CP115" s="406">
        <f t="shared" si="236"/>
        <v>0.06</v>
      </c>
      <c r="CQ115" s="407">
        <f t="shared" si="263"/>
        <v>0.52</v>
      </c>
      <c r="CR115" s="404">
        <f>(0.12-0)/2</f>
        <v>0.06</v>
      </c>
    </row>
    <row r="116" spans="2:96">
      <c r="B116" s="405">
        <v>37</v>
      </c>
      <c r="C116" s="406">
        <v>0.11</v>
      </c>
      <c r="D116" s="410">
        <f t="shared" si="237"/>
        <v>0.16</v>
      </c>
      <c r="E116" s="407">
        <f t="shared" si="238"/>
        <v>0.05</v>
      </c>
      <c r="F116" s="408">
        <f>(0.19+0.21)/2</f>
        <v>0.2</v>
      </c>
      <c r="G116" s="409"/>
      <c r="H116" s="405">
        <v>37</v>
      </c>
      <c r="I116" s="406">
        <v>0.14000000000000001</v>
      </c>
      <c r="J116" s="406">
        <f t="shared" si="239"/>
        <v>0.19</v>
      </c>
      <c r="K116" s="407">
        <f t="shared" si="240"/>
        <v>4.9999999999999989E-2</v>
      </c>
      <c r="L116" s="408">
        <f>(0+0.08)/2</f>
        <v>0.04</v>
      </c>
      <c r="M116" s="409"/>
      <c r="N116" s="405">
        <v>37</v>
      </c>
      <c r="O116" s="422">
        <v>-0.14000000000000001</v>
      </c>
      <c r="P116" s="406">
        <f t="shared" si="241"/>
        <v>-0.05</v>
      </c>
      <c r="Q116" s="407">
        <f t="shared" si="242"/>
        <v>9.0000000000000011E-2</v>
      </c>
      <c r="R116" s="404">
        <f>(0.16-0)/2</f>
        <v>0.08</v>
      </c>
      <c r="S116" s="391"/>
      <c r="T116" s="405">
        <v>37</v>
      </c>
      <c r="U116" s="410">
        <f t="shared" si="243"/>
        <v>0.57999999999999996</v>
      </c>
      <c r="V116" s="406"/>
      <c r="W116" s="407">
        <f t="shared" si="244"/>
        <v>8.666666666666667E-2</v>
      </c>
      <c r="X116" s="404">
        <f>(0.16-0)/2</f>
        <v>0.08</v>
      </c>
      <c r="Y116" s="391"/>
      <c r="Z116" s="405">
        <v>37</v>
      </c>
      <c r="AA116" s="410">
        <f t="shared" si="245"/>
        <v>0.22</v>
      </c>
      <c r="AB116" s="406">
        <v>0.59</v>
      </c>
      <c r="AC116" s="407">
        <f t="shared" si="246"/>
        <v>0.37</v>
      </c>
      <c r="AD116" s="404">
        <f>(0.16-0)/2</f>
        <v>0.08</v>
      </c>
      <c r="AE116" s="391"/>
      <c r="AF116" s="405">
        <v>37</v>
      </c>
      <c r="AG116" s="410">
        <f t="shared" si="247"/>
        <v>0.23</v>
      </c>
      <c r="AH116" s="406">
        <v>0.72</v>
      </c>
      <c r="AI116" s="407">
        <f t="shared" si="248"/>
        <v>0.49</v>
      </c>
      <c r="AJ116" s="404">
        <f>(0.16-0)/2</f>
        <v>0.08</v>
      </c>
      <c r="AK116" s="391"/>
      <c r="AL116" s="405">
        <v>37</v>
      </c>
      <c r="AM116" s="410">
        <f t="shared" si="249"/>
        <v>0.47</v>
      </c>
      <c r="AN116" s="406"/>
      <c r="AO116" s="407">
        <f t="shared" si="250"/>
        <v>8.3333333333333329E-2</v>
      </c>
      <c r="AP116" s="404">
        <f>(0.16-0)/2</f>
        <v>0.08</v>
      </c>
      <c r="AQ116" s="391"/>
      <c r="AR116" s="405">
        <v>37</v>
      </c>
      <c r="AS116" s="410">
        <f t="shared" si="251"/>
        <v>0.33</v>
      </c>
      <c r="AT116" s="406"/>
      <c r="AU116" s="407">
        <f t="shared" si="252"/>
        <v>8.3333333333333329E-2</v>
      </c>
      <c r="AV116" s="404">
        <f>(0.16-0)/2</f>
        <v>0.08</v>
      </c>
      <c r="AW116" s="391"/>
      <c r="AX116" s="405">
        <v>37</v>
      </c>
      <c r="AY116" s="410">
        <f t="shared" si="253"/>
        <v>0.39</v>
      </c>
      <c r="AZ116" s="406"/>
      <c r="BA116" s="407">
        <f t="shared" si="254"/>
        <v>0.26333333333333336</v>
      </c>
      <c r="BB116" s="404">
        <f>(0.16-0)/2</f>
        <v>0.08</v>
      </c>
      <c r="BC116" s="391"/>
      <c r="BD116" s="405">
        <v>37</v>
      </c>
      <c r="BE116" s="410">
        <f t="shared" si="255"/>
        <v>0.72</v>
      </c>
      <c r="BF116" s="406"/>
      <c r="BG116" s="407">
        <f t="shared" si="256"/>
        <v>9.0000000000000011E-2</v>
      </c>
      <c r="BH116" s="404">
        <f>(0.16-0)/2</f>
        <v>0.08</v>
      </c>
      <c r="BI116" s="391"/>
      <c r="BJ116" s="405">
        <v>37</v>
      </c>
      <c r="BK116" s="410">
        <f t="shared" si="257"/>
        <v>0.39</v>
      </c>
      <c r="BL116" s="406"/>
      <c r="BM116" s="407">
        <f t="shared" si="258"/>
        <v>0.26333333333333336</v>
      </c>
      <c r="BN116" s="404">
        <f>(0.16-0)/2</f>
        <v>0.08</v>
      </c>
      <c r="BO116" s="391"/>
      <c r="BP116" s="405">
        <v>37</v>
      </c>
      <c r="BQ116" s="410">
        <f t="shared" si="259"/>
        <v>0.49</v>
      </c>
      <c r="BR116" s="406"/>
      <c r="BS116" s="407">
        <f t="shared" si="260"/>
        <v>8.666666666666667E-2</v>
      </c>
      <c r="BT116" s="404">
        <f>(0.16-0)/2</f>
        <v>0.08</v>
      </c>
      <c r="BU116" s="391"/>
      <c r="BV116" s="405">
        <v>37</v>
      </c>
      <c r="BW116" s="410">
        <v>0.61</v>
      </c>
      <c r="BX116" s="406"/>
      <c r="BY116" s="407">
        <f t="shared" si="265"/>
        <v>9.3333333333333338E-2</v>
      </c>
      <c r="BZ116" s="657">
        <f>VLOOKUP($BZ$109,$BV$110:$BY$115,4)</f>
        <v>9.3333333333333338E-2</v>
      </c>
      <c r="CB116" s="405">
        <v>37</v>
      </c>
      <c r="CC116" s="410">
        <f t="shared" si="234"/>
        <v>0</v>
      </c>
      <c r="CD116" s="406">
        <f t="shared" si="264"/>
        <v>-0.6</v>
      </c>
      <c r="CE116" s="407">
        <f t="shared" si="261"/>
        <v>0.19999999999999998</v>
      </c>
      <c r="CF116" s="404">
        <f>(0.16-0)/2</f>
        <v>0.08</v>
      </c>
      <c r="CG116" s="426"/>
      <c r="CH116" s="405">
        <v>37</v>
      </c>
      <c r="CI116" s="410">
        <f t="shared" si="235"/>
        <v>0.23</v>
      </c>
      <c r="CJ116" s="406">
        <f t="shared" si="235"/>
        <v>0.19</v>
      </c>
      <c r="CK116" s="407">
        <f t="shared" si="262"/>
        <v>4.0000000000000008E-2</v>
      </c>
      <c r="CL116" s="404">
        <f>(0.16-0)/2</f>
        <v>0.08</v>
      </c>
      <c r="CN116" s="405">
        <v>37</v>
      </c>
      <c r="CO116" s="410">
        <f t="shared" si="236"/>
        <v>0.42</v>
      </c>
      <c r="CP116" s="406">
        <f t="shared" si="236"/>
        <v>0.45</v>
      </c>
      <c r="CQ116" s="407">
        <f t="shared" si="263"/>
        <v>3.0000000000000027E-2</v>
      </c>
      <c r="CR116" s="404">
        <f>(0.16-0)/2</f>
        <v>0.08</v>
      </c>
    </row>
    <row r="117" spans="2:96">
      <c r="B117" s="405">
        <v>44</v>
      </c>
      <c r="C117" s="406">
        <v>0.15</v>
      </c>
      <c r="D117" s="410">
        <f t="shared" si="237"/>
        <v>0.25</v>
      </c>
      <c r="E117" s="407">
        <f t="shared" si="238"/>
        <v>0.1</v>
      </c>
      <c r="F117" s="408">
        <f>(0.35+0.23)/2</f>
        <v>0.28999999999999998</v>
      </c>
      <c r="G117" s="409"/>
      <c r="H117" s="405">
        <v>44</v>
      </c>
      <c r="I117" s="406">
        <v>0.18</v>
      </c>
      <c r="J117" s="406">
        <f t="shared" si="239"/>
        <v>0.26</v>
      </c>
      <c r="K117" s="407">
        <f t="shared" si="240"/>
        <v>8.0000000000000016E-2</v>
      </c>
      <c r="L117" s="408">
        <f>(0+0.13)/2</f>
        <v>6.5000000000000002E-2</v>
      </c>
      <c r="M117" s="409"/>
      <c r="N117" s="405">
        <v>44</v>
      </c>
      <c r="O117" s="422">
        <v>-0.18</v>
      </c>
      <c r="P117" s="406">
        <f t="shared" si="241"/>
        <v>-0.04</v>
      </c>
      <c r="Q117" s="407">
        <f t="shared" si="242"/>
        <v>0.13999999999999999</v>
      </c>
      <c r="R117" s="404">
        <f>(0.12-0)/2</f>
        <v>0.06</v>
      </c>
      <c r="S117" s="391"/>
      <c r="T117" s="405">
        <v>44</v>
      </c>
      <c r="U117" s="410">
        <f t="shared" si="243"/>
        <v>0.7</v>
      </c>
      <c r="V117" s="406"/>
      <c r="W117" s="407">
        <f t="shared" si="244"/>
        <v>8.666666666666667E-2</v>
      </c>
      <c r="X117" s="404">
        <f>(0.12-0)/2</f>
        <v>0.06</v>
      </c>
      <c r="Y117" s="391"/>
      <c r="Z117" s="405">
        <v>44</v>
      </c>
      <c r="AA117" s="410">
        <f t="shared" si="245"/>
        <v>0.21</v>
      </c>
      <c r="AB117" s="406">
        <v>0.66</v>
      </c>
      <c r="AC117" s="407">
        <f t="shared" si="246"/>
        <v>0.45000000000000007</v>
      </c>
      <c r="AD117" s="404">
        <f>(0.12-0)/2</f>
        <v>0.06</v>
      </c>
      <c r="AE117" s="391"/>
      <c r="AF117" s="405">
        <v>44</v>
      </c>
      <c r="AG117" s="410">
        <f t="shared" si="247"/>
        <v>0.23</v>
      </c>
      <c r="AH117" s="406">
        <v>0.75</v>
      </c>
      <c r="AI117" s="407">
        <f t="shared" si="248"/>
        <v>0.52</v>
      </c>
      <c r="AJ117" s="404">
        <f>(0.12-0)/2</f>
        <v>0.06</v>
      </c>
      <c r="AK117" s="391"/>
      <c r="AL117" s="405">
        <v>44</v>
      </c>
      <c r="AM117" s="410">
        <f t="shared" si="249"/>
        <v>0.48</v>
      </c>
      <c r="AN117" s="406"/>
      <c r="AO117" s="407">
        <f t="shared" si="250"/>
        <v>8.3333333333333329E-2</v>
      </c>
      <c r="AP117" s="404">
        <f>(0.12-0)/2</f>
        <v>0.06</v>
      </c>
      <c r="AQ117" s="391"/>
      <c r="AR117" s="405">
        <v>44</v>
      </c>
      <c r="AS117" s="410">
        <f t="shared" si="251"/>
        <v>0.33</v>
      </c>
      <c r="AT117" s="406"/>
      <c r="AU117" s="407">
        <f t="shared" si="252"/>
        <v>8.3333333333333329E-2</v>
      </c>
      <c r="AV117" s="404">
        <f>(0.12-0)/2</f>
        <v>0.06</v>
      </c>
      <c r="AW117" s="391"/>
      <c r="AX117" s="405">
        <v>44</v>
      </c>
      <c r="AY117" s="410">
        <f t="shared" si="253"/>
        <v>0.37</v>
      </c>
      <c r="AZ117" s="406"/>
      <c r="BA117" s="407">
        <f t="shared" si="254"/>
        <v>0.26333333333333336</v>
      </c>
      <c r="BB117" s="404">
        <f>(0.12-0)/2</f>
        <v>0.06</v>
      </c>
      <c r="BC117" s="391"/>
      <c r="BD117" s="405">
        <v>44</v>
      </c>
      <c r="BE117" s="410">
        <f t="shared" si="255"/>
        <v>0.82</v>
      </c>
      <c r="BF117" s="406"/>
      <c r="BG117" s="407">
        <f t="shared" si="256"/>
        <v>9.0000000000000011E-2</v>
      </c>
      <c r="BH117" s="404">
        <f>(0.12-0)/2</f>
        <v>0.06</v>
      </c>
      <c r="BI117" s="391"/>
      <c r="BJ117" s="405">
        <v>44</v>
      </c>
      <c r="BK117" s="410">
        <f t="shared" si="257"/>
        <v>0.37</v>
      </c>
      <c r="BL117" s="406"/>
      <c r="BM117" s="407">
        <f t="shared" si="258"/>
        <v>0.26333333333333336</v>
      </c>
      <c r="BN117" s="404">
        <f>(0.12-0)/2</f>
        <v>0.06</v>
      </c>
      <c r="BO117" s="391"/>
      <c r="BP117" s="405">
        <v>44</v>
      </c>
      <c r="BQ117" s="410">
        <f t="shared" si="259"/>
        <v>0.56999999999999995</v>
      </c>
      <c r="BR117" s="406"/>
      <c r="BS117" s="407">
        <f t="shared" si="260"/>
        <v>8.666666666666667E-2</v>
      </c>
      <c r="BT117" s="404">
        <f>(0.12-0)/2</f>
        <v>0.06</v>
      </c>
      <c r="BU117" s="391"/>
      <c r="BV117" s="405">
        <v>44</v>
      </c>
      <c r="BW117" s="410">
        <v>0.73</v>
      </c>
      <c r="BX117" s="406"/>
      <c r="BY117" s="407">
        <f t="shared" si="265"/>
        <v>9.3333333333333338E-2</v>
      </c>
      <c r="BZ117" s="658"/>
      <c r="CB117" s="405">
        <v>44</v>
      </c>
      <c r="CC117" s="410">
        <f t="shared" si="234"/>
        <v>-1</v>
      </c>
      <c r="CD117" s="406">
        <f t="shared" si="264"/>
        <v>-0.7</v>
      </c>
      <c r="CE117" s="407">
        <f t="shared" si="261"/>
        <v>0.19999999999999998</v>
      </c>
      <c r="CF117" s="404">
        <f>(0.12-0)/2</f>
        <v>0.06</v>
      </c>
      <c r="CG117" s="427"/>
      <c r="CH117" s="405">
        <v>44</v>
      </c>
      <c r="CI117" s="410">
        <f t="shared" si="235"/>
        <v>0.25</v>
      </c>
      <c r="CJ117" s="406">
        <f t="shared" si="235"/>
        <v>0.21</v>
      </c>
      <c r="CK117" s="407">
        <f t="shared" si="262"/>
        <v>4.0000000000000008E-2</v>
      </c>
      <c r="CL117" s="404">
        <f>(0.12-0)/2</f>
        <v>0.06</v>
      </c>
      <c r="CN117" s="405">
        <v>44</v>
      </c>
      <c r="CO117" s="410">
        <f t="shared" si="236"/>
        <v>0.56999999999999995</v>
      </c>
      <c r="CP117" s="406">
        <f t="shared" si="236"/>
        <v>0.52</v>
      </c>
      <c r="CQ117" s="407">
        <f t="shared" si="263"/>
        <v>4.9999999999999933E-2</v>
      </c>
      <c r="CR117" s="404">
        <f>(0.12-0)/2</f>
        <v>0.06</v>
      </c>
    </row>
    <row r="118" spans="2:96">
      <c r="B118" s="405">
        <v>50</v>
      </c>
      <c r="C118" s="406">
        <v>0.18</v>
      </c>
      <c r="D118" s="410">
        <f t="shared" si="237"/>
        <v>0.32</v>
      </c>
      <c r="E118" s="407">
        <f t="shared" si="238"/>
        <v>0.14000000000000001</v>
      </c>
      <c r="F118" s="408">
        <f>(0.47+0.24)/2</f>
        <v>0.35499999999999998</v>
      </c>
      <c r="G118" s="409"/>
      <c r="H118" s="405">
        <v>50</v>
      </c>
      <c r="I118" s="406">
        <v>0.2</v>
      </c>
      <c r="J118" s="406">
        <f t="shared" si="239"/>
        <v>0.31</v>
      </c>
      <c r="K118" s="407">
        <f t="shared" si="240"/>
        <v>0.10999999999999999</v>
      </c>
      <c r="L118" s="408">
        <f>(0+0.14)/2</f>
        <v>7.0000000000000007E-2</v>
      </c>
      <c r="M118" s="409"/>
      <c r="N118" s="405">
        <v>50</v>
      </c>
      <c r="O118" s="422">
        <v>0.2</v>
      </c>
      <c r="P118" s="406">
        <f t="shared" si="241"/>
        <v>-0.05</v>
      </c>
      <c r="Q118" s="407">
        <f t="shared" si="242"/>
        <v>0.25</v>
      </c>
      <c r="R118" s="404">
        <f>(0.18-0)/2</f>
        <v>0.09</v>
      </c>
      <c r="S118" s="391"/>
      <c r="T118" s="405">
        <v>50</v>
      </c>
      <c r="U118" s="410">
        <f t="shared" si="243"/>
        <v>0.79</v>
      </c>
      <c r="V118" s="406"/>
      <c r="W118" s="407">
        <f t="shared" si="244"/>
        <v>8.666666666666667E-2</v>
      </c>
      <c r="X118" s="404">
        <f>(0.18-0)/2</f>
        <v>0.09</v>
      </c>
      <c r="Y118" s="391"/>
      <c r="Z118" s="405">
        <v>50</v>
      </c>
      <c r="AA118" s="410">
        <f t="shared" si="245"/>
        <v>0.21</v>
      </c>
      <c r="AB118" s="406">
        <v>0.7</v>
      </c>
      <c r="AC118" s="407">
        <f t="shared" si="246"/>
        <v>0.49</v>
      </c>
      <c r="AD118" s="404">
        <f>(0.18-0)/2</f>
        <v>0.09</v>
      </c>
      <c r="AE118" s="391"/>
      <c r="AF118" s="405">
        <v>50</v>
      </c>
      <c r="AG118" s="410">
        <f t="shared" si="247"/>
        <v>0.23</v>
      </c>
      <c r="AH118" s="406">
        <v>0.77</v>
      </c>
      <c r="AI118" s="407">
        <f t="shared" si="248"/>
        <v>0.54</v>
      </c>
      <c r="AJ118" s="404">
        <f>(0.18-0)/2</f>
        <v>0.09</v>
      </c>
      <c r="AK118" s="391"/>
      <c r="AL118" s="405">
        <v>50</v>
      </c>
      <c r="AM118" s="410">
        <f t="shared" si="249"/>
        <v>0.48</v>
      </c>
      <c r="AN118" s="406"/>
      <c r="AO118" s="407">
        <f t="shared" si="250"/>
        <v>8.3333333333333329E-2</v>
      </c>
      <c r="AP118" s="404">
        <f>(0.18-0)/2</f>
        <v>0.09</v>
      </c>
      <c r="AQ118" s="391"/>
      <c r="AR118" s="405">
        <v>50</v>
      </c>
      <c r="AS118" s="410">
        <f t="shared" si="251"/>
        <v>0.34</v>
      </c>
      <c r="AT118" s="406"/>
      <c r="AU118" s="407">
        <f t="shared" si="252"/>
        <v>8.3333333333333329E-2</v>
      </c>
      <c r="AV118" s="404">
        <f>(0.18-0)/2</f>
        <v>0.09</v>
      </c>
      <c r="AW118" s="391"/>
      <c r="AX118" s="405">
        <v>50</v>
      </c>
      <c r="AY118" s="410">
        <f t="shared" si="253"/>
        <v>0.35</v>
      </c>
      <c r="AZ118" s="406"/>
      <c r="BA118" s="407">
        <f t="shared" si="254"/>
        <v>0.26333333333333336</v>
      </c>
      <c r="BB118" s="404">
        <f>(0.18-0)/2</f>
        <v>0.09</v>
      </c>
      <c r="BC118" s="391"/>
      <c r="BD118" s="405">
        <v>50</v>
      </c>
      <c r="BE118" s="410">
        <f t="shared" si="255"/>
        <v>0.87</v>
      </c>
      <c r="BF118" s="406"/>
      <c r="BG118" s="407">
        <f t="shared" si="256"/>
        <v>9.0000000000000011E-2</v>
      </c>
      <c r="BH118" s="404">
        <f>(0.18-0)/2</f>
        <v>0.09</v>
      </c>
      <c r="BI118" s="391"/>
      <c r="BJ118" s="405">
        <v>50</v>
      </c>
      <c r="BK118" s="410">
        <f t="shared" si="257"/>
        <v>0.35</v>
      </c>
      <c r="BL118" s="406"/>
      <c r="BM118" s="407">
        <f t="shared" si="258"/>
        <v>0.26333333333333336</v>
      </c>
      <c r="BN118" s="404">
        <f>(0.18-0)/2</f>
        <v>0.09</v>
      </c>
      <c r="BO118" s="391"/>
      <c r="BP118" s="405">
        <v>50</v>
      </c>
      <c r="BQ118" s="410">
        <f t="shared" si="259"/>
        <v>0.62</v>
      </c>
      <c r="BR118" s="406"/>
      <c r="BS118" s="407">
        <f t="shared" si="260"/>
        <v>8.666666666666667E-2</v>
      </c>
      <c r="BT118" s="404">
        <f>(0.18-0)/2</f>
        <v>0.09</v>
      </c>
      <c r="BU118" s="391"/>
      <c r="BV118" s="405">
        <v>50</v>
      </c>
      <c r="BW118" s="410">
        <v>0.81</v>
      </c>
      <c r="BX118" s="406"/>
      <c r="BY118" s="407">
        <f t="shared" si="265"/>
        <v>9.3333333333333338E-2</v>
      </c>
      <c r="BZ118" s="659">
        <f>((($BZ$116-$BZ$114)/($BZ$112-$BZ$110))*($BZ$109-$BZ$110))+$BZ$114</f>
        <v>9.3333333333333338E-2</v>
      </c>
      <c r="CB118" s="405">
        <v>50</v>
      </c>
      <c r="CC118" s="410">
        <f t="shared" si="234"/>
        <v>-1.6</v>
      </c>
      <c r="CD118" s="406">
        <f t="shared" si="264"/>
        <v>-0.7</v>
      </c>
      <c r="CE118" s="407">
        <f t="shared" si="261"/>
        <v>0.30000000000000004</v>
      </c>
      <c r="CF118" s="404">
        <f>(0.18-0)/2</f>
        <v>0.09</v>
      </c>
      <c r="CH118" s="405">
        <v>50</v>
      </c>
      <c r="CI118" s="410">
        <f t="shared" si="235"/>
        <v>0.27</v>
      </c>
      <c r="CJ118" s="406">
        <f t="shared" si="235"/>
        <v>0.22</v>
      </c>
      <c r="CK118" s="407">
        <f t="shared" si="262"/>
        <v>5.0000000000000017E-2</v>
      </c>
      <c r="CL118" s="404">
        <f>(0.18-0)/2</f>
        <v>0.09</v>
      </c>
      <c r="CN118" s="405">
        <v>50</v>
      </c>
      <c r="CO118" s="410">
        <f t="shared" si="236"/>
        <v>0.67</v>
      </c>
      <c r="CP118" s="406">
        <f t="shared" si="236"/>
        <v>0.56999999999999995</v>
      </c>
      <c r="CQ118" s="407">
        <f t="shared" si="263"/>
        <v>0.10000000000000009</v>
      </c>
      <c r="CR118" s="404">
        <f>(0.18-0)/2</f>
        <v>0.09</v>
      </c>
    </row>
    <row r="119" spans="2:96">
      <c r="B119" s="405">
        <v>100</v>
      </c>
      <c r="C119" s="406">
        <v>0.26</v>
      </c>
      <c r="D119" s="410">
        <f t="shared" si="237"/>
        <v>0.75</v>
      </c>
      <c r="E119" s="407">
        <f t="shared" si="238"/>
        <v>0.49</v>
      </c>
      <c r="F119" s="408">
        <f>(0.96+0.56)/2</f>
        <v>0.76</v>
      </c>
      <c r="G119" s="409"/>
      <c r="H119" s="405">
        <v>100</v>
      </c>
      <c r="I119" s="406">
        <v>0.13</v>
      </c>
      <c r="J119" s="406">
        <f t="shared" si="239"/>
        <v>0.61</v>
      </c>
      <c r="K119" s="407">
        <f t="shared" si="240"/>
        <v>0.48</v>
      </c>
      <c r="L119" s="408">
        <f>(0+0.1)/2</f>
        <v>0.05</v>
      </c>
      <c r="M119" s="409"/>
      <c r="N119" s="405">
        <v>100</v>
      </c>
      <c r="O119" s="422">
        <v>-0.13</v>
      </c>
      <c r="P119" s="406">
        <f t="shared" si="241"/>
        <v>-0.17</v>
      </c>
      <c r="Q119" s="407">
        <f t="shared" si="242"/>
        <v>4.0000000000000008E-2</v>
      </c>
      <c r="R119" s="404">
        <f>(0.21-0)/2</f>
        <v>0.105</v>
      </c>
      <c r="S119" s="391"/>
      <c r="T119" s="405">
        <v>100</v>
      </c>
      <c r="U119" s="410">
        <f t="shared" si="243"/>
        <v>0.82</v>
      </c>
      <c r="V119" s="406"/>
      <c r="W119" s="407">
        <f t="shared" si="244"/>
        <v>8.666666666666667E-2</v>
      </c>
      <c r="X119" s="404">
        <f>(0.21-0)/2</f>
        <v>0.105</v>
      </c>
      <c r="Y119" s="391"/>
      <c r="Z119" s="405">
        <v>100</v>
      </c>
      <c r="AA119" s="410">
        <f t="shared" si="245"/>
        <v>0.28000000000000003</v>
      </c>
      <c r="AB119" s="406">
        <v>0.72</v>
      </c>
      <c r="AC119" s="407">
        <f t="shared" si="246"/>
        <v>0.43999999999999995</v>
      </c>
      <c r="AD119" s="404">
        <f>(0.21-0)/2</f>
        <v>0.105</v>
      </c>
      <c r="AE119" s="391"/>
      <c r="AF119" s="405">
        <v>100</v>
      </c>
      <c r="AG119" s="410">
        <f t="shared" si="247"/>
        <v>0.33</v>
      </c>
      <c r="AH119" s="406">
        <v>0.61</v>
      </c>
      <c r="AI119" s="407">
        <f t="shared" si="248"/>
        <v>0.27999999999999997</v>
      </c>
      <c r="AJ119" s="404">
        <f>(0.21-0)/2</f>
        <v>0.105</v>
      </c>
      <c r="AK119" s="391"/>
      <c r="AL119" s="405">
        <v>100</v>
      </c>
      <c r="AM119" s="410">
        <f t="shared" si="249"/>
        <v>0.57999999999999996</v>
      </c>
      <c r="AN119" s="406"/>
      <c r="AO119" s="407">
        <f t="shared" si="250"/>
        <v>8.3333333333333329E-2</v>
      </c>
      <c r="AP119" s="404">
        <f>(0.21-0)/2</f>
        <v>0.105</v>
      </c>
      <c r="AQ119" s="391"/>
      <c r="AR119" s="405">
        <v>100</v>
      </c>
      <c r="AS119" s="410">
        <f t="shared" si="251"/>
        <v>0.43</v>
      </c>
      <c r="AT119" s="406"/>
      <c r="AU119" s="407">
        <f t="shared" si="252"/>
        <v>8.3333333333333329E-2</v>
      </c>
      <c r="AV119" s="404">
        <f>(0.21-0)/2</f>
        <v>0.105</v>
      </c>
      <c r="AW119" s="391"/>
      <c r="AX119" s="405">
        <v>100</v>
      </c>
      <c r="AY119" s="410">
        <f t="shared" si="253"/>
        <v>0.19</v>
      </c>
      <c r="AZ119" s="406"/>
      <c r="BA119" s="407">
        <f t="shared" si="254"/>
        <v>0.26333333333333336</v>
      </c>
      <c r="BB119" s="404">
        <f>(0.21-0)/2</f>
        <v>0.105</v>
      </c>
      <c r="BC119" s="391"/>
      <c r="BD119" s="405">
        <v>100</v>
      </c>
      <c r="BE119" s="410">
        <f t="shared" si="255"/>
        <v>0.71</v>
      </c>
      <c r="BF119" s="406"/>
      <c r="BG119" s="407">
        <f t="shared" si="256"/>
        <v>9.0000000000000011E-2</v>
      </c>
      <c r="BH119" s="404">
        <f>(0.21-0)/2</f>
        <v>0.105</v>
      </c>
      <c r="BI119" s="391"/>
      <c r="BJ119" s="405">
        <v>100</v>
      </c>
      <c r="BK119" s="410">
        <f t="shared" si="257"/>
        <v>0.19</v>
      </c>
      <c r="BL119" s="406"/>
      <c r="BM119" s="407">
        <f t="shared" si="258"/>
        <v>0.26333333333333336</v>
      </c>
      <c r="BN119" s="404">
        <f>(0.21-0)/2</f>
        <v>0.105</v>
      </c>
      <c r="BO119" s="391"/>
      <c r="BP119" s="405">
        <v>100</v>
      </c>
      <c r="BQ119" s="410">
        <f t="shared" si="259"/>
        <v>0.31</v>
      </c>
      <c r="BR119" s="406"/>
      <c r="BS119" s="407">
        <f t="shared" si="260"/>
        <v>8.666666666666667E-2</v>
      </c>
      <c r="BT119" s="404">
        <f>(0.21-0)/2</f>
        <v>0.105</v>
      </c>
      <c r="BU119" s="391"/>
      <c r="BV119" s="405">
        <v>100</v>
      </c>
      <c r="BW119" s="410">
        <v>0.66</v>
      </c>
      <c r="BX119" s="406"/>
      <c r="BY119" s="407">
        <f t="shared" si="265"/>
        <v>9.3333333333333338E-2</v>
      </c>
      <c r="BZ119" s="404"/>
      <c r="CA119" s="391"/>
      <c r="CB119" s="405">
        <v>100</v>
      </c>
      <c r="CC119" s="410">
        <f t="shared" si="234"/>
        <v>-1.7</v>
      </c>
      <c r="CD119" s="406">
        <f t="shared" si="264"/>
        <v>-0.7</v>
      </c>
      <c r="CE119" s="407">
        <f t="shared" si="261"/>
        <v>0.90000000000000013</v>
      </c>
      <c r="CF119" s="404">
        <f>(0.21-0)/2</f>
        <v>0.105</v>
      </c>
      <c r="CH119" s="405">
        <v>100</v>
      </c>
      <c r="CI119" s="410">
        <f t="shared" si="235"/>
        <v>0.31</v>
      </c>
      <c r="CJ119" s="406">
        <f t="shared" si="235"/>
        <v>0.23</v>
      </c>
      <c r="CK119" s="407">
        <f t="shared" si="262"/>
        <v>7.9999999999999988E-2</v>
      </c>
      <c r="CL119" s="404">
        <f>(0.21-0)/2</f>
        <v>0.105</v>
      </c>
      <c r="CN119" s="405">
        <v>100</v>
      </c>
      <c r="CO119" s="410">
        <f t="shared" si="236"/>
        <v>0.95</v>
      </c>
      <c r="CP119" s="406">
        <f t="shared" si="236"/>
        <v>0.81</v>
      </c>
      <c r="CQ119" s="407">
        <f t="shared" si="263"/>
        <v>0.1399999999999999</v>
      </c>
      <c r="CR119" s="404">
        <f>(0.21-0)/2</f>
        <v>0.105</v>
      </c>
    </row>
    <row r="120" spans="2:96">
      <c r="B120" s="405">
        <v>150</v>
      </c>
      <c r="C120" s="406">
        <v>0.28000000000000003</v>
      </c>
      <c r="D120" s="410">
        <f t="shared" si="237"/>
        <v>0.71</v>
      </c>
      <c r="E120" s="407">
        <f t="shared" si="238"/>
        <v>0.42999999999999994</v>
      </c>
      <c r="F120" s="408">
        <f>(0.57+0.9)/2</f>
        <v>0.73499999999999999</v>
      </c>
      <c r="G120" s="409"/>
      <c r="H120" s="405">
        <v>150</v>
      </c>
      <c r="I120" s="406">
        <v>-0.02</v>
      </c>
      <c r="J120" s="406">
        <f t="shared" si="239"/>
        <v>0.56999999999999995</v>
      </c>
      <c r="K120" s="407">
        <f t="shared" si="240"/>
        <v>0.59</v>
      </c>
      <c r="L120" s="408">
        <f>(0.07-0)/2</f>
        <v>3.5000000000000003E-2</v>
      </c>
      <c r="M120" s="409"/>
      <c r="N120" s="405">
        <v>150</v>
      </c>
      <c r="O120" s="422">
        <v>-0.68</v>
      </c>
      <c r="P120" s="406">
        <f t="shared" si="241"/>
        <v>-0.26</v>
      </c>
      <c r="Q120" s="407">
        <f t="shared" si="242"/>
        <v>0.42000000000000004</v>
      </c>
      <c r="R120" s="404">
        <f>(0.22-0)/2</f>
        <v>0.11</v>
      </c>
      <c r="S120" s="391"/>
      <c r="T120" s="405">
        <v>150</v>
      </c>
      <c r="U120" s="410">
        <f t="shared" si="243"/>
        <v>0.09</v>
      </c>
      <c r="V120" s="406"/>
      <c r="W120" s="407">
        <f t="shared" si="244"/>
        <v>8.666666666666667E-2</v>
      </c>
      <c r="X120" s="404">
        <f>(0.22-0)/2</f>
        <v>0.11</v>
      </c>
      <c r="Y120" s="391"/>
      <c r="Z120" s="405">
        <v>150</v>
      </c>
      <c r="AA120" s="410">
        <f t="shared" si="245"/>
        <v>0.44</v>
      </c>
      <c r="AB120" s="406">
        <v>0.34</v>
      </c>
      <c r="AC120" s="407">
        <f t="shared" si="246"/>
        <v>9.9999999999999978E-2</v>
      </c>
      <c r="AD120" s="404">
        <f>(0.22-0)/2</f>
        <v>0.11</v>
      </c>
      <c r="AE120" s="391"/>
      <c r="AF120" s="405">
        <v>150</v>
      </c>
      <c r="AG120" s="410">
        <f t="shared" si="247"/>
        <v>0.51</v>
      </c>
      <c r="AH120" s="406">
        <v>0.16</v>
      </c>
      <c r="AI120" s="407">
        <f t="shared" si="248"/>
        <v>0.35</v>
      </c>
      <c r="AJ120" s="404">
        <f>(0.22-0)/2</f>
        <v>0.11</v>
      </c>
      <c r="AK120" s="391"/>
      <c r="AL120" s="405">
        <v>150</v>
      </c>
      <c r="AM120" s="410">
        <f t="shared" si="249"/>
        <v>0.74</v>
      </c>
      <c r="AN120" s="406"/>
      <c r="AO120" s="407">
        <f t="shared" si="250"/>
        <v>8.3333333333333329E-2</v>
      </c>
      <c r="AP120" s="404">
        <f>(0.22-0)/2</f>
        <v>0.11</v>
      </c>
      <c r="AQ120" s="391"/>
      <c r="AR120" s="405">
        <v>150</v>
      </c>
      <c r="AS120" s="410">
        <f t="shared" si="251"/>
        <v>0.62</v>
      </c>
      <c r="AT120" s="406"/>
      <c r="AU120" s="407">
        <f t="shared" si="252"/>
        <v>8.3333333333333329E-2</v>
      </c>
      <c r="AV120" s="404">
        <f>(0.22-0)/2</f>
        <v>0.11</v>
      </c>
      <c r="AW120" s="391"/>
      <c r="AX120" s="405">
        <v>150</v>
      </c>
      <c r="AY120" s="410">
        <f t="shared" si="253"/>
        <v>-0.02</v>
      </c>
      <c r="AZ120" s="406"/>
      <c r="BA120" s="407">
        <f t="shared" si="254"/>
        <v>0.26333333333333336</v>
      </c>
      <c r="BB120" s="404">
        <f>(0.22-0)/2</f>
        <v>0.11</v>
      </c>
      <c r="BC120" s="391"/>
      <c r="BD120" s="405">
        <v>150</v>
      </c>
      <c r="BE120" s="410">
        <f t="shared" si="255"/>
        <v>0.09</v>
      </c>
      <c r="BF120" s="406"/>
      <c r="BG120" s="407">
        <f t="shared" si="256"/>
        <v>9.0000000000000011E-2</v>
      </c>
      <c r="BH120" s="404">
        <f>(0.22-0)/2</f>
        <v>0.11</v>
      </c>
      <c r="BI120" s="391"/>
      <c r="BJ120" s="405">
        <v>150</v>
      </c>
      <c r="BK120" s="410">
        <f t="shared" si="257"/>
        <v>-0.02</v>
      </c>
      <c r="BL120" s="406"/>
      <c r="BM120" s="407">
        <f t="shared" si="258"/>
        <v>0.26333333333333336</v>
      </c>
      <c r="BN120" s="404">
        <f>(0.22-0)/2</f>
        <v>0.11</v>
      </c>
      <c r="BO120" s="391"/>
      <c r="BP120" s="405">
        <v>150</v>
      </c>
      <c r="BQ120" s="410">
        <f t="shared" si="259"/>
        <v>-0.56999999999999995</v>
      </c>
      <c r="BR120" s="406"/>
      <c r="BS120" s="407">
        <f t="shared" si="260"/>
        <v>8.666666666666667E-2</v>
      </c>
      <c r="BT120" s="404">
        <f>(0.22-0)/2</f>
        <v>0.11</v>
      </c>
      <c r="BU120" s="391"/>
      <c r="BV120" s="405">
        <v>150</v>
      </c>
      <c r="BW120" s="410">
        <v>-0.22</v>
      </c>
      <c r="BX120" s="406"/>
      <c r="BY120" s="407">
        <f t="shared" si="265"/>
        <v>9.3333333333333338E-2</v>
      </c>
      <c r="BZ120" s="404"/>
      <c r="CA120" s="391"/>
      <c r="CB120" s="405">
        <v>150</v>
      </c>
      <c r="CC120" s="410">
        <f t="shared" si="234"/>
        <v>-0.9</v>
      </c>
      <c r="CD120" s="406">
        <f t="shared" si="264"/>
        <v>-0.7</v>
      </c>
      <c r="CE120" s="407">
        <f t="shared" si="261"/>
        <v>1</v>
      </c>
      <c r="CF120" s="404">
        <f>(0.22-0)/2</f>
        <v>0.11</v>
      </c>
      <c r="CH120" s="405">
        <v>150</v>
      </c>
      <c r="CI120" s="410">
        <f t="shared" si="235"/>
        <v>0.3</v>
      </c>
      <c r="CJ120" s="406">
        <f t="shared" si="235"/>
        <v>0.22</v>
      </c>
      <c r="CK120" s="407">
        <f t="shared" si="262"/>
        <v>7.9999999999999988E-2</v>
      </c>
      <c r="CL120" s="404">
        <f>(0.22-0)/2</f>
        <v>0.11</v>
      </c>
      <c r="CN120" s="405">
        <v>150</v>
      </c>
      <c r="CO120" s="410">
        <f t="shared" si="236"/>
        <v>0.49</v>
      </c>
      <c r="CP120" s="406">
        <f t="shared" si="236"/>
        <v>0.87</v>
      </c>
      <c r="CQ120" s="407">
        <f t="shared" si="263"/>
        <v>0.38</v>
      </c>
      <c r="CR120" s="404">
        <f>(0.22-0)/2</f>
        <v>0.11</v>
      </c>
    </row>
    <row r="121" spans="2:96">
      <c r="B121" s="405">
        <v>200</v>
      </c>
      <c r="C121" s="406">
        <v>0.45</v>
      </c>
      <c r="D121" s="410">
        <f t="shared" si="237"/>
        <v>-0.06</v>
      </c>
      <c r="E121" s="407">
        <f t="shared" si="238"/>
        <v>0.51</v>
      </c>
      <c r="F121" s="408">
        <f>(-0.67+0.87)/2</f>
        <v>9.9999999999999978E-2</v>
      </c>
      <c r="G121" s="409"/>
      <c r="H121" s="405">
        <v>200</v>
      </c>
      <c r="I121" s="406">
        <v>0.21</v>
      </c>
      <c r="J121" s="406">
        <f t="shared" si="239"/>
        <v>0.11</v>
      </c>
      <c r="K121" s="407">
        <f t="shared" si="240"/>
        <v>9.9999999999999992E-2</v>
      </c>
      <c r="L121" s="408">
        <f>(0.36-0)/2</f>
        <v>0.18</v>
      </c>
      <c r="M121" s="409"/>
      <c r="N121" s="405">
        <v>200</v>
      </c>
      <c r="O121" s="422">
        <v>-0.38</v>
      </c>
      <c r="P121" s="406">
        <f t="shared" si="241"/>
        <v>-0.03</v>
      </c>
      <c r="Q121" s="407">
        <f t="shared" si="242"/>
        <v>0.35</v>
      </c>
      <c r="R121" s="404">
        <f>(0.19-0)/2</f>
        <v>9.5000000000000001E-2</v>
      </c>
      <c r="S121" s="391"/>
      <c r="T121" s="405">
        <v>200</v>
      </c>
      <c r="U121" s="410">
        <f t="shared" si="243"/>
        <v>-0.86</v>
      </c>
      <c r="V121" s="406"/>
      <c r="W121" s="407">
        <f t="shared" si="244"/>
        <v>8.666666666666667E-2</v>
      </c>
      <c r="X121" s="404">
        <f>(0.19-0)/2</f>
        <v>9.5000000000000001E-2</v>
      </c>
      <c r="Y121" s="391"/>
      <c r="Z121" s="405">
        <v>200</v>
      </c>
      <c r="AA121" s="410">
        <f t="shared" si="245"/>
        <v>0.67</v>
      </c>
      <c r="AB121" s="406">
        <v>-0.12</v>
      </c>
      <c r="AC121" s="407">
        <f t="shared" si="246"/>
        <v>0.79</v>
      </c>
      <c r="AD121" s="404">
        <f>(0.19-0)/2</f>
        <v>9.5000000000000001E-2</v>
      </c>
      <c r="AE121" s="391"/>
      <c r="AF121" s="405">
        <v>200</v>
      </c>
      <c r="AG121" s="410">
        <f t="shared" si="247"/>
        <v>0.76</v>
      </c>
      <c r="AH121" s="406">
        <v>-0.25</v>
      </c>
      <c r="AI121" s="407">
        <f t="shared" si="248"/>
        <v>1.01</v>
      </c>
      <c r="AJ121" s="404">
        <f>(0.19-0)/2</f>
        <v>9.5000000000000001E-2</v>
      </c>
      <c r="AK121" s="391"/>
      <c r="AL121" s="405">
        <v>200</v>
      </c>
      <c r="AM121" s="410">
        <f t="shared" si="249"/>
        <v>0.96</v>
      </c>
      <c r="AN121" s="406"/>
      <c r="AO121" s="407">
        <f t="shared" si="250"/>
        <v>8.3333333333333329E-2</v>
      </c>
      <c r="AP121" s="404">
        <f>(0.19-0)/2</f>
        <v>9.5000000000000001E-2</v>
      </c>
      <c r="AQ121" s="391"/>
      <c r="AR121" s="405">
        <v>200</v>
      </c>
      <c r="AS121" s="410">
        <f t="shared" si="251"/>
        <v>0.82</v>
      </c>
      <c r="AT121" s="406"/>
      <c r="AU121" s="407">
        <f t="shared" si="252"/>
        <v>8.3333333333333329E-2</v>
      </c>
      <c r="AV121" s="404">
        <f>(0.19-0)/2</f>
        <v>9.5000000000000001E-2</v>
      </c>
      <c r="AW121" s="391"/>
      <c r="AX121" s="405">
        <v>200</v>
      </c>
      <c r="AY121" s="410">
        <f t="shared" si="253"/>
        <v>-0.26</v>
      </c>
      <c r="AZ121" s="406"/>
      <c r="BA121" s="407">
        <f t="shared" si="254"/>
        <v>0.26333333333333336</v>
      </c>
      <c r="BB121" s="404">
        <f>(0.19-0)/2</f>
        <v>9.5000000000000001E-2</v>
      </c>
      <c r="BC121" s="391"/>
      <c r="BD121" s="405">
        <v>200</v>
      </c>
      <c r="BE121" s="410">
        <f t="shared" si="255"/>
        <v>-0.06</v>
      </c>
      <c r="BF121" s="406"/>
      <c r="BG121" s="407">
        <f t="shared" si="256"/>
        <v>9.0000000000000011E-2</v>
      </c>
      <c r="BH121" s="404">
        <f>(0.19-0)/2</f>
        <v>9.5000000000000001E-2</v>
      </c>
      <c r="BI121" s="391"/>
      <c r="BJ121" s="405">
        <v>200</v>
      </c>
      <c r="BK121" s="410">
        <f t="shared" si="257"/>
        <v>-0.26</v>
      </c>
      <c r="BL121" s="406"/>
      <c r="BM121" s="407">
        <f t="shared" si="258"/>
        <v>0.26333333333333336</v>
      </c>
      <c r="BN121" s="404">
        <f>(0.19-0)/2</f>
        <v>9.5000000000000001E-2</v>
      </c>
      <c r="BO121" s="391"/>
      <c r="BP121" s="405">
        <v>200</v>
      </c>
      <c r="BQ121" s="410">
        <f t="shared" si="259"/>
        <v>-1.06</v>
      </c>
      <c r="BR121" s="406"/>
      <c r="BS121" s="407">
        <f t="shared" si="260"/>
        <v>8.666666666666667E-2</v>
      </c>
      <c r="BT121" s="404">
        <f>(0.19-0)/2</f>
        <v>9.5000000000000001E-2</v>
      </c>
      <c r="BU121" s="391"/>
      <c r="BV121" s="405">
        <v>200</v>
      </c>
      <c r="BW121" s="410">
        <v>-0.93</v>
      </c>
      <c r="BX121" s="406"/>
      <c r="BY121" s="407">
        <f t="shared" si="265"/>
        <v>9.3333333333333338E-2</v>
      </c>
      <c r="BZ121" s="404"/>
      <c r="CA121" s="391"/>
      <c r="CB121" s="405">
        <v>200</v>
      </c>
      <c r="CC121" s="410">
        <f t="shared" si="234"/>
        <v>0</v>
      </c>
      <c r="CD121" s="406">
        <f t="shared" si="264"/>
        <v>-0.6</v>
      </c>
      <c r="CE121" s="407">
        <f t="shared" si="261"/>
        <v>0.30000000000000004</v>
      </c>
      <c r="CF121" s="404">
        <f>(0.19-0)/2</f>
        <v>9.5000000000000001E-2</v>
      </c>
      <c r="CH121" s="405">
        <v>200</v>
      </c>
      <c r="CI121" s="410">
        <f t="shared" si="235"/>
        <v>0.34</v>
      </c>
      <c r="CJ121" s="406">
        <f t="shared" si="235"/>
        <v>0.47</v>
      </c>
      <c r="CK121" s="407">
        <f t="shared" si="262"/>
        <v>0.12999999999999995</v>
      </c>
      <c r="CL121" s="404">
        <f>(0.19-0)/2</f>
        <v>9.5000000000000001E-2</v>
      </c>
      <c r="CN121" s="405">
        <v>200</v>
      </c>
      <c r="CO121" s="410">
        <f t="shared" si="236"/>
        <v>-0.26</v>
      </c>
      <c r="CP121" s="406">
        <f t="shared" si="236"/>
        <v>0.99</v>
      </c>
      <c r="CQ121" s="407">
        <f t="shared" si="263"/>
        <v>1.25</v>
      </c>
      <c r="CR121" s="404">
        <f>(0.19-0)/2</f>
        <v>9.5000000000000001E-2</v>
      </c>
    </row>
    <row r="122" spans="2:96" s="391" customFormat="1">
      <c r="B122" s="415"/>
      <c r="C122" s="392"/>
      <c r="D122" s="392"/>
      <c r="E122" s="412"/>
      <c r="F122" s="412"/>
      <c r="G122" s="412"/>
      <c r="H122" s="412"/>
      <c r="I122" s="412"/>
      <c r="J122" s="412"/>
      <c r="K122" s="412"/>
      <c r="L122" s="412"/>
      <c r="M122" s="412"/>
      <c r="N122" s="412"/>
      <c r="T122" s="392"/>
      <c r="U122" s="392"/>
      <c r="V122" s="392"/>
      <c r="W122" s="392"/>
      <c r="X122" s="392"/>
      <c r="Y122" s="392"/>
      <c r="Z122" s="392"/>
      <c r="AA122" s="392"/>
      <c r="AB122" s="392"/>
      <c r="AH122" s="392"/>
      <c r="AJ122" s="393"/>
      <c r="AN122" s="392"/>
      <c r="AP122" s="393"/>
      <c r="AT122" s="392"/>
      <c r="AV122" s="393"/>
      <c r="AZ122" s="392"/>
      <c r="BB122" s="393"/>
      <c r="BF122" s="392"/>
      <c r="BH122" s="393"/>
      <c r="BL122" s="392"/>
      <c r="BN122" s="393"/>
      <c r="BR122" s="392"/>
      <c r="BT122" s="393"/>
      <c r="BX122" s="392"/>
      <c r="BZ122" s="393"/>
      <c r="CD122" s="392"/>
      <c r="CF122" s="393"/>
      <c r="CJ122" s="392"/>
      <c r="CL122" s="393"/>
      <c r="CP122" s="392"/>
      <c r="CR122" s="393"/>
    </row>
    <row r="123" spans="2:96" ht="24.75" customHeight="1">
      <c r="B123" s="823" t="s">
        <v>339</v>
      </c>
      <c r="C123" s="825" t="str">
        <f>C108</f>
        <v>Thermocouple Data Logger, Merek : MADGETECH, Model : OctTemp 2000, SN : P40270</v>
      </c>
      <c r="D123" s="825"/>
      <c r="E123" s="825"/>
      <c r="F123" s="394" t="s">
        <v>329</v>
      </c>
      <c r="G123" s="395"/>
      <c r="H123" s="823" t="str">
        <f>B123</f>
        <v>CH 9</v>
      </c>
      <c r="I123" s="825" t="str">
        <f>I108</f>
        <v>Thermocouple Data Logger, Merek : MADGETECH, Model : OctTemp 2000, SN : P41878</v>
      </c>
      <c r="J123" s="825"/>
      <c r="K123" s="825"/>
      <c r="L123" s="394" t="s">
        <v>329</v>
      </c>
      <c r="M123" s="395"/>
      <c r="N123" s="823" t="str">
        <f>H123</f>
        <v>CH 9</v>
      </c>
      <c r="O123" s="825" t="str">
        <f>O108</f>
        <v>Mobile Corder, Merek : Yokogawa, Model : GP 10, SN : S5T810599</v>
      </c>
      <c r="P123" s="826"/>
      <c r="Q123" s="825"/>
      <c r="R123" s="394"/>
      <c r="S123" s="391"/>
      <c r="T123" s="823" t="str">
        <f>N123</f>
        <v>CH 9</v>
      </c>
      <c r="U123" s="825" t="str">
        <f>U108</f>
        <v>Wireless Temperature Recorder : Merek : HIOKI, Model : LR 8510, SN : 200936000</v>
      </c>
      <c r="V123" s="826"/>
      <c r="W123" s="825"/>
      <c r="X123" s="394" t="s">
        <v>329</v>
      </c>
      <c r="Y123" s="391"/>
      <c r="Z123" s="823" t="str">
        <f>T123</f>
        <v>CH 9</v>
      </c>
      <c r="AA123" s="825" t="str">
        <f>AA108</f>
        <v>Wireless Temperature Recorder : Merek : HIOKI, Model : LR 8510, SN : 200936001</v>
      </c>
      <c r="AB123" s="826"/>
      <c r="AC123" s="825"/>
      <c r="AD123" s="394" t="s">
        <v>329</v>
      </c>
      <c r="AE123" s="391"/>
      <c r="AF123" s="823" t="str">
        <f>Z123</f>
        <v>CH 9</v>
      </c>
      <c r="AG123" s="825" t="str">
        <f>AG108</f>
        <v>Wireless Temperature Recorder : Merek : HIOKI, Model : LR 8510, SN : 200821397</v>
      </c>
      <c r="AH123" s="826"/>
      <c r="AI123" s="825"/>
      <c r="AJ123" s="394" t="s">
        <v>329</v>
      </c>
      <c r="AK123" s="391"/>
      <c r="AL123" s="823" t="str">
        <f>AF123</f>
        <v>CH 9</v>
      </c>
      <c r="AM123" s="825" t="str">
        <f>AM108</f>
        <v>Wireless Temperature Recorder : Merek : HIOKI, Model : LR 8510, SN : 210411983</v>
      </c>
      <c r="AN123" s="826"/>
      <c r="AO123" s="825"/>
      <c r="AP123" s="394" t="s">
        <v>329</v>
      </c>
      <c r="AQ123" s="414"/>
      <c r="AR123" s="823" t="str">
        <f>AL123</f>
        <v>CH 9</v>
      </c>
      <c r="AS123" s="825" t="str">
        <f>AS108</f>
        <v>Wireless Temperature Recorder : Merek : HIOKI, Model : LR 8510, SN : 210411984</v>
      </c>
      <c r="AT123" s="826"/>
      <c r="AU123" s="825"/>
      <c r="AV123" s="394" t="s">
        <v>329</v>
      </c>
      <c r="AW123" s="391"/>
      <c r="AX123" s="823" t="str">
        <f>AR123</f>
        <v>CH 9</v>
      </c>
      <c r="AY123" s="825" t="str">
        <f>AY108</f>
        <v>Wireless Temperature Recorder : Merek : HIOKI, Model : LR 8510, SN : 210411985</v>
      </c>
      <c r="AZ123" s="826"/>
      <c r="BA123" s="825"/>
      <c r="BB123" s="394" t="s">
        <v>329</v>
      </c>
      <c r="BC123" s="391"/>
      <c r="BD123" s="823" t="str">
        <f>AX123</f>
        <v>CH 9</v>
      </c>
      <c r="BE123" s="825" t="str">
        <f>BE108</f>
        <v>Wireless Temperature Recorder : Merek : HIOKI, Model : LR 8510, SN : 210746054</v>
      </c>
      <c r="BF123" s="826"/>
      <c r="BG123" s="825"/>
      <c r="BH123" s="394" t="s">
        <v>329</v>
      </c>
      <c r="BI123" s="391"/>
      <c r="BJ123" s="823" t="str">
        <f>BD123</f>
        <v>CH 9</v>
      </c>
      <c r="BK123" s="825" t="str">
        <f>BK108</f>
        <v>Wireless Temperature Recorder : Merek : HIOKI, Model : LR 8510, SN : 210746055</v>
      </c>
      <c r="BL123" s="826"/>
      <c r="BM123" s="825"/>
      <c r="BN123" s="394" t="s">
        <v>329</v>
      </c>
      <c r="BO123" s="391"/>
      <c r="BP123" s="823" t="str">
        <f>BJ123</f>
        <v>CH 9</v>
      </c>
      <c r="BQ123" s="825" t="str">
        <f>BQ108</f>
        <v>Wireless Temperature Recorder : Merek : HIOKI, Model : LR 8510, SN : 210746056</v>
      </c>
      <c r="BR123" s="826"/>
      <c r="BS123" s="825"/>
      <c r="BT123" s="394" t="s">
        <v>329</v>
      </c>
      <c r="BU123" s="391"/>
      <c r="BV123" s="823" t="str">
        <f>BP123</f>
        <v>CH 9</v>
      </c>
      <c r="BW123" s="825" t="str">
        <f>BW108</f>
        <v>Wireless Temperature Recorder : Merek : HIOKI, Model : LR 8510, SN : 200821396</v>
      </c>
      <c r="BX123" s="826"/>
      <c r="BY123" s="825"/>
      <c r="BZ123" s="394" t="s">
        <v>329</v>
      </c>
      <c r="CA123" s="391"/>
      <c r="CB123" s="823" t="str">
        <f>BV123</f>
        <v>CH 9</v>
      </c>
      <c r="CC123" s="825" t="str">
        <f t="shared" ref="CC123:CC136" si="266">CC108</f>
        <v>Reference Thermometer, Merek : APPA, Model : APPA51, SN : 03002948</v>
      </c>
      <c r="CD123" s="826"/>
      <c r="CE123" s="825"/>
      <c r="CF123" s="394" t="s">
        <v>329</v>
      </c>
      <c r="CH123" s="823" t="str">
        <f>CB123</f>
        <v>CH 9</v>
      </c>
      <c r="CI123" s="825" t="str">
        <f t="shared" ref="CI123:CJ136" si="267">CI108</f>
        <v>Reference Thermometer, Merek : FLUKE, Model : 1524, SN : 1803038</v>
      </c>
      <c r="CJ123" s="826"/>
      <c r="CK123" s="825"/>
      <c r="CL123" s="394" t="s">
        <v>329</v>
      </c>
      <c r="CN123" s="823" t="str">
        <f>CH123</f>
        <v>CH 9</v>
      </c>
      <c r="CO123" s="825" t="str">
        <f t="shared" ref="CO123:CP136" si="268">CO108</f>
        <v>Reference Thermometer, Merek : FLUKE, Model : 1524, SN : 1803037</v>
      </c>
      <c r="CP123" s="826"/>
      <c r="CQ123" s="825"/>
      <c r="CR123" s="394" t="s">
        <v>329</v>
      </c>
    </row>
    <row r="124" spans="2:96">
      <c r="B124" s="824"/>
      <c r="C124" s="402"/>
      <c r="D124" s="402"/>
      <c r="E124" s="398" t="s">
        <v>242</v>
      </c>
      <c r="F124" s="399"/>
      <c r="G124" s="400"/>
      <c r="H124" s="824"/>
      <c r="I124" s="401"/>
      <c r="J124" s="402"/>
      <c r="K124" s="398" t="s">
        <v>242</v>
      </c>
      <c r="L124" s="403"/>
      <c r="M124" s="400"/>
      <c r="N124" s="824"/>
      <c r="O124" s="401">
        <f>O19</f>
        <v>2021</v>
      </c>
      <c r="P124" s="402">
        <f>P19</f>
        <v>2023</v>
      </c>
      <c r="Q124" s="398" t="s">
        <v>242</v>
      </c>
      <c r="R124" s="404"/>
      <c r="S124" s="391"/>
      <c r="T124" s="824"/>
      <c r="U124" s="401">
        <f>U109</f>
        <v>2022</v>
      </c>
      <c r="V124" s="402"/>
      <c r="W124" s="398" t="s">
        <v>242</v>
      </c>
      <c r="X124" s="404"/>
      <c r="Y124" s="391"/>
      <c r="Z124" s="824"/>
      <c r="AA124" s="401">
        <f>AA109</f>
        <v>2023</v>
      </c>
      <c r="AB124" s="402"/>
      <c r="AC124" s="398" t="s">
        <v>242</v>
      </c>
      <c r="AD124" s="404"/>
      <c r="AE124" s="391"/>
      <c r="AF124" s="824"/>
      <c r="AG124" s="401">
        <f>AG109</f>
        <v>2023</v>
      </c>
      <c r="AH124" s="401">
        <f>AH109</f>
        <v>2021</v>
      </c>
      <c r="AI124" s="398" t="s">
        <v>242</v>
      </c>
      <c r="AJ124" s="404"/>
      <c r="AK124" s="391"/>
      <c r="AL124" s="824"/>
      <c r="AM124" s="401">
        <f>AM109</f>
        <v>2023</v>
      </c>
      <c r="AN124" s="402"/>
      <c r="AO124" s="398" t="s">
        <v>242</v>
      </c>
      <c r="AP124" s="404"/>
      <c r="AQ124" s="414"/>
      <c r="AR124" s="824"/>
      <c r="AS124" s="401">
        <f>AS109</f>
        <v>2023</v>
      </c>
      <c r="AT124" s="402"/>
      <c r="AU124" s="398" t="s">
        <v>242</v>
      </c>
      <c r="AV124" s="404"/>
      <c r="AW124" s="391"/>
      <c r="AX124" s="824"/>
      <c r="AY124" s="401">
        <f>AY109</f>
        <v>2021</v>
      </c>
      <c r="AZ124" s="402"/>
      <c r="BA124" s="398" t="s">
        <v>242</v>
      </c>
      <c r="BB124" s="404"/>
      <c r="BC124" s="391"/>
      <c r="BD124" s="824"/>
      <c r="BE124" s="401">
        <f>BE109</f>
        <v>2022</v>
      </c>
      <c r="BF124" s="402"/>
      <c r="BG124" s="398" t="s">
        <v>242</v>
      </c>
      <c r="BH124" s="404">
        <f>$B$289</f>
        <v>1.9000000000000001</v>
      </c>
      <c r="BJ124" s="824"/>
      <c r="BK124" s="401">
        <f>BK109</f>
        <v>2021</v>
      </c>
      <c r="BL124" s="402"/>
      <c r="BM124" s="398" t="s">
        <v>242</v>
      </c>
      <c r="BN124" s="404"/>
      <c r="BO124" s="391"/>
      <c r="BP124" s="824"/>
      <c r="BQ124" s="401">
        <f>BQ109</f>
        <v>2022</v>
      </c>
      <c r="BR124" s="402"/>
      <c r="BS124" s="398" t="s">
        <v>242</v>
      </c>
      <c r="BT124" s="404"/>
      <c r="BU124" s="391"/>
      <c r="BV124" s="824"/>
      <c r="BW124" s="401">
        <f>BW109</f>
        <v>2022</v>
      </c>
      <c r="BX124" s="402"/>
      <c r="BY124" s="398" t="s">
        <v>242</v>
      </c>
      <c r="BZ124" s="404"/>
      <c r="CA124" s="391"/>
      <c r="CB124" s="824"/>
      <c r="CC124" s="401">
        <f t="shared" si="266"/>
        <v>2022</v>
      </c>
      <c r="CD124" s="402">
        <v>2020</v>
      </c>
      <c r="CE124" s="398" t="s">
        <v>242</v>
      </c>
      <c r="CF124" s="404"/>
      <c r="CG124" s="421"/>
      <c r="CH124" s="824"/>
      <c r="CI124" s="401">
        <f t="shared" si="267"/>
        <v>2021</v>
      </c>
      <c r="CJ124" s="402">
        <f>CJ109</f>
        <v>2019</v>
      </c>
      <c r="CK124" s="398" t="s">
        <v>242</v>
      </c>
      <c r="CL124" s="404"/>
      <c r="CN124" s="824"/>
      <c r="CO124" s="401">
        <f t="shared" si="268"/>
        <v>2021</v>
      </c>
      <c r="CP124" s="402">
        <f>CP109</f>
        <v>2020</v>
      </c>
      <c r="CQ124" s="398" t="s">
        <v>242</v>
      </c>
      <c r="CR124" s="404"/>
    </row>
    <row r="125" spans="2:96">
      <c r="B125" s="405">
        <v>-20</v>
      </c>
      <c r="C125" s="410">
        <v>9.9999999999999995E-7</v>
      </c>
      <c r="D125" s="410">
        <v>9.9999999999999995E-7</v>
      </c>
      <c r="E125" s="407">
        <v>9.9999999999999995E-7</v>
      </c>
      <c r="F125" s="408"/>
      <c r="G125" s="409"/>
      <c r="H125" s="405">
        <v>-20</v>
      </c>
      <c r="I125" s="410">
        <v>9.9999999999999995E-7</v>
      </c>
      <c r="J125" s="410">
        <v>9.9999999999999995E-7</v>
      </c>
      <c r="K125" s="407">
        <v>9.9999999999999995E-7</v>
      </c>
      <c r="L125" s="408"/>
      <c r="M125" s="409"/>
      <c r="N125" s="405">
        <v>-20</v>
      </c>
      <c r="O125" s="406">
        <v>9.9999999999999995E-7</v>
      </c>
      <c r="P125" s="406">
        <f t="shared" ref="P125:P136" si="269">E225</f>
        <v>-0.45</v>
      </c>
      <c r="Q125" s="407">
        <f>IF(OR(O125=0,P125=0),$E$237/3,((MAX(O125:P125)-(MIN(O125:P125)))))</f>
        <v>0.45000099999999998</v>
      </c>
      <c r="R125" s="404"/>
      <c r="S125" s="391"/>
      <c r="T125" s="405">
        <v>-20</v>
      </c>
      <c r="U125" s="410">
        <f t="shared" ref="U125:U136" si="270">F225</f>
        <v>-1.4</v>
      </c>
      <c r="V125" s="406"/>
      <c r="W125" s="407">
        <f t="shared" ref="W125:W136" si="271">IF(OR(U125=0,V125=0),$F$237/3,((MAX(U125:V125)-(MIN(U125:V125)))))</f>
        <v>8.3333333333333329E-2</v>
      </c>
      <c r="X125" s="404">
        <v>9.9999999999999995E-7</v>
      </c>
      <c r="Y125" s="391"/>
      <c r="Z125" s="405">
        <v>-20</v>
      </c>
      <c r="AA125" s="410">
        <f t="shared" ref="AA125:AA136" si="272">G225</f>
        <v>0.2</v>
      </c>
      <c r="AB125" s="406"/>
      <c r="AC125" s="407">
        <f>IF(OR(AA125=0,AB125=0),$G$237/3,((MAX(AA125:AB125)-(MIN(AA125:AB125)))))</f>
        <v>8.666666666666667E-2</v>
      </c>
      <c r="AD125" s="404">
        <v>9.9999999999999995E-7</v>
      </c>
      <c r="AE125" s="391"/>
      <c r="AF125" s="405">
        <v>-20</v>
      </c>
      <c r="AG125" s="410">
        <f>H225</f>
        <v>0.19</v>
      </c>
      <c r="AH125" s="406"/>
      <c r="AI125" s="407">
        <f t="shared" ref="AI125:AI136" si="273">IF(OR(AG125=0,AH125=0),$H$237/3,((MAX(AG125:AH125)-(MIN(AG125:AH125)))))</f>
        <v>9.0000000000000011E-2</v>
      </c>
      <c r="AJ125" s="404">
        <v>9.9999999999999995E-7</v>
      </c>
      <c r="AK125" s="391"/>
      <c r="AL125" s="405">
        <v>-20</v>
      </c>
      <c r="AM125" s="410">
        <f t="shared" ref="AM125:AM136" si="274">I225</f>
        <v>0.44</v>
      </c>
      <c r="AN125" s="406"/>
      <c r="AO125" s="407">
        <f t="shared" ref="AO125:AO136" si="275">IF(OR(AM125=0,AN125=0),$I$237/3,((MAX(AM125:AN125)-(MIN(AM125:AN125)))))</f>
        <v>8.3333333333333329E-2</v>
      </c>
      <c r="AP125" s="404">
        <v>9.9999999999999995E-7</v>
      </c>
      <c r="AQ125" s="414"/>
      <c r="AR125" s="405">
        <v>-20</v>
      </c>
      <c r="AS125" s="410">
        <f t="shared" ref="AS125:AS136" si="276">J225</f>
        <v>0.36</v>
      </c>
      <c r="AT125" s="406"/>
      <c r="AU125" s="407">
        <f t="shared" ref="AU125:AU136" si="277">IF(OR(AS125=0,AT125=0),$J$237/3,((MAX(AS125:AT125)-(MIN(AS125:AT125)))))</f>
        <v>8.3333333333333329E-2</v>
      </c>
      <c r="AV125" s="404">
        <v>9.9999999999999995E-7</v>
      </c>
      <c r="AW125" s="391"/>
      <c r="AX125" s="405">
        <v>-20</v>
      </c>
      <c r="AY125" s="410">
        <f t="shared" ref="AY125:AY136" si="278">K225</f>
        <v>0.5</v>
      </c>
      <c r="AZ125" s="406"/>
      <c r="BA125" s="407">
        <f t="shared" ref="BA125:BA136" si="279">IF(OR(AY125=0,AZ125=0),$K$237/3,((MAX(AY125:AZ125)-(MIN(AY125:AZ125)))))</f>
        <v>0.26333333333333336</v>
      </c>
      <c r="BB125" s="404">
        <v>9.9999999999999995E-7</v>
      </c>
      <c r="BC125" s="391"/>
      <c r="BD125" s="405">
        <v>-20</v>
      </c>
      <c r="BE125" s="459">
        <v>-1.1100000000000001</v>
      </c>
      <c r="BF125" s="406"/>
      <c r="BG125" s="407">
        <f t="shared" ref="BG125:BG136" si="280">IF(OR(BE125=0,BF125=0),$L$237/3,((MAX(BE125:BF125)-(MIN(BE125:BF125)))))</f>
        <v>9.3333333333333338E-2</v>
      </c>
      <c r="BH125" s="655">
        <f>IF($BH$124&lt;=$BD$126,$BD$125,IF($BH$124&lt;=$BD$127,$BD$126,IF($BH$124&lt;=$BD$128,$BD$127,IF($BH$124&lt;=$BD$129,$BD$128,IF($BH$124&lt;=$BD$130,$BD$129)))))</f>
        <v>9.9999999999999995E-7</v>
      </c>
      <c r="BJ125" s="405">
        <v>-20</v>
      </c>
      <c r="BK125" s="410">
        <f t="shared" ref="BK125:BK136" si="281">M225</f>
        <v>0.5</v>
      </c>
      <c r="BL125" s="406"/>
      <c r="BM125" s="407">
        <f t="shared" ref="BM125:BM136" si="282">IF(OR(BK125=0,BL125=0),$M$237/3,((MAX(BK125:BL125)-(MIN(BK125:BL125)))))</f>
        <v>0.26333333333333336</v>
      </c>
      <c r="BN125" s="404">
        <v>9.9999999999999995E-7</v>
      </c>
      <c r="BO125" s="391"/>
      <c r="BP125" s="405">
        <v>-20</v>
      </c>
      <c r="BQ125" s="410">
        <f t="shared" ref="BQ125:BQ136" si="283">N225</f>
        <v>-1.26</v>
      </c>
      <c r="BR125" s="406"/>
      <c r="BS125" s="407">
        <f t="shared" ref="BS125:BS136" si="284">IF(OR(BQ125=0,BR125=0),$N$237/3,((MAX(BQ125:BR125)-(MIN(BQ125:BR125)))))</f>
        <v>8.3333333333333329E-2</v>
      </c>
      <c r="BT125" s="404">
        <v>9.9999999999999995E-7</v>
      </c>
      <c r="BU125" s="391"/>
      <c r="BV125" s="405">
        <v>-20</v>
      </c>
      <c r="BW125" s="410">
        <f t="shared" ref="BW125:BW136" si="285">O225</f>
        <v>-1.42</v>
      </c>
      <c r="BX125" s="406"/>
      <c r="BY125" s="407">
        <f t="shared" ref="BY125:BY136" si="286">IF(OR(BW125=0,BX125=0),$O$237/3,((MAX(BW125:BX125)-(MIN(BW125:BX125)))))</f>
        <v>9.0000000000000011E-2</v>
      </c>
      <c r="BZ125" s="404">
        <v>9.9999999999999995E-7</v>
      </c>
      <c r="CA125" s="391"/>
      <c r="CB125" s="405">
        <v>-20</v>
      </c>
      <c r="CC125" s="410">
        <f t="shared" si="266"/>
        <v>-1.1000000000000001</v>
      </c>
      <c r="CD125" s="406">
        <v>-0.7</v>
      </c>
      <c r="CE125" s="407">
        <f t="shared" ref="CE125:CE136" si="287">CE110</f>
        <v>0.40000000000000013</v>
      </c>
      <c r="CF125" s="404">
        <v>9.9999999999999995E-7</v>
      </c>
      <c r="CG125" s="421"/>
      <c r="CH125" s="405">
        <v>-20</v>
      </c>
      <c r="CI125" s="410">
        <f t="shared" si="267"/>
        <v>-0.15</v>
      </c>
      <c r="CJ125" s="406">
        <f>CJ110</f>
        <v>-0.32</v>
      </c>
      <c r="CK125" s="407">
        <f t="shared" ref="CK125:CK136" si="288">CK110</f>
        <v>0.17</v>
      </c>
      <c r="CL125" s="404">
        <v>9.9999999999999995E-7</v>
      </c>
      <c r="CN125" s="405">
        <v>-20</v>
      </c>
      <c r="CO125" s="410">
        <f t="shared" si="268"/>
        <v>-1.8</v>
      </c>
      <c r="CP125" s="406">
        <f>CP110</f>
        <v>-0.51</v>
      </c>
      <c r="CQ125" s="407">
        <f t="shared" ref="CQ125:CQ136" si="289">CQ110</f>
        <v>1.29</v>
      </c>
      <c r="CR125" s="404">
        <v>9.9999999999999995E-7</v>
      </c>
    </row>
    <row r="126" spans="2:96">
      <c r="B126" s="405">
        <v>-15</v>
      </c>
      <c r="C126" s="410">
        <v>9.9999999999999995E-7</v>
      </c>
      <c r="D126" s="410">
        <v>9.9999999999999995E-7</v>
      </c>
      <c r="E126" s="407">
        <v>9.9999999999999995E-7</v>
      </c>
      <c r="F126" s="408"/>
      <c r="G126" s="409"/>
      <c r="H126" s="405">
        <v>-15</v>
      </c>
      <c r="I126" s="410">
        <v>9.9999999999999995E-7</v>
      </c>
      <c r="J126" s="410">
        <v>9.9999999999999995E-7</v>
      </c>
      <c r="K126" s="407">
        <v>9.9999999999999995E-7</v>
      </c>
      <c r="L126" s="408"/>
      <c r="M126" s="409"/>
      <c r="N126" s="405">
        <v>-15</v>
      </c>
      <c r="O126" s="406">
        <v>9.9999999999999995E-7</v>
      </c>
      <c r="P126" s="406">
        <f t="shared" si="269"/>
        <v>-0.38</v>
      </c>
      <c r="Q126" s="407">
        <f t="shared" ref="Q126:Q136" si="290">IF(OR(O126=0,P126=0),$E$237/3,((MAX(O126:P126)-(MIN(O126:P126)))))</f>
        <v>0.38000099999999998</v>
      </c>
      <c r="R126" s="404"/>
      <c r="S126" s="391"/>
      <c r="T126" s="405">
        <v>-15</v>
      </c>
      <c r="U126" s="410">
        <f t="shared" si="270"/>
        <v>-1.1499999999999999</v>
      </c>
      <c r="V126" s="406"/>
      <c r="W126" s="407">
        <f t="shared" si="271"/>
        <v>8.3333333333333329E-2</v>
      </c>
      <c r="X126" s="404">
        <f>(0.08-0)/2</f>
        <v>0.04</v>
      </c>
      <c r="Y126" s="391"/>
      <c r="Z126" s="405">
        <v>-15</v>
      </c>
      <c r="AA126" s="410">
        <f t="shared" si="272"/>
        <v>0.24</v>
      </c>
      <c r="AB126" s="406"/>
      <c r="AC126" s="407">
        <f t="shared" ref="AC126:AC136" si="291">IF(OR(AA126=0,AB126=0),$G$237/3,((MAX(AA126:AB126)-(MIN(AA126:AB126)))))</f>
        <v>8.666666666666667E-2</v>
      </c>
      <c r="AD126" s="404">
        <f>(0.08-0)/2</f>
        <v>0.04</v>
      </c>
      <c r="AE126" s="391"/>
      <c r="AF126" s="405">
        <v>-15</v>
      </c>
      <c r="AG126" s="410">
        <f t="shared" ref="AG126:AG136" si="292">H226</f>
        <v>0.24</v>
      </c>
      <c r="AH126" s="406"/>
      <c r="AI126" s="407">
        <f t="shared" si="273"/>
        <v>9.0000000000000011E-2</v>
      </c>
      <c r="AJ126" s="404">
        <f>(0.08-0)/2</f>
        <v>0.04</v>
      </c>
      <c r="AK126" s="391"/>
      <c r="AL126" s="405">
        <v>-15</v>
      </c>
      <c r="AM126" s="410">
        <f t="shared" si="274"/>
        <v>0.45</v>
      </c>
      <c r="AN126" s="406"/>
      <c r="AO126" s="407">
        <f t="shared" si="275"/>
        <v>8.3333333333333329E-2</v>
      </c>
      <c r="AP126" s="404">
        <f>(0.08-0)/2</f>
        <v>0.04</v>
      </c>
      <c r="AQ126" s="414"/>
      <c r="AR126" s="405">
        <v>-15</v>
      </c>
      <c r="AS126" s="410">
        <f t="shared" si="276"/>
        <v>0.38</v>
      </c>
      <c r="AT126" s="406"/>
      <c r="AU126" s="407">
        <f t="shared" si="277"/>
        <v>8.3333333333333329E-2</v>
      </c>
      <c r="AV126" s="404">
        <f>(0.08-0)/2</f>
        <v>0.04</v>
      </c>
      <c r="AW126" s="391"/>
      <c r="AX126" s="405">
        <v>-15</v>
      </c>
      <c r="AY126" s="410">
        <f t="shared" si="278"/>
        <v>9.9999999999999995E-7</v>
      </c>
      <c r="AZ126" s="406"/>
      <c r="BA126" s="407">
        <f t="shared" si="279"/>
        <v>0.26333333333333336</v>
      </c>
      <c r="BB126" s="404">
        <f>(0.08-0)/2</f>
        <v>0.04</v>
      </c>
      <c r="BC126" s="391"/>
      <c r="BD126" s="405">
        <v>-15</v>
      </c>
      <c r="BE126" s="459">
        <v>-0.83</v>
      </c>
      <c r="BF126" s="406"/>
      <c r="BG126" s="407">
        <f t="shared" si="280"/>
        <v>9.3333333333333338E-2</v>
      </c>
      <c r="BH126" s="656"/>
      <c r="BJ126" s="405">
        <v>-15</v>
      </c>
      <c r="BK126" s="410">
        <f t="shared" si="281"/>
        <v>9.9999999999999995E-7</v>
      </c>
      <c r="BL126" s="406"/>
      <c r="BM126" s="407">
        <f t="shared" si="282"/>
        <v>0.26333333333333336</v>
      </c>
      <c r="BN126" s="404">
        <f>(0.08-0)/2</f>
        <v>0.04</v>
      </c>
      <c r="BO126" s="391"/>
      <c r="BP126" s="405">
        <v>-15</v>
      </c>
      <c r="BQ126" s="410">
        <f t="shared" si="283"/>
        <v>-1</v>
      </c>
      <c r="BR126" s="406"/>
      <c r="BS126" s="407">
        <f t="shared" si="284"/>
        <v>8.3333333333333329E-2</v>
      </c>
      <c r="BT126" s="404">
        <f>(0.08-0)/2</f>
        <v>0.04</v>
      </c>
      <c r="BU126" s="391"/>
      <c r="BV126" s="405">
        <v>-15</v>
      </c>
      <c r="BW126" s="410">
        <f t="shared" si="285"/>
        <v>-1.1399999999999999</v>
      </c>
      <c r="BX126" s="406"/>
      <c r="BY126" s="407">
        <f t="shared" si="286"/>
        <v>9.0000000000000011E-2</v>
      </c>
      <c r="BZ126" s="404">
        <f>(0.08-0)/2</f>
        <v>0.04</v>
      </c>
      <c r="CA126" s="391"/>
      <c r="CB126" s="405">
        <v>-15</v>
      </c>
      <c r="CC126" s="410">
        <f t="shared" si="266"/>
        <v>-1.2</v>
      </c>
      <c r="CD126" s="406">
        <v>-0.7</v>
      </c>
      <c r="CE126" s="407">
        <f t="shared" si="287"/>
        <v>0.40000000000000013</v>
      </c>
      <c r="CF126" s="404">
        <f>(0.08-0)/2</f>
        <v>0.04</v>
      </c>
      <c r="CG126" s="423"/>
      <c r="CH126" s="405">
        <v>-15</v>
      </c>
      <c r="CI126" s="410">
        <f t="shared" si="267"/>
        <v>-0.1</v>
      </c>
      <c r="CJ126" s="406">
        <f t="shared" si="267"/>
        <v>-0.24</v>
      </c>
      <c r="CK126" s="407">
        <f t="shared" si="288"/>
        <v>0.13999999999999999</v>
      </c>
      <c r="CL126" s="404">
        <f>(0.08-0)/2</f>
        <v>0.04</v>
      </c>
      <c r="CN126" s="405">
        <v>-15</v>
      </c>
      <c r="CO126" s="410">
        <f t="shared" si="268"/>
        <v>-1.52</v>
      </c>
      <c r="CP126" s="406">
        <f t="shared" si="268"/>
        <v>-0.39</v>
      </c>
      <c r="CQ126" s="407">
        <f t="shared" si="289"/>
        <v>1.1299999999999999</v>
      </c>
      <c r="CR126" s="404">
        <f>(0.08-0)/2</f>
        <v>0.04</v>
      </c>
    </row>
    <row r="127" spans="2:96">
      <c r="B127" s="405">
        <v>-10</v>
      </c>
      <c r="C127" s="410">
        <v>9.9999999999999995E-7</v>
      </c>
      <c r="D127" s="410">
        <v>9.9999999999999995E-7</v>
      </c>
      <c r="E127" s="407">
        <v>9.9999999999999995E-7</v>
      </c>
      <c r="F127" s="408"/>
      <c r="G127" s="409"/>
      <c r="H127" s="405">
        <v>-10</v>
      </c>
      <c r="I127" s="410">
        <v>9.9999999999999995E-7</v>
      </c>
      <c r="J127" s="410">
        <v>9.9999999999999995E-7</v>
      </c>
      <c r="K127" s="407">
        <v>9.9999999999999995E-7</v>
      </c>
      <c r="L127" s="408"/>
      <c r="M127" s="409"/>
      <c r="N127" s="405">
        <v>-10</v>
      </c>
      <c r="O127" s="406">
        <v>9.9999999999999995E-7</v>
      </c>
      <c r="P127" s="406">
        <f t="shared" si="269"/>
        <v>-0.32</v>
      </c>
      <c r="Q127" s="407">
        <f t="shared" si="290"/>
        <v>0.32000099999999998</v>
      </c>
      <c r="R127" s="404"/>
      <c r="S127" s="391"/>
      <c r="T127" s="405">
        <v>-10</v>
      </c>
      <c r="U127" s="410">
        <f t="shared" si="270"/>
        <v>-0.9</v>
      </c>
      <c r="V127" s="406"/>
      <c r="W127" s="407">
        <f t="shared" si="271"/>
        <v>8.3333333333333329E-2</v>
      </c>
      <c r="X127" s="404">
        <f>(0.09-0)/2</f>
        <v>4.4999999999999998E-2</v>
      </c>
      <c r="Y127" s="391"/>
      <c r="Z127" s="405">
        <v>-10</v>
      </c>
      <c r="AA127" s="410">
        <f t="shared" si="272"/>
        <v>0.27</v>
      </c>
      <c r="AB127" s="406"/>
      <c r="AC127" s="407">
        <f t="shared" si="291"/>
        <v>8.666666666666667E-2</v>
      </c>
      <c r="AD127" s="404">
        <f>(0.09-0)/2</f>
        <v>4.4999999999999998E-2</v>
      </c>
      <c r="AE127" s="391"/>
      <c r="AF127" s="405">
        <v>-10</v>
      </c>
      <c r="AG127" s="410">
        <f t="shared" si="292"/>
        <v>0.26</v>
      </c>
      <c r="AH127" s="406"/>
      <c r="AI127" s="407">
        <f t="shared" si="273"/>
        <v>9.0000000000000011E-2</v>
      </c>
      <c r="AJ127" s="404">
        <f>(0.09-0)/2</f>
        <v>4.4999999999999998E-2</v>
      </c>
      <c r="AK127" s="391"/>
      <c r="AL127" s="405">
        <v>-10</v>
      </c>
      <c r="AM127" s="410">
        <f t="shared" si="274"/>
        <v>0.46</v>
      </c>
      <c r="AN127" s="406"/>
      <c r="AO127" s="407">
        <f t="shared" si="275"/>
        <v>8.3333333333333329E-2</v>
      </c>
      <c r="AP127" s="404">
        <f>(0.09-0)/2</f>
        <v>4.4999999999999998E-2</v>
      </c>
      <c r="AQ127" s="414"/>
      <c r="AR127" s="405">
        <v>-10</v>
      </c>
      <c r="AS127" s="410">
        <f t="shared" si="276"/>
        <v>0.39</v>
      </c>
      <c r="AT127" s="406"/>
      <c r="AU127" s="407">
        <f t="shared" si="277"/>
        <v>8.3333333333333329E-2</v>
      </c>
      <c r="AV127" s="404">
        <f>(0.09-0)/2</f>
        <v>4.4999999999999998E-2</v>
      </c>
      <c r="AW127" s="391"/>
      <c r="AX127" s="405">
        <v>-10</v>
      </c>
      <c r="AY127" s="410">
        <f t="shared" si="278"/>
        <v>0.48</v>
      </c>
      <c r="AZ127" s="406"/>
      <c r="BA127" s="407">
        <f t="shared" si="279"/>
        <v>0.26333333333333336</v>
      </c>
      <c r="BB127" s="404">
        <f>(0.09-0)/2</f>
        <v>4.4999999999999998E-2</v>
      </c>
      <c r="BC127" s="391"/>
      <c r="BD127" s="405">
        <v>-10</v>
      </c>
      <c r="BE127" s="459">
        <v>-0.6</v>
      </c>
      <c r="BF127" s="406"/>
      <c r="BG127" s="407">
        <f t="shared" si="280"/>
        <v>9.3333333333333338E-2</v>
      </c>
      <c r="BH127" s="655">
        <f>IF($BH$124&lt;=$BD$125,$BD$125,IF($BH$124&lt;=$BD$126,$BD$126,IF($BH$124&lt;=$BD$127,$BD$127,IF($BH$124&lt;=$BD$128,$BD$128,IF($BH$124&lt;=$BD$129,$BD$129,IF($BH$124&lt;=$BD$130,$BD$130))))))</f>
        <v>2</v>
      </c>
      <c r="BJ127" s="405">
        <v>-10</v>
      </c>
      <c r="BK127" s="410">
        <f t="shared" si="281"/>
        <v>0.48</v>
      </c>
      <c r="BL127" s="406"/>
      <c r="BM127" s="407">
        <f t="shared" si="282"/>
        <v>0.26333333333333336</v>
      </c>
      <c r="BN127" s="404">
        <f>(0.09-0)/2</f>
        <v>4.4999999999999998E-2</v>
      </c>
      <c r="BO127" s="391"/>
      <c r="BP127" s="405">
        <v>-10</v>
      </c>
      <c r="BQ127" s="410">
        <f t="shared" si="283"/>
        <v>-0.78</v>
      </c>
      <c r="BR127" s="406"/>
      <c r="BS127" s="407">
        <f t="shared" si="284"/>
        <v>8.3333333333333329E-2</v>
      </c>
      <c r="BT127" s="404">
        <f>(0.09-0)/2</f>
        <v>4.4999999999999998E-2</v>
      </c>
      <c r="BU127" s="391"/>
      <c r="BV127" s="405">
        <v>-10</v>
      </c>
      <c r="BW127" s="410">
        <f t="shared" si="285"/>
        <v>-0.89</v>
      </c>
      <c r="BX127" s="406"/>
      <c r="BY127" s="407">
        <f t="shared" si="286"/>
        <v>9.0000000000000011E-2</v>
      </c>
      <c r="BZ127" s="404">
        <f>(0.09-0)/2</f>
        <v>4.4999999999999998E-2</v>
      </c>
      <c r="CA127" s="391"/>
      <c r="CB127" s="405">
        <v>-10</v>
      </c>
      <c r="CC127" s="410">
        <f t="shared" si="266"/>
        <v>-1.4</v>
      </c>
      <c r="CD127" s="406">
        <v>-0.7</v>
      </c>
      <c r="CE127" s="407">
        <f t="shared" si="287"/>
        <v>0.5</v>
      </c>
      <c r="CF127" s="404">
        <f>(0.09-0)/2</f>
        <v>4.4999999999999998E-2</v>
      </c>
      <c r="CG127" s="424"/>
      <c r="CH127" s="405">
        <v>-10</v>
      </c>
      <c r="CI127" s="410">
        <f t="shared" si="267"/>
        <v>-0.05</v>
      </c>
      <c r="CJ127" s="406">
        <f t="shared" si="267"/>
        <v>-0.18</v>
      </c>
      <c r="CK127" s="407">
        <f t="shared" si="288"/>
        <v>0.13</v>
      </c>
      <c r="CL127" s="404">
        <f>(0.09-0)/2</f>
        <v>4.4999999999999998E-2</v>
      </c>
      <c r="CN127" s="405">
        <v>-10</v>
      </c>
      <c r="CO127" s="410">
        <f t="shared" si="268"/>
        <v>-1.26</v>
      </c>
      <c r="CP127" s="406">
        <f t="shared" si="268"/>
        <v>-0.28000000000000003</v>
      </c>
      <c r="CQ127" s="407">
        <f t="shared" si="289"/>
        <v>0.98</v>
      </c>
      <c r="CR127" s="404">
        <f>(0.09-0)/2</f>
        <v>4.4999999999999998E-2</v>
      </c>
    </row>
    <row r="128" spans="2:96">
      <c r="B128" s="405">
        <v>9.9999999999999995E-7</v>
      </c>
      <c r="C128" s="410">
        <v>9.9999999999999995E-7</v>
      </c>
      <c r="D128" s="410">
        <v>9.9999999999999995E-7</v>
      </c>
      <c r="E128" s="407">
        <v>9.9999999999999995E-7</v>
      </c>
      <c r="F128" s="408"/>
      <c r="G128" s="409"/>
      <c r="H128" s="405">
        <v>9.9999999999999995E-7</v>
      </c>
      <c r="I128" s="410">
        <v>9.9999999999999995E-7</v>
      </c>
      <c r="J128" s="410">
        <v>9.9999999999999995E-7</v>
      </c>
      <c r="K128" s="407">
        <v>9.9999999999999995E-7</v>
      </c>
      <c r="L128" s="408"/>
      <c r="M128" s="409"/>
      <c r="N128" s="405">
        <v>9.9999999999999995E-7</v>
      </c>
      <c r="O128" s="406">
        <v>9.9999999999999995E-7</v>
      </c>
      <c r="P128" s="406">
        <f t="shared" si="269"/>
        <v>-0.21</v>
      </c>
      <c r="Q128" s="407">
        <f t="shared" si="290"/>
        <v>0.21000099999999999</v>
      </c>
      <c r="R128" s="404"/>
      <c r="S128" s="391"/>
      <c r="T128" s="405">
        <v>9.9999999999999995E-7</v>
      </c>
      <c r="U128" s="410">
        <f t="shared" si="270"/>
        <v>-0.36</v>
      </c>
      <c r="V128" s="406"/>
      <c r="W128" s="407">
        <f t="shared" si="271"/>
        <v>8.3333333333333329E-2</v>
      </c>
      <c r="X128" s="404">
        <f>(0.11-0)/2</f>
        <v>5.5E-2</v>
      </c>
      <c r="Y128" s="391"/>
      <c r="Z128" s="405">
        <v>9.9999999999999995E-7</v>
      </c>
      <c r="AA128" s="410">
        <f t="shared" si="272"/>
        <v>0.22</v>
      </c>
      <c r="AB128" s="406"/>
      <c r="AC128" s="407">
        <f t="shared" si="291"/>
        <v>8.666666666666667E-2</v>
      </c>
      <c r="AD128" s="404">
        <f>(0.11-0)/2</f>
        <v>5.5E-2</v>
      </c>
      <c r="AE128" s="391"/>
      <c r="AF128" s="405">
        <v>9.9999999999999995E-7</v>
      </c>
      <c r="AG128" s="410">
        <f t="shared" si="292"/>
        <v>0.21</v>
      </c>
      <c r="AH128" s="406"/>
      <c r="AI128" s="407">
        <f t="shared" si="273"/>
        <v>9.0000000000000011E-2</v>
      </c>
      <c r="AJ128" s="404">
        <f>(0.11-0)/2</f>
        <v>5.5E-2</v>
      </c>
      <c r="AK128" s="391"/>
      <c r="AL128" s="405">
        <v>9.9999999999999995E-7</v>
      </c>
      <c r="AM128" s="410">
        <f t="shared" si="274"/>
        <v>0.46</v>
      </c>
      <c r="AN128" s="406"/>
      <c r="AO128" s="407">
        <f t="shared" si="275"/>
        <v>8.3333333333333329E-2</v>
      </c>
      <c r="AP128" s="404">
        <f>(0.11-0)/2</f>
        <v>5.5E-2</v>
      </c>
      <c r="AQ128" s="414"/>
      <c r="AR128" s="405">
        <v>9.9999999999999995E-7</v>
      </c>
      <c r="AS128" s="410">
        <f t="shared" si="276"/>
        <v>0.38</v>
      </c>
      <c r="AT128" s="406"/>
      <c r="AU128" s="407">
        <f t="shared" si="277"/>
        <v>8.3333333333333329E-2</v>
      </c>
      <c r="AV128" s="404">
        <f>(0.11-0)/2</f>
        <v>5.5E-2</v>
      </c>
      <c r="AW128" s="391"/>
      <c r="AX128" s="405">
        <v>9.9999999999999995E-7</v>
      </c>
      <c r="AY128" s="410">
        <f t="shared" si="278"/>
        <v>0.47</v>
      </c>
      <c r="AZ128" s="406"/>
      <c r="BA128" s="407">
        <f t="shared" si="279"/>
        <v>0.26333333333333336</v>
      </c>
      <c r="BB128" s="404">
        <f>(0.11-0)/2</f>
        <v>5.5E-2</v>
      </c>
      <c r="BC128" s="391"/>
      <c r="BD128" s="405">
        <v>9.9999999999999995E-7</v>
      </c>
      <c r="BE128" s="459">
        <v>-0.34</v>
      </c>
      <c r="BF128" s="406"/>
      <c r="BG128" s="407">
        <f t="shared" si="280"/>
        <v>9.3333333333333338E-2</v>
      </c>
      <c r="BH128" s="656"/>
      <c r="BJ128" s="405">
        <v>9.9999999999999995E-7</v>
      </c>
      <c r="BK128" s="410">
        <f t="shared" si="281"/>
        <v>0.47</v>
      </c>
      <c r="BL128" s="406"/>
      <c r="BM128" s="407">
        <f t="shared" si="282"/>
        <v>0.26333333333333336</v>
      </c>
      <c r="BN128" s="404">
        <f>(0.11-0)/2</f>
        <v>5.5E-2</v>
      </c>
      <c r="BO128" s="391"/>
      <c r="BP128" s="405">
        <v>9.9999999999999995E-7</v>
      </c>
      <c r="BQ128" s="410">
        <f t="shared" si="283"/>
        <v>-0.55000000000000004</v>
      </c>
      <c r="BR128" s="406"/>
      <c r="BS128" s="407">
        <f t="shared" si="284"/>
        <v>8.3333333333333329E-2</v>
      </c>
      <c r="BT128" s="404">
        <f>(0.11-0)/2</f>
        <v>5.5E-2</v>
      </c>
      <c r="BU128" s="391"/>
      <c r="BV128" s="405">
        <v>9.9999999999999995E-7</v>
      </c>
      <c r="BW128" s="410">
        <f t="shared" si="285"/>
        <v>-0.54</v>
      </c>
      <c r="BX128" s="406"/>
      <c r="BY128" s="407">
        <f t="shared" si="286"/>
        <v>9.0000000000000011E-2</v>
      </c>
      <c r="BZ128" s="404">
        <f>(0.11-0)/2</f>
        <v>5.5E-2</v>
      </c>
      <c r="CA128" s="391"/>
      <c r="CB128" s="405">
        <v>9.9999999999999995E-7</v>
      </c>
      <c r="CC128" s="410">
        <f t="shared" si="266"/>
        <v>0</v>
      </c>
      <c r="CD128" s="406">
        <v>-0.7</v>
      </c>
      <c r="CE128" s="407">
        <f t="shared" si="287"/>
        <v>0.7</v>
      </c>
      <c r="CF128" s="404">
        <f>(0.11-0)/2</f>
        <v>5.5E-2</v>
      </c>
      <c r="CG128" s="425"/>
      <c r="CH128" s="405">
        <v>9.9999999999999995E-7</v>
      </c>
      <c r="CI128" s="410">
        <f t="shared" si="267"/>
        <v>0.03</v>
      </c>
      <c r="CJ128" s="406">
        <f t="shared" si="267"/>
        <v>-0.06</v>
      </c>
      <c r="CK128" s="407">
        <f t="shared" si="288"/>
        <v>0.09</v>
      </c>
      <c r="CL128" s="404">
        <f>(0.11-0)/2</f>
        <v>5.5E-2</v>
      </c>
      <c r="CN128" s="405">
        <v>9.9999999999999995E-7</v>
      </c>
      <c r="CO128" s="410">
        <f t="shared" si="268"/>
        <v>-0.79</v>
      </c>
      <c r="CP128" s="406">
        <f t="shared" si="268"/>
        <v>-0.08</v>
      </c>
      <c r="CQ128" s="407">
        <f t="shared" si="289"/>
        <v>0.71000000000000008</v>
      </c>
      <c r="CR128" s="404">
        <f>(0.11-0)/2</f>
        <v>5.5E-2</v>
      </c>
    </row>
    <row r="129" spans="2:96">
      <c r="B129" s="405">
        <v>2</v>
      </c>
      <c r="C129" s="410">
        <v>9.9999999999999995E-7</v>
      </c>
      <c r="D129" s="410">
        <v>9.9999999999999995E-7</v>
      </c>
      <c r="E129" s="407">
        <v>9.9999999999999995E-7</v>
      </c>
      <c r="F129" s="408"/>
      <c r="G129" s="409"/>
      <c r="H129" s="405">
        <v>2</v>
      </c>
      <c r="I129" s="410">
        <v>9.9999999999999995E-7</v>
      </c>
      <c r="J129" s="410">
        <v>9.9999999999999995E-7</v>
      </c>
      <c r="K129" s="407">
        <v>9.9999999999999995E-7</v>
      </c>
      <c r="L129" s="408"/>
      <c r="M129" s="409"/>
      <c r="N129" s="405">
        <v>2</v>
      </c>
      <c r="O129" s="406">
        <v>9.9999999999999995E-7</v>
      </c>
      <c r="P129" s="406">
        <f t="shared" si="269"/>
        <v>-0.2</v>
      </c>
      <c r="Q129" s="407">
        <f t="shared" si="290"/>
        <v>0.20000100000000001</v>
      </c>
      <c r="R129" s="404"/>
      <c r="S129" s="391"/>
      <c r="T129" s="405">
        <v>2</v>
      </c>
      <c r="U129" s="410">
        <f t="shared" si="270"/>
        <v>-0.53</v>
      </c>
      <c r="V129" s="406"/>
      <c r="W129" s="407">
        <f t="shared" si="271"/>
        <v>8.3333333333333329E-2</v>
      </c>
      <c r="X129" s="404">
        <f>(0.11-0)/2</f>
        <v>5.5E-2</v>
      </c>
      <c r="Y129" s="391"/>
      <c r="Z129" s="405">
        <v>2</v>
      </c>
      <c r="AA129" s="410">
        <f t="shared" si="272"/>
        <v>0.26</v>
      </c>
      <c r="AB129" s="406"/>
      <c r="AC129" s="407">
        <f t="shared" si="291"/>
        <v>8.666666666666667E-2</v>
      </c>
      <c r="AD129" s="404">
        <f>(0.11-0)/2</f>
        <v>5.5E-2</v>
      </c>
      <c r="AE129" s="391"/>
      <c r="AF129" s="405">
        <v>2</v>
      </c>
      <c r="AG129" s="410">
        <f t="shared" si="292"/>
        <v>0.25</v>
      </c>
      <c r="AH129" s="406"/>
      <c r="AI129" s="407">
        <f t="shared" si="273"/>
        <v>9.0000000000000011E-2</v>
      </c>
      <c r="AJ129" s="404">
        <f>(0.11-0)/2</f>
        <v>5.5E-2</v>
      </c>
      <c r="AK129" s="391"/>
      <c r="AL129" s="405">
        <v>2</v>
      </c>
      <c r="AM129" s="410">
        <f t="shared" si="274"/>
        <v>0.49</v>
      </c>
      <c r="AN129" s="406"/>
      <c r="AO129" s="407">
        <f t="shared" si="275"/>
        <v>8.3333333333333329E-2</v>
      </c>
      <c r="AP129" s="404">
        <f>(0.11-0)/2</f>
        <v>5.5E-2</v>
      </c>
      <c r="AQ129" s="414"/>
      <c r="AR129" s="405">
        <v>2</v>
      </c>
      <c r="AS129" s="410">
        <f t="shared" si="276"/>
        <v>0.4</v>
      </c>
      <c r="AT129" s="406"/>
      <c r="AU129" s="407">
        <f t="shared" si="277"/>
        <v>8.3333333333333329E-2</v>
      </c>
      <c r="AV129" s="404">
        <f>(0.11-0)/2</f>
        <v>5.5E-2</v>
      </c>
      <c r="AW129" s="391"/>
      <c r="AX129" s="405">
        <v>2</v>
      </c>
      <c r="AY129" s="410">
        <f t="shared" si="278"/>
        <v>0.47</v>
      </c>
      <c r="AZ129" s="406"/>
      <c r="BA129" s="407">
        <f t="shared" si="279"/>
        <v>0.26333333333333336</v>
      </c>
      <c r="BB129" s="404">
        <f>(0.11-0)/2</f>
        <v>5.5E-2</v>
      </c>
      <c r="BC129" s="391"/>
      <c r="BD129" s="405">
        <v>2</v>
      </c>
      <c r="BE129" s="459">
        <v>-0.36</v>
      </c>
      <c r="BF129" s="406"/>
      <c r="BG129" s="407">
        <f t="shared" si="280"/>
        <v>9.3333333333333338E-2</v>
      </c>
      <c r="BH129" s="657">
        <f>VLOOKUP($BH$125,$BD$125:$BG$130,4)</f>
        <v>9.3333333333333338E-2</v>
      </c>
      <c r="BJ129" s="405">
        <v>2</v>
      </c>
      <c r="BK129" s="410">
        <f t="shared" si="281"/>
        <v>0.47</v>
      </c>
      <c r="BL129" s="406"/>
      <c r="BM129" s="407">
        <f t="shared" si="282"/>
        <v>0.26333333333333336</v>
      </c>
      <c r="BN129" s="404">
        <f>(0.11-0)/2</f>
        <v>5.5E-2</v>
      </c>
      <c r="BO129" s="391"/>
      <c r="BP129" s="405">
        <v>2</v>
      </c>
      <c r="BQ129" s="410">
        <f t="shared" si="283"/>
        <v>-0.53</v>
      </c>
      <c r="BR129" s="406"/>
      <c r="BS129" s="407">
        <f t="shared" si="284"/>
        <v>8.3333333333333329E-2</v>
      </c>
      <c r="BT129" s="404">
        <f>(0.11-0)/2</f>
        <v>5.5E-2</v>
      </c>
      <c r="BU129" s="391"/>
      <c r="BV129" s="405">
        <v>2</v>
      </c>
      <c r="BW129" s="410">
        <f t="shared" si="285"/>
        <v>-0.62</v>
      </c>
      <c r="BX129" s="406"/>
      <c r="BY129" s="407">
        <f t="shared" si="286"/>
        <v>9.0000000000000011E-2</v>
      </c>
      <c r="BZ129" s="404">
        <f>(0.11-0)/2</f>
        <v>5.5E-2</v>
      </c>
      <c r="CA129" s="391"/>
      <c r="CB129" s="405">
        <v>2</v>
      </c>
      <c r="CC129" s="410">
        <f t="shared" si="266"/>
        <v>0</v>
      </c>
      <c r="CD129" s="406">
        <v>-0.7</v>
      </c>
      <c r="CE129" s="407">
        <f t="shared" si="287"/>
        <v>0.19999999999999998</v>
      </c>
      <c r="CF129" s="404">
        <f>(0.11-0)/2</f>
        <v>5.5E-2</v>
      </c>
      <c r="CG129" s="426"/>
      <c r="CH129" s="405">
        <v>2</v>
      </c>
      <c r="CI129" s="410">
        <f t="shared" si="267"/>
        <v>0.04</v>
      </c>
      <c r="CJ129" s="406">
        <f t="shared" si="267"/>
        <v>-0.04</v>
      </c>
      <c r="CK129" s="407">
        <f t="shared" si="288"/>
        <v>0.08</v>
      </c>
      <c r="CL129" s="404">
        <f>(0.11-0)/2</f>
        <v>5.5E-2</v>
      </c>
      <c r="CN129" s="405">
        <v>2</v>
      </c>
      <c r="CO129" s="410">
        <f t="shared" si="268"/>
        <v>-0.7</v>
      </c>
      <c r="CP129" s="406">
        <f t="shared" si="268"/>
        <v>-0.05</v>
      </c>
      <c r="CQ129" s="407">
        <f t="shared" si="289"/>
        <v>0.64999999999999991</v>
      </c>
      <c r="CR129" s="404">
        <f>(0.11-0)/2</f>
        <v>5.5E-2</v>
      </c>
    </row>
    <row r="130" spans="2:96">
      <c r="B130" s="405">
        <v>8</v>
      </c>
      <c r="C130" s="410">
        <v>9.9999999999999995E-7</v>
      </c>
      <c r="D130" s="410">
        <v>9.9999999999999995E-7</v>
      </c>
      <c r="E130" s="407">
        <v>9.9999999999999995E-7</v>
      </c>
      <c r="F130" s="408"/>
      <c r="G130" s="409"/>
      <c r="H130" s="405">
        <v>8</v>
      </c>
      <c r="I130" s="410">
        <v>9.9999999999999995E-7</v>
      </c>
      <c r="J130" s="410">
        <v>9.9999999999999995E-7</v>
      </c>
      <c r="K130" s="407">
        <v>9.9999999999999995E-7</v>
      </c>
      <c r="L130" s="408"/>
      <c r="M130" s="409"/>
      <c r="N130" s="405">
        <v>8</v>
      </c>
      <c r="O130" s="406">
        <v>9.9999999999999995E-7</v>
      </c>
      <c r="P130" s="406">
        <f t="shared" si="269"/>
        <v>-0.15</v>
      </c>
      <c r="Q130" s="407">
        <f t="shared" si="290"/>
        <v>0.150001</v>
      </c>
      <c r="R130" s="404"/>
      <c r="S130" s="391"/>
      <c r="T130" s="405">
        <v>8</v>
      </c>
      <c r="U130" s="410">
        <f t="shared" si="270"/>
        <v>-0.28000000000000003</v>
      </c>
      <c r="V130" s="406"/>
      <c r="W130" s="407">
        <f t="shared" si="271"/>
        <v>8.3333333333333329E-2</v>
      </c>
      <c r="X130" s="404">
        <f>(0.12-0)/2</f>
        <v>0.06</v>
      </c>
      <c r="Y130" s="391"/>
      <c r="Z130" s="405">
        <v>8</v>
      </c>
      <c r="AA130" s="410">
        <f t="shared" si="272"/>
        <v>0.25</v>
      </c>
      <c r="AB130" s="406"/>
      <c r="AC130" s="407">
        <f t="shared" si="291"/>
        <v>8.666666666666667E-2</v>
      </c>
      <c r="AD130" s="404">
        <f>(0.12-0)/2</f>
        <v>0.06</v>
      </c>
      <c r="AE130" s="391"/>
      <c r="AF130" s="405">
        <v>8</v>
      </c>
      <c r="AG130" s="410">
        <f t="shared" si="292"/>
        <v>0.25</v>
      </c>
      <c r="AH130" s="406"/>
      <c r="AI130" s="407">
        <f t="shared" si="273"/>
        <v>9.0000000000000011E-2</v>
      </c>
      <c r="AJ130" s="404">
        <f>(0.12-0)/2</f>
        <v>0.06</v>
      </c>
      <c r="AK130" s="391"/>
      <c r="AL130" s="405">
        <v>8</v>
      </c>
      <c r="AM130" s="410">
        <f t="shared" si="274"/>
        <v>0.49</v>
      </c>
      <c r="AN130" s="406"/>
      <c r="AO130" s="407">
        <f t="shared" si="275"/>
        <v>8.3333333333333329E-2</v>
      </c>
      <c r="AP130" s="404">
        <f>(0.12-0)/2</f>
        <v>0.06</v>
      </c>
      <c r="AQ130" s="414"/>
      <c r="AR130" s="405">
        <v>8</v>
      </c>
      <c r="AS130" s="410">
        <f t="shared" si="276"/>
        <v>0.38</v>
      </c>
      <c r="AT130" s="406"/>
      <c r="AU130" s="407">
        <f t="shared" si="277"/>
        <v>8.3333333333333329E-2</v>
      </c>
      <c r="AV130" s="404">
        <f>(0.12-0)/2</f>
        <v>0.06</v>
      </c>
      <c r="AW130" s="391"/>
      <c r="AX130" s="405">
        <v>8</v>
      </c>
      <c r="AY130" s="410">
        <f t="shared" si="278"/>
        <v>0.46</v>
      </c>
      <c r="AZ130" s="406"/>
      <c r="BA130" s="407">
        <f t="shared" si="279"/>
        <v>0.26333333333333336</v>
      </c>
      <c r="BB130" s="404">
        <f>(0.12-0)/2</f>
        <v>0.06</v>
      </c>
      <c r="BC130" s="391"/>
      <c r="BD130" s="405">
        <v>8</v>
      </c>
      <c r="BE130" s="459">
        <v>-0.09</v>
      </c>
      <c r="BF130" s="406"/>
      <c r="BG130" s="407">
        <f t="shared" si="280"/>
        <v>9.3333333333333338E-2</v>
      </c>
      <c r="BH130" s="656"/>
      <c r="BJ130" s="405">
        <v>8</v>
      </c>
      <c r="BK130" s="410">
        <f t="shared" si="281"/>
        <v>0.46</v>
      </c>
      <c r="BL130" s="406"/>
      <c r="BM130" s="407">
        <f t="shared" si="282"/>
        <v>0.26333333333333336</v>
      </c>
      <c r="BN130" s="404">
        <f>(0.12-0)/2</f>
        <v>0.06</v>
      </c>
      <c r="BO130" s="391"/>
      <c r="BP130" s="405">
        <v>8</v>
      </c>
      <c r="BQ130" s="410">
        <f t="shared" si="283"/>
        <v>-0.27</v>
      </c>
      <c r="BR130" s="406"/>
      <c r="BS130" s="407">
        <f t="shared" si="284"/>
        <v>8.3333333333333329E-2</v>
      </c>
      <c r="BT130" s="404">
        <f>(0.12-0)/2</f>
        <v>0.06</v>
      </c>
      <c r="BU130" s="391"/>
      <c r="BV130" s="405">
        <v>8</v>
      </c>
      <c r="BW130" s="410">
        <f t="shared" si="285"/>
        <v>-0.34</v>
      </c>
      <c r="BX130" s="406"/>
      <c r="BY130" s="407">
        <f t="shared" si="286"/>
        <v>9.0000000000000011E-2</v>
      </c>
      <c r="BZ130" s="404">
        <f>(0.12-0)/2</f>
        <v>0.06</v>
      </c>
      <c r="CA130" s="391"/>
      <c r="CB130" s="405">
        <v>8</v>
      </c>
      <c r="CC130" s="410">
        <f t="shared" si="266"/>
        <v>0</v>
      </c>
      <c r="CD130" s="406">
        <v>-0.7</v>
      </c>
      <c r="CE130" s="407">
        <f t="shared" si="287"/>
        <v>0.19999999999999998</v>
      </c>
      <c r="CF130" s="404">
        <f>(0.12-0)/2</f>
        <v>0.06</v>
      </c>
      <c r="CG130" s="426"/>
      <c r="CH130" s="405">
        <v>8</v>
      </c>
      <c r="CI130" s="410">
        <f t="shared" si="267"/>
        <v>0.08</v>
      </c>
      <c r="CJ130" s="406">
        <f t="shared" si="267"/>
        <v>0.01</v>
      </c>
      <c r="CK130" s="407">
        <f t="shared" si="288"/>
        <v>7.0000000000000007E-2</v>
      </c>
      <c r="CL130" s="404">
        <f>(0.12-0)/2</f>
        <v>0.06</v>
      </c>
      <c r="CN130" s="405">
        <v>8</v>
      </c>
      <c r="CO130" s="410">
        <f t="shared" si="268"/>
        <v>-0.46</v>
      </c>
      <c r="CP130" s="406">
        <f t="shared" si="268"/>
        <v>0.06</v>
      </c>
      <c r="CQ130" s="407">
        <f t="shared" si="289"/>
        <v>0.52</v>
      </c>
      <c r="CR130" s="404">
        <f>(0.12-0)/2</f>
        <v>0.06</v>
      </c>
    </row>
    <row r="131" spans="2:96">
      <c r="B131" s="405">
        <v>37</v>
      </c>
      <c r="C131" s="410">
        <v>9.9999999999999995E-7</v>
      </c>
      <c r="D131" s="410">
        <v>9.9999999999999995E-7</v>
      </c>
      <c r="E131" s="407">
        <v>9.9999999999999995E-7</v>
      </c>
      <c r="F131" s="408"/>
      <c r="G131" s="409"/>
      <c r="H131" s="405">
        <v>37</v>
      </c>
      <c r="I131" s="410">
        <v>9.9999999999999995E-7</v>
      </c>
      <c r="J131" s="410">
        <v>9.9999999999999995E-7</v>
      </c>
      <c r="K131" s="407">
        <v>9.9999999999999995E-7</v>
      </c>
      <c r="L131" s="408"/>
      <c r="M131" s="409"/>
      <c r="N131" s="405">
        <v>37</v>
      </c>
      <c r="O131" s="406">
        <v>9.9999999999999995E-7</v>
      </c>
      <c r="P131" s="406">
        <f t="shared" si="269"/>
        <v>-0.04</v>
      </c>
      <c r="Q131" s="407">
        <f t="shared" si="290"/>
        <v>4.0001000000000002E-2</v>
      </c>
      <c r="R131" s="404"/>
      <c r="S131" s="391"/>
      <c r="T131" s="405">
        <v>37</v>
      </c>
      <c r="U131" s="410">
        <f t="shared" si="270"/>
        <v>0.6</v>
      </c>
      <c r="V131" s="406"/>
      <c r="W131" s="407">
        <f t="shared" si="271"/>
        <v>8.3333333333333329E-2</v>
      </c>
      <c r="X131" s="404">
        <f>(0.16-0)/2</f>
        <v>0.08</v>
      </c>
      <c r="Y131" s="391"/>
      <c r="Z131" s="405">
        <v>37</v>
      </c>
      <c r="AA131" s="410">
        <f t="shared" si="272"/>
        <v>0.24</v>
      </c>
      <c r="AB131" s="406"/>
      <c r="AC131" s="407">
        <f t="shared" si="291"/>
        <v>8.666666666666667E-2</v>
      </c>
      <c r="AD131" s="404">
        <f>(0.16-0)/2</f>
        <v>0.08</v>
      </c>
      <c r="AE131" s="391"/>
      <c r="AF131" s="405">
        <v>37</v>
      </c>
      <c r="AG131" s="410">
        <f t="shared" si="292"/>
        <v>0.26</v>
      </c>
      <c r="AH131" s="406"/>
      <c r="AI131" s="407">
        <f t="shared" si="273"/>
        <v>9.0000000000000011E-2</v>
      </c>
      <c r="AJ131" s="404">
        <f>(0.16-0)/2</f>
        <v>0.08</v>
      </c>
      <c r="AK131" s="391"/>
      <c r="AL131" s="405">
        <v>37</v>
      </c>
      <c r="AM131" s="410">
        <f t="shared" si="274"/>
        <v>0.51</v>
      </c>
      <c r="AN131" s="406"/>
      <c r="AO131" s="407">
        <f t="shared" si="275"/>
        <v>8.3333333333333329E-2</v>
      </c>
      <c r="AP131" s="404">
        <f>(0.16-0)/2</f>
        <v>0.08</v>
      </c>
      <c r="AQ131" s="414"/>
      <c r="AR131" s="405">
        <v>37</v>
      </c>
      <c r="AS131" s="410">
        <f t="shared" si="276"/>
        <v>0.34</v>
      </c>
      <c r="AT131" s="406"/>
      <c r="AU131" s="407">
        <f t="shared" si="277"/>
        <v>8.3333333333333329E-2</v>
      </c>
      <c r="AV131" s="404">
        <f>(0.16-0)/2</f>
        <v>0.08</v>
      </c>
      <c r="AW131" s="391"/>
      <c r="AX131" s="405">
        <v>37</v>
      </c>
      <c r="AY131" s="410">
        <f t="shared" si="278"/>
        <v>0.4</v>
      </c>
      <c r="AZ131" s="406"/>
      <c r="BA131" s="407">
        <f t="shared" si="279"/>
        <v>0.26333333333333336</v>
      </c>
      <c r="BB131" s="404">
        <f>(0.16-0)/2</f>
        <v>0.08</v>
      </c>
      <c r="BC131" s="391"/>
      <c r="BD131" s="405">
        <v>37</v>
      </c>
      <c r="BE131" s="459">
        <v>0.79</v>
      </c>
      <c r="BF131" s="406"/>
      <c r="BG131" s="407">
        <f t="shared" si="280"/>
        <v>9.3333333333333338E-2</v>
      </c>
      <c r="BH131" s="657">
        <f>VLOOKUP($BH$124,$BD$125:$BG$130,4)</f>
        <v>9.3333333333333338E-2</v>
      </c>
      <c r="BJ131" s="405">
        <v>37</v>
      </c>
      <c r="BK131" s="410">
        <f t="shared" si="281"/>
        <v>0.4</v>
      </c>
      <c r="BL131" s="406"/>
      <c r="BM131" s="407">
        <f t="shared" si="282"/>
        <v>0.26333333333333336</v>
      </c>
      <c r="BN131" s="404">
        <f>(0.16-0)/2</f>
        <v>0.08</v>
      </c>
      <c r="BO131" s="391"/>
      <c r="BP131" s="405">
        <v>37</v>
      </c>
      <c r="BQ131" s="410">
        <f t="shared" si="283"/>
        <v>0.52</v>
      </c>
      <c r="BR131" s="406"/>
      <c r="BS131" s="407">
        <f t="shared" si="284"/>
        <v>8.3333333333333329E-2</v>
      </c>
      <c r="BT131" s="404">
        <f>(0.16-0)/2</f>
        <v>0.08</v>
      </c>
      <c r="BU131" s="391"/>
      <c r="BV131" s="405">
        <v>37</v>
      </c>
      <c r="BW131" s="410">
        <f t="shared" si="285"/>
        <v>0.56999999999999995</v>
      </c>
      <c r="BX131" s="406"/>
      <c r="BY131" s="407">
        <f t="shared" si="286"/>
        <v>9.0000000000000011E-2</v>
      </c>
      <c r="BZ131" s="404">
        <f>(0.16-0)/2</f>
        <v>0.08</v>
      </c>
      <c r="CA131" s="391"/>
      <c r="CB131" s="405">
        <v>37</v>
      </c>
      <c r="CC131" s="410">
        <f t="shared" si="266"/>
        <v>0</v>
      </c>
      <c r="CD131" s="406">
        <v>-0.6</v>
      </c>
      <c r="CE131" s="407">
        <f t="shared" si="287"/>
        <v>0.19999999999999998</v>
      </c>
      <c r="CF131" s="404">
        <f>(0.16-0)/2</f>
        <v>0.08</v>
      </c>
      <c r="CG131" s="426"/>
      <c r="CH131" s="405">
        <v>37</v>
      </c>
      <c r="CI131" s="410">
        <f t="shared" si="267"/>
        <v>0.23</v>
      </c>
      <c r="CJ131" s="406">
        <f t="shared" si="267"/>
        <v>0.19</v>
      </c>
      <c r="CK131" s="407">
        <f t="shared" si="288"/>
        <v>4.0000000000000008E-2</v>
      </c>
      <c r="CL131" s="404">
        <f>(0.16-0)/2</f>
        <v>0.08</v>
      </c>
      <c r="CN131" s="405">
        <v>37</v>
      </c>
      <c r="CO131" s="410">
        <f t="shared" si="268"/>
        <v>0.42</v>
      </c>
      <c r="CP131" s="406">
        <f t="shared" si="268"/>
        <v>0.45</v>
      </c>
      <c r="CQ131" s="407">
        <f t="shared" si="289"/>
        <v>3.0000000000000027E-2</v>
      </c>
      <c r="CR131" s="404">
        <f>(0.16-0)/2</f>
        <v>0.08</v>
      </c>
    </row>
    <row r="132" spans="2:96">
      <c r="B132" s="405">
        <v>44</v>
      </c>
      <c r="C132" s="410">
        <v>9.9999999999999995E-7</v>
      </c>
      <c r="D132" s="410">
        <v>9.9999999999999995E-7</v>
      </c>
      <c r="E132" s="407">
        <v>9.9999999999999995E-7</v>
      </c>
      <c r="F132" s="408"/>
      <c r="G132" s="409"/>
      <c r="H132" s="405">
        <v>44</v>
      </c>
      <c r="I132" s="410">
        <v>9.9999999999999995E-7</v>
      </c>
      <c r="J132" s="410">
        <v>9.9999999999999995E-7</v>
      </c>
      <c r="K132" s="407">
        <v>9.9999999999999995E-7</v>
      </c>
      <c r="L132" s="408"/>
      <c r="M132" s="409"/>
      <c r="N132" s="405">
        <v>44</v>
      </c>
      <c r="O132" s="406">
        <v>9.9999999999999995E-7</v>
      </c>
      <c r="P132" s="406">
        <f t="shared" si="269"/>
        <v>-0.04</v>
      </c>
      <c r="Q132" s="407">
        <f t="shared" si="290"/>
        <v>4.0001000000000002E-2</v>
      </c>
      <c r="R132" s="404"/>
      <c r="S132" s="391"/>
      <c r="T132" s="405">
        <v>44</v>
      </c>
      <c r="U132" s="410">
        <f t="shared" si="270"/>
        <v>0.74</v>
      </c>
      <c r="V132" s="406"/>
      <c r="W132" s="407">
        <f t="shared" si="271"/>
        <v>8.3333333333333329E-2</v>
      </c>
      <c r="X132" s="404">
        <f>(0.12-0)/2</f>
        <v>0.06</v>
      </c>
      <c r="Y132" s="391"/>
      <c r="Z132" s="405">
        <v>44</v>
      </c>
      <c r="AA132" s="410">
        <f t="shared" si="272"/>
        <v>0.24</v>
      </c>
      <c r="AB132" s="406"/>
      <c r="AC132" s="407">
        <f t="shared" si="291"/>
        <v>8.666666666666667E-2</v>
      </c>
      <c r="AD132" s="404">
        <f>(0.12-0)/2</f>
        <v>0.06</v>
      </c>
      <c r="AE132" s="391"/>
      <c r="AF132" s="405">
        <v>44</v>
      </c>
      <c r="AG132" s="410">
        <f t="shared" si="292"/>
        <v>0.26</v>
      </c>
      <c r="AH132" s="406"/>
      <c r="AI132" s="407">
        <f t="shared" si="273"/>
        <v>9.0000000000000011E-2</v>
      </c>
      <c r="AJ132" s="404">
        <f>(0.12-0)/2</f>
        <v>0.06</v>
      </c>
      <c r="AK132" s="391"/>
      <c r="AL132" s="405">
        <v>44</v>
      </c>
      <c r="AM132" s="410">
        <f t="shared" si="274"/>
        <v>0.51</v>
      </c>
      <c r="AN132" s="406"/>
      <c r="AO132" s="407">
        <f t="shared" si="275"/>
        <v>8.3333333333333329E-2</v>
      </c>
      <c r="AP132" s="404">
        <f>(0.12-0)/2</f>
        <v>0.06</v>
      </c>
      <c r="AQ132" s="391"/>
      <c r="AR132" s="405">
        <v>44</v>
      </c>
      <c r="AS132" s="410">
        <f t="shared" si="276"/>
        <v>0.34</v>
      </c>
      <c r="AT132" s="406"/>
      <c r="AU132" s="407">
        <f t="shared" si="277"/>
        <v>8.3333333333333329E-2</v>
      </c>
      <c r="AV132" s="404">
        <f>(0.12-0)/2</f>
        <v>0.06</v>
      </c>
      <c r="AW132" s="391"/>
      <c r="AX132" s="405">
        <v>44</v>
      </c>
      <c r="AY132" s="410">
        <f t="shared" si="278"/>
        <v>0.38</v>
      </c>
      <c r="AZ132" s="406"/>
      <c r="BA132" s="407">
        <f t="shared" si="279"/>
        <v>0.26333333333333336</v>
      </c>
      <c r="BB132" s="404">
        <f>(0.12-0)/2</f>
        <v>0.06</v>
      </c>
      <c r="BC132" s="391"/>
      <c r="BD132" s="405">
        <v>44</v>
      </c>
      <c r="BE132" s="459">
        <v>0.91</v>
      </c>
      <c r="BF132" s="406"/>
      <c r="BG132" s="407">
        <f t="shared" si="280"/>
        <v>9.3333333333333338E-2</v>
      </c>
      <c r="BH132" s="658"/>
      <c r="BJ132" s="405">
        <v>44</v>
      </c>
      <c r="BK132" s="410">
        <f t="shared" si="281"/>
        <v>0.38</v>
      </c>
      <c r="BL132" s="406"/>
      <c r="BM132" s="407">
        <f t="shared" si="282"/>
        <v>0.26333333333333336</v>
      </c>
      <c r="BN132" s="404">
        <f>(0.12-0)/2</f>
        <v>0.06</v>
      </c>
      <c r="BO132" s="391"/>
      <c r="BP132" s="405">
        <v>44</v>
      </c>
      <c r="BQ132" s="410">
        <f t="shared" si="283"/>
        <v>0.6</v>
      </c>
      <c r="BR132" s="406"/>
      <c r="BS132" s="407">
        <f t="shared" si="284"/>
        <v>8.3333333333333329E-2</v>
      </c>
      <c r="BT132" s="404">
        <f>(0.12-0)/2</f>
        <v>0.06</v>
      </c>
      <c r="BU132" s="391"/>
      <c r="BV132" s="405">
        <v>44</v>
      </c>
      <c r="BW132" s="410">
        <f t="shared" si="285"/>
        <v>0.7</v>
      </c>
      <c r="BX132" s="406"/>
      <c r="BY132" s="407">
        <f t="shared" si="286"/>
        <v>9.0000000000000011E-2</v>
      </c>
      <c r="BZ132" s="404">
        <f>(0.12-0)/2</f>
        <v>0.06</v>
      </c>
      <c r="CA132" s="391"/>
      <c r="CB132" s="405">
        <v>44</v>
      </c>
      <c r="CC132" s="410">
        <f t="shared" si="266"/>
        <v>-1</v>
      </c>
      <c r="CD132" s="406">
        <v>-0.7</v>
      </c>
      <c r="CE132" s="407">
        <f t="shared" si="287"/>
        <v>0.19999999999999998</v>
      </c>
      <c r="CF132" s="404">
        <f>(0.12-0)/2</f>
        <v>0.06</v>
      </c>
      <c r="CG132" s="427"/>
      <c r="CH132" s="405">
        <v>44</v>
      </c>
      <c r="CI132" s="410">
        <f t="shared" si="267"/>
        <v>0.25</v>
      </c>
      <c r="CJ132" s="406">
        <f t="shared" si="267"/>
        <v>0.21</v>
      </c>
      <c r="CK132" s="407">
        <f t="shared" si="288"/>
        <v>4.0000000000000008E-2</v>
      </c>
      <c r="CL132" s="404">
        <f>(0.12-0)/2</f>
        <v>0.06</v>
      </c>
      <c r="CN132" s="405">
        <v>44</v>
      </c>
      <c r="CO132" s="410">
        <f t="shared" si="268"/>
        <v>0.56999999999999995</v>
      </c>
      <c r="CP132" s="406">
        <f t="shared" si="268"/>
        <v>0.52</v>
      </c>
      <c r="CQ132" s="407">
        <f t="shared" si="289"/>
        <v>4.9999999999999933E-2</v>
      </c>
      <c r="CR132" s="404">
        <f>(0.12-0)/2</f>
        <v>0.06</v>
      </c>
    </row>
    <row r="133" spans="2:96">
      <c r="B133" s="405">
        <v>50</v>
      </c>
      <c r="C133" s="410">
        <v>9.9999999999999995E-7</v>
      </c>
      <c r="D133" s="410">
        <v>9.9999999999999995E-7</v>
      </c>
      <c r="E133" s="407">
        <v>9.9999999999999995E-7</v>
      </c>
      <c r="F133" s="408"/>
      <c r="G133" s="409"/>
      <c r="H133" s="405">
        <v>50</v>
      </c>
      <c r="I133" s="410">
        <v>9.9999999999999995E-7</v>
      </c>
      <c r="J133" s="410">
        <v>9.9999999999999995E-7</v>
      </c>
      <c r="K133" s="407">
        <v>9.9999999999999995E-7</v>
      </c>
      <c r="L133" s="408"/>
      <c r="M133" s="409"/>
      <c r="N133" s="405">
        <v>50</v>
      </c>
      <c r="O133" s="406">
        <v>9.9999999999999995E-7</v>
      </c>
      <c r="P133" s="406">
        <f t="shared" si="269"/>
        <v>-0.04</v>
      </c>
      <c r="Q133" s="407">
        <f t="shared" si="290"/>
        <v>4.0001000000000002E-2</v>
      </c>
      <c r="R133" s="404"/>
      <c r="S133" s="391"/>
      <c r="T133" s="405">
        <v>50</v>
      </c>
      <c r="U133" s="410">
        <f t="shared" si="270"/>
        <v>0.83</v>
      </c>
      <c r="V133" s="406"/>
      <c r="W133" s="407">
        <f t="shared" si="271"/>
        <v>8.3333333333333329E-2</v>
      </c>
      <c r="X133" s="404">
        <f>(0.18-0)/2</f>
        <v>0.09</v>
      </c>
      <c r="Y133" s="391"/>
      <c r="Z133" s="405">
        <v>50</v>
      </c>
      <c r="AA133" s="410">
        <f t="shared" si="272"/>
        <v>0.24</v>
      </c>
      <c r="AB133" s="406"/>
      <c r="AC133" s="407">
        <f t="shared" si="291"/>
        <v>8.666666666666667E-2</v>
      </c>
      <c r="AD133" s="404">
        <f>(0.18-0)/2</f>
        <v>0.09</v>
      </c>
      <c r="AE133" s="391"/>
      <c r="AF133" s="405">
        <v>50</v>
      </c>
      <c r="AG133" s="410">
        <f t="shared" si="292"/>
        <v>0.27</v>
      </c>
      <c r="AH133" s="406"/>
      <c r="AI133" s="407">
        <f t="shared" si="273"/>
        <v>9.0000000000000011E-2</v>
      </c>
      <c r="AJ133" s="404">
        <f>(0.18-0)/2</f>
        <v>0.09</v>
      </c>
      <c r="AK133" s="391"/>
      <c r="AL133" s="405">
        <v>50</v>
      </c>
      <c r="AM133" s="410">
        <f t="shared" si="274"/>
        <v>0.52</v>
      </c>
      <c r="AN133" s="406"/>
      <c r="AO133" s="407">
        <f t="shared" si="275"/>
        <v>8.3333333333333329E-2</v>
      </c>
      <c r="AP133" s="404">
        <f>(0.18-0)/2</f>
        <v>0.09</v>
      </c>
      <c r="AQ133" s="391"/>
      <c r="AR133" s="405">
        <v>50</v>
      </c>
      <c r="AS133" s="410">
        <f t="shared" si="276"/>
        <v>0.34</v>
      </c>
      <c r="AT133" s="406"/>
      <c r="AU133" s="407">
        <f t="shared" si="277"/>
        <v>8.3333333333333329E-2</v>
      </c>
      <c r="AV133" s="404">
        <f>(0.18-0)/2</f>
        <v>0.09</v>
      </c>
      <c r="AW133" s="391"/>
      <c r="AX133" s="405">
        <v>50</v>
      </c>
      <c r="AY133" s="410">
        <f t="shared" si="278"/>
        <v>0.37</v>
      </c>
      <c r="AZ133" s="406"/>
      <c r="BA133" s="407">
        <f t="shared" si="279"/>
        <v>0.26333333333333336</v>
      </c>
      <c r="BB133" s="404">
        <f>(0.18-0)/2</f>
        <v>0.09</v>
      </c>
      <c r="BC133" s="391"/>
      <c r="BD133" s="405">
        <v>50</v>
      </c>
      <c r="BE133" s="459">
        <v>0.99</v>
      </c>
      <c r="BF133" s="406"/>
      <c r="BG133" s="407">
        <f t="shared" si="280"/>
        <v>9.3333333333333338E-2</v>
      </c>
      <c r="BH133" s="659">
        <f>((($BH$131-$BH$129)/($BH$127-$BH$125))*($BH$124-$BH$125))+$BH$129</f>
        <v>9.3333333333333338E-2</v>
      </c>
      <c r="BJ133" s="405">
        <v>50</v>
      </c>
      <c r="BK133" s="410">
        <f t="shared" si="281"/>
        <v>0.37</v>
      </c>
      <c r="BL133" s="406"/>
      <c r="BM133" s="407">
        <f t="shared" si="282"/>
        <v>0.26333333333333336</v>
      </c>
      <c r="BN133" s="404">
        <f>(0.18-0)/2</f>
        <v>0.09</v>
      </c>
      <c r="BO133" s="391"/>
      <c r="BP133" s="405">
        <v>50</v>
      </c>
      <c r="BQ133" s="410">
        <f t="shared" si="283"/>
        <v>0.65</v>
      </c>
      <c r="BR133" s="406"/>
      <c r="BS133" s="407">
        <f t="shared" si="284"/>
        <v>8.3333333333333329E-2</v>
      </c>
      <c r="BT133" s="404">
        <f>(0.18-0)/2</f>
        <v>0.09</v>
      </c>
      <c r="BU133" s="391"/>
      <c r="BV133" s="405">
        <v>50</v>
      </c>
      <c r="BW133" s="410">
        <f t="shared" si="285"/>
        <v>0.77</v>
      </c>
      <c r="BX133" s="406"/>
      <c r="BY133" s="407">
        <f t="shared" si="286"/>
        <v>9.0000000000000011E-2</v>
      </c>
      <c r="BZ133" s="404">
        <f>(0.18-0)/2</f>
        <v>0.09</v>
      </c>
      <c r="CA133" s="391"/>
      <c r="CB133" s="405">
        <v>50</v>
      </c>
      <c r="CC133" s="410">
        <f t="shared" si="266"/>
        <v>-1.6</v>
      </c>
      <c r="CD133" s="406">
        <v>-0.7</v>
      </c>
      <c r="CE133" s="407">
        <f t="shared" si="287"/>
        <v>0.30000000000000004</v>
      </c>
      <c r="CF133" s="404">
        <f>(0.18-0)/2</f>
        <v>0.09</v>
      </c>
      <c r="CH133" s="405">
        <v>50</v>
      </c>
      <c r="CI133" s="410">
        <f t="shared" si="267"/>
        <v>0.27</v>
      </c>
      <c r="CJ133" s="406">
        <f t="shared" si="267"/>
        <v>0.22</v>
      </c>
      <c r="CK133" s="407">
        <f t="shared" si="288"/>
        <v>5.0000000000000017E-2</v>
      </c>
      <c r="CL133" s="404">
        <f>(0.18-0)/2</f>
        <v>0.09</v>
      </c>
      <c r="CN133" s="405">
        <v>50</v>
      </c>
      <c r="CO133" s="410">
        <f t="shared" si="268"/>
        <v>0.67</v>
      </c>
      <c r="CP133" s="406">
        <f t="shared" si="268"/>
        <v>0.56999999999999995</v>
      </c>
      <c r="CQ133" s="407">
        <f t="shared" si="289"/>
        <v>0.10000000000000009</v>
      </c>
      <c r="CR133" s="404">
        <f>(0.18-0)/2</f>
        <v>0.09</v>
      </c>
    </row>
    <row r="134" spans="2:96">
      <c r="B134" s="405">
        <v>100</v>
      </c>
      <c r="C134" s="410">
        <v>9.9999999999999995E-7</v>
      </c>
      <c r="D134" s="410">
        <v>9.9999999999999995E-7</v>
      </c>
      <c r="E134" s="407">
        <v>9.9999999999999995E-7</v>
      </c>
      <c r="F134" s="408"/>
      <c r="G134" s="409"/>
      <c r="H134" s="405">
        <v>100</v>
      </c>
      <c r="I134" s="410">
        <v>9.9999999999999995E-7</v>
      </c>
      <c r="J134" s="410">
        <v>9.9999999999999995E-7</v>
      </c>
      <c r="K134" s="407">
        <v>9.9999999999999995E-7</v>
      </c>
      <c r="L134" s="408"/>
      <c r="M134" s="409"/>
      <c r="N134" s="405">
        <v>100</v>
      </c>
      <c r="O134" s="406">
        <v>9.9999999999999995E-7</v>
      </c>
      <c r="P134" s="406">
        <f t="shared" si="269"/>
        <v>-0.17</v>
      </c>
      <c r="Q134" s="407">
        <f t="shared" si="290"/>
        <v>0.17000100000000001</v>
      </c>
      <c r="R134" s="404"/>
      <c r="S134" s="391"/>
      <c r="T134" s="405">
        <v>100</v>
      </c>
      <c r="U134" s="410">
        <f t="shared" si="270"/>
        <v>0.95</v>
      </c>
      <c r="V134" s="406"/>
      <c r="W134" s="407">
        <f t="shared" si="271"/>
        <v>8.3333333333333329E-2</v>
      </c>
      <c r="X134" s="404">
        <f>(0.21-0)/2</f>
        <v>0.105</v>
      </c>
      <c r="Y134" s="391"/>
      <c r="Z134" s="405">
        <v>100</v>
      </c>
      <c r="AA134" s="410">
        <f t="shared" si="272"/>
        <v>0.33</v>
      </c>
      <c r="AB134" s="406"/>
      <c r="AC134" s="407">
        <f t="shared" si="291"/>
        <v>8.666666666666667E-2</v>
      </c>
      <c r="AD134" s="404">
        <f>(0.21-0)/2</f>
        <v>0.105</v>
      </c>
      <c r="AE134" s="391"/>
      <c r="AF134" s="405">
        <v>100</v>
      </c>
      <c r="AG134" s="410">
        <f t="shared" si="292"/>
        <v>0.36</v>
      </c>
      <c r="AH134" s="406"/>
      <c r="AI134" s="407">
        <f t="shared" si="273"/>
        <v>9.0000000000000011E-2</v>
      </c>
      <c r="AJ134" s="404">
        <f>(0.21-0)/2</f>
        <v>0.105</v>
      </c>
      <c r="AK134" s="391"/>
      <c r="AL134" s="405">
        <v>100</v>
      </c>
      <c r="AM134" s="410">
        <f t="shared" si="274"/>
        <v>0.61</v>
      </c>
      <c r="AN134" s="406"/>
      <c r="AO134" s="407">
        <f t="shared" si="275"/>
        <v>8.3333333333333329E-2</v>
      </c>
      <c r="AP134" s="404">
        <f>(0.21-0)/2</f>
        <v>0.105</v>
      </c>
      <c r="AQ134" s="391"/>
      <c r="AR134" s="405">
        <v>100</v>
      </c>
      <c r="AS134" s="410">
        <f t="shared" si="276"/>
        <v>0.44</v>
      </c>
      <c r="AT134" s="406"/>
      <c r="AU134" s="407">
        <f t="shared" si="277"/>
        <v>8.3333333333333329E-2</v>
      </c>
      <c r="AV134" s="404">
        <f>(0.21-0)/2</f>
        <v>0.105</v>
      </c>
      <c r="AW134" s="391"/>
      <c r="AX134" s="405">
        <v>100</v>
      </c>
      <c r="AY134" s="410">
        <f t="shared" si="278"/>
        <v>0.2</v>
      </c>
      <c r="AZ134" s="406"/>
      <c r="BA134" s="407">
        <f t="shared" si="279"/>
        <v>0.26333333333333336</v>
      </c>
      <c r="BB134" s="404">
        <f>(0.21-0)/2</f>
        <v>0.105</v>
      </c>
      <c r="BC134" s="391"/>
      <c r="BD134" s="405">
        <v>100</v>
      </c>
      <c r="BE134" s="459">
        <v>1.02</v>
      </c>
      <c r="BF134" s="406"/>
      <c r="BG134" s="407">
        <f t="shared" si="280"/>
        <v>9.3333333333333338E-2</v>
      </c>
      <c r="BH134" s="404"/>
      <c r="BI134" s="404"/>
      <c r="BJ134" s="405">
        <v>100</v>
      </c>
      <c r="BK134" s="410">
        <f t="shared" si="281"/>
        <v>0.2</v>
      </c>
      <c r="BL134" s="406"/>
      <c r="BM134" s="407">
        <f t="shared" si="282"/>
        <v>0.26333333333333336</v>
      </c>
      <c r="BN134" s="404">
        <f>(0.21-0)/2</f>
        <v>0.105</v>
      </c>
      <c r="BO134" s="391"/>
      <c r="BP134" s="405">
        <v>100</v>
      </c>
      <c r="BQ134" s="410">
        <f t="shared" si="283"/>
        <v>0.37</v>
      </c>
      <c r="BR134" s="406"/>
      <c r="BS134" s="407">
        <f t="shared" si="284"/>
        <v>8.3333333333333329E-2</v>
      </c>
      <c r="BT134" s="404">
        <f>(0.21-0)/2</f>
        <v>0.105</v>
      </c>
      <c r="BU134" s="391"/>
      <c r="BV134" s="405">
        <v>100</v>
      </c>
      <c r="BW134" s="410">
        <f t="shared" si="285"/>
        <v>0.67</v>
      </c>
      <c r="BX134" s="406"/>
      <c r="BY134" s="407">
        <f t="shared" si="286"/>
        <v>9.0000000000000011E-2</v>
      </c>
      <c r="BZ134" s="404">
        <f>(0.21-0)/2</f>
        <v>0.105</v>
      </c>
      <c r="CA134" s="391"/>
      <c r="CB134" s="405">
        <v>100</v>
      </c>
      <c r="CC134" s="410">
        <f t="shared" si="266"/>
        <v>-1.7</v>
      </c>
      <c r="CD134" s="406">
        <v>-0.7</v>
      </c>
      <c r="CE134" s="407">
        <f t="shared" si="287"/>
        <v>0.90000000000000013</v>
      </c>
      <c r="CF134" s="404">
        <f>(0.21-0)/2</f>
        <v>0.105</v>
      </c>
      <c r="CH134" s="405">
        <v>100</v>
      </c>
      <c r="CI134" s="410">
        <f t="shared" si="267"/>
        <v>0.31</v>
      </c>
      <c r="CJ134" s="406">
        <f t="shared" si="267"/>
        <v>0.23</v>
      </c>
      <c r="CK134" s="407">
        <f t="shared" si="288"/>
        <v>7.9999999999999988E-2</v>
      </c>
      <c r="CL134" s="404">
        <f>(0.21-0)/2</f>
        <v>0.105</v>
      </c>
      <c r="CN134" s="405">
        <v>100</v>
      </c>
      <c r="CO134" s="410">
        <f t="shared" si="268"/>
        <v>0.95</v>
      </c>
      <c r="CP134" s="406">
        <f t="shared" si="268"/>
        <v>0.81</v>
      </c>
      <c r="CQ134" s="407">
        <f t="shared" si="289"/>
        <v>0.1399999999999999</v>
      </c>
      <c r="CR134" s="404">
        <f>(0.21-0)/2</f>
        <v>0.105</v>
      </c>
    </row>
    <row r="135" spans="2:96">
      <c r="B135" s="405">
        <v>150</v>
      </c>
      <c r="C135" s="410">
        <v>9.9999999999999995E-7</v>
      </c>
      <c r="D135" s="410">
        <v>9.9999999999999995E-7</v>
      </c>
      <c r="E135" s="407">
        <v>9.9999999999999995E-7</v>
      </c>
      <c r="F135" s="408"/>
      <c r="G135" s="409"/>
      <c r="H135" s="405">
        <v>150</v>
      </c>
      <c r="I135" s="410">
        <v>9.9999999999999995E-7</v>
      </c>
      <c r="J135" s="410">
        <v>9.9999999999999995E-7</v>
      </c>
      <c r="K135" s="407">
        <v>9.9999999999999995E-7</v>
      </c>
      <c r="L135" s="408"/>
      <c r="M135" s="409"/>
      <c r="N135" s="405">
        <v>150</v>
      </c>
      <c r="O135" s="406">
        <v>9.9999999999999995E-7</v>
      </c>
      <c r="P135" s="406">
        <f t="shared" si="269"/>
        <v>-0.28000000000000003</v>
      </c>
      <c r="Q135" s="407">
        <f t="shared" si="290"/>
        <v>0.280001</v>
      </c>
      <c r="R135" s="404"/>
      <c r="S135" s="391"/>
      <c r="T135" s="405">
        <v>150</v>
      </c>
      <c r="U135" s="410">
        <f t="shared" si="270"/>
        <v>0.34</v>
      </c>
      <c r="V135" s="406"/>
      <c r="W135" s="407">
        <f t="shared" si="271"/>
        <v>8.3333333333333329E-2</v>
      </c>
      <c r="X135" s="404">
        <f>(0.22-0)/2</f>
        <v>0.11</v>
      </c>
      <c r="Y135" s="391"/>
      <c r="Z135" s="405">
        <v>150</v>
      </c>
      <c r="AA135" s="410">
        <f t="shared" si="272"/>
        <v>0.51</v>
      </c>
      <c r="AB135" s="406"/>
      <c r="AC135" s="407">
        <f t="shared" si="291"/>
        <v>8.666666666666667E-2</v>
      </c>
      <c r="AD135" s="404">
        <f>(0.22-0)/2</f>
        <v>0.11</v>
      </c>
      <c r="AE135" s="391"/>
      <c r="AF135" s="405">
        <v>150</v>
      </c>
      <c r="AG135" s="410">
        <f t="shared" si="292"/>
        <v>0.54</v>
      </c>
      <c r="AH135" s="406"/>
      <c r="AI135" s="407">
        <f t="shared" si="273"/>
        <v>9.0000000000000011E-2</v>
      </c>
      <c r="AJ135" s="404">
        <f>(0.22-0)/2</f>
        <v>0.11</v>
      </c>
      <c r="AK135" s="391"/>
      <c r="AL135" s="405">
        <v>150</v>
      </c>
      <c r="AM135" s="410">
        <f t="shared" si="274"/>
        <v>0.77</v>
      </c>
      <c r="AN135" s="406"/>
      <c r="AO135" s="407">
        <f t="shared" si="275"/>
        <v>8.3333333333333329E-2</v>
      </c>
      <c r="AP135" s="404">
        <f>(0.22-0)/2</f>
        <v>0.11</v>
      </c>
      <c r="AQ135" s="391"/>
      <c r="AR135" s="405">
        <v>150</v>
      </c>
      <c r="AS135" s="410">
        <f t="shared" si="276"/>
        <v>0.62</v>
      </c>
      <c r="AT135" s="406"/>
      <c r="AU135" s="407">
        <f t="shared" si="277"/>
        <v>8.3333333333333329E-2</v>
      </c>
      <c r="AV135" s="404">
        <f>(0.22-0)/2</f>
        <v>0.11</v>
      </c>
      <c r="AW135" s="391"/>
      <c r="AX135" s="405">
        <v>150</v>
      </c>
      <c r="AY135" s="410">
        <f t="shared" si="278"/>
        <v>-0.01</v>
      </c>
      <c r="AZ135" s="406"/>
      <c r="BA135" s="407">
        <f t="shared" si="279"/>
        <v>0.26333333333333336</v>
      </c>
      <c r="BB135" s="404">
        <f>(0.22-0)/2</f>
        <v>0.11</v>
      </c>
      <c r="BC135" s="391"/>
      <c r="BD135" s="405">
        <v>150</v>
      </c>
      <c r="BE135" s="459">
        <v>0.63</v>
      </c>
      <c r="BF135" s="406"/>
      <c r="BG135" s="407">
        <f t="shared" si="280"/>
        <v>9.3333333333333338E-2</v>
      </c>
      <c r="BH135" s="404"/>
      <c r="BI135" s="404"/>
      <c r="BJ135" s="405">
        <v>150</v>
      </c>
      <c r="BK135" s="410">
        <f t="shared" si="281"/>
        <v>-0.01</v>
      </c>
      <c r="BL135" s="406"/>
      <c r="BM135" s="407">
        <f t="shared" si="282"/>
        <v>0.26333333333333336</v>
      </c>
      <c r="BN135" s="404">
        <f>(0.22-0)/2</f>
        <v>0.11</v>
      </c>
      <c r="BO135" s="391"/>
      <c r="BP135" s="405">
        <v>150</v>
      </c>
      <c r="BQ135" s="410">
        <f t="shared" si="283"/>
        <v>-0.35</v>
      </c>
      <c r="BR135" s="406"/>
      <c r="BS135" s="407">
        <f t="shared" si="284"/>
        <v>8.3333333333333329E-2</v>
      </c>
      <c r="BT135" s="404">
        <f>(0.22-0)/2</f>
        <v>0.11</v>
      </c>
      <c r="BU135" s="391"/>
      <c r="BV135" s="405">
        <v>150</v>
      </c>
      <c r="BW135" s="410">
        <f t="shared" si="285"/>
        <v>-0.12</v>
      </c>
      <c r="BX135" s="406"/>
      <c r="BY135" s="407">
        <f t="shared" si="286"/>
        <v>9.0000000000000011E-2</v>
      </c>
      <c r="BZ135" s="404">
        <f>(0.22-0)/2</f>
        <v>0.11</v>
      </c>
      <c r="CA135" s="391"/>
      <c r="CB135" s="405">
        <v>150</v>
      </c>
      <c r="CC135" s="410">
        <f t="shared" si="266"/>
        <v>-0.9</v>
      </c>
      <c r="CD135" s="406">
        <v>-0.7</v>
      </c>
      <c r="CE135" s="407">
        <f t="shared" si="287"/>
        <v>1</v>
      </c>
      <c r="CF135" s="404">
        <f>(0.22-0)/2</f>
        <v>0.11</v>
      </c>
      <c r="CH135" s="405">
        <v>150</v>
      </c>
      <c r="CI135" s="410">
        <f t="shared" si="267"/>
        <v>0.3</v>
      </c>
      <c r="CJ135" s="406">
        <f t="shared" si="267"/>
        <v>0.22</v>
      </c>
      <c r="CK135" s="407">
        <f t="shared" si="288"/>
        <v>7.9999999999999988E-2</v>
      </c>
      <c r="CL135" s="404">
        <f>(0.22-0)/2</f>
        <v>0.11</v>
      </c>
      <c r="CN135" s="405">
        <v>150</v>
      </c>
      <c r="CO135" s="410">
        <f t="shared" si="268"/>
        <v>0.49</v>
      </c>
      <c r="CP135" s="406">
        <f t="shared" si="268"/>
        <v>0.87</v>
      </c>
      <c r="CQ135" s="407">
        <f t="shared" si="289"/>
        <v>0.38</v>
      </c>
      <c r="CR135" s="404">
        <f>(0.22-0)/2</f>
        <v>0.11</v>
      </c>
    </row>
    <row r="136" spans="2:96">
      <c r="B136" s="405">
        <v>200</v>
      </c>
      <c r="C136" s="410">
        <v>9.9999999999999995E-7</v>
      </c>
      <c r="D136" s="410">
        <v>9.9999999999999995E-7</v>
      </c>
      <c r="E136" s="407">
        <v>9.9999999999999995E-7</v>
      </c>
      <c r="F136" s="408"/>
      <c r="G136" s="409"/>
      <c r="H136" s="405">
        <v>200</v>
      </c>
      <c r="I136" s="410">
        <v>9.9999999999999995E-7</v>
      </c>
      <c r="J136" s="410">
        <v>9.9999999999999995E-7</v>
      </c>
      <c r="K136" s="407">
        <v>9.9999999999999995E-7</v>
      </c>
      <c r="L136" s="408"/>
      <c r="M136" s="409"/>
      <c r="N136" s="405">
        <v>200</v>
      </c>
      <c r="O136" s="406">
        <v>9.9999999999999995E-7</v>
      </c>
      <c r="P136" s="406">
        <f t="shared" si="269"/>
        <v>0</v>
      </c>
      <c r="Q136" s="407">
        <f t="shared" si="290"/>
        <v>9.3333333333333338E-2</v>
      </c>
      <c r="R136" s="404"/>
      <c r="S136" s="391"/>
      <c r="T136" s="405">
        <v>200</v>
      </c>
      <c r="U136" s="410">
        <f t="shared" si="270"/>
        <v>-0.41</v>
      </c>
      <c r="V136" s="406"/>
      <c r="W136" s="407">
        <f t="shared" si="271"/>
        <v>8.3333333333333329E-2</v>
      </c>
      <c r="X136" s="404">
        <f>(0.19-0)/2</f>
        <v>9.5000000000000001E-2</v>
      </c>
      <c r="Y136" s="391"/>
      <c r="Z136" s="405">
        <v>200</v>
      </c>
      <c r="AA136" s="410">
        <f t="shared" si="272"/>
        <v>0.74</v>
      </c>
      <c r="AB136" s="406"/>
      <c r="AC136" s="407">
        <f t="shared" si="291"/>
        <v>8.666666666666667E-2</v>
      </c>
      <c r="AD136" s="404">
        <f>(0.19-0)/2</f>
        <v>9.5000000000000001E-2</v>
      </c>
      <c r="AE136" s="391"/>
      <c r="AF136" s="405">
        <v>200</v>
      </c>
      <c r="AG136" s="410">
        <f t="shared" si="292"/>
        <v>0.81</v>
      </c>
      <c r="AH136" s="406"/>
      <c r="AI136" s="407">
        <f t="shared" si="273"/>
        <v>9.0000000000000011E-2</v>
      </c>
      <c r="AJ136" s="404">
        <f>(0.19-0)/2</f>
        <v>9.5000000000000001E-2</v>
      </c>
      <c r="AK136" s="391"/>
      <c r="AL136" s="405">
        <v>200</v>
      </c>
      <c r="AM136" s="410">
        <f t="shared" si="274"/>
        <v>1.02</v>
      </c>
      <c r="AN136" s="406"/>
      <c r="AO136" s="407">
        <f t="shared" si="275"/>
        <v>8.3333333333333329E-2</v>
      </c>
      <c r="AP136" s="404">
        <f>(0.19-0)/2</f>
        <v>9.5000000000000001E-2</v>
      </c>
      <c r="AQ136" s="391"/>
      <c r="AR136" s="405">
        <v>200</v>
      </c>
      <c r="AS136" s="410">
        <f t="shared" si="276"/>
        <v>0.83</v>
      </c>
      <c r="AT136" s="406"/>
      <c r="AU136" s="407">
        <f t="shared" si="277"/>
        <v>8.3333333333333329E-2</v>
      </c>
      <c r="AV136" s="404">
        <f>(0.19-0)/2</f>
        <v>9.5000000000000001E-2</v>
      </c>
      <c r="AW136" s="391"/>
      <c r="AX136" s="405">
        <v>200</v>
      </c>
      <c r="AY136" s="410">
        <f t="shared" si="278"/>
        <v>-0.28999999999999998</v>
      </c>
      <c r="AZ136" s="406"/>
      <c r="BA136" s="407">
        <f t="shared" si="279"/>
        <v>0.26333333333333336</v>
      </c>
      <c r="BB136" s="404">
        <f>(0.19-0)/2</f>
        <v>9.5000000000000001E-2</v>
      </c>
      <c r="BC136" s="391"/>
      <c r="BD136" s="405">
        <v>200</v>
      </c>
      <c r="BE136" s="459">
        <v>0.8</v>
      </c>
      <c r="BF136" s="406"/>
      <c r="BG136" s="407">
        <f t="shared" si="280"/>
        <v>9.3333333333333338E-2</v>
      </c>
      <c r="BH136" s="404"/>
      <c r="BI136" s="404"/>
      <c r="BJ136" s="405">
        <v>200</v>
      </c>
      <c r="BK136" s="410">
        <f t="shared" si="281"/>
        <v>-0.28999999999999998</v>
      </c>
      <c r="BL136" s="406"/>
      <c r="BM136" s="407">
        <f t="shared" si="282"/>
        <v>0.26333333333333336</v>
      </c>
      <c r="BN136" s="404">
        <f>(0.19-0)/2</f>
        <v>9.5000000000000001E-2</v>
      </c>
      <c r="BO136" s="391"/>
      <c r="BP136" s="405">
        <v>200</v>
      </c>
      <c r="BQ136" s="410">
        <f t="shared" si="283"/>
        <v>-0.36</v>
      </c>
      <c r="BR136" s="406"/>
      <c r="BS136" s="407">
        <f t="shared" si="284"/>
        <v>8.3333333333333329E-2</v>
      </c>
      <c r="BT136" s="404">
        <f>(0.19-0)/2</f>
        <v>9.5000000000000001E-2</v>
      </c>
      <c r="BU136" s="391"/>
      <c r="BV136" s="405">
        <v>200</v>
      </c>
      <c r="BW136" s="410">
        <f t="shared" si="285"/>
        <v>-0.65</v>
      </c>
      <c r="BX136" s="406"/>
      <c r="BY136" s="407">
        <f t="shared" si="286"/>
        <v>9.0000000000000011E-2</v>
      </c>
      <c r="BZ136" s="404">
        <f>(0.19-0)/2</f>
        <v>9.5000000000000001E-2</v>
      </c>
      <c r="CA136" s="391"/>
      <c r="CB136" s="405">
        <v>200</v>
      </c>
      <c r="CC136" s="410">
        <f t="shared" si="266"/>
        <v>0</v>
      </c>
      <c r="CD136" s="406">
        <v>-0.6</v>
      </c>
      <c r="CE136" s="407">
        <f t="shared" si="287"/>
        <v>0.30000000000000004</v>
      </c>
      <c r="CF136" s="404">
        <f>(0.19-0)/2</f>
        <v>9.5000000000000001E-2</v>
      </c>
      <c r="CH136" s="405">
        <v>200</v>
      </c>
      <c r="CI136" s="410">
        <f t="shared" si="267"/>
        <v>0.34</v>
      </c>
      <c r="CJ136" s="406">
        <f t="shared" si="267"/>
        <v>0.47</v>
      </c>
      <c r="CK136" s="407">
        <f t="shared" si="288"/>
        <v>0.12999999999999995</v>
      </c>
      <c r="CL136" s="404">
        <f>(0.19-0)/2</f>
        <v>9.5000000000000001E-2</v>
      </c>
      <c r="CN136" s="405">
        <v>200</v>
      </c>
      <c r="CO136" s="410">
        <f t="shared" si="268"/>
        <v>-0.26</v>
      </c>
      <c r="CP136" s="406">
        <f t="shared" si="268"/>
        <v>0.99</v>
      </c>
      <c r="CQ136" s="407">
        <f t="shared" si="289"/>
        <v>1.25</v>
      </c>
      <c r="CR136" s="404">
        <f>(0.19-0)/2</f>
        <v>9.5000000000000001E-2</v>
      </c>
    </row>
    <row r="137" spans="2:96" s="391" customFormat="1">
      <c r="B137" s="415"/>
      <c r="C137" s="392"/>
      <c r="D137" s="392"/>
      <c r="E137" s="412"/>
      <c r="F137" s="412"/>
      <c r="G137" s="412"/>
      <c r="H137" s="412"/>
      <c r="I137" s="412"/>
      <c r="J137" s="412"/>
      <c r="K137" s="412"/>
      <c r="L137" s="412"/>
      <c r="M137" s="412"/>
      <c r="N137" s="412"/>
      <c r="T137" s="392"/>
      <c r="U137" s="392"/>
      <c r="V137" s="392"/>
      <c r="W137" s="392"/>
      <c r="X137" s="392"/>
      <c r="Y137" s="392"/>
      <c r="Z137" s="392"/>
      <c r="AA137" s="392"/>
      <c r="AB137" s="392"/>
      <c r="AH137" s="392"/>
      <c r="AJ137" s="393"/>
      <c r="AN137" s="392"/>
      <c r="AP137" s="393"/>
      <c r="AT137" s="392"/>
      <c r="AV137" s="393"/>
      <c r="AZ137" s="392"/>
      <c r="BB137" s="393"/>
      <c r="BF137" s="392"/>
      <c r="BH137" s="393"/>
      <c r="BL137" s="392"/>
      <c r="BN137" s="393"/>
      <c r="BR137" s="392"/>
      <c r="BT137" s="393"/>
      <c r="BX137" s="392"/>
      <c r="BZ137" s="393"/>
      <c r="CD137" s="392"/>
      <c r="CF137" s="393"/>
      <c r="CJ137" s="392"/>
      <c r="CL137" s="393"/>
      <c r="CP137" s="392"/>
      <c r="CR137" s="393"/>
    </row>
    <row r="138" spans="2:96" ht="24.75" customHeight="1">
      <c r="B138" s="823" t="s">
        <v>340</v>
      </c>
      <c r="C138" s="825" t="str">
        <f>C123</f>
        <v>Thermocouple Data Logger, Merek : MADGETECH, Model : OctTemp 2000, SN : P40270</v>
      </c>
      <c r="D138" s="825"/>
      <c r="E138" s="825"/>
      <c r="F138" s="394" t="s">
        <v>329</v>
      </c>
      <c r="G138" s="395"/>
      <c r="H138" s="823" t="str">
        <f>B138</f>
        <v>CH 10</v>
      </c>
      <c r="I138" s="825" t="str">
        <f>I123</f>
        <v>Thermocouple Data Logger, Merek : MADGETECH, Model : OctTemp 2000, SN : P41878</v>
      </c>
      <c r="J138" s="825"/>
      <c r="K138" s="825"/>
      <c r="L138" s="394" t="s">
        <v>329</v>
      </c>
      <c r="M138" s="395"/>
      <c r="N138" s="823" t="str">
        <f>H138</f>
        <v>CH 10</v>
      </c>
      <c r="O138" s="825" t="str">
        <f>O123</f>
        <v>Mobile Corder, Merek : Yokogawa, Model : GP 10, SN : S5T810599</v>
      </c>
      <c r="P138" s="826"/>
      <c r="Q138" s="825"/>
      <c r="R138" s="394" t="s">
        <v>329</v>
      </c>
      <c r="S138" s="391"/>
      <c r="T138" s="823" t="str">
        <f>N138</f>
        <v>CH 10</v>
      </c>
      <c r="U138" s="825" t="str">
        <f>U123</f>
        <v>Wireless Temperature Recorder : Merek : HIOKI, Model : LR 8510, SN : 200936000</v>
      </c>
      <c r="V138" s="826"/>
      <c r="W138" s="825"/>
      <c r="X138" s="394" t="s">
        <v>329</v>
      </c>
      <c r="Y138" s="391"/>
      <c r="Z138" s="823" t="str">
        <f>T138</f>
        <v>CH 10</v>
      </c>
      <c r="AA138" s="825" t="str">
        <f>AA123</f>
        <v>Wireless Temperature Recorder : Merek : HIOKI, Model : LR 8510, SN : 200936001</v>
      </c>
      <c r="AB138" s="826"/>
      <c r="AC138" s="825"/>
      <c r="AD138" s="394" t="s">
        <v>329</v>
      </c>
      <c r="AE138" s="391"/>
      <c r="AF138" s="823" t="str">
        <f>$Z$138</f>
        <v>CH 10</v>
      </c>
      <c r="AG138" s="825" t="str">
        <f>$AG$123</f>
        <v>Wireless Temperature Recorder : Merek : HIOKI, Model : LR 8510, SN : 200821397</v>
      </c>
      <c r="AH138" s="826"/>
      <c r="AI138" s="825"/>
      <c r="AJ138" s="394" t="s">
        <v>329</v>
      </c>
      <c r="AK138" s="391"/>
      <c r="AL138" s="823" t="str">
        <f>AF138</f>
        <v>CH 10</v>
      </c>
      <c r="AM138" s="825" t="str">
        <f>AM123</f>
        <v>Wireless Temperature Recorder : Merek : HIOKI, Model : LR 8510, SN : 210411983</v>
      </c>
      <c r="AN138" s="826"/>
      <c r="AO138" s="825"/>
      <c r="AP138" s="394" t="s">
        <v>329</v>
      </c>
      <c r="AQ138" s="414"/>
      <c r="AR138" s="823" t="str">
        <f>AL138</f>
        <v>CH 10</v>
      </c>
      <c r="AS138" s="825" t="str">
        <f>AS123</f>
        <v>Wireless Temperature Recorder : Merek : HIOKI, Model : LR 8510, SN : 210411984</v>
      </c>
      <c r="AT138" s="826"/>
      <c r="AU138" s="825"/>
      <c r="AV138" s="394" t="s">
        <v>329</v>
      </c>
      <c r="AW138" s="391"/>
      <c r="AX138" s="823" t="str">
        <f>AR138</f>
        <v>CH 10</v>
      </c>
      <c r="AY138" s="825" t="str">
        <f>AY123</f>
        <v>Wireless Temperature Recorder : Merek : HIOKI, Model : LR 8510, SN : 210411985</v>
      </c>
      <c r="AZ138" s="826"/>
      <c r="BA138" s="825"/>
      <c r="BB138" s="394" t="s">
        <v>329</v>
      </c>
      <c r="BC138" s="391"/>
      <c r="BD138" s="823" t="str">
        <f>AX138</f>
        <v>CH 10</v>
      </c>
      <c r="BE138" s="825" t="str">
        <f>BE123</f>
        <v>Wireless Temperature Recorder : Merek : HIOKI, Model : LR 8510, SN : 210746054</v>
      </c>
      <c r="BF138" s="826"/>
      <c r="BG138" s="825"/>
      <c r="BH138" s="394" t="s">
        <v>329</v>
      </c>
      <c r="BI138" s="391"/>
      <c r="BJ138" s="823" t="str">
        <f>BD138</f>
        <v>CH 10</v>
      </c>
      <c r="BK138" s="825" t="str">
        <f>BK123</f>
        <v>Wireless Temperature Recorder : Merek : HIOKI, Model : LR 8510, SN : 210746055</v>
      </c>
      <c r="BL138" s="826"/>
      <c r="BM138" s="825"/>
      <c r="BN138" s="394" t="s">
        <v>329</v>
      </c>
      <c r="BO138" s="391"/>
      <c r="BP138" s="823" t="str">
        <f>BJ138</f>
        <v>CH 10</v>
      </c>
      <c r="BQ138" s="825" t="str">
        <f>BQ123</f>
        <v>Wireless Temperature Recorder : Merek : HIOKI, Model : LR 8510, SN : 210746056</v>
      </c>
      <c r="BR138" s="826"/>
      <c r="BS138" s="825"/>
      <c r="BT138" s="394" t="s">
        <v>329</v>
      </c>
      <c r="BU138" s="391"/>
      <c r="BV138" s="823" t="str">
        <f>BP138</f>
        <v>CH 10</v>
      </c>
      <c r="BW138" s="825" t="str">
        <f>BW123</f>
        <v>Wireless Temperature Recorder : Merek : HIOKI, Model : LR 8510, SN : 200821396</v>
      </c>
      <c r="BX138" s="826"/>
      <c r="BY138" s="825"/>
      <c r="BZ138" s="394" t="s">
        <v>329</v>
      </c>
      <c r="CA138" s="391"/>
      <c r="CB138" s="823" t="str">
        <f>BV138</f>
        <v>CH 10</v>
      </c>
      <c r="CC138" s="825" t="str">
        <f t="shared" ref="CC138:CD151" si="293">CC123</f>
        <v>Reference Thermometer, Merek : APPA, Model : APPA51, SN : 03002948</v>
      </c>
      <c r="CD138" s="826"/>
      <c r="CE138" s="825"/>
      <c r="CF138" s="394" t="s">
        <v>329</v>
      </c>
      <c r="CH138" s="823" t="str">
        <f>CB138</f>
        <v>CH 10</v>
      </c>
      <c r="CI138" s="825" t="str">
        <f t="shared" ref="CI138:CJ151" si="294">CI123</f>
        <v>Reference Thermometer, Merek : FLUKE, Model : 1524, SN : 1803038</v>
      </c>
      <c r="CJ138" s="826"/>
      <c r="CK138" s="825"/>
      <c r="CL138" s="394" t="s">
        <v>329</v>
      </c>
      <c r="CN138" s="823" t="str">
        <f>CH138</f>
        <v>CH 10</v>
      </c>
      <c r="CO138" s="825" t="str">
        <f t="shared" ref="CO138:CP151" si="295">CO123</f>
        <v>Reference Thermometer, Merek : FLUKE, Model : 1524, SN : 1803037</v>
      </c>
      <c r="CP138" s="826"/>
      <c r="CQ138" s="825"/>
      <c r="CR138" s="394" t="s">
        <v>329</v>
      </c>
    </row>
    <row r="139" spans="2:96">
      <c r="B139" s="824"/>
      <c r="C139" s="402"/>
      <c r="D139" s="402"/>
      <c r="E139" s="398" t="s">
        <v>242</v>
      </c>
      <c r="F139" s="399"/>
      <c r="G139" s="400"/>
      <c r="H139" s="824"/>
      <c r="I139" s="401"/>
      <c r="J139" s="402"/>
      <c r="K139" s="398" t="s">
        <v>242</v>
      </c>
      <c r="L139" s="403"/>
      <c r="M139" s="400"/>
      <c r="N139" s="824"/>
      <c r="O139" s="401">
        <f>O34</f>
        <v>2021</v>
      </c>
      <c r="P139" s="402">
        <f>P34</f>
        <v>2023</v>
      </c>
      <c r="Q139" s="398" t="s">
        <v>242</v>
      </c>
      <c r="R139" s="404"/>
      <c r="S139" s="391"/>
      <c r="T139" s="824"/>
      <c r="U139" s="401">
        <f>U124</f>
        <v>2022</v>
      </c>
      <c r="V139" s="402"/>
      <c r="W139" s="398" t="s">
        <v>242</v>
      </c>
      <c r="X139" s="404"/>
      <c r="Y139" s="391"/>
      <c r="Z139" s="824"/>
      <c r="AA139" s="401">
        <f>AA124</f>
        <v>2023</v>
      </c>
      <c r="AB139" s="402"/>
      <c r="AC139" s="398" t="s">
        <v>242</v>
      </c>
      <c r="AD139" s="404"/>
      <c r="AE139" s="391"/>
      <c r="AF139" s="824"/>
      <c r="AG139" s="401">
        <f>$AG$124</f>
        <v>2023</v>
      </c>
      <c r="AH139" s="401">
        <f>$AH$124</f>
        <v>2021</v>
      </c>
      <c r="AI139" s="398" t="s">
        <v>242</v>
      </c>
      <c r="AJ139" s="404">
        <f>$B$289</f>
        <v>1.9000000000000001</v>
      </c>
      <c r="AK139" s="391"/>
      <c r="AL139" s="824"/>
      <c r="AM139" s="401">
        <f>AM124</f>
        <v>2023</v>
      </c>
      <c r="AN139" s="402"/>
      <c r="AO139" s="398" t="s">
        <v>242</v>
      </c>
      <c r="AP139" s="404"/>
      <c r="AQ139" s="414"/>
      <c r="AR139" s="824"/>
      <c r="AS139" s="401">
        <f>AS124</f>
        <v>2023</v>
      </c>
      <c r="AT139" s="402"/>
      <c r="AU139" s="398" t="s">
        <v>242</v>
      </c>
      <c r="AV139" s="404"/>
      <c r="AW139" s="391"/>
      <c r="AX139" s="824"/>
      <c r="AY139" s="401">
        <f>AY124</f>
        <v>2021</v>
      </c>
      <c r="AZ139" s="402"/>
      <c r="BA139" s="398" t="s">
        <v>242</v>
      </c>
      <c r="BB139" s="404"/>
      <c r="BC139" s="391"/>
      <c r="BD139" s="824"/>
      <c r="BE139" s="401">
        <f>BE124</f>
        <v>2022</v>
      </c>
      <c r="BF139" s="402"/>
      <c r="BG139" s="398" t="s">
        <v>242</v>
      </c>
      <c r="BH139" s="404"/>
      <c r="BI139" s="391"/>
      <c r="BJ139" s="824"/>
      <c r="BK139" s="401">
        <f>BK124</f>
        <v>2021</v>
      </c>
      <c r="BL139" s="402"/>
      <c r="BM139" s="398" t="s">
        <v>242</v>
      </c>
      <c r="BN139" s="404"/>
      <c r="BO139" s="391"/>
      <c r="BP139" s="824"/>
      <c r="BQ139" s="401">
        <f>BQ124</f>
        <v>2022</v>
      </c>
      <c r="BR139" s="402"/>
      <c r="BS139" s="398" t="s">
        <v>242</v>
      </c>
      <c r="BT139" s="404"/>
      <c r="BU139" s="391"/>
      <c r="BV139" s="824"/>
      <c r="BW139" s="401">
        <f>BW124</f>
        <v>2022</v>
      </c>
      <c r="BX139" s="402"/>
      <c r="BY139" s="398" t="s">
        <v>242</v>
      </c>
      <c r="BZ139" s="404"/>
      <c r="CA139" s="391"/>
      <c r="CB139" s="824"/>
      <c r="CC139" s="401">
        <f t="shared" si="293"/>
        <v>2022</v>
      </c>
      <c r="CD139" s="402">
        <f>CD124</f>
        <v>2020</v>
      </c>
      <c r="CE139" s="398" t="s">
        <v>242</v>
      </c>
      <c r="CF139" s="404"/>
      <c r="CG139" s="421"/>
      <c r="CH139" s="824"/>
      <c r="CI139" s="401">
        <f t="shared" si="294"/>
        <v>2021</v>
      </c>
      <c r="CJ139" s="402">
        <f>CJ124</f>
        <v>2019</v>
      </c>
      <c r="CK139" s="398" t="s">
        <v>242</v>
      </c>
      <c r="CL139" s="404"/>
      <c r="CN139" s="824"/>
      <c r="CO139" s="401">
        <f t="shared" si="295"/>
        <v>2021</v>
      </c>
      <c r="CP139" s="402">
        <f>CP124</f>
        <v>2020</v>
      </c>
      <c r="CQ139" s="398" t="s">
        <v>242</v>
      </c>
      <c r="CR139" s="404"/>
    </row>
    <row r="140" spans="2:96">
      <c r="B140" s="405">
        <v>-20</v>
      </c>
      <c r="C140" s="410">
        <v>9.9999999999999995E-7</v>
      </c>
      <c r="D140" s="410">
        <v>9.9999999999999995E-7</v>
      </c>
      <c r="E140" s="407">
        <v>9.9999999999999995E-7</v>
      </c>
      <c r="F140" s="408"/>
      <c r="G140" s="409"/>
      <c r="H140" s="405">
        <v>-20</v>
      </c>
      <c r="I140" s="410">
        <v>9.9999999999999995E-7</v>
      </c>
      <c r="J140" s="410">
        <v>9.9999999999999995E-7</v>
      </c>
      <c r="K140" s="407">
        <v>9.9999999999999995E-7</v>
      </c>
      <c r="L140" s="408"/>
      <c r="M140" s="409"/>
      <c r="N140" s="405">
        <v>-20</v>
      </c>
      <c r="O140" s="410">
        <v>9.9999999999999995E-7</v>
      </c>
      <c r="P140" s="410">
        <f>W225</f>
        <v>-0.46</v>
      </c>
      <c r="Q140" s="407">
        <f>IF(OR(O140=0,P140=0),$E$237/3,((MAX(O140:P140)-(MIN(O140:P140)))))</f>
        <v>0.46000099999999999</v>
      </c>
      <c r="R140" s="404">
        <v>9.9999999999999995E-7</v>
      </c>
      <c r="S140" s="391"/>
      <c r="T140" s="405">
        <v>-20</v>
      </c>
      <c r="U140" s="410">
        <f t="shared" ref="U140:U151" si="296">X225</f>
        <v>-1.35</v>
      </c>
      <c r="V140" s="406"/>
      <c r="W140" s="407">
        <f t="shared" ref="W140:W151" si="297">IF(OR(U140=0,V140=0),$X$237/3,((MAX(U140:V140)-(MIN(U140:V140)))))</f>
        <v>8.666666666666667E-2</v>
      </c>
      <c r="X140" s="404">
        <v>9.9999999999999995E-7</v>
      </c>
      <c r="Y140" s="391"/>
      <c r="Z140" s="405">
        <v>-20</v>
      </c>
      <c r="AA140" s="410">
        <f t="shared" ref="AA140:AA151" si="298">Y225</f>
        <v>0.21</v>
      </c>
      <c r="AB140" s="406"/>
      <c r="AC140" s="407">
        <f t="shared" ref="AC140:AC151" si="299">IF(OR(AA140=0,AB140=0),$Y$237/3,((MAX(AA140:AB140)-(MIN(AA140:AB140)))))</f>
        <v>8.666666666666667E-2</v>
      </c>
      <c r="AD140" s="404">
        <v>9.9999999999999995E-7</v>
      </c>
      <c r="AE140" s="391"/>
      <c r="AF140" s="405">
        <v>-20</v>
      </c>
      <c r="AG140" s="459">
        <v>0.22</v>
      </c>
      <c r="AH140" s="406"/>
      <c r="AI140" s="407">
        <f t="shared" ref="AI140:AI151" si="300">IF(OR(AG140=0,AH140=0),$Z$237/3,((MAX(AG140:AH140)-(MIN(AG140:AH140)))))</f>
        <v>9.3333333333333338E-2</v>
      </c>
      <c r="AJ140" s="655">
        <f>IF($AJ$139&lt;=$AF$141,$AF$140,IF($AJ$139&lt;=$AF$142,$AF$141,IF($AJ$139&lt;=$AF$143,$AF$142,IF($AJ$139&lt;=$AF$144,$AF$143,IF($AJ$139&lt;=$AF$145,$AF$144)))))</f>
        <v>9.9999999999999995E-7</v>
      </c>
      <c r="AK140" s="391"/>
      <c r="AL140" s="405">
        <v>-20</v>
      </c>
      <c r="AM140" s="428">
        <f t="shared" ref="AM140:AM151" si="301">AA225</f>
        <v>0.44</v>
      </c>
      <c r="AN140" s="406"/>
      <c r="AO140" s="407">
        <f t="shared" ref="AO140:AO151" si="302">IF(OR(AM140=0,AN140=0),$AA$237/3,((MAX(AM140:AN140)-(MIN(AM140:AN140)))))</f>
        <v>0.08</v>
      </c>
      <c r="AP140" s="404">
        <v>9.9999999999999995E-7</v>
      </c>
      <c r="AQ140" s="414"/>
      <c r="AR140" s="405">
        <v>-20</v>
      </c>
      <c r="AS140" s="428">
        <f t="shared" ref="AS140:AS151" si="303">AB225</f>
        <v>0.34</v>
      </c>
      <c r="AT140" s="406"/>
      <c r="AU140" s="407">
        <f t="shared" ref="AU140:AU151" si="304">IF(OR(AS140=0,AT140=0),$AB$237/3,((MAX(AS140:AT140)-(MIN(AS140:AT140)))))</f>
        <v>8.3333333333333329E-2</v>
      </c>
      <c r="AV140" s="404">
        <v>9.9999999999999995E-7</v>
      </c>
      <c r="AW140" s="391"/>
      <c r="AX140" s="405">
        <v>-20</v>
      </c>
      <c r="AY140" s="410">
        <f t="shared" ref="AY140:AY151" si="305">AC225</f>
        <v>0.47</v>
      </c>
      <c r="AZ140" s="406"/>
      <c r="BA140" s="407">
        <f t="shared" ref="BA140:BA151" si="306">IF(OR(AY140=0,AZ140=0),$AC$237/3,((MAX(AY140:AZ140)-(MIN(AY140:AZ140)))))</f>
        <v>0.26333333333333336</v>
      </c>
      <c r="BB140" s="404">
        <v>9.9999999999999995E-7</v>
      </c>
      <c r="BC140" s="391"/>
      <c r="BD140" s="405">
        <v>-20</v>
      </c>
      <c r="BE140" s="410">
        <f t="shared" ref="BE140:BE151" si="307">AD225</f>
        <v>-1.0900000000000001</v>
      </c>
      <c r="BF140" s="406"/>
      <c r="BG140" s="407">
        <f t="shared" ref="BG140:BG151" si="308">IF(OR(BE140=0,BF140=0),$AD$237/3,((MAX(BE140:BF140)-(MIN(BE140:BF140)))))</f>
        <v>9.0000000000000011E-2</v>
      </c>
      <c r="BH140" s="404">
        <v>9.9999999999999995E-7</v>
      </c>
      <c r="BI140" s="391"/>
      <c r="BJ140" s="405">
        <v>-20</v>
      </c>
      <c r="BK140" s="410">
        <f t="shared" ref="BK140:BK151" si="309">AE225</f>
        <v>0.47</v>
      </c>
      <c r="BL140" s="406"/>
      <c r="BM140" s="407">
        <f t="shared" ref="BM140:BM151" si="310">IF(OR(BK140=0,BL140=0),$AE$237/3,((MAX(BK140:BL140)-(MIN(BK140:BL140)))))</f>
        <v>0.26333333333333336</v>
      </c>
      <c r="BN140" s="404">
        <v>9.9999999999999995E-7</v>
      </c>
      <c r="BO140" s="391"/>
      <c r="BP140" s="405">
        <v>-20</v>
      </c>
      <c r="BQ140" s="428">
        <f t="shared" ref="BQ140:BQ151" si="311">AF225</f>
        <v>-1.22</v>
      </c>
      <c r="BR140" s="406"/>
      <c r="BS140" s="407">
        <f t="shared" ref="BS140:BS151" si="312">IF(OR(BQ140=0,BR140=0),$AF$237/3,((MAX(BQ140:BR140)-(MIN(BQ140:BR140)))))</f>
        <v>8.3333333333333329E-2</v>
      </c>
      <c r="BT140" s="404">
        <v>9.9999999999999995E-7</v>
      </c>
      <c r="BU140" s="391"/>
      <c r="BV140" s="405">
        <v>-20</v>
      </c>
      <c r="BW140" s="410">
        <f t="shared" ref="BW140:BW151" si="313">AG225</f>
        <v>-1.34</v>
      </c>
      <c r="BX140" s="406"/>
      <c r="BY140" s="407">
        <f t="shared" ref="BY140:BY151" si="314">IF(OR(BW140=0,BX140=0),$AG$237/3,((MAX(BW140:BX140)-(MIN(BW140:BX140)))))</f>
        <v>9.0000000000000011E-2</v>
      </c>
      <c r="BZ140" s="404">
        <v>9.9999999999999995E-7</v>
      </c>
      <c r="CA140" s="391"/>
      <c r="CB140" s="405">
        <v>-20</v>
      </c>
      <c r="CC140" s="410">
        <f t="shared" si="293"/>
        <v>-1.1000000000000001</v>
      </c>
      <c r="CD140" s="406">
        <f>CD125</f>
        <v>-0.7</v>
      </c>
      <c r="CE140" s="407">
        <f t="shared" ref="CE140:CE151" si="315">CE125</f>
        <v>0.40000000000000013</v>
      </c>
      <c r="CF140" s="404">
        <v>9.9999999999999995E-7</v>
      </c>
      <c r="CG140" s="421"/>
      <c r="CH140" s="405">
        <v>-20</v>
      </c>
      <c r="CI140" s="410">
        <f t="shared" si="294"/>
        <v>-0.15</v>
      </c>
      <c r="CJ140" s="406">
        <f>CJ125</f>
        <v>-0.32</v>
      </c>
      <c r="CK140" s="407">
        <f t="shared" ref="CK140:CK151" si="316">CK125</f>
        <v>0.17</v>
      </c>
      <c r="CL140" s="404">
        <v>9.9999999999999995E-7</v>
      </c>
      <c r="CN140" s="405">
        <v>-20</v>
      </c>
      <c r="CO140" s="410">
        <f t="shared" si="295"/>
        <v>-1.8</v>
      </c>
      <c r="CP140" s="406">
        <f>CP125</f>
        <v>-0.51</v>
      </c>
      <c r="CQ140" s="407">
        <f t="shared" ref="CQ140:CQ151" si="317">CQ125</f>
        <v>1.29</v>
      </c>
      <c r="CR140" s="404">
        <v>9.9999999999999995E-7</v>
      </c>
    </row>
    <row r="141" spans="2:96">
      <c r="B141" s="405">
        <v>-15</v>
      </c>
      <c r="C141" s="410">
        <v>9.9999999999999995E-7</v>
      </c>
      <c r="D141" s="410">
        <v>9.9999999999999995E-7</v>
      </c>
      <c r="E141" s="407">
        <v>9.9999999999999995E-7</v>
      </c>
      <c r="F141" s="408"/>
      <c r="G141" s="409"/>
      <c r="H141" s="405">
        <v>-15</v>
      </c>
      <c r="I141" s="410">
        <v>9.9999999999999995E-7</v>
      </c>
      <c r="J141" s="410">
        <v>9.9999999999999995E-7</v>
      </c>
      <c r="K141" s="407">
        <v>9.9999999999999995E-7</v>
      </c>
      <c r="L141" s="408"/>
      <c r="M141" s="409"/>
      <c r="N141" s="405">
        <v>-15</v>
      </c>
      <c r="O141" s="410">
        <v>9.9999999999999995E-7</v>
      </c>
      <c r="P141" s="410">
        <f t="shared" ref="P141:P151" si="318">W226</f>
        <v>-0.39</v>
      </c>
      <c r="Q141" s="407">
        <f t="shared" ref="Q141:Q151" si="319">IF(OR(O141=0,P141=0),$E$237/3,((MAX(O141:P141)-(MIN(O141:P141)))))</f>
        <v>0.39000099999999999</v>
      </c>
      <c r="R141" s="404">
        <f>(0.08-0)/2</f>
        <v>0.04</v>
      </c>
      <c r="S141" s="391"/>
      <c r="T141" s="405">
        <v>-15</v>
      </c>
      <c r="U141" s="410">
        <f t="shared" si="296"/>
        <v>-1.1100000000000001</v>
      </c>
      <c r="V141" s="406"/>
      <c r="W141" s="407">
        <f t="shared" si="297"/>
        <v>8.666666666666667E-2</v>
      </c>
      <c r="X141" s="404">
        <f>(0.08-0)/2</f>
        <v>0.04</v>
      </c>
      <c r="Y141" s="391"/>
      <c r="Z141" s="405">
        <v>-15</v>
      </c>
      <c r="AA141" s="410">
        <f t="shared" si="298"/>
        <v>0.25</v>
      </c>
      <c r="AB141" s="406"/>
      <c r="AC141" s="407">
        <f t="shared" si="299"/>
        <v>8.666666666666667E-2</v>
      </c>
      <c r="AD141" s="404">
        <f>(0.08-0)/2</f>
        <v>0.04</v>
      </c>
      <c r="AE141" s="391"/>
      <c r="AF141" s="405">
        <v>-15</v>
      </c>
      <c r="AG141" s="459">
        <v>0.26</v>
      </c>
      <c r="AH141" s="406"/>
      <c r="AI141" s="407">
        <f t="shared" si="300"/>
        <v>9.3333333333333338E-2</v>
      </c>
      <c r="AJ141" s="656"/>
      <c r="AK141" s="391"/>
      <c r="AL141" s="405">
        <v>-15</v>
      </c>
      <c r="AM141" s="410">
        <f t="shared" si="301"/>
        <v>0.45</v>
      </c>
      <c r="AN141" s="406"/>
      <c r="AO141" s="407">
        <f t="shared" si="302"/>
        <v>0.08</v>
      </c>
      <c r="AP141" s="404">
        <f>(0.08-0)/2</f>
        <v>0.04</v>
      </c>
      <c r="AQ141" s="414"/>
      <c r="AR141" s="405">
        <v>-15</v>
      </c>
      <c r="AS141" s="410">
        <f t="shared" si="303"/>
        <v>0.35</v>
      </c>
      <c r="AT141" s="406"/>
      <c r="AU141" s="407">
        <f t="shared" si="304"/>
        <v>8.3333333333333329E-2</v>
      </c>
      <c r="AV141" s="404">
        <f>(0.08-0)/2</f>
        <v>0.04</v>
      </c>
      <c r="AW141" s="391"/>
      <c r="AX141" s="405">
        <v>-15</v>
      </c>
      <c r="AY141" s="410">
        <f t="shared" si="305"/>
        <v>9.9999999999999995E-7</v>
      </c>
      <c r="AZ141" s="406"/>
      <c r="BA141" s="407">
        <f t="shared" si="306"/>
        <v>0.26333333333333336</v>
      </c>
      <c r="BB141" s="404">
        <f>(0.08-0)/2</f>
        <v>0.04</v>
      </c>
      <c r="BC141" s="391"/>
      <c r="BD141" s="405">
        <v>-15</v>
      </c>
      <c r="BE141" s="410">
        <f t="shared" si="307"/>
        <v>-0.81</v>
      </c>
      <c r="BF141" s="406"/>
      <c r="BG141" s="407">
        <f t="shared" si="308"/>
        <v>9.0000000000000011E-2</v>
      </c>
      <c r="BH141" s="404">
        <f>(0.08-0)/2</f>
        <v>0.04</v>
      </c>
      <c r="BI141" s="391"/>
      <c r="BJ141" s="405">
        <v>-15</v>
      </c>
      <c r="BK141" s="410">
        <f t="shared" si="309"/>
        <v>9.9999999999999995E-7</v>
      </c>
      <c r="BL141" s="406"/>
      <c r="BM141" s="407">
        <f t="shared" si="310"/>
        <v>0.26333333333333336</v>
      </c>
      <c r="BN141" s="404">
        <f>(0.08-0)/2</f>
        <v>0.04</v>
      </c>
      <c r="BO141" s="391"/>
      <c r="BP141" s="405">
        <v>-15</v>
      </c>
      <c r="BQ141" s="410">
        <f t="shared" si="311"/>
        <v>-0.96</v>
      </c>
      <c r="BR141" s="406"/>
      <c r="BS141" s="407">
        <f t="shared" si="312"/>
        <v>8.3333333333333329E-2</v>
      </c>
      <c r="BT141" s="404">
        <f>(0.08-0)/2</f>
        <v>0.04</v>
      </c>
      <c r="BU141" s="391"/>
      <c r="BV141" s="405">
        <v>-15</v>
      </c>
      <c r="BW141" s="410">
        <f t="shared" si="313"/>
        <v>-1.06</v>
      </c>
      <c r="BX141" s="406"/>
      <c r="BY141" s="407">
        <f t="shared" si="314"/>
        <v>9.0000000000000011E-2</v>
      </c>
      <c r="BZ141" s="404">
        <f>(0.08-0)/2</f>
        <v>0.04</v>
      </c>
      <c r="CA141" s="391"/>
      <c r="CB141" s="405">
        <v>-15</v>
      </c>
      <c r="CC141" s="410">
        <f t="shared" si="293"/>
        <v>-1.2</v>
      </c>
      <c r="CD141" s="406">
        <f t="shared" si="293"/>
        <v>-0.7</v>
      </c>
      <c r="CE141" s="407">
        <f t="shared" si="315"/>
        <v>0.40000000000000013</v>
      </c>
      <c r="CF141" s="404">
        <f>(0.08-0)/2</f>
        <v>0.04</v>
      </c>
      <c r="CG141" s="423"/>
      <c r="CH141" s="405">
        <v>-15</v>
      </c>
      <c r="CI141" s="410">
        <f t="shared" si="294"/>
        <v>-0.1</v>
      </c>
      <c r="CJ141" s="406">
        <f t="shared" si="294"/>
        <v>-0.24</v>
      </c>
      <c r="CK141" s="407">
        <f t="shared" si="316"/>
        <v>0.13999999999999999</v>
      </c>
      <c r="CL141" s="404">
        <f>(0.08-0)/2</f>
        <v>0.04</v>
      </c>
      <c r="CN141" s="405">
        <v>-15</v>
      </c>
      <c r="CO141" s="410">
        <f t="shared" si="295"/>
        <v>-1.52</v>
      </c>
      <c r="CP141" s="406">
        <f t="shared" si="295"/>
        <v>-0.39</v>
      </c>
      <c r="CQ141" s="407">
        <f t="shared" si="317"/>
        <v>1.1299999999999999</v>
      </c>
      <c r="CR141" s="404">
        <f>(0.08-0)/2</f>
        <v>0.04</v>
      </c>
    </row>
    <row r="142" spans="2:96">
      <c r="B142" s="405">
        <v>-10</v>
      </c>
      <c r="C142" s="410">
        <v>9.9999999999999995E-7</v>
      </c>
      <c r="D142" s="410">
        <v>9.9999999999999995E-7</v>
      </c>
      <c r="E142" s="407">
        <v>9.9999999999999995E-7</v>
      </c>
      <c r="F142" s="408"/>
      <c r="G142" s="409"/>
      <c r="H142" s="405">
        <v>-10</v>
      </c>
      <c r="I142" s="410">
        <v>9.9999999999999995E-7</v>
      </c>
      <c r="J142" s="410">
        <v>9.9999999999999995E-7</v>
      </c>
      <c r="K142" s="407">
        <v>9.9999999999999995E-7</v>
      </c>
      <c r="L142" s="408"/>
      <c r="M142" s="409"/>
      <c r="N142" s="405">
        <v>-10</v>
      </c>
      <c r="O142" s="410">
        <v>9.9999999999999995E-7</v>
      </c>
      <c r="P142" s="410">
        <f t="shared" si="318"/>
        <v>-0.32</v>
      </c>
      <c r="Q142" s="407">
        <f t="shared" si="319"/>
        <v>0.32000099999999998</v>
      </c>
      <c r="R142" s="404">
        <f>(0.09-0)/2</f>
        <v>4.4999999999999998E-2</v>
      </c>
      <c r="S142" s="391"/>
      <c r="T142" s="405">
        <v>-10</v>
      </c>
      <c r="U142" s="410">
        <f t="shared" si="296"/>
        <v>-0.87</v>
      </c>
      <c r="V142" s="406"/>
      <c r="W142" s="407">
        <f t="shared" si="297"/>
        <v>8.666666666666667E-2</v>
      </c>
      <c r="X142" s="404">
        <f>(0.09-0)/2</f>
        <v>4.4999999999999998E-2</v>
      </c>
      <c r="Y142" s="391"/>
      <c r="Z142" s="405">
        <v>-10</v>
      </c>
      <c r="AA142" s="410">
        <f t="shared" si="298"/>
        <v>0.28000000000000003</v>
      </c>
      <c r="AB142" s="406"/>
      <c r="AC142" s="407">
        <f t="shared" si="299"/>
        <v>8.666666666666667E-2</v>
      </c>
      <c r="AD142" s="404">
        <f>(0.09-0)/2</f>
        <v>4.4999999999999998E-2</v>
      </c>
      <c r="AE142" s="391"/>
      <c r="AF142" s="405">
        <v>-10</v>
      </c>
      <c r="AG142" s="459">
        <v>0.28000000000000003</v>
      </c>
      <c r="AH142" s="406"/>
      <c r="AI142" s="407">
        <f t="shared" si="300"/>
        <v>9.3333333333333338E-2</v>
      </c>
      <c r="AJ142" s="655">
        <f>IF($AJ$139&lt;=$AF$140,$AF$140,IF($AJ$139&lt;=$AF$141,$AF$141,IF($AJ$139&lt;=$AF$142,$AF$142,IF($AJ$139&lt;=$AF$143,$AF$143,IF($AJ$139&lt;=$AF$144,$AF$144,IF($AJ$139&lt;=$AF$145,$AF$145))))))</f>
        <v>2</v>
      </c>
      <c r="AK142" s="391"/>
      <c r="AL142" s="405">
        <v>-10</v>
      </c>
      <c r="AM142" s="410">
        <f t="shared" si="301"/>
        <v>0.46</v>
      </c>
      <c r="AN142" s="406"/>
      <c r="AO142" s="407">
        <f t="shared" si="302"/>
        <v>0.08</v>
      </c>
      <c r="AP142" s="404">
        <f>(0.09-0)/2</f>
        <v>4.4999999999999998E-2</v>
      </c>
      <c r="AQ142" s="414"/>
      <c r="AR142" s="405">
        <v>-10</v>
      </c>
      <c r="AS142" s="410">
        <f t="shared" si="303"/>
        <v>0.36</v>
      </c>
      <c r="AT142" s="406"/>
      <c r="AU142" s="407">
        <f t="shared" si="304"/>
        <v>8.3333333333333329E-2</v>
      </c>
      <c r="AV142" s="404">
        <f>(0.09-0)/2</f>
        <v>4.4999999999999998E-2</v>
      </c>
      <c r="AW142" s="391"/>
      <c r="AX142" s="405">
        <v>-10</v>
      </c>
      <c r="AY142" s="410">
        <f t="shared" si="305"/>
        <v>0.46</v>
      </c>
      <c r="AZ142" s="406"/>
      <c r="BA142" s="407">
        <f t="shared" si="306"/>
        <v>0.26333333333333336</v>
      </c>
      <c r="BB142" s="404">
        <f>(0.09-0)/2</f>
        <v>4.4999999999999998E-2</v>
      </c>
      <c r="BC142" s="391"/>
      <c r="BD142" s="405">
        <v>-10</v>
      </c>
      <c r="BE142" s="410">
        <f t="shared" si="307"/>
        <v>-0.59</v>
      </c>
      <c r="BF142" s="406"/>
      <c r="BG142" s="407">
        <f t="shared" si="308"/>
        <v>9.0000000000000011E-2</v>
      </c>
      <c r="BH142" s="404">
        <f>(0.09-0)/2</f>
        <v>4.4999999999999998E-2</v>
      </c>
      <c r="BI142" s="391"/>
      <c r="BJ142" s="405">
        <v>-10</v>
      </c>
      <c r="BK142" s="410">
        <f t="shared" si="309"/>
        <v>0.46</v>
      </c>
      <c r="BL142" s="406"/>
      <c r="BM142" s="407">
        <f t="shared" si="310"/>
        <v>0.26333333333333336</v>
      </c>
      <c r="BN142" s="404">
        <f>(0.09-0)/2</f>
        <v>4.4999999999999998E-2</v>
      </c>
      <c r="BO142" s="391"/>
      <c r="BP142" s="405">
        <v>-10</v>
      </c>
      <c r="BQ142" s="410">
        <f t="shared" si="311"/>
        <v>-0.75</v>
      </c>
      <c r="BR142" s="406"/>
      <c r="BS142" s="407">
        <f t="shared" si="312"/>
        <v>8.3333333333333329E-2</v>
      </c>
      <c r="BT142" s="404">
        <f>(0.09-0)/2</f>
        <v>4.4999999999999998E-2</v>
      </c>
      <c r="BU142" s="391"/>
      <c r="BV142" s="405">
        <v>-10</v>
      </c>
      <c r="BW142" s="410">
        <f t="shared" si="313"/>
        <v>-0.81</v>
      </c>
      <c r="BX142" s="406"/>
      <c r="BY142" s="407">
        <f t="shared" si="314"/>
        <v>9.0000000000000011E-2</v>
      </c>
      <c r="BZ142" s="404">
        <f>(0.09-0)/2</f>
        <v>4.4999999999999998E-2</v>
      </c>
      <c r="CA142" s="391"/>
      <c r="CB142" s="405">
        <v>-10</v>
      </c>
      <c r="CC142" s="410">
        <f t="shared" si="293"/>
        <v>-1.4</v>
      </c>
      <c r="CD142" s="406">
        <f t="shared" si="293"/>
        <v>-0.7</v>
      </c>
      <c r="CE142" s="407">
        <f t="shared" si="315"/>
        <v>0.5</v>
      </c>
      <c r="CF142" s="404">
        <f>(0.09-0)/2</f>
        <v>4.4999999999999998E-2</v>
      </c>
      <c r="CG142" s="424"/>
      <c r="CH142" s="405">
        <v>-10</v>
      </c>
      <c r="CI142" s="410">
        <f t="shared" si="294"/>
        <v>-0.05</v>
      </c>
      <c r="CJ142" s="406">
        <f t="shared" si="294"/>
        <v>-0.18</v>
      </c>
      <c r="CK142" s="407">
        <f t="shared" si="316"/>
        <v>0.13</v>
      </c>
      <c r="CL142" s="404">
        <f>(0.09-0)/2</f>
        <v>4.4999999999999998E-2</v>
      </c>
      <c r="CN142" s="405">
        <v>-10</v>
      </c>
      <c r="CO142" s="410">
        <f t="shared" si="295"/>
        <v>-1.26</v>
      </c>
      <c r="CP142" s="406">
        <f t="shared" si="295"/>
        <v>-0.28000000000000003</v>
      </c>
      <c r="CQ142" s="407">
        <f t="shared" si="317"/>
        <v>0.98</v>
      </c>
      <c r="CR142" s="404">
        <f>(0.09-0)/2</f>
        <v>4.4999999999999998E-2</v>
      </c>
    </row>
    <row r="143" spans="2:96">
      <c r="B143" s="405">
        <v>9.9999999999999995E-7</v>
      </c>
      <c r="C143" s="410">
        <v>9.9999999999999995E-7</v>
      </c>
      <c r="D143" s="410">
        <v>9.9999999999999995E-7</v>
      </c>
      <c r="E143" s="407">
        <v>9.9999999999999995E-7</v>
      </c>
      <c r="F143" s="408"/>
      <c r="G143" s="409"/>
      <c r="H143" s="405">
        <v>9.9999999999999995E-7</v>
      </c>
      <c r="I143" s="410">
        <v>9.9999999999999995E-7</v>
      </c>
      <c r="J143" s="410">
        <v>9.9999999999999995E-7</v>
      </c>
      <c r="K143" s="407">
        <v>9.9999999999999995E-7</v>
      </c>
      <c r="L143" s="408"/>
      <c r="M143" s="409"/>
      <c r="N143" s="405">
        <v>9.9999999999999995E-7</v>
      </c>
      <c r="O143" s="410">
        <v>9.9999999999999995E-7</v>
      </c>
      <c r="P143" s="410">
        <f t="shared" si="318"/>
        <v>-0.22</v>
      </c>
      <c r="Q143" s="407">
        <f t="shared" si="319"/>
        <v>0.220001</v>
      </c>
      <c r="R143" s="404">
        <f>(0.11-0)/2</f>
        <v>5.5E-2</v>
      </c>
      <c r="S143" s="391"/>
      <c r="T143" s="405">
        <v>9.9999999999999995E-7</v>
      </c>
      <c r="U143" s="410">
        <f t="shared" si="296"/>
        <v>-0.36</v>
      </c>
      <c r="V143" s="406"/>
      <c r="W143" s="407">
        <f t="shared" si="297"/>
        <v>8.666666666666667E-2</v>
      </c>
      <c r="X143" s="404">
        <f>(0.11-0)/2</f>
        <v>5.5E-2</v>
      </c>
      <c r="Y143" s="391"/>
      <c r="Z143" s="405">
        <v>9.9999999999999995E-7</v>
      </c>
      <c r="AA143" s="410">
        <f t="shared" si="298"/>
        <v>0.26</v>
      </c>
      <c r="AB143" s="406"/>
      <c r="AC143" s="407">
        <f>IF(OR(AA143=0,AB143=0),$Y$237/3,((MAX(AA143:AB143)-(MIN(AA143:AB143)))))</f>
        <v>8.666666666666667E-2</v>
      </c>
      <c r="AD143" s="404">
        <f>(0.11-0)/2</f>
        <v>5.5E-2</v>
      </c>
      <c r="AE143" s="391"/>
      <c r="AF143" s="405">
        <v>9.9999999999999995E-7</v>
      </c>
      <c r="AG143" s="459">
        <v>0.24</v>
      </c>
      <c r="AH143" s="406"/>
      <c r="AI143" s="407">
        <f t="shared" si="300"/>
        <v>9.3333333333333338E-2</v>
      </c>
      <c r="AJ143" s="656"/>
      <c r="AK143" s="391"/>
      <c r="AL143" s="405">
        <v>9.9999999999999995E-7</v>
      </c>
      <c r="AM143" s="410">
        <f t="shared" si="301"/>
        <v>0.46</v>
      </c>
      <c r="AN143" s="406"/>
      <c r="AO143" s="407">
        <f t="shared" si="302"/>
        <v>0.08</v>
      </c>
      <c r="AP143" s="404">
        <f>(0.11-0)/2</f>
        <v>5.5E-2</v>
      </c>
      <c r="AQ143" s="414"/>
      <c r="AR143" s="405">
        <v>9.9999999999999995E-7</v>
      </c>
      <c r="AS143" s="410">
        <f t="shared" si="303"/>
        <v>0.36</v>
      </c>
      <c r="AT143" s="406"/>
      <c r="AU143" s="407">
        <f t="shared" si="304"/>
        <v>8.3333333333333329E-2</v>
      </c>
      <c r="AV143" s="404">
        <f>(0.11-0)/2</f>
        <v>5.5E-2</v>
      </c>
      <c r="AW143" s="391"/>
      <c r="AX143" s="405">
        <v>9.9999999999999995E-7</v>
      </c>
      <c r="AY143" s="410">
        <f t="shared" si="305"/>
        <v>0.45</v>
      </c>
      <c r="AZ143" s="406"/>
      <c r="BA143" s="407">
        <f t="shared" si="306"/>
        <v>0.26333333333333336</v>
      </c>
      <c r="BB143" s="404">
        <f>(0.11-0)/2</f>
        <v>5.5E-2</v>
      </c>
      <c r="BC143" s="391"/>
      <c r="BD143" s="405">
        <v>9.9999999999999995E-7</v>
      </c>
      <c r="BE143" s="410">
        <f t="shared" si="307"/>
        <v>-0.34</v>
      </c>
      <c r="BF143" s="406"/>
      <c r="BG143" s="407">
        <f t="shared" si="308"/>
        <v>9.0000000000000011E-2</v>
      </c>
      <c r="BH143" s="404">
        <f>(0.11-0)/2</f>
        <v>5.5E-2</v>
      </c>
      <c r="BI143" s="391"/>
      <c r="BJ143" s="405">
        <v>9.9999999999999995E-7</v>
      </c>
      <c r="BK143" s="410">
        <f t="shared" si="309"/>
        <v>0.45</v>
      </c>
      <c r="BL143" s="406"/>
      <c r="BM143" s="407">
        <f t="shared" si="310"/>
        <v>0.26333333333333336</v>
      </c>
      <c r="BN143" s="404">
        <f>(0.11-0)/2</f>
        <v>5.5E-2</v>
      </c>
      <c r="BO143" s="391"/>
      <c r="BP143" s="405">
        <v>9.9999999999999995E-7</v>
      </c>
      <c r="BQ143" s="410">
        <f t="shared" si="311"/>
        <v>-0.53</v>
      </c>
      <c r="BR143" s="406"/>
      <c r="BS143" s="407">
        <f t="shared" si="312"/>
        <v>8.3333333333333329E-2</v>
      </c>
      <c r="BT143" s="404">
        <f>(0.11-0)/2</f>
        <v>5.5E-2</v>
      </c>
      <c r="BU143" s="391"/>
      <c r="BV143" s="405">
        <v>9.9999999999999995E-7</v>
      </c>
      <c r="BW143" s="410">
        <f t="shared" si="313"/>
        <v>-0.52</v>
      </c>
      <c r="BX143" s="406"/>
      <c r="BY143" s="407">
        <f t="shared" si="314"/>
        <v>9.0000000000000011E-2</v>
      </c>
      <c r="BZ143" s="404">
        <f>(0.11-0)/2</f>
        <v>5.5E-2</v>
      </c>
      <c r="CA143" s="391"/>
      <c r="CB143" s="405">
        <v>9.9999999999999995E-7</v>
      </c>
      <c r="CC143" s="410">
        <f t="shared" si="293"/>
        <v>0</v>
      </c>
      <c r="CD143" s="406">
        <f t="shared" si="293"/>
        <v>-0.7</v>
      </c>
      <c r="CE143" s="407">
        <f t="shared" si="315"/>
        <v>0.7</v>
      </c>
      <c r="CF143" s="404">
        <f>(0.11-0)/2</f>
        <v>5.5E-2</v>
      </c>
      <c r="CG143" s="425"/>
      <c r="CH143" s="405">
        <v>9.9999999999999995E-7</v>
      </c>
      <c r="CI143" s="410">
        <f t="shared" si="294"/>
        <v>0.03</v>
      </c>
      <c r="CJ143" s="406">
        <f t="shared" si="294"/>
        <v>-0.06</v>
      </c>
      <c r="CK143" s="407">
        <f t="shared" si="316"/>
        <v>0.09</v>
      </c>
      <c r="CL143" s="404">
        <f>(0.11-0)/2</f>
        <v>5.5E-2</v>
      </c>
      <c r="CN143" s="405">
        <v>9.9999999999999995E-7</v>
      </c>
      <c r="CO143" s="410">
        <f t="shared" si="295"/>
        <v>-0.79</v>
      </c>
      <c r="CP143" s="406">
        <f t="shared" si="295"/>
        <v>-0.08</v>
      </c>
      <c r="CQ143" s="407">
        <f t="shared" si="317"/>
        <v>0.71000000000000008</v>
      </c>
      <c r="CR143" s="404">
        <f>(0.11-0)/2</f>
        <v>5.5E-2</v>
      </c>
    </row>
    <row r="144" spans="2:96">
      <c r="B144" s="405">
        <v>2</v>
      </c>
      <c r="C144" s="410">
        <v>9.9999999999999995E-7</v>
      </c>
      <c r="D144" s="410">
        <v>9.9999999999999995E-7</v>
      </c>
      <c r="E144" s="407">
        <v>9.9999999999999995E-7</v>
      </c>
      <c r="F144" s="408"/>
      <c r="G144" s="409"/>
      <c r="H144" s="405">
        <v>2</v>
      </c>
      <c r="I144" s="410">
        <v>9.9999999999999995E-7</v>
      </c>
      <c r="J144" s="410">
        <v>9.9999999999999995E-7</v>
      </c>
      <c r="K144" s="407">
        <v>9.9999999999999995E-7</v>
      </c>
      <c r="L144" s="408"/>
      <c r="M144" s="409"/>
      <c r="N144" s="405">
        <v>2</v>
      </c>
      <c r="O144" s="410">
        <v>9.9999999999999995E-7</v>
      </c>
      <c r="P144" s="410">
        <f t="shared" si="318"/>
        <v>-0.2</v>
      </c>
      <c r="Q144" s="407">
        <f t="shared" si="319"/>
        <v>0.20000100000000001</v>
      </c>
      <c r="R144" s="404">
        <f>(0.11-0)/2</f>
        <v>5.5E-2</v>
      </c>
      <c r="S144" s="391"/>
      <c r="T144" s="405">
        <v>2</v>
      </c>
      <c r="U144" s="410">
        <f t="shared" si="296"/>
        <v>-0.51</v>
      </c>
      <c r="V144" s="406"/>
      <c r="W144" s="407">
        <f t="shared" si="297"/>
        <v>8.666666666666667E-2</v>
      </c>
      <c r="X144" s="404">
        <f>(0.11-0)/2</f>
        <v>5.5E-2</v>
      </c>
      <c r="Y144" s="391"/>
      <c r="Z144" s="405">
        <v>2</v>
      </c>
      <c r="AA144" s="410">
        <f t="shared" si="298"/>
        <v>0.31</v>
      </c>
      <c r="AB144" s="406"/>
      <c r="AC144" s="407">
        <f t="shared" si="299"/>
        <v>8.666666666666667E-2</v>
      </c>
      <c r="AD144" s="404">
        <f>(0.11-0)/2</f>
        <v>5.5E-2</v>
      </c>
      <c r="AE144" s="391"/>
      <c r="AF144" s="405">
        <v>2</v>
      </c>
      <c r="AG144" s="459">
        <v>0.28000000000000003</v>
      </c>
      <c r="AH144" s="406"/>
      <c r="AI144" s="407">
        <f t="shared" si="300"/>
        <v>9.3333333333333338E-2</v>
      </c>
      <c r="AJ144" s="657">
        <f>VLOOKUP($AJ$140,$AF$140:$AI$145,4)</f>
        <v>9.3333333333333338E-2</v>
      </c>
      <c r="AK144" s="391"/>
      <c r="AL144" s="405">
        <v>2</v>
      </c>
      <c r="AM144" s="410">
        <f t="shared" si="301"/>
        <v>0.48</v>
      </c>
      <c r="AN144" s="406"/>
      <c r="AO144" s="407">
        <f t="shared" si="302"/>
        <v>0.08</v>
      </c>
      <c r="AP144" s="404">
        <f>(0.11-0)/2</f>
        <v>5.5E-2</v>
      </c>
      <c r="AQ144" s="414"/>
      <c r="AR144" s="405">
        <v>2</v>
      </c>
      <c r="AS144" s="410">
        <f t="shared" si="303"/>
        <v>0.38</v>
      </c>
      <c r="AT144" s="406"/>
      <c r="AU144" s="407">
        <f t="shared" si="304"/>
        <v>8.3333333333333329E-2</v>
      </c>
      <c r="AV144" s="404">
        <f>(0.11-0)/2</f>
        <v>5.5E-2</v>
      </c>
      <c r="AW144" s="391"/>
      <c r="AX144" s="405">
        <v>2</v>
      </c>
      <c r="AY144" s="410">
        <f t="shared" si="305"/>
        <v>0.44</v>
      </c>
      <c r="AZ144" s="406"/>
      <c r="BA144" s="407">
        <f t="shared" si="306"/>
        <v>0.26333333333333336</v>
      </c>
      <c r="BB144" s="404">
        <f>(0.11-0)/2</f>
        <v>5.5E-2</v>
      </c>
      <c r="BC144" s="391"/>
      <c r="BD144" s="405">
        <v>2</v>
      </c>
      <c r="BE144" s="410">
        <f t="shared" si="307"/>
        <v>-0.37</v>
      </c>
      <c r="BF144" s="406"/>
      <c r="BG144" s="407">
        <f t="shared" si="308"/>
        <v>9.0000000000000011E-2</v>
      </c>
      <c r="BH144" s="404">
        <f>(0.11-0)/2</f>
        <v>5.5E-2</v>
      </c>
      <c r="BI144" s="391"/>
      <c r="BJ144" s="405">
        <v>2</v>
      </c>
      <c r="BK144" s="410">
        <f t="shared" si="309"/>
        <v>0.44</v>
      </c>
      <c r="BL144" s="406"/>
      <c r="BM144" s="407">
        <f t="shared" si="310"/>
        <v>0.26333333333333336</v>
      </c>
      <c r="BN144" s="404">
        <f>(0.11-0)/2</f>
        <v>5.5E-2</v>
      </c>
      <c r="BO144" s="391"/>
      <c r="BP144" s="405">
        <v>2</v>
      </c>
      <c r="BQ144" s="410">
        <f t="shared" si="311"/>
        <v>-0.47</v>
      </c>
      <c r="BR144" s="406"/>
      <c r="BS144" s="407">
        <f t="shared" si="312"/>
        <v>8.3333333333333329E-2</v>
      </c>
      <c r="BT144" s="404">
        <f>(0.11-0)/2</f>
        <v>5.5E-2</v>
      </c>
      <c r="BU144" s="391"/>
      <c r="BV144" s="405">
        <v>2</v>
      </c>
      <c r="BW144" s="410">
        <f t="shared" si="313"/>
        <v>-0.57999999999999996</v>
      </c>
      <c r="BX144" s="406"/>
      <c r="BY144" s="407">
        <f t="shared" si="314"/>
        <v>9.0000000000000011E-2</v>
      </c>
      <c r="BZ144" s="404">
        <f>(0.11-0)/2</f>
        <v>5.5E-2</v>
      </c>
      <c r="CA144" s="391"/>
      <c r="CB144" s="405">
        <v>2</v>
      </c>
      <c r="CC144" s="410">
        <f t="shared" si="293"/>
        <v>0</v>
      </c>
      <c r="CD144" s="406">
        <f t="shared" si="293"/>
        <v>-0.7</v>
      </c>
      <c r="CE144" s="407">
        <f t="shared" si="315"/>
        <v>0.19999999999999998</v>
      </c>
      <c r="CF144" s="404">
        <f>(0.11-0)/2</f>
        <v>5.5E-2</v>
      </c>
      <c r="CG144" s="426"/>
      <c r="CH144" s="405">
        <v>2</v>
      </c>
      <c r="CI144" s="410">
        <f t="shared" si="294"/>
        <v>0.04</v>
      </c>
      <c r="CJ144" s="406">
        <f t="shared" si="294"/>
        <v>-0.04</v>
      </c>
      <c r="CK144" s="407">
        <f t="shared" si="316"/>
        <v>0.08</v>
      </c>
      <c r="CL144" s="404">
        <f>(0.11-0)/2</f>
        <v>5.5E-2</v>
      </c>
      <c r="CN144" s="405">
        <v>2</v>
      </c>
      <c r="CO144" s="410">
        <f t="shared" si="295"/>
        <v>-0.7</v>
      </c>
      <c r="CP144" s="406">
        <f t="shared" si="295"/>
        <v>-0.05</v>
      </c>
      <c r="CQ144" s="407">
        <f t="shared" si="317"/>
        <v>0.64999999999999991</v>
      </c>
      <c r="CR144" s="404">
        <f>(0.11-0)/2</f>
        <v>5.5E-2</v>
      </c>
    </row>
    <row r="145" spans="2:96">
      <c r="B145" s="405">
        <v>8</v>
      </c>
      <c r="C145" s="410">
        <v>9.9999999999999995E-7</v>
      </c>
      <c r="D145" s="410">
        <v>9.9999999999999995E-7</v>
      </c>
      <c r="E145" s="407">
        <v>9.9999999999999995E-7</v>
      </c>
      <c r="F145" s="408"/>
      <c r="G145" s="409"/>
      <c r="H145" s="405">
        <v>8</v>
      </c>
      <c r="I145" s="410">
        <v>9.9999999999999995E-7</v>
      </c>
      <c r="J145" s="410">
        <v>9.9999999999999995E-7</v>
      </c>
      <c r="K145" s="407">
        <v>9.9999999999999995E-7</v>
      </c>
      <c r="L145" s="408"/>
      <c r="M145" s="409"/>
      <c r="N145" s="405">
        <v>8</v>
      </c>
      <c r="O145" s="410">
        <v>9.9999999999999995E-7</v>
      </c>
      <c r="P145" s="410">
        <f t="shared" si="318"/>
        <v>-0.15</v>
      </c>
      <c r="Q145" s="407">
        <f t="shared" si="319"/>
        <v>0.150001</v>
      </c>
      <c r="R145" s="404">
        <f>(0.12-0)/2</f>
        <v>0.06</v>
      </c>
      <c r="S145" s="391"/>
      <c r="T145" s="405">
        <v>8</v>
      </c>
      <c r="U145" s="410">
        <f t="shared" si="296"/>
        <v>-0.26</v>
      </c>
      <c r="V145" s="406"/>
      <c r="W145" s="407">
        <f t="shared" si="297"/>
        <v>8.666666666666667E-2</v>
      </c>
      <c r="X145" s="404">
        <f>(0.12-0)/2</f>
        <v>0.06</v>
      </c>
      <c r="Y145" s="391"/>
      <c r="Z145" s="405">
        <v>8</v>
      </c>
      <c r="AA145" s="410">
        <f t="shared" si="298"/>
        <v>0.28999999999999998</v>
      </c>
      <c r="AB145" s="406"/>
      <c r="AC145" s="407">
        <f t="shared" si="299"/>
        <v>8.666666666666667E-2</v>
      </c>
      <c r="AD145" s="404">
        <f>(0.12-0)/2</f>
        <v>0.06</v>
      </c>
      <c r="AE145" s="391"/>
      <c r="AF145" s="405">
        <v>8</v>
      </c>
      <c r="AG145" s="459">
        <v>0.28000000000000003</v>
      </c>
      <c r="AH145" s="406"/>
      <c r="AI145" s="407">
        <f t="shared" si="300"/>
        <v>9.3333333333333338E-2</v>
      </c>
      <c r="AJ145" s="656"/>
      <c r="AK145" s="391"/>
      <c r="AL145" s="405">
        <v>8</v>
      </c>
      <c r="AM145" s="410">
        <f t="shared" si="301"/>
        <v>0.49</v>
      </c>
      <c r="AN145" s="406"/>
      <c r="AO145" s="407">
        <f t="shared" si="302"/>
        <v>0.08</v>
      </c>
      <c r="AP145" s="404">
        <f>(0.12-0)/2</f>
        <v>0.06</v>
      </c>
      <c r="AQ145" s="414"/>
      <c r="AR145" s="405">
        <v>8</v>
      </c>
      <c r="AS145" s="410">
        <f t="shared" si="303"/>
        <v>0.37</v>
      </c>
      <c r="AT145" s="406"/>
      <c r="AU145" s="407">
        <f t="shared" si="304"/>
        <v>8.3333333333333329E-2</v>
      </c>
      <c r="AV145" s="404">
        <f>(0.12-0)/2</f>
        <v>0.06</v>
      </c>
      <c r="AW145" s="391"/>
      <c r="AX145" s="405">
        <v>8</v>
      </c>
      <c r="AY145" s="410">
        <f t="shared" si="305"/>
        <v>0.43</v>
      </c>
      <c r="AZ145" s="406"/>
      <c r="BA145" s="407">
        <f t="shared" si="306"/>
        <v>0.26333333333333336</v>
      </c>
      <c r="BB145" s="404">
        <f>(0.12-0)/2</f>
        <v>0.06</v>
      </c>
      <c r="BC145" s="391"/>
      <c r="BD145" s="405">
        <v>8</v>
      </c>
      <c r="BE145" s="410">
        <f t="shared" si="307"/>
        <v>-0.09</v>
      </c>
      <c r="BF145" s="406"/>
      <c r="BG145" s="407">
        <f t="shared" si="308"/>
        <v>9.0000000000000011E-2</v>
      </c>
      <c r="BH145" s="404">
        <f>(0.12-0)/2</f>
        <v>0.06</v>
      </c>
      <c r="BI145" s="391"/>
      <c r="BJ145" s="405">
        <v>8</v>
      </c>
      <c r="BK145" s="410">
        <f t="shared" si="309"/>
        <v>0.43</v>
      </c>
      <c r="BL145" s="406"/>
      <c r="BM145" s="407">
        <f t="shared" si="310"/>
        <v>0.26333333333333336</v>
      </c>
      <c r="BN145" s="404">
        <f>(0.12-0)/2</f>
        <v>0.06</v>
      </c>
      <c r="BO145" s="391"/>
      <c r="BP145" s="405">
        <v>8</v>
      </c>
      <c r="BQ145" s="410">
        <f t="shared" si="311"/>
        <v>-0.24</v>
      </c>
      <c r="BR145" s="406"/>
      <c r="BS145" s="407">
        <f t="shared" si="312"/>
        <v>8.3333333333333329E-2</v>
      </c>
      <c r="BT145" s="404">
        <f>(0.12-0)/2</f>
        <v>0.06</v>
      </c>
      <c r="BU145" s="391"/>
      <c r="BV145" s="405">
        <v>8</v>
      </c>
      <c r="BW145" s="410">
        <f t="shared" si="313"/>
        <v>-0.31</v>
      </c>
      <c r="BX145" s="406"/>
      <c r="BY145" s="407">
        <f t="shared" si="314"/>
        <v>9.0000000000000011E-2</v>
      </c>
      <c r="BZ145" s="404">
        <f>(0.12-0)/2</f>
        <v>0.06</v>
      </c>
      <c r="CA145" s="391"/>
      <c r="CB145" s="405">
        <v>8</v>
      </c>
      <c r="CC145" s="410">
        <f t="shared" si="293"/>
        <v>0</v>
      </c>
      <c r="CD145" s="406">
        <f t="shared" si="293"/>
        <v>-0.7</v>
      </c>
      <c r="CE145" s="407">
        <f t="shared" si="315"/>
        <v>0.19999999999999998</v>
      </c>
      <c r="CF145" s="404">
        <f>(0.12-0)/2</f>
        <v>0.06</v>
      </c>
      <c r="CG145" s="426"/>
      <c r="CH145" s="405">
        <v>8</v>
      </c>
      <c r="CI145" s="410">
        <f t="shared" si="294"/>
        <v>0.08</v>
      </c>
      <c r="CJ145" s="406">
        <f t="shared" si="294"/>
        <v>0.01</v>
      </c>
      <c r="CK145" s="407">
        <f t="shared" si="316"/>
        <v>7.0000000000000007E-2</v>
      </c>
      <c r="CL145" s="404">
        <f>(0.12-0)/2</f>
        <v>0.06</v>
      </c>
      <c r="CN145" s="405">
        <v>8</v>
      </c>
      <c r="CO145" s="410">
        <f t="shared" si="295"/>
        <v>-0.46</v>
      </c>
      <c r="CP145" s="406">
        <f t="shared" si="295"/>
        <v>0.06</v>
      </c>
      <c r="CQ145" s="407">
        <f t="shared" si="317"/>
        <v>0.52</v>
      </c>
      <c r="CR145" s="404">
        <f>(0.12-0)/2</f>
        <v>0.06</v>
      </c>
    </row>
    <row r="146" spans="2:96">
      <c r="B146" s="405">
        <v>37</v>
      </c>
      <c r="C146" s="410">
        <v>9.9999999999999995E-7</v>
      </c>
      <c r="D146" s="410">
        <v>9.9999999999999995E-7</v>
      </c>
      <c r="E146" s="407">
        <v>9.9999999999999995E-7</v>
      </c>
      <c r="F146" s="408"/>
      <c r="G146" s="409"/>
      <c r="H146" s="405">
        <v>37</v>
      </c>
      <c r="I146" s="410">
        <v>9.9999999999999995E-7</v>
      </c>
      <c r="J146" s="410">
        <v>9.9999999999999995E-7</v>
      </c>
      <c r="K146" s="407">
        <v>9.9999999999999995E-7</v>
      </c>
      <c r="L146" s="408"/>
      <c r="M146" s="409"/>
      <c r="N146" s="405">
        <v>37</v>
      </c>
      <c r="O146" s="410">
        <v>9.9999999999999995E-7</v>
      </c>
      <c r="P146" s="410">
        <f t="shared" si="318"/>
        <v>-0.03</v>
      </c>
      <c r="Q146" s="407">
        <f t="shared" si="319"/>
        <v>3.0001E-2</v>
      </c>
      <c r="R146" s="404">
        <f>(0.16-0)/2</f>
        <v>0.08</v>
      </c>
      <c r="S146" s="391"/>
      <c r="T146" s="405">
        <v>37</v>
      </c>
      <c r="U146" s="410">
        <f t="shared" si="296"/>
        <v>0.63</v>
      </c>
      <c r="V146" s="406"/>
      <c r="W146" s="407">
        <f t="shared" si="297"/>
        <v>8.666666666666667E-2</v>
      </c>
      <c r="X146" s="404">
        <f>(0.16-0)/2</f>
        <v>0.08</v>
      </c>
      <c r="Y146" s="391"/>
      <c r="Z146" s="405">
        <v>37</v>
      </c>
      <c r="AA146" s="410">
        <f t="shared" si="298"/>
        <v>0.27</v>
      </c>
      <c r="AB146" s="406"/>
      <c r="AC146" s="407">
        <f t="shared" si="299"/>
        <v>8.666666666666667E-2</v>
      </c>
      <c r="AD146" s="404">
        <f>(0.16-0)/2</f>
        <v>0.08</v>
      </c>
      <c r="AE146" s="391"/>
      <c r="AF146" s="405">
        <v>37</v>
      </c>
      <c r="AG146" s="459">
        <v>0.28999999999999998</v>
      </c>
      <c r="AH146" s="406"/>
      <c r="AI146" s="407">
        <f t="shared" si="300"/>
        <v>9.3333333333333338E-2</v>
      </c>
      <c r="AJ146" s="657">
        <f>VLOOKUP($AJ$139,$AF$140:$AI$145,4)</f>
        <v>9.3333333333333338E-2</v>
      </c>
      <c r="AK146" s="391"/>
      <c r="AL146" s="405">
        <v>37</v>
      </c>
      <c r="AM146" s="410">
        <f t="shared" si="301"/>
        <v>0.52</v>
      </c>
      <c r="AN146" s="406"/>
      <c r="AO146" s="407">
        <f t="shared" si="302"/>
        <v>0.08</v>
      </c>
      <c r="AP146" s="404">
        <f>(0.16-0)/2</f>
        <v>0.08</v>
      </c>
      <c r="AQ146" s="414"/>
      <c r="AR146" s="405">
        <v>37</v>
      </c>
      <c r="AS146" s="410">
        <f t="shared" si="303"/>
        <v>0.35</v>
      </c>
      <c r="AT146" s="406"/>
      <c r="AU146" s="407">
        <f t="shared" si="304"/>
        <v>8.3333333333333329E-2</v>
      </c>
      <c r="AV146" s="404">
        <f>(0.16-0)/2</f>
        <v>0.08</v>
      </c>
      <c r="AW146" s="391"/>
      <c r="AX146" s="405">
        <v>37</v>
      </c>
      <c r="AY146" s="410">
        <f t="shared" si="305"/>
        <v>0.37</v>
      </c>
      <c r="AZ146" s="406"/>
      <c r="BA146" s="407">
        <f t="shared" si="306"/>
        <v>0.26333333333333336</v>
      </c>
      <c r="BB146" s="404">
        <f>(0.16-0)/2</f>
        <v>0.08</v>
      </c>
      <c r="BC146" s="391"/>
      <c r="BD146" s="405">
        <v>37</v>
      </c>
      <c r="BE146" s="410">
        <f t="shared" si="307"/>
        <v>0.81</v>
      </c>
      <c r="BF146" s="406"/>
      <c r="BG146" s="407">
        <f t="shared" si="308"/>
        <v>9.0000000000000011E-2</v>
      </c>
      <c r="BH146" s="404">
        <f>(0.16-0)/2</f>
        <v>0.08</v>
      </c>
      <c r="BI146" s="391"/>
      <c r="BJ146" s="405">
        <v>37</v>
      </c>
      <c r="BK146" s="410">
        <f t="shared" si="309"/>
        <v>0.37</v>
      </c>
      <c r="BL146" s="406"/>
      <c r="BM146" s="407">
        <f t="shared" si="310"/>
        <v>0.26333333333333336</v>
      </c>
      <c r="BN146" s="404">
        <f>(0.16-0)/2</f>
        <v>0.08</v>
      </c>
      <c r="BO146" s="391"/>
      <c r="BP146" s="405">
        <v>37</v>
      </c>
      <c r="BQ146" s="410">
        <f t="shared" si="311"/>
        <v>0.5</v>
      </c>
      <c r="BR146" s="406"/>
      <c r="BS146" s="407">
        <f t="shared" si="312"/>
        <v>8.3333333333333329E-2</v>
      </c>
      <c r="BT146" s="404">
        <f>(0.16-0)/2</f>
        <v>0.08</v>
      </c>
      <c r="BU146" s="391"/>
      <c r="BV146" s="405">
        <v>37</v>
      </c>
      <c r="BW146" s="410">
        <f t="shared" si="313"/>
        <v>0.56999999999999995</v>
      </c>
      <c r="BX146" s="406"/>
      <c r="BY146" s="407">
        <f t="shared" si="314"/>
        <v>9.0000000000000011E-2</v>
      </c>
      <c r="BZ146" s="404">
        <f>(0.16-0)/2</f>
        <v>0.08</v>
      </c>
      <c r="CA146" s="391"/>
      <c r="CB146" s="405">
        <v>37</v>
      </c>
      <c r="CC146" s="410">
        <f t="shared" si="293"/>
        <v>0</v>
      </c>
      <c r="CD146" s="406">
        <f t="shared" si="293"/>
        <v>-0.6</v>
      </c>
      <c r="CE146" s="407">
        <f t="shared" si="315"/>
        <v>0.19999999999999998</v>
      </c>
      <c r="CF146" s="404">
        <f>(0.16-0)/2</f>
        <v>0.08</v>
      </c>
      <c r="CG146" s="426"/>
      <c r="CH146" s="405">
        <v>37</v>
      </c>
      <c r="CI146" s="410">
        <f t="shared" si="294"/>
        <v>0.23</v>
      </c>
      <c r="CJ146" s="406">
        <f t="shared" si="294"/>
        <v>0.19</v>
      </c>
      <c r="CK146" s="407">
        <f t="shared" si="316"/>
        <v>4.0000000000000008E-2</v>
      </c>
      <c r="CL146" s="404">
        <f>(0.16-0)/2</f>
        <v>0.08</v>
      </c>
      <c r="CN146" s="405">
        <v>37</v>
      </c>
      <c r="CO146" s="410">
        <f t="shared" si="295"/>
        <v>0.42</v>
      </c>
      <c r="CP146" s="406">
        <f t="shared" si="295"/>
        <v>0.45</v>
      </c>
      <c r="CQ146" s="407">
        <f t="shared" si="317"/>
        <v>3.0000000000000027E-2</v>
      </c>
      <c r="CR146" s="404">
        <f>(0.16-0)/2</f>
        <v>0.08</v>
      </c>
    </row>
    <row r="147" spans="2:96" ht="10.5" customHeight="1">
      <c r="B147" s="405">
        <v>44</v>
      </c>
      <c r="C147" s="410">
        <v>9.9999999999999995E-7</v>
      </c>
      <c r="D147" s="410">
        <v>9.9999999999999995E-7</v>
      </c>
      <c r="E147" s="407">
        <v>9.9999999999999995E-7</v>
      </c>
      <c r="F147" s="408"/>
      <c r="G147" s="409"/>
      <c r="H147" s="405">
        <v>44</v>
      </c>
      <c r="I147" s="410">
        <v>9.9999999999999995E-7</v>
      </c>
      <c r="J147" s="410">
        <v>9.9999999999999995E-7</v>
      </c>
      <c r="K147" s="407">
        <v>9.9999999999999995E-7</v>
      </c>
      <c r="L147" s="408"/>
      <c r="M147" s="409"/>
      <c r="N147" s="405">
        <v>44</v>
      </c>
      <c r="O147" s="410">
        <v>9.9999999999999995E-7</v>
      </c>
      <c r="P147" s="410">
        <f t="shared" si="318"/>
        <v>-0.03</v>
      </c>
      <c r="Q147" s="407">
        <f t="shared" si="319"/>
        <v>3.0001E-2</v>
      </c>
      <c r="R147" s="404">
        <f>(0.12-0)/2</f>
        <v>0.06</v>
      </c>
      <c r="S147" s="391"/>
      <c r="T147" s="405">
        <v>44</v>
      </c>
      <c r="U147" s="410">
        <f t="shared" si="296"/>
        <v>0.77</v>
      </c>
      <c r="V147" s="406"/>
      <c r="W147" s="407">
        <f t="shared" si="297"/>
        <v>8.666666666666667E-2</v>
      </c>
      <c r="X147" s="404">
        <f>(0.12-0)/2</f>
        <v>0.06</v>
      </c>
      <c r="Y147" s="391"/>
      <c r="Z147" s="405">
        <v>44</v>
      </c>
      <c r="AA147" s="410">
        <f t="shared" si="298"/>
        <v>0.27</v>
      </c>
      <c r="AB147" s="406"/>
      <c r="AC147" s="407">
        <f t="shared" si="299"/>
        <v>8.666666666666667E-2</v>
      </c>
      <c r="AD147" s="404">
        <f>(0.12-0)/2</f>
        <v>0.06</v>
      </c>
      <c r="AE147" s="391"/>
      <c r="AF147" s="405">
        <v>44</v>
      </c>
      <c r="AG147" s="459">
        <v>0.28999999999999998</v>
      </c>
      <c r="AH147" s="406"/>
      <c r="AI147" s="407">
        <f t="shared" si="300"/>
        <v>9.3333333333333338E-2</v>
      </c>
      <c r="AJ147" s="658"/>
      <c r="AK147" s="391"/>
      <c r="AL147" s="405">
        <v>44</v>
      </c>
      <c r="AM147" s="410">
        <f t="shared" si="301"/>
        <v>0.53</v>
      </c>
      <c r="AN147" s="406"/>
      <c r="AO147" s="407">
        <f t="shared" si="302"/>
        <v>0.08</v>
      </c>
      <c r="AP147" s="404">
        <f>(0.12-0)/2</f>
        <v>0.06</v>
      </c>
      <c r="AQ147" s="391"/>
      <c r="AR147" s="405">
        <v>44</v>
      </c>
      <c r="AS147" s="410">
        <f t="shared" si="303"/>
        <v>0.35</v>
      </c>
      <c r="AT147" s="406"/>
      <c r="AU147" s="407">
        <f t="shared" si="304"/>
        <v>8.3333333333333329E-2</v>
      </c>
      <c r="AV147" s="404">
        <f>(0.12-0)/2</f>
        <v>0.06</v>
      </c>
      <c r="AW147" s="391"/>
      <c r="AX147" s="405">
        <v>44</v>
      </c>
      <c r="AY147" s="410">
        <f t="shared" si="305"/>
        <v>0.36</v>
      </c>
      <c r="AZ147" s="406"/>
      <c r="BA147" s="407">
        <f t="shared" si="306"/>
        <v>0.26333333333333336</v>
      </c>
      <c r="BB147" s="404">
        <f>(0.12-0)/2</f>
        <v>0.06</v>
      </c>
      <c r="BC147" s="391"/>
      <c r="BD147" s="405">
        <v>44</v>
      </c>
      <c r="BE147" s="410">
        <f t="shared" si="307"/>
        <v>0.93</v>
      </c>
      <c r="BF147" s="406"/>
      <c r="BG147" s="407">
        <f t="shared" si="308"/>
        <v>9.0000000000000011E-2</v>
      </c>
      <c r="BH147" s="404">
        <f>(0.12-0)/2</f>
        <v>0.06</v>
      </c>
      <c r="BI147" s="391"/>
      <c r="BJ147" s="405">
        <v>44</v>
      </c>
      <c r="BK147" s="410">
        <f t="shared" si="309"/>
        <v>0.36</v>
      </c>
      <c r="BL147" s="406"/>
      <c r="BM147" s="407">
        <f t="shared" si="310"/>
        <v>0.26333333333333336</v>
      </c>
      <c r="BN147" s="404">
        <f>(0.12-0)/2</f>
        <v>0.06</v>
      </c>
      <c r="BO147" s="391"/>
      <c r="BP147" s="405">
        <v>44</v>
      </c>
      <c r="BQ147" s="410">
        <f t="shared" si="311"/>
        <v>0.6</v>
      </c>
      <c r="BR147" s="406"/>
      <c r="BS147" s="407">
        <f t="shared" si="312"/>
        <v>8.3333333333333329E-2</v>
      </c>
      <c r="BT147" s="404">
        <f>(0.12-0)/2</f>
        <v>0.06</v>
      </c>
      <c r="BU147" s="391"/>
      <c r="BV147" s="405">
        <v>44</v>
      </c>
      <c r="BW147" s="410">
        <f t="shared" si="313"/>
        <v>0.68</v>
      </c>
      <c r="BX147" s="406"/>
      <c r="BY147" s="407">
        <f t="shared" si="314"/>
        <v>9.0000000000000011E-2</v>
      </c>
      <c r="BZ147" s="404">
        <f>(0.12-0)/2</f>
        <v>0.06</v>
      </c>
      <c r="CA147" s="391"/>
      <c r="CB147" s="405">
        <v>44</v>
      </c>
      <c r="CC147" s="410">
        <f t="shared" si="293"/>
        <v>-1</v>
      </c>
      <c r="CD147" s="406">
        <f t="shared" si="293"/>
        <v>-0.7</v>
      </c>
      <c r="CE147" s="407">
        <f t="shared" si="315"/>
        <v>0.19999999999999998</v>
      </c>
      <c r="CF147" s="404">
        <f>(0.12-0)/2</f>
        <v>0.06</v>
      </c>
      <c r="CG147" s="427"/>
      <c r="CH147" s="405">
        <v>44</v>
      </c>
      <c r="CI147" s="410">
        <f t="shared" si="294"/>
        <v>0.25</v>
      </c>
      <c r="CJ147" s="406">
        <f t="shared" si="294"/>
        <v>0.21</v>
      </c>
      <c r="CK147" s="407">
        <f t="shared" si="316"/>
        <v>4.0000000000000008E-2</v>
      </c>
      <c r="CL147" s="404">
        <f>(0.12-0)/2</f>
        <v>0.06</v>
      </c>
      <c r="CN147" s="405">
        <v>44</v>
      </c>
      <c r="CO147" s="410">
        <f t="shared" si="295"/>
        <v>0.56999999999999995</v>
      </c>
      <c r="CP147" s="406">
        <f t="shared" si="295"/>
        <v>0.52</v>
      </c>
      <c r="CQ147" s="407">
        <f t="shared" si="317"/>
        <v>4.9999999999999933E-2</v>
      </c>
      <c r="CR147" s="404">
        <f>(0.12-0)/2</f>
        <v>0.06</v>
      </c>
    </row>
    <row r="148" spans="2:96">
      <c r="B148" s="405">
        <v>50</v>
      </c>
      <c r="C148" s="410">
        <v>9.9999999999999995E-7</v>
      </c>
      <c r="D148" s="410">
        <v>9.9999999999999995E-7</v>
      </c>
      <c r="E148" s="407">
        <v>9.9999999999999995E-7</v>
      </c>
      <c r="F148" s="408"/>
      <c r="G148" s="409"/>
      <c r="H148" s="405">
        <v>50</v>
      </c>
      <c r="I148" s="410">
        <v>9.9999999999999995E-7</v>
      </c>
      <c r="J148" s="410">
        <v>9.9999999999999995E-7</v>
      </c>
      <c r="K148" s="407">
        <v>9.9999999999999995E-7</v>
      </c>
      <c r="L148" s="408"/>
      <c r="M148" s="409"/>
      <c r="N148" s="405">
        <v>50</v>
      </c>
      <c r="O148" s="410">
        <v>9.9999999999999995E-7</v>
      </c>
      <c r="P148" s="410">
        <f t="shared" si="318"/>
        <v>-0.03</v>
      </c>
      <c r="Q148" s="407">
        <f t="shared" si="319"/>
        <v>3.0001E-2</v>
      </c>
      <c r="R148" s="404">
        <f>(0.18-0)/2</f>
        <v>0.09</v>
      </c>
      <c r="S148" s="391"/>
      <c r="T148" s="405">
        <v>50</v>
      </c>
      <c r="U148" s="410">
        <f t="shared" si="296"/>
        <v>0.86</v>
      </c>
      <c r="V148" s="406"/>
      <c r="W148" s="407">
        <f t="shared" si="297"/>
        <v>8.666666666666667E-2</v>
      </c>
      <c r="X148" s="404">
        <f>(0.18-0)/2</f>
        <v>0.09</v>
      </c>
      <c r="Y148" s="391"/>
      <c r="Z148" s="405">
        <v>50</v>
      </c>
      <c r="AA148" s="410">
        <f t="shared" si="298"/>
        <v>0.27</v>
      </c>
      <c r="AB148" s="406"/>
      <c r="AC148" s="407">
        <f t="shared" si="299"/>
        <v>8.666666666666667E-2</v>
      </c>
      <c r="AD148" s="404">
        <f>(0.18-0)/2</f>
        <v>0.09</v>
      </c>
      <c r="AE148" s="391"/>
      <c r="AF148" s="405">
        <v>50</v>
      </c>
      <c r="AG148" s="459">
        <v>0.3</v>
      </c>
      <c r="AH148" s="406"/>
      <c r="AI148" s="407">
        <f t="shared" si="300"/>
        <v>9.3333333333333338E-2</v>
      </c>
      <c r="AJ148" s="659">
        <f>((($AJ$146-$AJ$144)/($AJ$142-$AJ$140))*($AJ$139-$AJ$140))+$AJ$144</f>
        <v>9.3333333333333338E-2</v>
      </c>
      <c r="AK148" s="391"/>
      <c r="AL148" s="405">
        <v>50</v>
      </c>
      <c r="AM148" s="410">
        <f t="shared" si="301"/>
        <v>0.53</v>
      </c>
      <c r="AN148" s="406"/>
      <c r="AO148" s="407">
        <f t="shared" si="302"/>
        <v>0.08</v>
      </c>
      <c r="AP148" s="404">
        <f>(0.18-0)/2</f>
        <v>0.09</v>
      </c>
      <c r="AQ148" s="391"/>
      <c r="AR148" s="405">
        <v>50</v>
      </c>
      <c r="AS148" s="410">
        <f t="shared" si="303"/>
        <v>0.35</v>
      </c>
      <c r="AT148" s="406"/>
      <c r="AU148" s="407">
        <f t="shared" si="304"/>
        <v>8.3333333333333329E-2</v>
      </c>
      <c r="AV148" s="404">
        <f>(0.18-0)/2</f>
        <v>0.09</v>
      </c>
      <c r="AW148" s="391"/>
      <c r="AX148" s="405">
        <v>50</v>
      </c>
      <c r="AY148" s="410">
        <f t="shared" si="305"/>
        <v>0.34</v>
      </c>
      <c r="AZ148" s="406"/>
      <c r="BA148" s="407">
        <f t="shared" si="306"/>
        <v>0.26333333333333336</v>
      </c>
      <c r="BB148" s="404">
        <f>(0.18-0)/2</f>
        <v>0.09</v>
      </c>
      <c r="BC148" s="391"/>
      <c r="BD148" s="405">
        <v>50</v>
      </c>
      <c r="BE148" s="410">
        <f t="shared" si="307"/>
        <v>1.01</v>
      </c>
      <c r="BF148" s="406"/>
      <c r="BG148" s="407">
        <f t="shared" si="308"/>
        <v>9.0000000000000011E-2</v>
      </c>
      <c r="BH148" s="404">
        <f>(0.18-0)/2</f>
        <v>0.09</v>
      </c>
      <c r="BI148" s="391"/>
      <c r="BJ148" s="405">
        <v>50</v>
      </c>
      <c r="BK148" s="410">
        <f t="shared" si="309"/>
        <v>0.34</v>
      </c>
      <c r="BL148" s="406"/>
      <c r="BM148" s="407">
        <f t="shared" si="310"/>
        <v>0.26333333333333336</v>
      </c>
      <c r="BN148" s="404">
        <f>(0.18-0)/2</f>
        <v>0.09</v>
      </c>
      <c r="BO148" s="391"/>
      <c r="BP148" s="405">
        <v>50</v>
      </c>
      <c r="BQ148" s="410">
        <f t="shared" si="311"/>
        <v>0.66</v>
      </c>
      <c r="BR148" s="406"/>
      <c r="BS148" s="407">
        <f t="shared" si="312"/>
        <v>8.3333333333333329E-2</v>
      </c>
      <c r="BT148" s="404">
        <f>(0.18-0)/2</f>
        <v>0.09</v>
      </c>
      <c r="BU148" s="391"/>
      <c r="BV148" s="405">
        <v>50</v>
      </c>
      <c r="BW148" s="410">
        <f t="shared" si="313"/>
        <v>0.75</v>
      </c>
      <c r="BX148" s="406"/>
      <c r="BY148" s="407">
        <f t="shared" si="314"/>
        <v>9.0000000000000011E-2</v>
      </c>
      <c r="BZ148" s="404">
        <f>(0.18-0)/2</f>
        <v>0.09</v>
      </c>
      <c r="CA148" s="391"/>
      <c r="CB148" s="405">
        <v>50</v>
      </c>
      <c r="CC148" s="410">
        <f t="shared" si="293"/>
        <v>-1.6</v>
      </c>
      <c r="CD148" s="406">
        <f t="shared" si="293"/>
        <v>-0.7</v>
      </c>
      <c r="CE148" s="407">
        <f t="shared" si="315"/>
        <v>0.30000000000000004</v>
      </c>
      <c r="CF148" s="404">
        <f>(0.18-0)/2</f>
        <v>0.09</v>
      </c>
      <c r="CH148" s="405">
        <v>50</v>
      </c>
      <c r="CI148" s="410">
        <f t="shared" si="294"/>
        <v>0.27</v>
      </c>
      <c r="CJ148" s="406">
        <f t="shared" si="294"/>
        <v>0.22</v>
      </c>
      <c r="CK148" s="407">
        <f t="shared" si="316"/>
        <v>5.0000000000000017E-2</v>
      </c>
      <c r="CL148" s="404">
        <f>(0.18-0)/2</f>
        <v>0.09</v>
      </c>
      <c r="CN148" s="405">
        <v>50</v>
      </c>
      <c r="CO148" s="410">
        <f t="shared" si="295"/>
        <v>0.67</v>
      </c>
      <c r="CP148" s="406">
        <f t="shared" si="295"/>
        <v>0.56999999999999995</v>
      </c>
      <c r="CQ148" s="407">
        <f t="shared" si="317"/>
        <v>0.10000000000000009</v>
      </c>
      <c r="CR148" s="404">
        <f>(0.18-0)/2</f>
        <v>0.09</v>
      </c>
    </row>
    <row r="149" spans="2:96">
      <c r="B149" s="405">
        <v>100</v>
      </c>
      <c r="C149" s="410">
        <v>9.9999999999999995E-7</v>
      </c>
      <c r="D149" s="410">
        <v>9.9999999999999995E-7</v>
      </c>
      <c r="E149" s="407">
        <v>9.9999999999999995E-7</v>
      </c>
      <c r="F149" s="408"/>
      <c r="G149" s="409"/>
      <c r="H149" s="405">
        <v>100</v>
      </c>
      <c r="I149" s="410">
        <v>9.9999999999999995E-7</v>
      </c>
      <c r="J149" s="410">
        <v>9.9999999999999995E-7</v>
      </c>
      <c r="K149" s="407">
        <v>9.9999999999999995E-7</v>
      </c>
      <c r="L149" s="408"/>
      <c r="M149" s="409"/>
      <c r="N149" s="405">
        <v>100</v>
      </c>
      <c r="O149" s="410">
        <v>9.9999999999999995E-7</v>
      </c>
      <c r="P149" s="410">
        <f t="shared" si="318"/>
        <v>-0.16</v>
      </c>
      <c r="Q149" s="407">
        <f t="shared" si="319"/>
        <v>0.160001</v>
      </c>
      <c r="R149" s="404">
        <f>(0.21-0)/2</f>
        <v>0.105</v>
      </c>
      <c r="S149" s="391"/>
      <c r="T149" s="405">
        <v>100</v>
      </c>
      <c r="U149" s="410">
        <f t="shared" si="296"/>
        <v>0.99</v>
      </c>
      <c r="V149" s="406"/>
      <c r="W149" s="407">
        <f t="shared" si="297"/>
        <v>8.666666666666667E-2</v>
      </c>
      <c r="X149" s="404">
        <f>(0.21-0)/2</f>
        <v>0.105</v>
      </c>
      <c r="Y149" s="391"/>
      <c r="Z149" s="405">
        <v>100</v>
      </c>
      <c r="AA149" s="410">
        <f t="shared" si="298"/>
        <v>0.34</v>
      </c>
      <c r="AB149" s="406"/>
      <c r="AC149" s="407">
        <f t="shared" si="299"/>
        <v>8.666666666666667E-2</v>
      </c>
      <c r="AD149" s="404">
        <f>(0.21-0)/2</f>
        <v>0.105</v>
      </c>
      <c r="AE149" s="391"/>
      <c r="AF149" s="405">
        <v>100</v>
      </c>
      <c r="AG149" s="459">
        <v>0.38</v>
      </c>
      <c r="AH149" s="406"/>
      <c r="AI149" s="407">
        <f t="shared" si="300"/>
        <v>9.3333333333333338E-2</v>
      </c>
      <c r="AJ149" s="404"/>
      <c r="AK149" s="391"/>
      <c r="AL149" s="405">
        <v>100</v>
      </c>
      <c r="AM149" s="410">
        <f t="shared" si="301"/>
        <v>0.6</v>
      </c>
      <c r="AN149" s="406"/>
      <c r="AO149" s="407">
        <f t="shared" si="302"/>
        <v>0.08</v>
      </c>
      <c r="AP149" s="404">
        <f>(0.21-0)/2</f>
        <v>0.105</v>
      </c>
      <c r="AQ149" s="391"/>
      <c r="AR149" s="405">
        <v>100</v>
      </c>
      <c r="AS149" s="410">
        <f t="shared" si="303"/>
        <v>0.44</v>
      </c>
      <c r="AT149" s="406"/>
      <c r="AU149" s="407">
        <f t="shared" si="304"/>
        <v>8.3333333333333329E-2</v>
      </c>
      <c r="AV149" s="404">
        <f>(0.21-0)/2</f>
        <v>0.105</v>
      </c>
      <c r="AW149" s="391"/>
      <c r="AX149" s="405">
        <v>100</v>
      </c>
      <c r="AY149" s="410">
        <f t="shared" si="305"/>
        <v>0.18</v>
      </c>
      <c r="AZ149" s="406"/>
      <c r="BA149" s="407">
        <f t="shared" si="306"/>
        <v>0.26333333333333336</v>
      </c>
      <c r="BB149" s="404">
        <f>(0.21-0)/2</f>
        <v>0.105</v>
      </c>
      <c r="BC149" s="391"/>
      <c r="BD149" s="405">
        <v>100</v>
      </c>
      <c r="BE149" s="410">
        <f t="shared" si="307"/>
        <v>1.06</v>
      </c>
      <c r="BF149" s="406"/>
      <c r="BG149" s="407">
        <f t="shared" si="308"/>
        <v>9.0000000000000011E-2</v>
      </c>
      <c r="BH149" s="404">
        <f>(0.21-0)/2</f>
        <v>0.105</v>
      </c>
      <c r="BI149" s="391"/>
      <c r="BJ149" s="405">
        <v>100</v>
      </c>
      <c r="BK149" s="410">
        <f t="shared" si="309"/>
        <v>0.18</v>
      </c>
      <c r="BL149" s="406"/>
      <c r="BM149" s="407">
        <f t="shared" si="310"/>
        <v>0.26333333333333336</v>
      </c>
      <c r="BN149" s="404">
        <f>(0.21-0)/2</f>
        <v>0.105</v>
      </c>
      <c r="BO149" s="391"/>
      <c r="BP149" s="405">
        <v>100</v>
      </c>
      <c r="BQ149" s="410">
        <f t="shared" si="311"/>
        <v>0.54</v>
      </c>
      <c r="BR149" s="406"/>
      <c r="BS149" s="407">
        <f t="shared" si="312"/>
        <v>8.3333333333333329E-2</v>
      </c>
      <c r="BT149" s="404">
        <f>(0.21-0)/2</f>
        <v>0.105</v>
      </c>
      <c r="BU149" s="391"/>
      <c r="BV149" s="405">
        <v>100</v>
      </c>
      <c r="BW149" s="410">
        <f t="shared" si="313"/>
        <v>0.56000000000000005</v>
      </c>
      <c r="BX149" s="406"/>
      <c r="BY149" s="407">
        <f t="shared" si="314"/>
        <v>9.0000000000000011E-2</v>
      </c>
      <c r="BZ149" s="404">
        <f>(0.21-0)/2</f>
        <v>0.105</v>
      </c>
      <c r="CA149" s="391"/>
      <c r="CB149" s="405">
        <v>100</v>
      </c>
      <c r="CC149" s="410">
        <f t="shared" si="293"/>
        <v>-1.7</v>
      </c>
      <c r="CD149" s="406">
        <f t="shared" si="293"/>
        <v>-0.7</v>
      </c>
      <c r="CE149" s="407">
        <f t="shared" si="315"/>
        <v>0.90000000000000013</v>
      </c>
      <c r="CF149" s="404">
        <f>(0.21-0)/2</f>
        <v>0.105</v>
      </c>
      <c r="CH149" s="405">
        <v>100</v>
      </c>
      <c r="CI149" s="410">
        <f t="shared" si="294"/>
        <v>0.31</v>
      </c>
      <c r="CJ149" s="406">
        <f t="shared" si="294"/>
        <v>0.23</v>
      </c>
      <c r="CK149" s="407">
        <f t="shared" si="316"/>
        <v>7.9999999999999988E-2</v>
      </c>
      <c r="CL149" s="404">
        <f>(0.21-0)/2</f>
        <v>0.105</v>
      </c>
      <c r="CN149" s="405">
        <v>100</v>
      </c>
      <c r="CO149" s="410">
        <f t="shared" si="295"/>
        <v>0.95</v>
      </c>
      <c r="CP149" s="406">
        <f t="shared" si="295"/>
        <v>0.81</v>
      </c>
      <c r="CQ149" s="407">
        <f t="shared" si="317"/>
        <v>0.1399999999999999</v>
      </c>
      <c r="CR149" s="404">
        <f>(0.21-0)/2</f>
        <v>0.105</v>
      </c>
    </row>
    <row r="150" spans="2:96">
      <c r="B150" s="405">
        <v>150</v>
      </c>
      <c r="C150" s="410">
        <v>9.9999999999999995E-7</v>
      </c>
      <c r="D150" s="410">
        <v>9.9999999999999995E-7</v>
      </c>
      <c r="E150" s="407">
        <v>9.9999999999999995E-7</v>
      </c>
      <c r="F150" s="408"/>
      <c r="G150" s="409"/>
      <c r="H150" s="405">
        <v>150</v>
      </c>
      <c r="I150" s="410">
        <v>9.9999999999999995E-7</v>
      </c>
      <c r="J150" s="410">
        <v>9.9999999999999995E-7</v>
      </c>
      <c r="K150" s="407">
        <v>9.9999999999999995E-7</v>
      </c>
      <c r="L150" s="408"/>
      <c r="M150" s="409"/>
      <c r="N150" s="405">
        <v>150</v>
      </c>
      <c r="O150" s="410">
        <v>9.9999999999999995E-7</v>
      </c>
      <c r="P150" s="410">
        <f t="shared" si="318"/>
        <v>-0.28000000000000003</v>
      </c>
      <c r="Q150" s="407">
        <f t="shared" si="319"/>
        <v>0.280001</v>
      </c>
      <c r="R150" s="404">
        <f>(0.22-0)/2</f>
        <v>0.11</v>
      </c>
      <c r="S150" s="391"/>
      <c r="T150" s="405">
        <v>150</v>
      </c>
      <c r="U150" s="410">
        <f t="shared" si="296"/>
        <v>0.28000000000000003</v>
      </c>
      <c r="V150" s="406"/>
      <c r="W150" s="407">
        <f t="shared" si="297"/>
        <v>8.666666666666667E-2</v>
      </c>
      <c r="X150" s="404">
        <f>(0.22-0)/2</f>
        <v>0.11</v>
      </c>
      <c r="Y150" s="391"/>
      <c r="Z150" s="405">
        <v>150</v>
      </c>
      <c r="AA150" s="410">
        <f t="shared" si="298"/>
        <v>0.51</v>
      </c>
      <c r="AB150" s="406"/>
      <c r="AC150" s="407">
        <f t="shared" si="299"/>
        <v>8.666666666666667E-2</v>
      </c>
      <c r="AD150" s="404">
        <f>(0.22-0)/2</f>
        <v>0.11</v>
      </c>
      <c r="AE150" s="391"/>
      <c r="AF150" s="405">
        <v>150</v>
      </c>
      <c r="AG150" s="459">
        <v>0.54</v>
      </c>
      <c r="AH150" s="406"/>
      <c r="AI150" s="407">
        <f t="shared" si="300"/>
        <v>9.3333333333333338E-2</v>
      </c>
      <c r="AJ150" s="404"/>
      <c r="AK150" s="391"/>
      <c r="AL150" s="405">
        <v>150</v>
      </c>
      <c r="AM150" s="410">
        <f t="shared" si="301"/>
        <v>0.72</v>
      </c>
      <c r="AN150" s="406"/>
      <c r="AO150" s="407">
        <f t="shared" si="302"/>
        <v>0.08</v>
      </c>
      <c r="AP150" s="404">
        <f>(0.22-0)/2</f>
        <v>0.11</v>
      </c>
      <c r="AQ150" s="391"/>
      <c r="AR150" s="405">
        <v>150</v>
      </c>
      <c r="AS150" s="410">
        <f t="shared" si="303"/>
        <v>0.61</v>
      </c>
      <c r="AT150" s="406"/>
      <c r="AU150" s="407">
        <f t="shared" si="304"/>
        <v>8.3333333333333329E-2</v>
      </c>
      <c r="AV150" s="404">
        <f>(0.22-0)/2</f>
        <v>0.11</v>
      </c>
      <c r="AW150" s="391"/>
      <c r="AX150" s="405">
        <v>150</v>
      </c>
      <c r="AY150" s="410">
        <f t="shared" si="305"/>
        <v>-0.02</v>
      </c>
      <c r="AZ150" s="406"/>
      <c r="BA150" s="407">
        <f t="shared" si="306"/>
        <v>0.26333333333333336</v>
      </c>
      <c r="BB150" s="404">
        <f>(0.22-0)/2</f>
        <v>0.11</v>
      </c>
      <c r="BC150" s="391"/>
      <c r="BD150" s="405">
        <v>150</v>
      </c>
      <c r="BE150" s="410">
        <f t="shared" si="307"/>
        <v>0.62</v>
      </c>
      <c r="BF150" s="406"/>
      <c r="BG150" s="407">
        <f t="shared" si="308"/>
        <v>9.0000000000000011E-2</v>
      </c>
      <c r="BH150" s="404">
        <f>(0.22-0)/2</f>
        <v>0.11</v>
      </c>
      <c r="BI150" s="391"/>
      <c r="BJ150" s="405">
        <v>150</v>
      </c>
      <c r="BK150" s="410">
        <f t="shared" si="309"/>
        <v>-0.02</v>
      </c>
      <c r="BL150" s="406"/>
      <c r="BM150" s="407">
        <f t="shared" si="310"/>
        <v>0.26333333333333336</v>
      </c>
      <c r="BN150" s="404">
        <f>(0.22-0)/2</f>
        <v>0.11</v>
      </c>
      <c r="BO150" s="391"/>
      <c r="BP150" s="405">
        <v>150</v>
      </c>
      <c r="BQ150" s="410">
        <f t="shared" si="311"/>
        <v>-0.15</v>
      </c>
      <c r="BR150" s="406"/>
      <c r="BS150" s="407">
        <f t="shared" si="312"/>
        <v>8.3333333333333329E-2</v>
      </c>
      <c r="BT150" s="404">
        <f>(0.22-0)/2</f>
        <v>0.11</v>
      </c>
      <c r="BU150" s="391"/>
      <c r="BV150" s="405">
        <v>150</v>
      </c>
      <c r="BW150" s="410">
        <f t="shared" si="313"/>
        <v>-0.39</v>
      </c>
      <c r="BX150" s="406"/>
      <c r="BY150" s="407">
        <f t="shared" si="314"/>
        <v>9.0000000000000011E-2</v>
      </c>
      <c r="BZ150" s="404">
        <f>(0.22-0)/2</f>
        <v>0.11</v>
      </c>
      <c r="CA150" s="391"/>
      <c r="CB150" s="405">
        <v>150</v>
      </c>
      <c r="CC150" s="410">
        <f t="shared" si="293"/>
        <v>-0.9</v>
      </c>
      <c r="CD150" s="406">
        <f t="shared" si="293"/>
        <v>-0.7</v>
      </c>
      <c r="CE150" s="407">
        <f t="shared" si="315"/>
        <v>1</v>
      </c>
      <c r="CF150" s="404">
        <f>(0.22-0)/2</f>
        <v>0.11</v>
      </c>
      <c r="CH150" s="405">
        <v>150</v>
      </c>
      <c r="CI150" s="410">
        <f t="shared" si="294"/>
        <v>0.3</v>
      </c>
      <c r="CJ150" s="406">
        <f t="shared" si="294"/>
        <v>0.22</v>
      </c>
      <c r="CK150" s="407">
        <f t="shared" si="316"/>
        <v>7.9999999999999988E-2</v>
      </c>
      <c r="CL150" s="404">
        <f>(0.22-0)/2</f>
        <v>0.11</v>
      </c>
      <c r="CN150" s="405">
        <v>150</v>
      </c>
      <c r="CO150" s="410">
        <f t="shared" si="295"/>
        <v>0.49</v>
      </c>
      <c r="CP150" s="406">
        <f t="shared" si="295"/>
        <v>0.87</v>
      </c>
      <c r="CQ150" s="407">
        <f t="shared" si="317"/>
        <v>0.38</v>
      </c>
      <c r="CR150" s="404">
        <f>(0.22-0)/2</f>
        <v>0.11</v>
      </c>
    </row>
    <row r="151" spans="2:96">
      <c r="B151" s="429">
        <v>200</v>
      </c>
      <c r="C151" s="410">
        <v>9.9999999999999995E-7</v>
      </c>
      <c r="D151" s="410">
        <v>9.9999999999999995E-7</v>
      </c>
      <c r="E151" s="407">
        <v>9.9999999999999995E-7</v>
      </c>
      <c r="F151" s="430"/>
      <c r="G151" s="409"/>
      <c r="H151" s="429">
        <v>200</v>
      </c>
      <c r="I151" s="410">
        <v>9.9999999999999995E-7</v>
      </c>
      <c r="J151" s="410">
        <v>9.9999999999999995E-7</v>
      </c>
      <c r="K151" s="407">
        <v>9.9999999999999995E-7</v>
      </c>
      <c r="L151" s="430"/>
      <c r="M151" s="409"/>
      <c r="N151" s="429">
        <v>200</v>
      </c>
      <c r="O151" s="410">
        <v>9.9999999999999995E-7</v>
      </c>
      <c r="P151" s="410">
        <f t="shared" si="318"/>
        <v>0</v>
      </c>
      <c r="Q151" s="407">
        <f t="shared" si="319"/>
        <v>9.3333333333333338E-2</v>
      </c>
      <c r="R151" s="431">
        <f>(0.19-0)/2</f>
        <v>9.5000000000000001E-2</v>
      </c>
      <c r="S151" s="391"/>
      <c r="T151" s="429">
        <v>200</v>
      </c>
      <c r="U151" s="410">
        <f t="shared" si="296"/>
        <v>-0.8</v>
      </c>
      <c r="V151" s="432"/>
      <c r="W151" s="407">
        <f t="shared" si="297"/>
        <v>8.666666666666667E-2</v>
      </c>
      <c r="X151" s="431">
        <f>(0.19-0)/2</f>
        <v>9.5000000000000001E-2</v>
      </c>
      <c r="Y151" s="391"/>
      <c r="Z151" s="429">
        <v>200</v>
      </c>
      <c r="AA151" s="410">
        <f t="shared" si="298"/>
        <v>0.73</v>
      </c>
      <c r="AB151" s="432"/>
      <c r="AC151" s="407">
        <f t="shared" si="299"/>
        <v>8.666666666666667E-2</v>
      </c>
      <c r="AD151" s="431">
        <f>(0.19-0)/2</f>
        <v>9.5000000000000001E-2</v>
      </c>
      <c r="AE151" s="391"/>
      <c r="AF151" s="429">
        <v>200</v>
      </c>
      <c r="AG151" s="459">
        <v>0.81</v>
      </c>
      <c r="AH151" s="432"/>
      <c r="AI151" s="433">
        <f t="shared" si="300"/>
        <v>9.3333333333333338E-2</v>
      </c>
      <c r="AJ151" s="431"/>
      <c r="AK151" s="391"/>
      <c r="AL151" s="429">
        <v>200</v>
      </c>
      <c r="AM151" s="434">
        <f t="shared" si="301"/>
        <v>0.95</v>
      </c>
      <c r="AN151" s="432"/>
      <c r="AO151" s="433">
        <f t="shared" si="302"/>
        <v>0.08</v>
      </c>
      <c r="AP151" s="431">
        <f>(0.19-0)/2</f>
        <v>9.5000000000000001E-2</v>
      </c>
      <c r="AQ151" s="391"/>
      <c r="AR151" s="429">
        <v>200</v>
      </c>
      <c r="AS151" s="434">
        <f t="shared" si="303"/>
        <v>0.84</v>
      </c>
      <c r="AT151" s="432"/>
      <c r="AU151" s="433">
        <f t="shared" si="304"/>
        <v>8.3333333333333329E-2</v>
      </c>
      <c r="AV151" s="431">
        <f>(0.19-0)/2</f>
        <v>9.5000000000000001E-2</v>
      </c>
      <c r="AW151" s="391"/>
      <c r="AX151" s="429">
        <v>200</v>
      </c>
      <c r="AY151" s="410">
        <f t="shared" si="305"/>
        <v>-0.28000000000000003</v>
      </c>
      <c r="AZ151" s="432"/>
      <c r="BA151" s="407">
        <f t="shared" si="306"/>
        <v>0.26333333333333336</v>
      </c>
      <c r="BB151" s="431">
        <f>(0.19-0)/2</f>
        <v>9.5000000000000001E-2</v>
      </c>
      <c r="BC151" s="391"/>
      <c r="BD151" s="429">
        <v>200</v>
      </c>
      <c r="BE151" s="428">
        <f t="shared" si="307"/>
        <v>0.66</v>
      </c>
      <c r="BF151" s="432"/>
      <c r="BG151" s="407">
        <f t="shared" si="308"/>
        <v>9.0000000000000011E-2</v>
      </c>
      <c r="BH151" s="431">
        <f>(0.19-0)/2</f>
        <v>9.5000000000000001E-2</v>
      </c>
      <c r="BI151" s="391"/>
      <c r="BJ151" s="429">
        <v>200</v>
      </c>
      <c r="BK151" s="410">
        <f t="shared" si="309"/>
        <v>-0.28000000000000003</v>
      </c>
      <c r="BL151" s="432"/>
      <c r="BM151" s="407">
        <f t="shared" si="310"/>
        <v>0.26333333333333336</v>
      </c>
      <c r="BN151" s="431">
        <f>(0.19-0)/2</f>
        <v>9.5000000000000001E-2</v>
      </c>
      <c r="BO151" s="391"/>
      <c r="BP151" s="429">
        <v>200</v>
      </c>
      <c r="BQ151" s="410">
        <f t="shared" si="311"/>
        <v>-0.66</v>
      </c>
      <c r="BR151" s="432"/>
      <c r="BS151" s="407">
        <f t="shared" si="312"/>
        <v>8.3333333333333329E-2</v>
      </c>
      <c r="BT151" s="431">
        <f>(0.19-0)/2</f>
        <v>9.5000000000000001E-2</v>
      </c>
      <c r="BU151" s="391"/>
      <c r="BV151" s="429">
        <v>200</v>
      </c>
      <c r="BW151" s="410">
        <f t="shared" si="313"/>
        <v>-1.22</v>
      </c>
      <c r="BX151" s="432"/>
      <c r="BY151" s="407">
        <f t="shared" si="314"/>
        <v>9.0000000000000011E-2</v>
      </c>
      <c r="BZ151" s="431">
        <f>(0.19-0)/2</f>
        <v>9.5000000000000001E-2</v>
      </c>
      <c r="CA151" s="391"/>
      <c r="CB151" s="429">
        <v>200</v>
      </c>
      <c r="CC151" s="410">
        <f t="shared" si="293"/>
        <v>0</v>
      </c>
      <c r="CD151" s="406">
        <f t="shared" si="293"/>
        <v>-0.6</v>
      </c>
      <c r="CE151" s="407">
        <f t="shared" si="315"/>
        <v>0.30000000000000004</v>
      </c>
      <c r="CF151" s="431">
        <f>(0.19-0)/2</f>
        <v>9.5000000000000001E-2</v>
      </c>
      <c r="CH151" s="429">
        <v>200</v>
      </c>
      <c r="CI151" s="410">
        <f t="shared" si="294"/>
        <v>0.34</v>
      </c>
      <c r="CJ151" s="406">
        <f t="shared" si="294"/>
        <v>0.47</v>
      </c>
      <c r="CK151" s="407">
        <f t="shared" si="316"/>
        <v>0.12999999999999995</v>
      </c>
      <c r="CL151" s="431">
        <f>(0.19-0)/2</f>
        <v>9.5000000000000001E-2</v>
      </c>
      <c r="CN151" s="429">
        <v>200</v>
      </c>
      <c r="CO151" s="410">
        <f t="shared" si="295"/>
        <v>-0.26</v>
      </c>
      <c r="CP151" s="406">
        <f t="shared" si="295"/>
        <v>0.99</v>
      </c>
      <c r="CQ151" s="407">
        <f t="shared" si="317"/>
        <v>1.25</v>
      </c>
      <c r="CR151" s="431">
        <f>(0.19-0)/2</f>
        <v>9.5000000000000001E-2</v>
      </c>
    </row>
    <row r="152" spans="2:96" s="391" customFormat="1">
      <c r="B152" s="415"/>
      <c r="C152" s="392"/>
      <c r="D152" s="392"/>
      <c r="E152" s="412"/>
      <c r="F152" s="409"/>
      <c r="G152" s="409"/>
      <c r="H152" s="415"/>
      <c r="I152" s="392"/>
      <c r="J152" s="392"/>
      <c r="K152" s="412"/>
      <c r="L152" s="409"/>
      <c r="M152" s="409"/>
      <c r="N152" s="415"/>
      <c r="O152" s="392"/>
      <c r="P152" s="392"/>
      <c r="Q152" s="412"/>
      <c r="R152" s="393"/>
      <c r="T152" s="415"/>
      <c r="U152" s="392"/>
      <c r="V152" s="392"/>
      <c r="W152" s="412"/>
      <c r="X152" s="393"/>
      <c r="Z152" s="415"/>
      <c r="AA152" s="392"/>
      <c r="AB152" s="392"/>
      <c r="AC152" s="412"/>
      <c r="AD152" s="393"/>
      <c r="AF152" s="415"/>
      <c r="AG152" s="392"/>
      <c r="AH152" s="392"/>
      <c r="AI152" s="412"/>
      <c r="AJ152" s="393"/>
      <c r="AL152" s="415"/>
      <c r="AM152" s="392"/>
      <c r="AN152" s="392"/>
      <c r="AO152" s="412"/>
      <c r="AP152" s="393"/>
      <c r="AR152" s="415"/>
      <c r="AS152" s="392"/>
      <c r="AT152" s="392"/>
      <c r="AU152" s="412"/>
      <c r="AV152" s="393"/>
      <c r="AX152" s="415"/>
      <c r="AY152" s="435"/>
      <c r="AZ152" s="392"/>
      <c r="BA152" s="412"/>
      <c r="BB152" s="393"/>
      <c r="BD152" s="415"/>
      <c r="BE152" s="435"/>
      <c r="BF152" s="392"/>
      <c r="BG152" s="412"/>
      <c r="BH152" s="393"/>
      <c r="BJ152" s="415"/>
      <c r="BK152" s="435"/>
      <c r="BL152" s="392"/>
      <c r="BM152" s="412"/>
      <c r="BN152" s="393"/>
      <c r="BP152" s="415"/>
      <c r="BQ152" s="435"/>
      <c r="BR152" s="392"/>
      <c r="BS152" s="412"/>
      <c r="BT152" s="393"/>
      <c r="BV152" s="415"/>
      <c r="BW152" s="435"/>
      <c r="BX152" s="392"/>
      <c r="BY152" s="412"/>
      <c r="BZ152" s="393"/>
    </row>
    <row r="153" spans="2:96" s="391" customFormat="1">
      <c r="B153" s="415"/>
      <c r="C153" s="392"/>
      <c r="D153" s="392"/>
      <c r="E153" s="412"/>
      <c r="F153" s="409"/>
      <c r="G153" s="409"/>
      <c r="H153" s="415"/>
      <c r="I153" s="392"/>
      <c r="J153" s="392"/>
      <c r="K153" s="412"/>
      <c r="L153" s="409"/>
      <c r="M153" s="409"/>
      <c r="N153" s="415"/>
      <c r="O153" s="392"/>
      <c r="P153" s="392"/>
      <c r="Q153" s="412"/>
      <c r="R153" s="393"/>
      <c r="T153" s="415"/>
      <c r="U153" s="392"/>
      <c r="V153" s="392"/>
      <c r="W153" s="412"/>
      <c r="X153" s="393"/>
      <c r="Z153" s="415"/>
      <c r="AA153" s="392"/>
      <c r="AB153" s="392"/>
      <c r="AC153" s="412"/>
      <c r="AD153" s="393"/>
      <c r="AF153" s="415"/>
      <c r="AG153" s="392"/>
      <c r="AH153" s="392"/>
      <c r="AI153" s="412"/>
      <c r="AJ153" s="393"/>
      <c r="AL153" s="415"/>
      <c r="AM153" s="392"/>
      <c r="AN153" s="392"/>
      <c r="AO153" s="412"/>
      <c r="AP153" s="393"/>
      <c r="AR153" s="415"/>
      <c r="AS153" s="392"/>
      <c r="AT153" s="392"/>
      <c r="AU153" s="412"/>
      <c r="AV153" s="393"/>
      <c r="AX153" s="415"/>
      <c r="AY153" s="392"/>
      <c r="AZ153" s="392"/>
      <c r="BA153" s="412"/>
      <c r="BB153" s="393"/>
      <c r="BD153" s="415"/>
      <c r="BE153" s="392"/>
      <c r="BF153" s="392"/>
      <c r="BG153" s="412"/>
      <c r="BH153" s="393"/>
      <c r="BJ153" s="415"/>
      <c r="BK153" s="392"/>
      <c r="BL153" s="392"/>
      <c r="BM153" s="412"/>
      <c r="BN153" s="393"/>
      <c r="BP153" s="415"/>
      <c r="BQ153" s="392"/>
      <c r="BR153" s="392"/>
      <c r="BS153" s="412"/>
      <c r="BT153" s="393"/>
      <c r="BV153" s="415"/>
      <c r="BW153" s="392"/>
      <c r="BX153" s="392"/>
      <c r="BY153" s="412"/>
      <c r="BZ153" s="393"/>
    </row>
    <row r="154" spans="2:96" s="391" customFormat="1" ht="21.6" customHeight="1">
      <c r="B154" s="819" t="s">
        <v>341</v>
      </c>
      <c r="C154" s="819"/>
      <c r="D154" s="819"/>
      <c r="E154" s="819"/>
      <c r="F154" s="819"/>
      <c r="G154" s="819"/>
      <c r="H154" s="819"/>
      <c r="I154" s="819"/>
      <c r="J154" s="819"/>
      <c r="K154" s="819"/>
      <c r="L154" s="819"/>
      <c r="M154" s="819"/>
      <c r="N154" s="819"/>
      <c r="O154" s="819"/>
      <c r="P154" s="819"/>
      <c r="Q154" s="819"/>
      <c r="R154" s="819"/>
      <c r="S154" s="436"/>
      <c r="T154" s="819" t="s">
        <v>341</v>
      </c>
      <c r="U154" s="819"/>
      <c r="V154" s="819"/>
      <c r="W154" s="819"/>
      <c r="X154" s="819"/>
      <c r="Y154" s="819"/>
      <c r="Z154" s="819"/>
      <c r="AA154" s="819"/>
      <c r="AB154" s="819"/>
      <c r="AC154" s="819"/>
      <c r="AD154" s="819"/>
      <c r="AE154" s="819"/>
      <c r="AF154" s="819"/>
      <c r="AG154" s="819"/>
      <c r="AH154" s="819"/>
      <c r="AI154" s="819"/>
      <c r="AJ154" s="819"/>
      <c r="AL154" s="415"/>
      <c r="AM154" s="392"/>
      <c r="AN154" s="392"/>
      <c r="AO154" s="412"/>
      <c r="AP154" s="393"/>
      <c r="AR154" s="415"/>
      <c r="AS154" s="392"/>
      <c r="AT154" s="392"/>
      <c r="AU154" s="412"/>
      <c r="AV154" s="393"/>
      <c r="AX154" s="415"/>
      <c r="AY154" s="392"/>
      <c r="AZ154" s="392"/>
      <c r="BA154" s="412"/>
      <c r="BB154" s="393"/>
      <c r="BD154" s="415"/>
      <c r="BE154" s="392"/>
      <c r="BF154" s="392"/>
      <c r="BG154" s="412"/>
      <c r="BH154" s="393"/>
      <c r="BJ154" s="415"/>
      <c r="BK154" s="392"/>
      <c r="BL154" s="392"/>
      <c r="BM154" s="412"/>
      <c r="BN154" s="393"/>
      <c r="BP154" s="415"/>
      <c r="BQ154" s="392"/>
      <c r="BR154" s="392"/>
      <c r="BS154" s="412"/>
      <c r="BT154" s="393"/>
      <c r="BV154" s="415"/>
      <c r="BW154" s="392"/>
      <c r="BX154" s="392"/>
      <c r="BY154" s="412"/>
      <c r="BZ154" s="393"/>
    </row>
    <row r="155" spans="2:96" s="391" customFormat="1">
      <c r="B155" s="415"/>
      <c r="C155" s="437">
        <v>2022</v>
      </c>
      <c r="D155" s="437">
        <v>2022</v>
      </c>
      <c r="E155" s="438">
        <v>2023</v>
      </c>
      <c r="F155" s="438">
        <v>2022</v>
      </c>
      <c r="G155" s="438">
        <v>2023</v>
      </c>
      <c r="H155" s="437">
        <v>2023</v>
      </c>
      <c r="I155" s="437">
        <v>2023</v>
      </c>
      <c r="J155" s="437">
        <v>2023</v>
      </c>
      <c r="K155" s="438">
        <v>2021</v>
      </c>
      <c r="L155" s="438">
        <v>2022</v>
      </c>
      <c r="M155" s="438">
        <v>2021</v>
      </c>
      <c r="N155" s="437">
        <v>2022</v>
      </c>
      <c r="O155" s="437">
        <v>2022</v>
      </c>
      <c r="P155" s="437">
        <v>2022</v>
      </c>
      <c r="Q155" s="438">
        <v>2021</v>
      </c>
      <c r="R155" s="437">
        <v>2021</v>
      </c>
      <c r="T155" s="415"/>
      <c r="U155" s="392"/>
      <c r="V155" s="392"/>
      <c r="W155" s="412"/>
      <c r="X155" s="393"/>
      <c r="Z155" s="415"/>
      <c r="AA155" s="392"/>
      <c r="AB155" s="392"/>
      <c r="AC155" s="412"/>
      <c r="AD155" s="393"/>
      <c r="AF155" s="415"/>
      <c r="AG155" s="392"/>
      <c r="AH155" s="392"/>
      <c r="AI155" s="412"/>
      <c r="AJ155" s="393"/>
      <c r="AL155" s="415"/>
      <c r="AM155" s="392"/>
      <c r="AN155" s="392"/>
      <c r="AO155" s="412"/>
      <c r="AP155" s="393"/>
      <c r="AR155" s="415"/>
      <c r="AS155" s="392"/>
      <c r="AT155" s="392"/>
      <c r="AU155" s="412"/>
      <c r="AV155" s="393"/>
      <c r="AX155" s="415"/>
      <c r="AY155" s="392"/>
      <c r="AZ155" s="392"/>
      <c r="BA155" s="412"/>
      <c r="BB155" s="393"/>
      <c r="BD155" s="820" t="s">
        <v>418</v>
      </c>
      <c r="BE155" s="820"/>
      <c r="BF155" s="392"/>
      <c r="BG155" s="821" t="s">
        <v>419</v>
      </c>
      <c r="BH155" s="821"/>
      <c r="BJ155" s="415"/>
      <c r="BK155" s="392"/>
      <c r="BL155" s="392"/>
      <c r="BM155" s="412"/>
      <c r="BN155" s="393"/>
      <c r="BP155" s="415"/>
      <c r="BQ155" s="392"/>
      <c r="BR155" s="392"/>
      <c r="BS155" s="412"/>
      <c r="BT155" s="393"/>
      <c r="BV155" s="415"/>
      <c r="BW155" s="392"/>
      <c r="BX155" s="392"/>
      <c r="BY155" s="412"/>
      <c r="BZ155" s="393"/>
    </row>
    <row r="156" spans="2:96" ht="90" customHeight="1">
      <c r="B156" s="439" t="s">
        <v>327</v>
      </c>
      <c r="C156" s="440" t="s">
        <v>328</v>
      </c>
      <c r="D156" s="440" t="s">
        <v>330</v>
      </c>
      <c r="E156" s="440" t="s">
        <v>331</v>
      </c>
      <c r="F156" s="440" t="s">
        <v>379</v>
      </c>
      <c r="G156" s="440" t="s">
        <v>380</v>
      </c>
      <c r="H156" s="440" t="s">
        <v>381</v>
      </c>
      <c r="I156" s="440" t="s">
        <v>382</v>
      </c>
      <c r="J156" s="440" t="s">
        <v>383</v>
      </c>
      <c r="K156" s="440" t="s">
        <v>384</v>
      </c>
      <c r="L156" s="440" t="s">
        <v>385</v>
      </c>
      <c r="M156" s="440" t="s">
        <v>386</v>
      </c>
      <c r="N156" s="440" t="s">
        <v>387</v>
      </c>
      <c r="O156" s="440" t="s">
        <v>388</v>
      </c>
      <c r="P156" s="441" t="s">
        <v>348</v>
      </c>
      <c r="Q156" s="441" t="s">
        <v>349</v>
      </c>
      <c r="R156" s="441" t="s">
        <v>350</v>
      </c>
      <c r="S156" s="391"/>
      <c r="T156" s="439" t="s">
        <v>332</v>
      </c>
      <c r="U156" s="440" t="str">
        <f>C156</f>
        <v>Thermocouple Data Logger, Merek : MADGETECH, Model : OctTemp 2000, SN : P40270</v>
      </c>
      <c r="V156" s="440" t="str">
        <f t="shared" ref="V156:AJ156" si="320">D156</f>
        <v>Thermocouple Data Logger, Merek : MADGETECH, Model : OctTemp 2000, SN : P41878</v>
      </c>
      <c r="W156" s="440" t="str">
        <f t="shared" si="320"/>
        <v>Mobile Corder, Merek : Yokogawa, Model : GP 10, SN : S5T810599</v>
      </c>
      <c r="X156" s="440" t="str">
        <f t="shared" si="320"/>
        <v>Wireless Temperature Recorder : Merek : HIOKI, Model : LR 8510, SN : 200936000</v>
      </c>
      <c r="Y156" s="440" t="str">
        <f t="shared" si="320"/>
        <v>Wireless Temperature Recorder : Merek : HIOKI, Model : LR 8510, SN : 200936001</v>
      </c>
      <c r="Z156" s="440" t="str">
        <f t="shared" si="320"/>
        <v>Wireless Temperature Recorder : Merek : HIOKI, Model : LR 8510, SN : 200821397</v>
      </c>
      <c r="AA156" s="440" t="str">
        <f t="shared" si="320"/>
        <v>Wireless Temperature Recorder : Merek : HIOKI, Model : LR 8510, SN : 210411983</v>
      </c>
      <c r="AB156" s="440" t="str">
        <f t="shared" si="320"/>
        <v>Wireless Temperature Recorder : Merek : HIOKI, Model : LR 8510, SN : 210411984</v>
      </c>
      <c r="AC156" s="440" t="str">
        <f t="shared" si="320"/>
        <v>Wireless Temperature Recorder : Merek : HIOKI, Model : LR 8510, SN : 210411985</v>
      </c>
      <c r="AD156" s="440" t="str">
        <f t="shared" si="320"/>
        <v>Wireless Temperature Recorder : Merek : HIOKI, Model : LR 8510, SN : 210746054</v>
      </c>
      <c r="AE156" s="440" t="str">
        <f t="shared" si="320"/>
        <v>Wireless Temperature Recorder : Merek : HIOKI, Model : LR 8510, SN : 210746055</v>
      </c>
      <c r="AF156" s="440" t="str">
        <f t="shared" si="320"/>
        <v>Wireless Temperature Recorder : Merek : HIOKI, Model : LR 8510, SN : 210746056</v>
      </c>
      <c r="AG156" s="440" t="str">
        <f t="shared" si="320"/>
        <v>Wireless Temperature Recorder : Merek : HIOKI, Model : LR 8510, SN : 200821396</v>
      </c>
      <c r="AH156" s="440" t="str">
        <f t="shared" si="320"/>
        <v>Reference Thermometer, Merek : APPA, Model : APPA51, SN : 03002948</v>
      </c>
      <c r="AI156" s="440" t="str">
        <f t="shared" si="320"/>
        <v>Reference Thermometer, Merek : FLUKE, Model : 1524, SN : 1803038</v>
      </c>
      <c r="AJ156" s="440" t="str">
        <f t="shared" si="320"/>
        <v>Reference Thermometer, Merek : FLUKE, Model : 1524, SN : 1803037</v>
      </c>
      <c r="AK156" s="391"/>
      <c r="AL156" s="442">
        <v>5</v>
      </c>
      <c r="AM156" s="442">
        <v>8</v>
      </c>
      <c r="AX156" s="444"/>
      <c r="AY156" s="445"/>
      <c r="AZ156" s="446"/>
      <c r="BD156" s="446">
        <v>5</v>
      </c>
      <c r="BE156" s="446">
        <v>8</v>
      </c>
      <c r="BF156" s="446"/>
      <c r="BG156" s="396">
        <v>5</v>
      </c>
      <c r="BH156" s="443">
        <v>8</v>
      </c>
      <c r="BJ156" s="444"/>
      <c r="BK156" s="445"/>
      <c r="BL156" s="446"/>
      <c r="BP156" s="444"/>
      <c r="BQ156" s="445"/>
      <c r="BR156" s="446"/>
      <c r="BV156" s="444"/>
      <c r="BW156" s="445"/>
      <c r="BX156" s="446"/>
    </row>
    <row r="157" spans="2:96" s="447" customFormat="1" ht="4.2" customHeight="1">
      <c r="B157" s="448"/>
      <c r="C157" s="449"/>
      <c r="D157" s="449"/>
      <c r="E157" s="450"/>
      <c r="F157" s="449"/>
      <c r="G157" s="449"/>
      <c r="H157" s="449"/>
      <c r="I157" s="449"/>
      <c r="J157" s="449"/>
      <c r="K157" s="449"/>
      <c r="L157" s="449"/>
      <c r="M157" s="449"/>
      <c r="N157" s="449"/>
      <c r="O157" s="449"/>
      <c r="P157" s="451"/>
      <c r="Q157" s="451"/>
      <c r="R157" s="451"/>
      <c r="T157" s="448"/>
      <c r="U157" s="449"/>
      <c r="V157" s="449"/>
      <c r="W157" s="449"/>
      <c r="X157" s="449"/>
      <c r="Y157" s="449"/>
      <c r="Z157" s="449"/>
      <c r="AA157" s="449"/>
      <c r="AB157" s="449"/>
      <c r="AC157" s="449"/>
      <c r="AD157" s="449"/>
      <c r="AE157" s="449"/>
      <c r="AF157" s="449"/>
      <c r="AG157" s="452"/>
      <c r="AH157" s="451"/>
      <c r="AI157" s="451"/>
      <c r="AJ157" s="451"/>
      <c r="AN157" s="453"/>
      <c r="AP157" s="454"/>
      <c r="AT157" s="453"/>
      <c r="AV157" s="454"/>
      <c r="AX157" s="455"/>
      <c r="AY157" s="456"/>
      <c r="AZ157" s="457"/>
      <c r="BB157" s="454"/>
      <c r="BD157" s="455"/>
      <c r="BE157" s="455"/>
      <c r="BF157" s="457"/>
      <c r="BH157" s="454"/>
      <c r="BJ157" s="455"/>
      <c r="BK157" s="456"/>
      <c r="BL157" s="457"/>
      <c r="BN157" s="454"/>
      <c r="BP157" s="455"/>
      <c r="BQ157" s="456"/>
      <c r="BR157" s="457"/>
      <c r="BT157" s="454"/>
      <c r="BV157" s="455"/>
      <c r="BW157" s="456"/>
      <c r="BX157" s="457"/>
      <c r="BZ157" s="454"/>
    </row>
    <row r="158" spans="2:96">
      <c r="B158" s="458">
        <v>-20</v>
      </c>
      <c r="C158" s="459">
        <v>-0.77</v>
      </c>
      <c r="D158" s="459">
        <v>-0.62</v>
      </c>
      <c r="E158" s="460">
        <v>-0.57999999999999996</v>
      </c>
      <c r="F158" s="459">
        <v>-1.46</v>
      </c>
      <c r="G158" s="459">
        <v>-0.03</v>
      </c>
      <c r="H158" s="459">
        <v>-0.02</v>
      </c>
      <c r="I158" s="459">
        <v>0.4</v>
      </c>
      <c r="J158" s="459">
        <v>0.33</v>
      </c>
      <c r="K158" s="459">
        <v>0.53</v>
      </c>
      <c r="L158" s="459">
        <v>-1.02</v>
      </c>
      <c r="M158" s="459">
        <v>0.53</v>
      </c>
      <c r="N158" s="459">
        <v>-1.4</v>
      </c>
      <c r="O158" s="459">
        <v>-1.5</v>
      </c>
      <c r="P158" s="459">
        <v>-1.1000000000000001</v>
      </c>
      <c r="Q158" s="459">
        <v>-0.15</v>
      </c>
      <c r="R158" s="459">
        <v>-1.8</v>
      </c>
      <c r="S158" s="391"/>
      <c r="T158" s="458">
        <v>-20</v>
      </c>
      <c r="U158" s="459">
        <v>-0.67</v>
      </c>
      <c r="V158" s="459">
        <v>-0.59</v>
      </c>
      <c r="W158" s="459">
        <v>-0.5</v>
      </c>
      <c r="X158" s="459">
        <v>-1.45</v>
      </c>
      <c r="Y158" s="459">
        <v>0.01</v>
      </c>
      <c r="Z158" s="459">
        <v>0.02</v>
      </c>
      <c r="AA158" s="459">
        <v>0.42</v>
      </c>
      <c r="AB158" s="459">
        <v>0.3</v>
      </c>
      <c r="AC158" s="459">
        <v>0.62</v>
      </c>
      <c r="AD158" s="459">
        <v>-0.97</v>
      </c>
      <c r="AE158" s="459">
        <v>0.62</v>
      </c>
      <c r="AF158" s="459">
        <v>-1.29</v>
      </c>
      <c r="AG158" s="459">
        <v>-1.45</v>
      </c>
      <c r="AH158" s="459">
        <f>P158</f>
        <v>-1.1000000000000001</v>
      </c>
      <c r="AI158" s="459">
        <v>-0.15</v>
      </c>
      <c r="AJ158" s="459">
        <v>-1.8</v>
      </c>
      <c r="AK158" s="391"/>
      <c r="AL158" s="394" t="s">
        <v>329</v>
      </c>
      <c r="AM158" s="394" t="s">
        <v>329</v>
      </c>
      <c r="AX158" s="442"/>
      <c r="AY158" s="442"/>
      <c r="BC158" s="461"/>
      <c r="BD158" s="404">
        <f>T289</f>
        <v>5</v>
      </c>
      <c r="BE158" s="404">
        <f>AL289</f>
        <v>8</v>
      </c>
      <c r="BG158" s="404">
        <f>BD158</f>
        <v>5</v>
      </c>
      <c r="BH158" s="404">
        <f>BE158</f>
        <v>8</v>
      </c>
      <c r="BI158" s="461"/>
      <c r="BJ158" s="442"/>
      <c r="BK158" s="442"/>
      <c r="BO158" s="461"/>
      <c r="BP158" s="442"/>
      <c r="BQ158" s="442"/>
      <c r="BU158" s="461"/>
      <c r="BV158" s="404">
        <f>BG158</f>
        <v>5</v>
      </c>
      <c r="BW158" s="404">
        <f>BH158</f>
        <v>8</v>
      </c>
      <c r="CA158" s="461"/>
      <c r="CB158" s="461"/>
      <c r="CC158" s="461"/>
    </row>
    <row r="159" spans="2:96">
      <c r="B159" s="458">
        <v>-15</v>
      </c>
      <c r="C159" s="459">
        <v>-0.67</v>
      </c>
      <c r="D159" s="459">
        <v>0.52</v>
      </c>
      <c r="E159" s="460">
        <v>-0.48</v>
      </c>
      <c r="F159" s="459">
        <v>-1.26</v>
      </c>
      <c r="G159" s="459">
        <v>0.02</v>
      </c>
      <c r="H159" s="459">
        <v>0.01</v>
      </c>
      <c r="I159" s="459">
        <v>0.42</v>
      </c>
      <c r="J159" s="459">
        <v>0.35</v>
      </c>
      <c r="K159" s="459">
        <v>9.9999999999999995E-7</v>
      </c>
      <c r="L159" s="459">
        <v>-0.76</v>
      </c>
      <c r="M159" s="459">
        <v>9.9999999999999995E-7</v>
      </c>
      <c r="N159" s="459">
        <v>-1.1399999999999999</v>
      </c>
      <c r="O159" s="459">
        <v>-1.24</v>
      </c>
      <c r="P159" s="459">
        <v>-1.1000000000000001</v>
      </c>
      <c r="Q159" s="459">
        <v>-0.1</v>
      </c>
      <c r="R159" s="459">
        <v>-1.52</v>
      </c>
      <c r="S159" s="391"/>
      <c r="T159" s="458">
        <v>-15</v>
      </c>
      <c r="U159" s="459">
        <v>-0.57999999999999996</v>
      </c>
      <c r="V159" s="459">
        <v>-0.51</v>
      </c>
      <c r="W159" s="459">
        <v>-0.41</v>
      </c>
      <c r="X159" s="459">
        <v>-1.23</v>
      </c>
      <c r="Y159" s="459">
        <v>0.05</v>
      </c>
      <c r="Z159" s="459">
        <v>0.05</v>
      </c>
      <c r="AA159" s="459">
        <v>0.44</v>
      </c>
      <c r="AB159" s="459">
        <v>0.33</v>
      </c>
      <c r="AC159" s="459">
        <v>9.9999999999999995E-7</v>
      </c>
      <c r="AD159" s="459">
        <v>-0.72</v>
      </c>
      <c r="AE159" s="459">
        <v>9.9999999999999995E-7</v>
      </c>
      <c r="AF159" s="459">
        <v>-1.04</v>
      </c>
      <c r="AG159" s="459">
        <v>-1.18</v>
      </c>
      <c r="AH159" s="459">
        <f t="shared" ref="AH159:AH170" si="321">P159</f>
        <v>-1.1000000000000001</v>
      </c>
      <c r="AI159" s="459">
        <v>-0.1</v>
      </c>
      <c r="AJ159" s="459">
        <v>-1.52</v>
      </c>
      <c r="AK159" s="391"/>
      <c r="AL159" s="404">
        <f>T289</f>
        <v>5</v>
      </c>
      <c r="AM159" s="404">
        <f>AL289</f>
        <v>8</v>
      </c>
      <c r="AX159" s="442"/>
      <c r="AY159" s="442"/>
      <c r="BC159" s="461"/>
      <c r="BD159" s="655">
        <f>IF($BD$158&lt;=$BD$21,$BD$20,IF($BD$158&lt;=$BD$22,$BD$21,IF($BD$158&lt;=$BD$23,$BD$22,IF($BD$158&lt;=$BD$24,$BD$23,IF($BD$158&lt;=$BD$25,$BD$24)))))</f>
        <v>2</v>
      </c>
      <c r="BE159" s="655">
        <f>IF($BE$158&lt;=$BD$21,$BD$20,IF($BE$158&lt;=$BD$22,$BD$21,IF($BE$158&lt;=$BD$23,$BD$22,IF($BE$158&lt;=$BD$24,$BD$23,IF($BE$158&lt;=$BD$25,$BD$24)))))</f>
        <v>2</v>
      </c>
      <c r="BG159" s="655">
        <f>IF($BG$158&lt;=$BD$126,$BD$125,IF($BG$158&lt;=$BD$127,$BD$126,IF($BG$158&lt;=$BD$128,$BD$127,IF($BG$158&lt;=$BD$129,$BD$128,IF($BG$158&lt;=$BD$130,$BD$129)))))</f>
        <v>2</v>
      </c>
      <c r="BH159" s="655">
        <f>IF($BH$158&lt;=$BD$126,$BD$125,IF($BH$158&lt;=$BD$127,$BD$126,IF($BH$158&lt;=$BD$128,$BD$127,IF($BH$158&lt;=$BD$129,$BD$128,IF($BH$158&lt;=$BD$130,$BD$129)))))</f>
        <v>2</v>
      </c>
      <c r="BI159" s="461"/>
      <c r="BJ159" s="442"/>
      <c r="BK159" s="442"/>
      <c r="BO159" s="461"/>
      <c r="BP159" s="442"/>
      <c r="BQ159" s="442"/>
      <c r="BU159" s="461"/>
      <c r="BV159" s="660">
        <f>IF($BV$158&lt;=$BV$111,$BV$110,IF($BV$158&lt;=$BV$112,$BV$111,IF($BV$158&lt;=$BV$113,$BV$112,IF($BV$158&lt;=$BV$114,$BV$113,IF($BV$158&lt;=$BV$115,$BV$114)))))</f>
        <v>2</v>
      </c>
      <c r="BW159" s="660">
        <f>IF($BW$158&lt;=$BV$111,$BV$110,IF($BW$158&lt;=$BV$112,$BV$111,IF($BW$158&lt;=$BV$113,$BV$112,IF($BW$158&lt;=$BV$114,$BV$113,IF($BW$158&lt;=$BV$115,$BV$114)))))</f>
        <v>2</v>
      </c>
      <c r="CA159" s="461"/>
      <c r="CB159" s="461"/>
      <c r="CC159" s="461"/>
    </row>
    <row r="160" spans="2:96">
      <c r="B160" s="458">
        <v>-10</v>
      </c>
      <c r="C160" s="459">
        <v>-0.57999999999999996</v>
      </c>
      <c r="D160" s="459">
        <v>-0.43</v>
      </c>
      <c r="E160" s="460">
        <v>-0.4</v>
      </c>
      <c r="F160" s="459">
        <v>-1.04</v>
      </c>
      <c r="G160" s="459">
        <v>0.05</v>
      </c>
      <c r="H160" s="459">
        <v>0.04</v>
      </c>
      <c r="I160" s="459">
        <v>0.43</v>
      </c>
      <c r="J160" s="459">
        <v>0.36</v>
      </c>
      <c r="K160" s="459">
        <v>0.5</v>
      </c>
      <c r="L160" s="459">
        <v>-0.56999999999999995</v>
      </c>
      <c r="M160" s="459">
        <v>0.5</v>
      </c>
      <c r="N160" s="459">
        <v>-0.91</v>
      </c>
      <c r="O160" s="459">
        <v>-1.01</v>
      </c>
      <c r="P160" s="459">
        <v>-1.2</v>
      </c>
      <c r="Q160" s="459">
        <v>-0.05</v>
      </c>
      <c r="R160" s="459">
        <v>-1.26</v>
      </c>
      <c r="S160" s="391"/>
      <c r="T160" s="458">
        <v>-10</v>
      </c>
      <c r="U160" s="459">
        <v>-0.5</v>
      </c>
      <c r="V160" s="459">
        <v>-0.42</v>
      </c>
      <c r="W160" s="459">
        <v>-0.34</v>
      </c>
      <c r="X160" s="459">
        <v>-0.99</v>
      </c>
      <c r="Y160" s="459">
        <v>0.08</v>
      </c>
      <c r="Z160" s="459">
        <v>0.08</v>
      </c>
      <c r="AA160" s="459">
        <v>0.44</v>
      </c>
      <c r="AB160" s="459">
        <v>0.35</v>
      </c>
      <c r="AC160" s="459">
        <v>0.59</v>
      </c>
      <c r="AD160" s="459">
        <v>-0.52</v>
      </c>
      <c r="AE160" s="459">
        <v>0.59</v>
      </c>
      <c r="AF160" s="459">
        <v>-0.83</v>
      </c>
      <c r="AG160" s="459">
        <v>-0.94</v>
      </c>
      <c r="AH160" s="459">
        <f t="shared" si="321"/>
        <v>-1.2</v>
      </c>
      <c r="AI160" s="459">
        <v>-0.05</v>
      </c>
      <c r="AJ160" s="459">
        <v>-1.26</v>
      </c>
      <c r="AK160" s="391"/>
      <c r="AL160" s="655">
        <f>IF($AL$159&lt;=$AF$141,$AF$140,IF($AL$159&lt;=$AF$142,$AF$141,IF($AL$159&lt;=$AF$143,$AF$142,IF($AL$159&lt;=$AF$144,$AF$143,IF($AL$159&lt;=$AF$145,$AF$144)))))</f>
        <v>2</v>
      </c>
      <c r="AM160" s="655">
        <f>IF($AM$159&lt;=$AF$141,$AF$140,IF($AM$159&lt;=$AF$142,$AF$141,IF($AM$159&lt;=$AF$143,$AF$142,IF($AM$159&lt;=$AF$144,$AF$143,IF($AM$159&lt;=$AF$145,$AF$144)))))</f>
        <v>2</v>
      </c>
      <c r="AX160" s="442"/>
      <c r="AY160" s="442"/>
      <c r="BD160" s="656"/>
      <c r="BE160" s="656"/>
      <c r="BG160" s="656"/>
      <c r="BH160" s="656"/>
      <c r="BJ160" s="442"/>
      <c r="BK160" s="442"/>
      <c r="BP160" s="442"/>
      <c r="BQ160" s="442"/>
      <c r="BV160" s="656"/>
      <c r="BW160" s="656"/>
    </row>
    <row r="161" spans="1:97">
      <c r="B161" s="458">
        <v>9.9999999999999995E-7</v>
      </c>
      <c r="C161" s="459">
        <v>-0.39</v>
      </c>
      <c r="D161" s="459">
        <v>-0.26</v>
      </c>
      <c r="E161" s="460">
        <v>-0.26</v>
      </c>
      <c r="F161" s="459">
        <v>-0.38</v>
      </c>
      <c r="G161" s="459">
        <v>0.02</v>
      </c>
      <c r="H161" s="459">
        <v>0.02</v>
      </c>
      <c r="I161" s="459">
        <v>0.38</v>
      </c>
      <c r="J161" s="459">
        <v>0.34</v>
      </c>
      <c r="K161" s="459">
        <v>0.48</v>
      </c>
      <c r="L161" s="459">
        <v>-0.31</v>
      </c>
      <c r="M161" s="459">
        <v>0.48</v>
      </c>
      <c r="N161" s="459">
        <v>-0.63</v>
      </c>
      <c r="O161" s="459">
        <v>-0.6</v>
      </c>
      <c r="P161" s="459">
        <v>-1.4</v>
      </c>
      <c r="Q161" s="459">
        <v>0.03</v>
      </c>
      <c r="R161" s="459">
        <v>-0.79</v>
      </c>
      <c r="S161" s="391"/>
      <c r="T161" s="458">
        <v>9.9999999999999995E-7</v>
      </c>
      <c r="U161" s="459">
        <v>-0.34</v>
      </c>
      <c r="V161" s="459">
        <v>-0.26</v>
      </c>
      <c r="W161" s="459">
        <v>-0.21</v>
      </c>
      <c r="X161" s="459">
        <v>-0.34</v>
      </c>
      <c r="Y161" s="459">
        <v>0.05</v>
      </c>
      <c r="Z161" s="459">
        <v>0.06</v>
      </c>
      <c r="AA161" s="459">
        <v>0.38</v>
      </c>
      <c r="AB161" s="459">
        <v>0.35</v>
      </c>
      <c r="AC161" s="459">
        <v>0.56000000000000005</v>
      </c>
      <c r="AD161" s="459">
        <v>-0.28000000000000003</v>
      </c>
      <c r="AE161" s="459">
        <v>0.56000000000000005</v>
      </c>
      <c r="AF161" s="459">
        <v>-0.56999999999999995</v>
      </c>
      <c r="AG161" s="459">
        <v>-0.56000000000000005</v>
      </c>
      <c r="AH161" s="459">
        <f t="shared" si="321"/>
        <v>-1.4</v>
      </c>
      <c r="AI161" s="459">
        <v>0.03</v>
      </c>
      <c r="AJ161" s="459">
        <v>-0.79</v>
      </c>
      <c r="AK161" s="391"/>
      <c r="AL161" s="656"/>
      <c r="AM161" s="656"/>
      <c r="AX161" s="442"/>
      <c r="AY161" s="442"/>
      <c r="BD161" s="655">
        <f>IF($BD$158&lt;=$BD$20,$BD$20,IF($BD$158&lt;=$BD$21,$BD$21,IF($BD$158&lt;=$BD$22,$BD$22,IF($BD$158&lt;=$BD$23,$BD$23,IF($BD$158&lt;=$BD$24,$BD$24,IF($BD$158&lt;=$BD$25,$BD$25))))))</f>
        <v>8</v>
      </c>
      <c r="BE161" s="655">
        <f>IF($BE$158&lt;=$BD$20,$BD$20,IF($BE$158&lt;=$BD$21,$BD$21,IF($BE$158&lt;=$BD$22,$BD$22,IF($BE$158&lt;=$BD$23,$BD$23,IF($BE$158&lt;=$BD$24,$BD$24,IF($BE$158&lt;=$BD$25,$BD$25))))))</f>
        <v>8</v>
      </c>
      <c r="BG161" s="655">
        <f>IF($BG$158&lt;=$BD$125,$BD$125,IF($BG$158&lt;=$BD$126,$BD$126,IF($BG$158&lt;=$BD$127,$BD$127,IF($BG$158&lt;=$BD$128,$BD$128,IF($BG$158&lt;=$BD$129,$BD$129,IF($BG$158&lt;=$BD$130,$BD$130))))))</f>
        <v>8</v>
      </c>
      <c r="BH161" s="655">
        <f>IF($BH$158&lt;=$BD$125,$BD$125,IF($BH$158&lt;=$BD$126,$BD$126,IF($BH$158&lt;=$BD$127,$BD$127,IF($BH$158&lt;=$BD$128,$BD$128,IF($BH$158&lt;=$BD$129,$BD$129,IF($BH$158&lt;=$BD$130,$BD$130))))))</f>
        <v>8</v>
      </c>
      <c r="BJ161" s="442"/>
      <c r="BK161" s="442"/>
      <c r="BP161" s="442"/>
      <c r="BQ161" s="442"/>
      <c r="BV161" s="655">
        <f>IF($BV$158&lt;=$BP$110,$BP$110,IF($BV$158&lt;=$BP$111,$BP$111,IF($BV$158&lt;=$BP$112,$BP$112,IF($BV$158&lt;=$BP$113,$BP$113,IF($BV$158&lt;=$BP$114,$BP$114,IF($BV$158&lt;=$BP$115,$BP$115))))))</f>
        <v>8</v>
      </c>
      <c r="BW161" s="655">
        <f>IF($BW$158&lt;=$BP$110,$BP$110,IF($BW$158&lt;=$BP$111,$BP$111,IF($BW$158&lt;=$BP$112,$BP$112,IF($BW$158&lt;=$BP$113,$BP$113,IF($BW$158&lt;=$BP$114,$BP$114,IF($BW$158&lt;=$BP$115,$BP$115))))))</f>
        <v>8</v>
      </c>
    </row>
    <row r="162" spans="1:97">
      <c r="B162" s="458">
        <v>2</v>
      </c>
      <c r="C162" s="459">
        <v>-0.35</v>
      </c>
      <c r="D162" s="459">
        <v>-0.23</v>
      </c>
      <c r="E162" s="460">
        <v>-0.24</v>
      </c>
      <c r="F162" s="459">
        <v>-0.59</v>
      </c>
      <c r="G162" s="459">
        <v>0.05</v>
      </c>
      <c r="H162" s="459">
        <v>0.05</v>
      </c>
      <c r="I162" s="459">
        <v>0.41</v>
      </c>
      <c r="J162" s="459">
        <v>0.37</v>
      </c>
      <c r="K162" s="459">
        <v>0.48</v>
      </c>
      <c r="L162" s="459">
        <v>-0.43</v>
      </c>
      <c r="M162" s="459">
        <v>0.48</v>
      </c>
      <c r="N162" s="459">
        <v>-0.67</v>
      </c>
      <c r="O162" s="459">
        <v>-0.65</v>
      </c>
      <c r="P162" s="459">
        <v>0</v>
      </c>
      <c r="Q162" s="459">
        <v>0.04</v>
      </c>
      <c r="R162" s="459">
        <v>-0.7</v>
      </c>
      <c r="S162" s="391"/>
      <c r="T162" s="458">
        <v>2</v>
      </c>
      <c r="U162" s="459">
        <v>-0.31</v>
      </c>
      <c r="V162" s="459">
        <v>-0.23</v>
      </c>
      <c r="W162" s="459">
        <v>-0.19</v>
      </c>
      <c r="X162" s="459">
        <v>-0.62</v>
      </c>
      <c r="Y162" s="459">
        <v>7.0000000000000007E-2</v>
      </c>
      <c r="Z162" s="459">
        <v>0.08</v>
      </c>
      <c r="AA162" s="459">
        <v>0.41</v>
      </c>
      <c r="AB162" s="459">
        <v>0.36</v>
      </c>
      <c r="AC162" s="459">
        <v>0.55000000000000004</v>
      </c>
      <c r="AD162" s="459">
        <v>-0.41</v>
      </c>
      <c r="AE162" s="459">
        <v>0.55000000000000004</v>
      </c>
      <c r="AF162" s="459">
        <v>-0.57999999999999996</v>
      </c>
      <c r="AG162" s="459">
        <v>-0.64</v>
      </c>
      <c r="AH162" s="459">
        <f t="shared" si="321"/>
        <v>0</v>
      </c>
      <c r="AI162" s="459">
        <v>0.04</v>
      </c>
      <c r="AJ162" s="459">
        <v>-0.7</v>
      </c>
      <c r="AK162" s="391"/>
      <c r="AL162" s="655">
        <f>IF($AL$159&lt;=$AF$140,$AF$140,IF($AL$159&lt;=$AF$141,$AF$141,IF($AL$159&lt;=$AF$142,$AF$142,IF($AL$159&lt;=$AF$143,$AF$143,IF($AL$159&lt;=$AF$144,$AF$144,IF($AL$159&lt;=$AF$145,$AF$145))))))</f>
        <v>8</v>
      </c>
      <c r="AM162" s="655">
        <f>IF($AM$159&lt;=$AF$140,$AF$140,IF($AM$159&lt;=$AF$141,$AF$141,IF($AM$159&lt;=$AF$142,$AF$142,IF($AM$159&lt;=$AF$143,$AF$143,IF($AM$159&lt;=$AF$144,$AF$144,IF($AM$159&lt;=$AF$145,$AF$145))))))</f>
        <v>8</v>
      </c>
      <c r="AX162" s="442"/>
      <c r="AY162" s="442"/>
      <c r="BD162" s="656"/>
      <c r="BE162" s="656"/>
      <c r="BG162" s="656"/>
      <c r="BH162" s="656"/>
      <c r="BJ162" s="442"/>
      <c r="BK162" s="442"/>
      <c r="BP162" s="442"/>
      <c r="BQ162" s="442"/>
      <c r="BV162" s="656"/>
      <c r="BW162" s="656"/>
    </row>
    <row r="163" spans="1:97">
      <c r="B163" s="458">
        <v>8</v>
      </c>
      <c r="C163" s="459">
        <v>-0.25</v>
      </c>
      <c r="D163" s="459">
        <v>-0.13</v>
      </c>
      <c r="E163" s="460">
        <v>-0.17</v>
      </c>
      <c r="F163" s="459">
        <v>-0.33</v>
      </c>
      <c r="G163" s="459">
        <v>0.05</v>
      </c>
      <c r="H163" s="459">
        <v>0.04</v>
      </c>
      <c r="I163" s="459">
        <v>0.41</v>
      </c>
      <c r="J163" s="459">
        <v>0.36</v>
      </c>
      <c r="K163" s="459">
        <v>0.46</v>
      </c>
      <c r="L163" s="459">
        <v>-0.16</v>
      </c>
      <c r="M163" s="459">
        <v>0.46</v>
      </c>
      <c r="N163" s="459">
        <v>-0.4</v>
      </c>
      <c r="O163" s="459">
        <v>-0.38</v>
      </c>
      <c r="P163" s="459">
        <v>0</v>
      </c>
      <c r="Q163" s="459">
        <v>0.08</v>
      </c>
      <c r="R163" s="459">
        <v>-0.46</v>
      </c>
      <c r="S163" s="391"/>
      <c r="T163" s="458">
        <v>8</v>
      </c>
      <c r="U163" s="459">
        <v>-0.22</v>
      </c>
      <c r="V163" s="459">
        <v>-0.14000000000000001</v>
      </c>
      <c r="W163" s="459">
        <v>-0.13</v>
      </c>
      <c r="X163" s="459">
        <v>-0.37</v>
      </c>
      <c r="Y163" s="459">
        <v>7.0000000000000007E-2</v>
      </c>
      <c r="Z163" s="459">
        <v>0.08</v>
      </c>
      <c r="AA163" s="459">
        <v>0.41</v>
      </c>
      <c r="AB163" s="459">
        <v>0.35</v>
      </c>
      <c r="AC163" s="459">
        <v>0.53</v>
      </c>
      <c r="AD163" s="459">
        <v>-0.13</v>
      </c>
      <c r="AE163" s="459">
        <v>0.53</v>
      </c>
      <c r="AF163" s="459">
        <v>-0.34</v>
      </c>
      <c r="AG163" s="459">
        <v>-0.37</v>
      </c>
      <c r="AH163" s="459">
        <f t="shared" si="321"/>
        <v>0</v>
      </c>
      <c r="AI163" s="459">
        <v>0.08</v>
      </c>
      <c r="AJ163" s="459">
        <v>-0.46</v>
      </c>
      <c r="AK163" s="391"/>
      <c r="AL163" s="656"/>
      <c r="AM163" s="656"/>
      <c r="AX163" s="442"/>
      <c r="AY163" s="442"/>
      <c r="BD163" s="657">
        <f>VLOOKUP($BD$159,$BD$20:$BG$25,4)</f>
        <v>9.3333333333333338E-2</v>
      </c>
      <c r="BE163" s="657">
        <f>VLOOKUP($BE$159,$BD$20:$BG$25,4)</f>
        <v>9.3333333333333338E-2</v>
      </c>
      <c r="BG163" s="657">
        <f>VLOOKUP($BG$159,$BD$125:$BG$130,4)</f>
        <v>9.3333333333333338E-2</v>
      </c>
      <c r="BH163" s="657">
        <f>VLOOKUP($BH$159,$BD$125:$BG$130,4)</f>
        <v>9.3333333333333338E-2</v>
      </c>
      <c r="BJ163" s="442"/>
      <c r="BK163" s="442"/>
      <c r="BP163" s="442"/>
      <c r="BQ163" s="442"/>
      <c r="BV163" s="657">
        <f>VLOOKUP($BV$159,$BV$110:$BY$115,4)</f>
        <v>9.3333333333333338E-2</v>
      </c>
      <c r="BW163" s="657">
        <f>VLOOKUP($BW$159,$BV$110:$BY$115,4)</f>
        <v>9.3333333333333338E-2</v>
      </c>
    </row>
    <row r="164" spans="1:97">
      <c r="B164" s="458">
        <v>37</v>
      </c>
      <c r="C164" s="459">
        <v>0.2</v>
      </c>
      <c r="D164" s="459">
        <v>0.21</v>
      </c>
      <c r="E164" s="460">
        <v>0</v>
      </c>
      <c r="F164" s="459">
        <v>0.5</v>
      </c>
      <c r="G164" s="459">
        <v>0.05</v>
      </c>
      <c r="H164" s="459">
        <v>0.05</v>
      </c>
      <c r="I164" s="459">
        <v>0.41</v>
      </c>
      <c r="J164" s="459">
        <v>0.33</v>
      </c>
      <c r="K164" s="459">
        <v>0.38</v>
      </c>
      <c r="L164" s="459">
        <v>0.65</v>
      </c>
      <c r="M164" s="459">
        <v>0.38</v>
      </c>
      <c r="N164" s="459">
        <v>0.45</v>
      </c>
      <c r="O164" s="459">
        <v>0.52</v>
      </c>
      <c r="P164" s="459">
        <v>0</v>
      </c>
      <c r="Q164" s="459">
        <v>0.23</v>
      </c>
      <c r="R164" s="459">
        <v>0.42</v>
      </c>
      <c r="S164" s="391"/>
      <c r="T164" s="458">
        <v>37</v>
      </c>
      <c r="U164" s="459">
        <v>0.19</v>
      </c>
      <c r="V164" s="459">
        <v>0.21</v>
      </c>
      <c r="W164" s="459">
        <v>0.01</v>
      </c>
      <c r="X164" s="459">
        <v>0.49</v>
      </c>
      <c r="Y164" s="459">
        <v>0.08</v>
      </c>
      <c r="Z164" s="459">
        <v>0.09</v>
      </c>
      <c r="AA164" s="459">
        <v>0.42</v>
      </c>
      <c r="AB164" s="459">
        <v>0.33</v>
      </c>
      <c r="AC164" s="459">
        <v>0.43</v>
      </c>
      <c r="AD164" s="459">
        <v>0.65</v>
      </c>
      <c r="AE164" s="459">
        <v>0.43</v>
      </c>
      <c r="AF164" s="459">
        <v>0.41</v>
      </c>
      <c r="AG164" s="459">
        <v>0.51</v>
      </c>
      <c r="AH164" s="459">
        <f t="shared" si="321"/>
        <v>0</v>
      </c>
      <c r="AI164" s="459">
        <v>0.23</v>
      </c>
      <c r="AJ164" s="459">
        <v>0.42</v>
      </c>
      <c r="AK164" s="391"/>
      <c r="AL164" s="657">
        <f>VLOOKUP($AL$160,$AF$140:$AI$145,4)</f>
        <v>9.3333333333333338E-2</v>
      </c>
      <c r="AM164" s="657">
        <f>VLOOKUP($AM$160,$AF$140:$AI$145,4)</f>
        <v>9.3333333333333338E-2</v>
      </c>
      <c r="AX164" s="442"/>
      <c r="AY164" s="442"/>
      <c r="BD164" s="656"/>
      <c r="BE164" s="656"/>
      <c r="BG164" s="656"/>
      <c r="BH164" s="656"/>
      <c r="BJ164" s="442"/>
      <c r="BK164" s="442"/>
      <c r="BP164" s="442"/>
      <c r="BQ164" s="442"/>
      <c r="BV164" s="656"/>
      <c r="BW164" s="656"/>
    </row>
    <row r="165" spans="1:97">
      <c r="B165" s="458">
        <v>44</v>
      </c>
      <c r="C165" s="459">
        <v>0.28999999999999998</v>
      </c>
      <c r="D165" s="459">
        <v>0.28000000000000003</v>
      </c>
      <c r="E165" s="460">
        <v>0.02</v>
      </c>
      <c r="F165" s="459">
        <v>0.62</v>
      </c>
      <c r="G165" s="459">
        <v>0.06</v>
      </c>
      <c r="H165" s="459">
        <v>0.06</v>
      </c>
      <c r="I165" s="459">
        <v>0.41</v>
      </c>
      <c r="J165" s="459">
        <v>0.33</v>
      </c>
      <c r="K165" s="459">
        <v>0.36</v>
      </c>
      <c r="L165" s="459">
        <v>0.75</v>
      </c>
      <c r="M165" s="459">
        <v>0.36</v>
      </c>
      <c r="N165" s="459">
        <v>0.56000000000000005</v>
      </c>
      <c r="O165" s="459">
        <v>0.65</v>
      </c>
      <c r="P165" s="459">
        <v>0</v>
      </c>
      <c r="Q165" s="459">
        <v>0.25</v>
      </c>
      <c r="R165" s="459">
        <v>0.56999999999999995</v>
      </c>
      <c r="S165" s="391"/>
      <c r="T165" s="458">
        <v>44</v>
      </c>
      <c r="U165" s="459">
        <v>0.28000000000000003</v>
      </c>
      <c r="V165" s="459">
        <v>0.27</v>
      </c>
      <c r="W165" s="459">
        <v>0.02</v>
      </c>
      <c r="X165" s="459">
        <v>0.61</v>
      </c>
      <c r="Y165" s="459">
        <v>0.08</v>
      </c>
      <c r="Z165" s="459">
        <v>0.1</v>
      </c>
      <c r="AA165" s="459">
        <v>0.42</v>
      </c>
      <c r="AB165" s="459">
        <v>0.33</v>
      </c>
      <c r="AC165" s="459">
        <v>0.41</v>
      </c>
      <c r="AD165" s="459">
        <v>0.72</v>
      </c>
      <c r="AE165" s="459">
        <v>0.41</v>
      </c>
      <c r="AF165" s="459">
        <v>0.51</v>
      </c>
      <c r="AG165" s="459">
        <v>0.63</v>
      </c>
      <c r="AH165" s="459">
        <f t="shared" si="321"/>
        <v>0</v>
      </c>
      <c r="AI165" s="459">
        <v>0.25</v>
      </c>
      <c r="AJ165" s="459">
        <v>0.56999999999999995</v>
      </c>
      <c r="AK165" s="391"/>
      <c r="AL165" s="656"/>
      <c r="AM165" s="656"/>
      <c r="AX165" s="442"/>
      <c r="AY165" s="442"/>
      <c r="BD165" s="657">
        <f>VLOOKUP($BD$158,$BD$20:$BG$25,4)</f>
        <v>9.3333333333333338E-2</v>
      </c>
      <c r="BE165" s="657">
        <f>VLOOKUP($BE$158,$BD$20:$BG$25,4)</f>
        <v>9.3333333333333338E-2</v>
      </c>
      <c r="BG165" s="657">
        <f>VLOOKUP($BG$158,$BD$125:$BG$130,4)</f>
        <v>9.3333333333333338E-2</v>
      </c>
      <c r="BH165" s="657">
        <f>VLOOKUP($BH$158,$BD$125:$BG$130,4)</f>
        <v>9.3333333333333338E-2</v>
      </c>
      <c r="BJ165" s="442"/>
      <c r="BK165" s="442"/>
      <c r="BP165" s="442"/>
      <c r="BQ165" s="442"/>
      <c r="BV165" s="657">
        <f>VLOOKUP($BV$158,$BV$110:$BY$115,4)</f>
        <v>9.3333333333333338E-2</v>
      </c>
      <c r="BW165" s="657">
        <f>VLOOKUP($BW$158,$BV$110:$BY$115,4)</f>
        <v>9.3333333333333338E-2</v>
      </c>
    </row>
    <row r="166" spans="1:97">
      <c r="B166" s="458">
        <v>50</v>
      </c>
      <c r="C166" s="459">
        <v>0.37</v>
      </c>
      <c r="D166" s="459">
        <v>0.33</v>
      </c>
      <c r="E166" s="460">
        <v>0.02</v>
      </c>
      <c r="F166" s="459">
        <v>0.65</v>
      </c>
      <c r="G166" s="459">
        <v>7.0000000000000007E-2</v>
      </c>
      <c r="H166" s="459">
        <v>7.0000000000000007E-2</v>
      </c>
      <c r="I166" s="459">
        <v>0.41</v>
      </c>
      <c r="J166" s="459">
        <v>0.33</v>
      </c>
      <c r="K166" s="459">
        <v>0.34</v>
      </c>
      <c r="L166" s="459">
        <v>0.8</v>
      </c>
      <c r="M166" s="459">
        <v>0.34</v>
      </c>
      <c r="N166" s="459">
        <v>0.64</v>
      </c>
      <c r="O166" s="459">
        <v>0.74</v>
      </c>
      <c r="P166" s="459">
        <v>-1</v>
      </c>
      <c r="Q166" s="459">
        <v>0.27</v>
      </c>
      <c r="R166" s="459">
        <v>0.67</v>
      </c>
      <c r="S166" s="391"/>
      <c r="T166" s="458">
        <v>50</v>
      </c>
      <c r="U166" s="459">
        <v>0.35</v>
      </c>
      <c r="V166" s="459">
        <v>0.33</v>
      </c>
      <c r="W166" s="459">
        <v>0.01</v>
      </c>
      <c r="X166" s="459">
        <v>0.69</v>
      </c>
      <c r="Y166" s="459">
        <v>0.09</v>
      </c>
      <c r="Z166" s="459">
        <v>0.11</v>
      </c>
      <c r="AA166" s="459">
        <v>0.43</v>
      </c>
      <c r="AB166" s="459">
        <v>0.34</v>
      </c>
      <c r="AC166" s="459">
        <v>0.39</v>
      </c>
      <c r="AD166" s="459">
        <v>0.76</v>
      </c>
      <c r="AE166" s="459">
        <v>0.39</v>
      </c>
      <c r="AF166" s="459">
        <v>0.56999999999999995</v>
      </c>
      <c r="AG166" s="459">
        <v>0.71</v>
      </c>
      <c r="AH166" s="459">
        <f t="shared" si="321"/>
        <v>-1</v>
      </c>
      <c r="AI166" s="459">
        <v>0.27</v>
      </c>
      <c r="AJ166" s="459">
        <v>0.67</v>
      </c>
      <c r="AK166" s="391"/>
      <c r="AL166" s="657">
        <f>VLOOKUP($AL$159,$AF$140:$AI$145,4)</f>
        <v>9.3333333333333338E-2</v>
      </c>
      <c r="AM166" s="657">
        <f>VLOOKUP($AM$159,$AF$140:$AI$145,4)</f>
        <v>9.3333333333333338E-2</v>
      </c>
      <c r="AX166" s="442"/>
      <c r="AY166" s="442"/>
      <c r="BD166" s="658"/>
      <c r="BE166" s="658"/>
      <c r="BG166" s="658"/>
      <c r="BH166" s="658"/>
      <c r="BJ166" s="442"/>
      <c r="BK166" s="442"/>
      <c r="BP166" s="442"/>
      <c r="BQ166" s="442"/>
      <c r="BV166" s="658"/>
      <c r="BW166" s="658"/>
    </row>
    <row r="167" spans="1:97">
      <c r="B167" s="458">
        <v>100</v>
      </c>
      <c r="C167" s="459">
        <v>0.76</v>
      </c>
      <c r="D167" s="459">
        <v>0.55000000000000004</v>
      </c>
      <c r="E167" s="460">
        <v>-0.1</v>
      </c>
      <c r="F167" s="459">
        <v>0.65</v>
      </c>
      <c r="G167" s="459">
        <v>0.18</v>
      </c>
      <c r="H167" s="459">
        <v>0.19</v>
      </c>
      <c r="I167" s="459">
        <v>0.49</v>
      </c>
      <c r="J167" s="459">
        <v>0.41</v>
      </c>
      <c r="K167" s="459">
        <v>0.17</v>
      </c>
      <c r="L167" s="459">
        <v>0.53</v>
      </c>
      <c r="M167" s="459">
        <v>0.17</v>
      </c>
      <c r="N167" s="459">
        <v>0.56999999999999995</v>
      </c>
      <c r="O167" s="459">
        <v>0.71</v>
      </c>
      <c r="P167" s="459">
        <v>-1.6</v>
      </c>
      <c r="Q167" s="459">
        <v>0.31</v>
      </c>
      <c r="R167" s="459">
        <v>0.95</v>
      </c>
      <c r="S167" s="391"/>
      <c r="T167" s="458">
        <v>100</v>
      </c>
      <c r="U167" s="459">
        <v>0.74</v>
      </c>
      <c r="V167" s="459">
        <v>0.59</v>
      </c>
      <c r="W167" s="459">
        <v>-0.14000000000000001</v>
      </c>
      <c r="X167" s="459">
        <v>0.67</v>
      </c>
      <c r="Y167" s="459">
        <v>0.21</v>
      </c>
      <c r="Z167" s="459">
        <v>0.22</v>
      </c>
      <c r="AA167" s="459">
        <v>0.54</v>
      </c>
      <c r="AB167" s="459">
        <v>0.45</v>
      </c>
      <c r="AC167" s="459">
        <v>0.19</v>
      </c>
      <c r="AD167" s="459">
        <v>0.26</v>
      </c>
      <c r="AE167" s="459">
        <v>0.19</v>
      </c>
      <c r="AF167" s="459">
        <v>0.39</v>
      </c>
      <c r="AG167" s="459">
        <v>0.64</v>
      </c>
      <c r="AH167" s="459">
        <f t="shared" si="321"/>
        <v>-1.6</v>
      </c>
      <c r="AI167" s="459">
        <v>0.31</v>
      </c>
      <c r="AJ167" s="459">
        <v>0.95</v>
      </c>
      <c r="AK167" s="391"/>
      <c r="AL167" s="658"/>
      <c r="AM167" s="658"/>
      <c r="AX167" s="442"/>
      <c r="AY167" s="442"/>
      <c r="BD167" s="659">
        <f>((($BD$165-$BD$163)/($BD$161-$BD$159))*($BD$158-$BD$159))+$BD$163</f>
        <v>9.3333333333333338E-2</v>
      </c>
      <c r="BE167" s="659">
        <f>((($BE$165-$BE$163)/($BE$161-$BE$159))*($BE$158-$BE$159))+$BE$163</f>
        <v>9.3333333333333338E-2</v>
      </c>
      <c r="BG167" s="659">
        <f>((($BG$165-$BG$163)/($BG$161-$BG$159))*($BG$158-$BG$159))+$BG$163</f>
        <v>9.3333333333333338E-2</v>
      </c>
      <c r="BH167" s="659">
        <f>((($BH$165-$BH$163)/($BH$161-$BH$159))*($BH$158-$BH$159))+$BH$163</f>
        <v>9.3333333333333338E-2</v>
      </c>
      <c r="BJ167" s="442"/>
      <c r="BK167" s="442"/>
      <c r="BP167" s="442"/>
      <c r="BQ167" s="442"/>
      <c r="BV167" s="659">
        <f>((($BV$165-$BV$163)/($BV$161-$BV$159))*($BV$158-$BV$159))+$BV$163</f>
        <v>9.3333333333333338E-2</v>
      </c>
      <c r="BW167" s="659">
        <f>((($BW$165-$BW$163)/($BW$161-$BW$159))*($BW$158-$BW$159))+$BW$163</f>
        <v>9.3333333333333338E-2</v>
      </c>
      <c r="CC167" s="462"/>
    </row>
    <row r="168" spans="1:97">
      <c r="B168" s="458">
        <v>150</v>
      </c>
      <c r="C168" s="459">
        <v>0.73</v>
      </c>
      <c r="D168" s="459">
        <v>0.53</v>
      </c>
      <c r="E168" s="460">
        <v>-0.22</v>
      </c>
      <c r="F168" s="459">
        <v>-7.0000000000000007E-2</v>
      </c>
      <c r="G168" s="459">
        <v>0.37</v>
      </c>
      <c r="H168" s="459">
        <v>0.39</v>
      </c>
      <c r="I168" s="459">
        <v>0.65</v>
      </c>
      <c r="J168" s="459">
        <v>0.57999999999999996</v>
      </c>
      <c r="K168" s="459">
        <v>-0.04</v>
      </c>
      <c r="L168" s="459">
        <v>-0.15</v>
      </c>
      <c r="M168" s="459">
        <v>-0.04</v>
      </c>
      <c r="N168" s="459">
        <v>-0.12</v>
      </c>
      <c r="O168" s="459">
        <v>-0.17</v>
      </c>
      <c r="P168" s="459">
        <v>-1.7</v>
      </c>
      <c r="Q168" s="459">
        <v>0.3</v>
      </c>
      <c r="R168" s="459">
        <v>0.49</v>
      </c>
      <c r="S168" s="391"/>
      <c r="T168" s="458">
        <v>150</v>
      </c>
      <c r="U168" s="459">
        <v>0.71</v>
      </c>
      <c r="V168" s="459">
        <v>0.56000000000000005</v>
      </c>
      <c r="W168" s="459">
        <v>-0.27</v>
      </c>
      <c r="X168" s="459">
        <v>-0.12</v>
      </c>
      <c r="Y168" s="459">
        <v>0.4</v>
      </c>
      <c r="Z168" s="459">
        <v>0.42</v>
      </c>
      <c r="AA168" s="459">
        <v>0.72</v>
      </c>
      <c r="AB168" s="459">
        <v>0.66</v>
      </c>
      <c r="AC168" s="459">
        <v>-0.03</v>
      </c>
      <c r="AD168" s="459">
        <v>-0.57999999999999996</v>
      </c>
      <c r="AE168" s="459">
        <v>-0.03</v>
      </c>
      <c r="AF168" s="459">
        <v>-0.36</v>
      </c>
      <c r="AG168" s="459">
        <v>-0.28000000000000003</v>
      </c>
      <c r="AH168" s="459">
        <f t="shared" si="321"/>
        <v>-1.7</v>
      </c>
      <c r="AI168" s="459">
        <v>0.3</v>
      </c>
      <c r="AJ168" s="459">
        <v>0.49</v>
      </c>
      <c r="AK168" s="391"/>
      <c r="AL168" s="659">
        <f>((($AL$166-$AL$164)/($AL$162-$AL$160))*($AL$159-$AL$160))+$AL$164</f>
        <v>9.3333333333333338E-2</v>
      </c>
      <c r="AM168" s="659">
        <f>((($AM$166-$AM$164)/($AM$162-$AM$160))*($AM$159-$AM$160))+$AM$164</f>
        <v>9.3333333333333338E-2</v>
      </c>
      <c r="AX168" s="442"/>
      <c r="AY168" s="442"/>
      <c r="BD168" s="404"/>
      <c r="BE168" s="404"/>
      <c r="BJ168" s="442"/>
      <c r="BK168" s="442"/>
      <c r="BP168" s="442"/>
      <c r="BQ168" s="442"/>
      <c r="BV168" s="442"/>
      <c r="BW168" s="442"/>
      <c r="CC168" s="462"/>
    </row>
    <row r="169" spans="1:97">
      <c r="B169" s="458">
        <v>200</v>
      </c>
      <c r="C169" s="459">
        <v>0.2</v>
      </c>
      <c r="D169" s="459">
        <v>0.39</v>
      </c>
      <c r="E169" s="460">
        <v>0.06</v>
      </c>
      <c r="F169" s="459">
        <v>-0.7</v>
      </c>
      <c r="G169" s="459">
        <v>0.61</v>
      </c>
      <c r="H169" s="459">
        <v>0.66</v>
      </c>
      <c r="I169" s="459">
        <v>0.9</v>
      </c>
      <c r="J169" s="459">
        <v>0.81</v>
      </c>
      <c r="K169" s="459">
        <v>-0.28000000000000003</v>
      </c>
      <c r="L169" s="459">
        <v>-0.01</v>
      </c>
      <c r="M169" s="459">
        <v>-0.28000000000000003</v>
      </c>
      <c r="N169" s="459">
        <v>-0.59</v>
      </c>
      <c r="O169" s="459">
        <v>-1.27</v>
      </c>
      <c r="P169" s="459">
        <v>-0.9</v>
      </c>
      <c r="Q169" s="459">
        <v>0.34</v>
      </c>
      <c r="R169" s="459">
        <v>-0.26</v>
      </c>
      <c r="S169" s="391"/>
      <c r="T169" s="458">
        <v>200</v>
      </c>
      <c r="U169" s="459">
        <v>0.13</v>
      </c>
      <c r="V169" s="459">
        <v>0.28000000000000003</v>
      </c>
      <c r="W169" s="459">
        <v>0.05</v>
      </c>
      <c r="X169" s="459">
        <v>-1.01</v>
      </c>
      <c r="Y169" s="459">
        <v>0.64</v>
      </c>
      <c r="Z169" s="459">
        <v>0.66</v>
      </c>
      <c r="AA169" s="459">
        <v>0.96</v>
      </c>
      <c r="AB169" s="459">
        <v>0.9</v>
      </c>
      <c r="AC169" s="459">
        <v>-0.28000000000000003</v>
      </c>
      <c r="AD169" s="459">
        <v>-0.38</v>
      </c>
      <c r="AE169" s="459">
        <v>-0.28000000000000003</v>
      </c>
      <c r="AF169" s="459">
        <v>-0.85</v>
      </c>
      <c r="AG169" s="459">
        <v>-1.34</v>
      </c>
      <c r="AH169" s="459">
        <f t="shared" si="321"/>
        <v>-0.9</v>
      </c>
      <c r="AI169" s="459">
        <v>0.34</v>
      </c>
      <c r="AJ169" s="459">
        <v>-0.26</v>
      </c>
      <c r="AK169" s="391"/>
      <c r="AL169" s="404"/>
      <c r="AM169" s="404"/>
      <c r="AX169" s="442"/>
      <c r="AY169" s="442"/>
      <c r="BD169" s="404"/>
      <c r="BE169" s="404"/>
      <c r="BJ169" s="442"/>
      <c r="BK169" s="442"/>
      <c r="BP169" s="442"/>
      <c r="BQ169" s="442"/>
      <c r="BV169" s="442"/>
      <c r="BW169" s="442"/>
      <c r="BX169" s="442" t="s">
        <v>298</v>
      </c>
      <c r="CC169" s="443"/>
    </row>
    <row r="170" spans="1:97" s="465" customFormat="1">
      <c r="A170" s="463"/>
      <c r="B170" s="458" t="s">
        <v>208</v>
      </c>
      <c r="C170" s="464">
        <v>0.34</v>
      </c>
      <c r="D170" s="464">
        <v>0.56000000000000005</v>
      </c>
      <c r="E170" s="464">
        <v>0.28000000000000003</v>
      </c>
      <c r="F170" s="464">
        <v>0.25</v>
      </c>
      <c r="G170" s="464">
        <v>0.27</v>
      </c>
      <c r="H170" s="464">
        <v>0.27</v>
      </c>
      <c r="I170" s="464">
        <v>0.25</v>
      </c>
      <c r="J170" s="464">
        <v>0.24</v>
      </c>
      <c r="K170" s="464">
        <v>0.79</v>
      </c>
      <c r="L170" s="464">
        <v>0.27</v>
      </c>
      <c r="M170" s="464">
        <v>0.79</v>
      </c>
      <c r="N170" s="464">
        <v>0.26</v>
      </c>
      <c r="O170" s="464">
        <v>0.27</v>
      </c>
      <c r="P170" s="464">
        <v>0.6</v>
      </c>
      <c r="Q170" s="464">
        <v>0.22</v>
      </c>
      <c r="R170" s="464">
        <v>0.77</v>
      </c>
      <c r="S170" s="463"/>
      <c r="T170" s="458" t="s">
        <v>208</v>
      </c>
      <c r="U170" s="464">
        <v>0.34</v>
      </c>
      <c r="V170" s="464">
        <v>0.56000000000000005</v>
      </c>
      <c r="W170" s="464">
        <v>0.28000000000000003</v>
      </c>
      <c r="X170" s="464">
        <v>0.27</v>
      </c>
      <c r="Y170" s="464">
        <v>0.26</v>
      </c>
      <c r="Z170" s="464">
        <v>0.26</v>
      </c>
      <c r="AA170" s="464">
        <v>0.25</v>
      </c>
      <c r="AB170" s="464">
        <v>0.24</v>
      </c>
      <c r="AC170" s="464">
        <v>0.79</v>
      </c>
      <c r="AD170" s="464">
        <v>0.28000000000000003</v>
      </c>
      <c r="AE170" s="464">
        <v>0.79</v>
      </c>
      <c r="AF170" s="464">
        <v>0.25</v>
      </c>
      <c r="AG170" s="464">
        <v>0.27</v>
      </c>
      <c r="AH170" s="464">
        <f t="shared" si="321"/>
        <v>0.6</v>
      </c>
      <c r="AI170" s="464">
        <v>0.22</v>
      </c>
      <c r="AJ170" s="464">
        <v>0.77</v>
      </c>
      <c r="AK170" s="463"/>
      <c r="AL170" s="404"/>
      <c r="AM170" s="404"/>
      <c r="AN170" s="466"/>
      <c r="AP170" s="467"/>
      <c r="AT170" s="466"/>
      <c r="AV170" s="467"/>
      <c r="AX170" s="466"/>
      <c r="AY170" s="466"/>
      <c r="AZ170" s="466"/>
      <c r="BB170" s="467"/>
      <c r="BD170" s="404"/>
      <c r="BE170" s="404"/>
      <c r="BF170" s="466"/>
      <c r="BH170" s="467"/>
      <c r="BJ170" s="466"/>
      <c r="BK170" s="466"/>
      <c r="BL170" s="466"/>
      <c r="BN170" s="467"/>
      <c r="BP170" s="466"/>
      <c r="BQ170" s="466"/>
      <c r="BR170" s="466"/>
      <c r="BT170" s="467"/>
      <c r="BV170" s="466"/>
      <c r="BW170" s="466"/>
      <c r="BX170" s="466"/>
      <c r="BZ170" s="467"/>
      <c r="CG170" s="463"/>
      <c r="CM170" s="463"/>
      <c r="CS170" s="463"/>
    </row>
    <row r="171" spans="1:97" s="391" customFormat="1">
      <c r="F171" s="468"/>
      <c r="V171" s="412"/>
      <c r="W171" s="412"/>
      <c r="X171" s="412"/>
      <c r="Y171" s="412"/>
      <c r="Z171" s="412"/>
      <c r="AA171" s="412"/>
      <c r="AB171" s="412"/>
      <c r="AC171" s="412"/>
      <c r="AD171" s="412"/>
      <c r="AF171" s="463"/>
      <c r="AG171" s="463"/>
      <c r="AI171" s="393"/>
      <c r="AL171" s="431"/>
      <c r="AZ171" s="392"/>
      <c r="BB171" s="393"/>
      <c r="BF171" s="392"/>
      <c r="BH171" s="393"/>
      <c r="BL171" s="392"/>
      <c r="BN171" s="393"/>
      <c r="BR171" s="392"/>
      <c r="BT171" s="393"/>
      <c r="BX171" s="392"/>
      <c r="BZ171" s="393"/>
    </row>
    <row r="172" spans="1:97" s="391" customFormat="1">
      <c r="V172" s="392"/>
      <c r="W172" s="392"/>
      <c r="X172" s="392"/>
      <c r="Y172" s="392"/>
      <c r="Z172" s="392"/>
      <c r="AA172" s="392"/>
      <c r="AB172" s="392"/>
      <c r="AC172" s="392"/>
      <c r="AD172" s="392"/>
      <c r="AI172" s="393"/>
      <c r="AZ172" s="392"/>
      <c r="BB172" s="393"/>
      <c r="BF172" s="392"/>
      <c r="BH172" s="393"/>
      <c r="BL172" s="392"/>
      <c r="BN172" s="393"/>
      <c r="BR172" s="392"/>
      <c r="BT172" s="393"/>
      <c r="BX172" s="392"/>
      <c r="BZ172" s="393"/>
    </row>
    <row r="173" spans="1:97" ht="98.25" customHeight="1">
      <c r="B173" s="469" t="s">
        <v>333</v>
      </c>
      <c r="C173" s="470" t="str">
        <f>C156</f>
        <v>Thermocouple Data Logger, Merek : MADGETECH, Model : OctTemp 2000, SN : P40270</v>
      </c>
      <c r="D173" s="470" t="str">
        <f>D156</f>
        <v>Thermocouple Data Logger, Merek : MADGETECH, Model : OctTemp 2000, SN : P41878</v>
      </c>
      <c r="E173" s="470" t="str">
        <f t="shared" ref="E173:R173" si="322">E156</f>
        <v>Mobile Corder, Merek : Yokogawa, Model : GP 10, SN : S5T810599</v>
      </c>
      <c r="F173" s="470" t="str">
        <f t="shared" si="322"/>
        <v>Wireless Temperature Recorder : Merek : HIOKI, Model : LR 8510, SN : 200936000</v>
      </c>
      <c r="G173" s="470" t="str">
        <f t="shared" si="322"/>
        <v>Wireless Temperature Recorder : Merek : HIOKI, Model : LR 8510, SN : 200936001</v>
      </c>
      <c r="H173" s="470" t="str">
        <f t="shared" si="322"/>
        <v>Wireless Temperature Recorder : Merek : HIOKI, Model : LR 8510, SN : 200821397</v>
      </c>
      <c r="I173" s="470" t="str">
        <f t="shared" si="322"/>
        <v>Wireless Temperature Recorder : Merek : HIOKI, Model : LR 8510, SN : 210411983</v>
      </c>
      <c r="J173" s="470" t="str">
        <f t="shared" si="322"/>
        <v>Wireless Temperature Recorder : Merek : HIOKI, Model : LR 8510, SN : 210411984</v>
      </c>
      <c r="K173" s="470" t="str">
        <f t="shared" si="322"/>
        <v>Wireless Temperature Recorder : Merek : HIOKI, Model : LR 8510, SN : 210411985</v>
      </c>
      <c r="L173" s="470" t="str">
        <f t="shared" si="322"/>
        <v>Wireless Temperature Recorder : Merek : HIOKI, Model : LR 8510, SN : 210746054</v>
      </c>
      <c r="M173" s="470" t="str">
        <f t="shared" si="322"/>
        <v>Wireless Temperature Recorder : Merek : HIOKI, Model : LR 8510, SN : 210746055</v>
      </c>
      <c r="N173" s="470" t="str">
        <f t="shared" si="322"/>
        <v>Wireless Temperature Recorder : Merek : HIOKI, Model : LR 8510, SN : 210746056</v>
      </c>
      <c r="O173" s="470" t="str">
        <f t="shared" si="322"/>
        <v>Wireless Temperature Recorder : Merek : HIOKI, Model : LR 8510, SN : 200821396</v>
      </c>
      <c r="P173" s="470" t="str">
        <f t="shared" si="322"/>
        <v>Reference Thermometer, Merek : APPA, Model : APPA51, SN : 03002948</v>
      </c>
      <c r="Q173" s="470" t="str">
        <f t="shared" si="322"/>
        <v>Reference Thermometer, Merek : FLUKE, Model : 1524, SN : 1803038</v>
      </c>
      <c r="R173" s="470" t="str">
        <f t="shared" si="322"/>
        <v>Reference Thermometer, Merek : FLUKE, Model : 1524, SN : 1803037</v>
      </c>
      <c r="S173" s="391"/>
      <c r="T173" s="469" t="s">
        <v>334</v>
      </c>
      <c r="U173" s="470" t="str">
        <f>U156</f>
        <v>Thermocouple Data Logger, Merek : MADGETECH, Model : OctTemp 2000, SN : P40270</v>
      </c>
      <c r="V173" s="470" t="str">
        <f t="shared" ref="V173:AJ173" si="323">V156</f>
        <v>Thermocouple Data Logger, Merek : MADGETECH, Model : OctTemp 2000, SN : P41878</v>
      </c>
      <c r="W173" s="470" t="str">
        <f t="shared" si="323"/>
        <v>Mobile Corder, Merek : Yokogawa, Model : GP 10, SN : S5T810599</v>
      </c>
      <c r="X173" s="470" t="str">
        <f t="shared" si="323"/>
        <v>Wireless Temperature Recorder : Merek : HIOKI, Model : LR 8510, SN : 200936000</v>
      </c>
      <c r="Y173" s="470" t="str">
        <f t="shared" si="323"/>
        <v>Wireless Temperature Recorder : Merek : HIOKI, Model : LR 8510, SN : 200936001</v>
      </c>
      <c r="Z173" s="470" t="str">
        <f t="shared" si="323"/>
        <v>Wireless Temperature Recorder : Merek : HIOKI, Model : LR 8510, SN : 200821397</v>
      </c>
      <c r="AA173" s="470" t="str">
        <f t="shared" si="323"/>
        <v>Wireless Temperature Recorder : Merek : HIOKI, Model : LR 8510, SN : 210411983</v>
      </c>
      <c r="AB173" s="470" t="str">
        <f t="shared" si="323"/>
        <v>Wireless Temperature Recorder : Merek : HIOKI, Model : LR 8510, SN : 210411984</v>
      </c>
      <c r="AC173" s="470" t="str">
        <f t="shared" si="323"/>
        <v>Wireless Temperature Recorder : Merek : HIOKI, Model : LR 8510, SN : 210411985</v>
      </c>
      <c r="AD173" s="470" t="str">
        <f t="shared" si="323"/>
        <v>Wireless Temperature Recorder : Merek : HIOKI, Model : LR 8510, SN : 210746054</v>
      </c>
      <c r="AE173" s="470" t="str">
        <f t="shared" si="323"/>
        <v>Wireless Temperature Recorder : Merek : HIOKI, Model : LR 8510, SN : 210746055</v>
      </c>
      <c r="AF173" s="470" t="str">
        <f t="shared" si="323"/>
        <v>Wireless Temperature Recorder : Merek : HIOKI, Model : LR 8510, SN : 210746056</v>
      </c>
      <c r="AG173" s="470" t="str">
        <f t="shared" si="323"/>
        <v>Wireless Temperature Recorder : Merek : HIOKI, Model : LR 8510, SN : 200821396</v>
      </c>
      <c r="AH173" s="470" t="str">
        <f t="shared" si="323"/>
        <v>Reference Thermometer, Merek : APPA, Model : APPA51, SN : 03002948</v>
      </c>
      <c r="AI173" s="470" t="str">
        <f t="shared" si="323"/>
        <v>Reference Thermometer, Merek : FLUKE, Model : 1524, SN : 1803038</v>
      </c>
      <c r="AJ173" s="470" t="str">
        <f t="shared" si="323"/>
        <v>Reference Thermometer, Merek : FLUKE, Model : 1524, SN : 1803037</v>
      </c>
      <c r="AK173" s="391"/>
      <c r="AX173" s="444"/>
      <c r="AY173" s="445"/>
      <c r="AZ173" s="446"/>
      <c r="BD173" s="444"/>
      <c r="BE173" s="445"/>
      <c r="BF173" s="446"/>
      <c r="BJ173" s="444"/>
      <c r="BK173" s="445"/>
      <c r="BL173" s="446"/>
      <c r="BP173" s="444"/>
      <c r="BQ173" s="445"/>
      <c r="BR173" s="446"/>
      <c r="BV173" s="444"/>
      <c r="BW173" s="445"/>
      <c r="BX173" s="446"/>
    </row>
    <row r="174" spans="1:97" s="447" customFormat="1" ht="5.55" customHeight="1">
      <c r="B174" s="471"/>
      <c r="C174" s="472"/>
      <c r="D174" s="452"/>
      <c r="E174" s="473"/>
      <c r="F174" s="474"/>
      <c r="G174" s="474"/>
      <c r="H174" s="474"/>
      <c r="I174" s="474"/>
      <c r="J174" s="474"/>
      <c r="K174" s="474"/>
      <c r="L174" s="474"/>
      <c r="M174" s="474"/>
      <c r="N174" s="474"/>
      <c r="O174" s="452"/>
      <c r="P174" s="451"/>
      <c r="Q174" s="451"/>
      <c r="R174" s="451"/>
      <c r="T174" s="471"/>
      <c r="U174" s="472"/>
      <c r="V174" s="452"/>
      <c r="W174" s="475"/>
      <c r="X174" s="452"/>
      <c r="Y174" s="452"/>
      <c r="Z174" s="452"/>
      <c r="AA174" s="452"/>
      <c r="AB174" s="452"/>
      <c r="AC174" s="452"/>
      <c r="AD174" s="452"/>
      <c r="AE174" s="452"/>
      <c r="AF174" s="452"/>
      <c r="AG174" s="452"/>
      <c r="AH174" s="451"/>
      <c r="AI174" s="451"/>
      <c r="AJ174" s="451"/>
      <c r="AN174" s="453"/>
      <c r="AP174" s="454"/>
      <c r="AT174" s="453"/>
      <c r="AV174" s="454"/>
      <c r="AX174" s="455"/>
      <c r="AY174" s="456"/>
      <c r="AZ174" s="457"/>
      <c r="BB174" s="454"/>
      <c r="BD174" s="455"/>
      <c r="BE174" s="456"/>
      <c r="BF174" s="457"/>
      <c r="BH174" s="454"/>
      <c r="BJ174" s="455"/>
      <c r="BK174" s="456"/>
      <c r="BL174" s="457"/>
      <c r="BN174" s="454"/>
      <c r="BP174" s="455"/>
      <c r="BQ174" s="456"/>
      <c r="BR174" s="457"/>
      <c r="BT174" s="454"/>
      <c r="BV174" s="455"/>
      <c r="BW174" s="456"/>
      <c r="BX174" s="457"/>
      <c r="BZ174" s="454"/>
    </row>
    <row r="175" spans="1:97">
      <c r="B175" s="458">
        <v>-20</v>
      </c>
      <c r="C175" s="459">
        <v>-0.6</v>
      </c>
      <c r="D175" s="459">
        <v>-0.48</v>
      </c>
      <c r="E175" s="459">
        <v>-0.47</v>
      </c>
      <c r="F175" s="459">
        <v>-1.45</v>
      </c>
      <c r="G175" s="459">
        <v>0.05</v>
      </c>
      <c r="H175" s="459">
        <v>0.05</v>
      </c>
      <c r="I175" s="459">
        <v>0.43</v>
      </c>
      <c r="J175" s="459">
        <v>0.33</v>
      </c>
      <c r="K175" s="459">
        <v>0.57999999999999996</v>
      </c>
      <c r="L175" s="459">
        <v>-0.93</v>
      </c>
      <c r="M175" s="459">
        <v>0.57999999999999996</v>
      </c>
      <c r="N175" s="459">
        <v>-1.33</v>
      </c>
      <c r="O175" s="459">
        <v>-1.47</v>
      </c>
      <c r="P175" s="459">
        <f>P158</f>
        <v>-1.1000000000000001</v>
      </c>
      <c r="Q175" s="459">
        <v>-0.15</v>
      </c>
      <c r="R175" s="459">
        <v>-1.8</v>
      </c>
      <c r="S175" s="391"/>
      <c r="T175" s="458">
        <v>-20</v>
      </c>
      <c r="U175" s="459">
        <v>-0.59</v>
      </c>
      <c r="V175" s="459">
        <v>-0.42</v>
      </c>
      <c r="W175" s="459">
        <v>-0.5</v>
      </c>
      <c r="X175" s="459">
        <v>-1.47</v>
      </c>
      <c r="Y175" s="459">
        <v>7.0000000000000007E-2</v>
      </c>
      <c r="Z175" s="459">
        <v>7.0000000000000007E-2</v>
      </c>
      <c r="AA175" s="459">
        <v>0.46</v>
      </c>
      <c r="AB175" s="459">
        <v>0.33</v>
      </c>
      <c r="AC175" s="459">
        <v>0.64</v>
      </c>
      <c r="AD175" s="459">
        <v>-0.91</v>
      </c>
      <c r="AE175" s="459">
        <v>0.64</v>
      </c>
      <c r="AF175" s="459">
        <v>-1.31</v>
      </c>
      <c r="AG175" s="459">
        <v>-1.41</v>
      </c>
      <c r="AH175" s="459">
        <f>AH158</f>
        <v>-1.1000000000000001</v>
      </c>
      <c r="AI175" s="459">
        <v>-0.15</v>
      </c>
      <c r="AJ175" s="459">
        <v>-1.8</v>
      </c>
      <c r="AK175" s="391"/>
      <c r="AX175" s="442"/>
      <c r="AY175" s="442"/>
      <c r="BD175" s="442"/>
      <c r="BE175" s="442"/>
      <c r="BJ175" s="442"/>
      <c r="BK175" s="442"/>
      <c r="BP175" s="442"/>
      <c r="BQ175" s="442"/>
      <c r="BV175" s="442"/>
      <c r="BW175" s="442"/>
    </row>
    <row r="176" spans="1:97">
      <c r="B176" s="458">
        <v>-15</v>
      </c>
      <c r="C176" s="459">
        <v>-0.53</v>
      </c>
      <c r="D176" s="459">
        <v>-0.41</v>
      </c>
      <c r="E176" s="459">
        <v>-0.39</v>
      </c>
      <c r="F176" s="459">
        <v>-1.23</v>
      </c>
      <c r="G176" s="459">
        <v>0.1</v>
      </c>
      <c r="H176" s="459">
        <v>0.09</v>
      </c>
      <c r="I176" s="459">
        <v>0.45</v>
      </c>
      <c r="J176" s="459">
        <v>0.36</v>
      </c>
      <c r="K176" s="459">
        <v>9.9999999999999995E-7</v>
      </c>
      <c r="L176" s="459">
        <v>-0.69</v>
      </c>
      <c r="M176" s="459">
        <v>9.9999999999999995E-7</v>
      </c>
      <c r="N176" s="459">
        <v>-1.08</v>
      </c>
      <c r="O176" s="459">
        <v>-1.22</v>
      </c>
      <c r="P176" s="459">
        <f t="shared" ref="P176:P187" si="324">P159</f>
        <v>-1.1000000000000001</v>
      </c>
      <c r="Q176" s="459">
        <v>-0.1</v>
      </c>
      <c r="R176" s="459">
        <v>-1.52</v>
      </c>
      <c r="S176" s="391"/>
      <c r="T176" s="458">
        <v>-15</v>
      </c>
      <c r="U176" s="459">
        <v>-0.53</v>
      </c>
      <c r="V176" s="459">
        <v>-0.37</v>
      </c>
      <c r="W176" s="459">
        <v>-0.41</v>
      </c>
      <c r="X176" s="459">
        <v>-1.25</v>
      </c>
      <c r="Y176" s="459">
        <v>0.11</v>
      </c>
      <c r="Z176" s="459">
        <v>0.11</v>
      </c>
      <c r="AA176" s="459">
        <v>0.48</v>
      </c>
      <c r="AB176" s="459">
        <v>0.35</v>
      </c>
      <c r="AC176" s="459">
        <v>9.9999999999999995E-7</v>
      </c>
      <c r="AD176" s="459">
        <v>-0.67</v>
      </c>
      <c r="AE176" s="459">
        <v>9.9999999999999995E-7</v>
      </c>
      <c r="AF176" s="459">
        <v>-1.06</v>
      </c>
      <c r="AG176" s="459">
        <v>-1.1399999999999999</v>
      </c>
      <c r="AH176" s="459">
        <f t="shared" ref="AH176:AH187" si="325">AH159</f>
        <v>-1.1000000000000001</v>
      </c>
      <c r="AI176" s="459">
        <v>-0.1</v>
      </c>
      <c r="AJ176" s="459">
        <v>-1.52</v>
      </c>
      <c r="AK176" s="391"/>
      <c r="AX176" s="442"/>
      <c r="AY176" s="442"/>
      <c r="BD176" s="442"/>
      <c r="BE176" s="442"/>
      <c r="BJ176" s="442"/>
      <c r="BK176" s="442"/>
      <c r="BP176" s="442"/>
      <c r="BQ176" s="442"/>
      <c r="BV176" s="442"/>
      <c r="BW176" s="442"/>
    </row>
    <row r="177" spans="1:97">
      <c r="B177" s="458">
        <v>-10</v>
      </c>
      <c r="C177" s="459">
        <v>-0.46</v>
      </c>
      <c r="D177" s="459">
        <v>-0.35</v>
      </c>
      <c r="E177" s="459">
        <v>-0.32</v>
      </c>
      <c r="F177" s="459">
        <v>-0.98</v>
      </c>
      <c r="G177" s="459">
        <v>0.13</v>
      </c>
      <c r="H177" s="459">
        <v>0.12</v>
      </c>
      <c r="I177" s="459">
        <v>0.46</v>
      </c>
      <c r="J177" s="459">
        <v>0.37</v>
      </c>
      <c r="K177" s="459">
        <v>0.55000000000000004</v>
      </c>
      <c r="L177" s="459">
        <v>-0.52</v>
      </c>
      <c r="M177" s="459">
        <v>0.55000000000000004</v>
      </c>
      <c r="N177" s="459">
        <v>-0.86</v>
      </c>
      <c r="O177" s="459">
        <v>-0.99</v>
      </c>
      <c r="P177" s="459">
        <f t="shared" si="324"/>
        <v>-1.2</v>
      </c>
      <c r="Q177" s="459">
        <v>-0.05</v>
      </c>
      <c r="R177" s="459">
        <v>-1.26</v>
      </c>
      <c r="S177" s="391"/>
      <c r="T177" s="458">
        <v>-10</v>
      </c>
      <c r="U177" s="459">
        <v>-0.47</v>
      </c>
      <c r="V177" s="459">
        <v>-0.31</v>
      </c>
      <c r="W177" s="459">
        <v>-0.33</v>
      </c>
      <c r="X177" s="459">
        <v>-1</v>
      </c>
      <c r="Y177" s="459">
        <v>0.13</v>
      </c>
      <c r="Z177" s="459">
        <v>0.15</v>
      </c>
      <c r="AA177" s="459">
        <v>0.48</v>
      </c>
      <c r="AB177" s="459">
        <v>0.36</v>
      </c>
      <c r="AC177" s="459">
        <v>0.6</v>
      </c>
      <c r="AD177" s="459">
        <v>-0.48</v>
      </c>
      <c r="AE177" s="459">
        <v>0.6</v>
      </c>
      <c r="AF177" s="459">
        <v>-0.85</v>
      </c>
      <c r="AG177" s="459">
        <v>-0.9</v>
      </c>
      <c r="AH177" s="459">
        <f t="shared" si="325"/>
        <v>-1.2</v>
      </c>
      <c r="AI177" s="459">
        <v>-0.05</v>
      </c>
      <c r="AJ177" s="459">
        <v>-1.26</v>
      </c>
      <c r="AK177" s="391"/>
      <c r="AX177" s="442"/>
      <c r="AY177" s="442"/>
      <c r="BD177" s="442"/>
      <c r="BE177" s="442"/>
      <c r="BJ177" s="442"/>
      <c r="BK177" s="442"/>
      <c r="BP177" s="442"/>
      <c r="BQ177" s="442"/>
      <c r="BV177" s="442"/>
      <c r="BW177" s="442"/>
    </row>
    <row r="178" spans="1:97">
      <c r="B178" s="458">
        <v>9.9999999999999995E-7</v>
      </c>
      <c r="C178" s="459">
        <v>-0.32</v>
      </c>
      <c r="D178" s="459">
        <v>-0.23</v>
      </c>
      <c r="E178" s="459">
        <v>-0.2</v>
      </c>
      <c r="F178" s="459">
        <v>-0.32</v>
      </c>
      <c r="G178" s="459">
        <v>0.1</v>
      </c>
      <c r="H178" s="459">
        <v>0.1</v>
      </c>
      <c r="I178" s="459">
        <v>0.4</v>
      </c>
      <c r="J178" s="459">
        <v>0.37</v>
      </c>
      <c r="K178" s="459">
        <v>0.52</v>
      </c>
      <c r="L178" s="459">
        <v>-0.26</v>
      </c>
      <c r="M178" s="459">
        <v>0.52</v>
      </c>
      <c r="N178" s="459">
        <v>-0.59</v>
      </c>
      <c r="O178" s="459">
        <v>-0.6</v>
      </c>
      <c r="P178" s="459">
        <f t="shared" si="324"/>
        <v>-1.4</v>
      </c>
      <c r="Q178" s="459">
        <v>0.03</v>
      </c>
      <c r="R178" s="459">
        <v>-0.79</v>
      </c>
      <c r="S178" s="391"/>
      <c r="T178" s="458">
        <v>9.9999999999999995E-7</v>
      </c>
      <c r="U178" s="459">
        <v>-0.34</v>
      </c>
      <c r="V178" s="459">
        <v>-0.2</v>
      </c>
      <c r="W178" s="459">
        <v>-0.2</v>
      </c>
      <c r="X178" s="459">
        <v>-0.28999999999999998</v>
      </c>
      <c r="Y178" s="459">
        <v>0.12</v>
      </c>
      <c r="Z178" s="459">
        <v>0.12</v>
      </c>
      <c r="AA178" s="459">
        <v>0.43</v>
      </c>
      <c r="AB178" s="459">
        <v>0.38</v>
      </c>
      <c r="AC178" s="459">
        <v>0.56999999999999995</v>
      </c>
      <c r="AD178" s="459">
        <v>-0.26</v>
      </c>
      <c r="AE178" s="459">
        <v>0.56999999999999995</v>
      </c>
      <c r="AF178" s="459">
        <v>-0.57999999999999996</v>
      </c>
      <c r="AG178" s="459">
        <v>-0.52</v>
      </c>
      <c r="AH178" s="459">
        <f t="shared" si="325"/>
        <v>-1.4</v>
      </c>
      <c r="AI178" s="459">
        <v>0.03</v>
      </c>
      <c r="AJ178" s="459">
        <v>-0.79</v>
      </c>
      <c r="AK178" s="391"/>
      <c r="AX178" s="442"/>
      <c r="AY178" s="442"/>
      <c r="BD178" s="442"/>
      <c r="BE178" s="442"/>
      <c r="BJ178" s="442"/>
      <c r="BK178" s="442"/>
      <c r="BP178" s="442"/>
      <c r="BQ178" s="442"/>
      <c r="BV178" s="442"/>
      <c r="BW178" s="442"/>
    </row>
    <row r="179" spans="1:97">
      <c r="B179" s="458">
        <v>2</v>
      </c>
      <c r="C179" s="459">
        <v>-0.28999999999999998</v>
      </c>
      <c r="D179" s="459">
        <v>-0.2</v>
      </c>
      <c r="E179" s="459">
        <v>-0.18</v>
      </c>
      <c r="F179" s="459">
        <v>-0.56000000000000005</v>
      </c>
      <c r="G179" s="459">
        <v>0.12</v>
      </c>
      <c r="H179" s="459">
        <v>0.12</v>
      </c>
      <c r="I179" s="459">
        <v>0.43</v>
      </c>
      <c r="J179" s="459">
        <v>0.37</v>
      </c>
      <c r="K179" s="459">
        <v>0.52</v>
      </c>
      <c r="L179" s="459">
        <v>-0.35</v>
      </c>
      <c r="M179" s="459">
        <v>0.52</v>
      </c>
      <c r="N179" s="459">
        <v>-0.56999999999999995</v>
      </c>
      <c r="O179" s="459">
        <v>-0.67</v>
      </c>
      <c r="P179" s="459">
        <f t="shared" si="324"/>
        <v>0</v>
      </c>
      <c r="Q179" s="459">
        <v>0.04</v>
      </c>
      <c r="R179" s="459">
        <v>-0.7</v>
      </c>
      <c r="S179" s="391"/>
      <c r="T179" s="458">
        <v>2</v>
      </c>
      <c r="U179" s="459">
        <v>-0.32</v>
      </c>
      <c r="V179" s="459">
        <v>-0.18</v>
      </c>
      <c r="W179" s="459">
        <v>-0.18</v>
      </c>
      <c r="X179" s="459">
        <v>-0.59</v>
      </c>
      <c r="Y179" s="459">
        <v>0.14000000000000001</v>
      </c>
      <c r="Z179" s="459">
        <v>0.13</v>
      </c>
      <c r="AA179" s="459">
        <v>0.45</v>
      </c>
      <c r="AB179" s="459">
        <v>0.38</v>
      </c>
      <c r="AC179" s="459">
        <v>0.56000000000000005</v>
      </c>
      <c r="AD179" s="459">
        <v>-0.34</v>
      </c>
      <c r="AE179" s="459">
        <v>0.56000000000000005</v>
      </c>
      <c r="AF179" s="459">
        <v>-0.57999999999999996</v>
      </c>
      <c r="AG179" s="459">
        <v>-0.63</v>
      </c>
      <c r="AH179" s="459">
        <f t="shared" si="325"/>
        <v>0</v>
      </c>
      <c r="AI179" s="459">
        <v>0.04</v>
      </c>
      <c r="AJ179" s="459">
        <v>-0.7</v>
      </c>
      <c r="AK179" s="391"/>
      <c r="AX179" s="442"/>
      <c r="AY179" s="442"/>
      <c r="BD179" s="442"/>
      <c r="BE179" s="442"/>
      <c r="BJ179" s="442"/>
      <c r="BK179" s="442"/>
      <c r="BP179" s="442"/>
      <c r="BQ179" s="442"/>
      <c r="BV179" s="442"/>
      <c r="BW179" s="442"/>
    </row>
    <row r="180" spans="1:97">
      <c r="B180" s="458">
        <v>8</v>
      </c>
      <c r="C180" s="459">
        <v>-0.2</v>
      </c>
      <c r="D180" s="459">
        <v>-0.13</v>
      </c>
      <c r="E180" s="459">
        <v>-0.13</v>
      </c>
      <c r="F180" s="459">
        <v>-0.32</v>
      </c>
      <c r="G180" s="459">
        <v>0.11</v>
      </c>
      <c r="H180" s="459">
        <v>0.12</v>
      </c>
      <c r="I180" s="459">
        <v>0.42</v>
      </c>
      <c r="J180" s="459">
        <v>0.36</v>
      </c>
      <c r="K180" s="459">
        <v>0.5</v>
      </c>
      <c r="L180" s="459">
        <v>-0.1</v>
      </c>
      <c r="M180" s="459">
        <v>0.5</v>
      </c>
      <c r="N180" s="459">
        <v>-0.34</v>
      </c>
      <c r="O180" s="459">
        <v>-0.39</v>
      </c>
      <c r="P180" s="459">
        <f t="shared" si="324"/>
        <v>0</v>
      </c>
      <c r="Q180" s="459">
        <v>0.08</v>
      </c>
      <c r="R180" s="459">
        <v>-0.46</v>
      </c>
      <c r="S180" s="391"/>
      <c r="T180" s="458">
        <v>8</v>
      </c>
      <c r="U180" s="476">
        <v>-0.24</v>
      </c>
      <c r="V180" s="459">
        <v>-0.12</v>
      </c>
      <c r="W180" s="459">
        <v>-0.13</v>
      </c>
      <c r="X180" s="459">
        <v>-0.34</v>
      </c>
      <c r="Y180" s="459">
        <v>0.13</v>
      </c>
      <c r="Z180" s="459">
        <v>0.12</v>
      </c>
      <c r="AA180" s="459">
        <v>0.45</v>
      </c>
      <c r="AB180" s="459">
        <v>0.36</v>
      </c>
      <c r="AC180" s="459">
        <v>0.54</v>
      </c>
      <c r="AD180" s="459">
        <v>-0.08</v>
      </c>
      <c r="AE180" s="459">
        <v>0.54</v>
      </c>
      <c r="AF180" s="459">
        <v>-0.32</v>
      </c>
      <c r="AG180" s="459">
        <v>-0.36</v>
      </c>
      <c r="AH180" s="459">
        <f t="shared" si="325"/>
        <v>0</v>
      </c>
      <c r="AI180" s="459">
        <v>0.08</v>
      </c>
      <c r="AJ180" s="459">
        <v>-0.46</v>
      </c>
      <c r="AK180" s="391"/>
      <c r="AX180" s="477"/>
      <c r="AY180" s="442"/>
      <c r="BD180" s="477"/>
      <c r="BE180" s="442"/>
      <c r="BJ180" s="477"/>
      <c r="BK180" s="442"/>
      <c r="BP180" s="477"/>
      <c r="BQ180" s="442"/>
      <c r="BV180" s="477"/>
      <c r="BW180" s="442"/>
    </row>
    <row r="181" spans="1:97">
      <c r="B181" s="458">
        <v>37</v>
      </c>
      <c r="C181" s="459">
        <v>0.19</v>
      </c>
      <c r="D181" s="459">
        <v>0.18</v>
      </c>
      <c r="E181" s="459">
        <v>0</v>
      </c>
      <c r="F181" s="459">
        <v>0.49</v>
      </c>
      <c r="G181" s="459">
        <v>0.1</v>
      </c>
      <c r="H181" s="459">
        <v>0.12</v>
      </c>
      <c r="I181" s="459">
        <v>0.42</v>
      </c>
      <c r="J181" s="459">
        <v>0.32</v>
      </c>
      <c r="K181" s="459">
        <v>0.41</v>
      </c>
      <c r="L181" s="459">
        <v>0.66</v>
      </c>
      <c r="M181" s="459">
        <v>0.41</v>
      </c>
      <c r="N181" s="459">
        <v>0.43</v>
      </c>
      <c r="O181" s="459">
        <v>0.53</v>
      </c>
      <c r="P181" s="459">
        <f t="shared" si="324"/>
        <v>0</v>
      </c>
      <c r="Q181" s="459">
        <v>0.23</v>
      </c>
      <c r="R181" s="459">
        <v>0.42</v>
      </c>
      <c r="S181" s="391"/>
      <c r="T181" s="458">
        <v>37</v>
      </c>
      <c r="U181" s="459">
        <v>0.14000000000000001</v>
      </c>
      <c r="V181" s="459">
        <v>0.17</v>
      </c>
      <c r="W181" s="459">
        <v>0.01</v>
      </c>
      <c r="X181" s="459">
        <v>0.54</v>
      </c>
      <c r="Y181" s="459">
        <v>0.11</v>
      </c>
      <c r="Z181" s="459">
        <v>0.14000000000000001</v>
      </c>
      <c r="AA181" s="459">
        <v>0.43</v>
      </c>
      <c r="AB181" s="459">
        <v>0.33</v>
      </c>
      <c r="AC181" s="459">
        <v>0.43</v>
      </c>
      <c r="AD181" s="459">
        <v>0.67</v>
      </c>
      <c r="AE181" s="459">
        <v>0.43</v>
      </c>
      <c r="AF181" s="459">
        <v>0.46</v>
      </c>
      <c r="AG181" s="459">
        <v>0.53</v>
      </c>
      <c r="AH181" s="459">
        <f t="shared" si="325"/>
        <v>0</v>
      </c>
      <c r="AI181" s="459">
        <v>0.23</v>
      </c>
      <c r="AJ181" s="459">
        <v>0.42</v>
      </c>
      <c r="AK181" s="391"/>
      <c r="AX181" s="442"/>
      <c r="AY181" s="442"/>
      <c r="BD181" s="442"/>
      <c r="BE181" s="442"/>
      <c r="BJ181" s="442"/>
      <c r="BK181" s="442"/>
      <c r="BP181" s="442"/>
      <c r="BQ181" s="442"/>
      <c r="BV181" s="442"/>
      <c r="BW181" s="442"/>
    </row>
    <row r="182" spans="1:97">
      <c r="B182" s="458">
        <v>44</v>
      </c>
      <c r="C182" s="459">
        <v>0.27</v>
      </c>
      <c r="D182" s="459">
        <v>0.25</v>
      </c>
      <c r="E182" s="459">
        <v>0</v>
      </c>
      <c r="F182" s="459">
        <v>0.61</v>
      </c>
      <c r="G182" s="459">
        <v>0.1</v>
      </c>
      <c r="H182" s="459">
        <v>0.13</v>
      </c>
      <c r="I182" s="459">
        <v>0.42</v>
      </c>
      <c r="J182" s="459">
        <v>0.32</v>
      </c>
      <c r="K182" s="459">
        <v>0.39</v>
      </c>
      <c r="L182" s="459">
        <v>0.74</v>
      </c>
      <c r="M182" s="459">
        <v>0.39</v>
      </c>
      <c r="N182" s="459">
        <v>0.54</v>
      </c>
      <c r="O182" s="459">
        <v>0.66</v>
      </c>
      <c r="P182" s="459">
        <f t="shared" si="324"/>
        <v>0</v>
      </c>
      <c r="Q182" s="459">
        <v>0.25</v>
      </c>
      <c r="R182" s="459">
        <v>0.56999999999999995</v>
      </c>
      <c r="S182" s="391"/>
      <c r="T182" s="458">
        <v>44</v>
      </c>
      <c r="U182" s="459">
        <v>0.23</v>
      </c>
      <c r="V182" s="459">
        <v>0.23</v>
      </c>
      <c r="W182" s="459">
        <v>0.01</v>
      </c>
      <c r="X182" s="459">
        <v>0.67</v>
      </c>
      <c r="Y182" s="459">
        <v>0.11</v>
      </c>
      <c r="Z182" s="459">
        <v>0.15</v>
      </c>
      <c r="AA182" s="459">
        <v>0.43</v>
      </c>
      <c r="AB182" s="459">
        <v>0.33</v>
      </c>
      <c r="AC182" s="459">
        <v>0.4</v>
      </c>
      <c r="AD182" s="459">
        <v>0.73</v>
      </c>
      <c r="AE182" s="459">
        <v>0.4</v>
      </c>
      <c r="AF182" s="459">
        <v>0.55000000000000004</v>
      </c>
      <c r="AG182" s="459">
        <v>0.65</v>
      </c>
      <c r="AH182" s="459">
        <f t="shared" si="325"/>
        <v>0</v>
      </c>
      <c r="AI182" s="459">
        <v>0.25</v>
      </c>
      <c r="AJ182" s="459">
        <v>0.56999999999999995</v>
      </c>
      <c r="AK182" s="391"/>
      <c r="AX182" s="442"/>
      <c r="AY182" s="442"/>
      <c r="BD182" s="442"/>
      <c r="BE182" s="442"/>
      <c r="BJ182" s="442"/>
      <c r="BK182" s="442"/>
      <c r="BP182" s="442"/>
      <c r="BQ182" s="442"/>
      <c r="BV182" s="442"/>
      <c r="BW182" s="442"/>
    </row>
    <row r="183" spans="1:97">
      <c r="B183" s="458">
        <v>50</v>
      </c>
      <c r="C183" s="459">
        <v>0.34</v>
      </c>
      <c r="D183" s="459">
        <v>0.3</v>
      </c>
      <c r="E183" s="459">
        <v>0</v>
      </c>
      <c r="F183" s="459">
        <v>0.7</v>
      </c>
      <c r="G183" s="459">
        <v>0.11</v>
      </c>
      <c r="H183" s="459">
        <v>0.14000000000000001</v>
      </c>
      <c r="I183" s="459">
        <v>0.43</v>
      </c>
      <c r="J183" s="459">
        <v>0.32</v>
      </c>
      <c r="K183" s="459">
        <v>0.37</v>
      </c>
      <c r="L183" s="459">
        <v>0.79</v>
      </c>
      <c r="M183" s="459">
        <v>0.37</v>
      </c>
      <c r="N183" s="459">
        <v>0.6</v>
      </c>
      <c r="O183" s="459">
        <v>0.75</v>
      </c>
      <c r="P183" s="459">
        <f t="shared" si="324"/>
        <v>-1</v>
      </c>
      <c r="Q183" s="459">
        <v>0.27</v>
      </c>
      <c r="R183" s="459">
        <v>0.67</v>
      </c>
      <c r="S183" s="391"/>
      <c r="T183" s="458">
        <v>50</v>
      </c>
      <c r="U183" s="459">
        <v>0.3</v>
      </c>
      <c r="V183" s="459">
        <v>0.28000000000000003</v>
      </c>
      <c r="W183" s="459">
        <v>0.01</v>
      </c>
      <c r="X183" s="459">
        <v>0.76</v>
      </c>
      <c r="Y183" s="459">
        <v>0.11</v>
      </c>
      <c r="Z183" s="459">
        <v>0.15</v>
      </c>
      <c r="AA183" s="459">
        <v>0.44</v>
      </c>
      <c r="AB183" s="459">
        <v>0.33</v>
      </c>
      <c r="AC183" s="459">
        <v>0.38</v>
      </c>
      <c r="AD183" s="459">
        <v>0.76</v>
      </c>
      <c r="AE183" s="459">
        <v>0.38</v>
      </c>
      <c r="AF183" s="459">
        <v>0.61</v>
      </c>
      <c r="AG183" s="459">
        <v>0.74</v>
      </c>
      <c r="AH183" s="459">
        <f t="shared" si="325"/>
        <v>-1</v>
      </c>
      <c r="AI183" s="459">
        <v>0.27</v>
      </c>
      <c r="AJ183" s="459">
        <v>0.67</v>
      </c>
      <c r="AK183" s="391"/>
      <c r="AX183" s="442"/>
      <c r="AY183" s="442"/>
      <c r="BD183" s="442"/>
      <c r="BE183" s="442"/>
      <c r="BJ183" s="442"/>
      <c r="BK183" s="442"/>
      <c r="BP183" s="442"/>
      <c r="BQ183" s="442"/>
      <c r="BV183" s="442"/>
      <c r="BW183" s="442"/>
    </row>
    <row r="184" spans="1:97">
      <c r="B184" s="458">
        <v>100</v>
      </c>
      <c r="C184" s="459">
        <v>0.77</v>
      </c>
      <c r="D184" s="459">
        <v>0.61</v>
      </c>
      <c r="E184" s="459">
        <v>-0.16</v>
      </c>
      <c r="F184" s="459">
        <v>0.77</v>
      </c>
      <c r="G184" s="459">
        <v>0.21</v>
      </c>
      <c r="H184" s="459">
        <v>0.24</v>
      </c>
      <c r="I184" s="459">
        <v>0.55000000000000004</v>
      </c>
      <c r="J184" s="459">
        <v>0.42</v>
      </c>
      <c r="K184" s="459">
        <v>0.19</v>
      </c>
      <c r="L184" s="459">
        <v>0.51</v>
      </c>
      <c r="M184" s="459">
        <v>0.19</v>
      </c>
      <c r="N184" s="459">
        <v>0.56999999999999995</v>
      </c>
      <c r="O184" s="459">
        <v>0.73</v>
      </c>
      <c r="P184" s="459">
        <f t="shared" si="324"/>
        <v>-1.6</v>
      </c>
      <c r="Q184" s="459">
        <v>0.31</v>
      </c>
      <c r="R184" s="459">
        <v>0.95</v>
      </c>
      <c r="S184" s="391"/>
      <c r="T184" s="458">
        <v>100</v>
      </c>
      <c r="U184" s="459">
        <v>0.76</v>
      </c>
      <c r="V184" s="459">
        <v>0.57999999999999996</v>
      </c>
      <c r="W184" s="459">
        <v>-0.16</v>
      </c>
      <c r="X184" s="459">
        <v>0.82</v>
      </c>
      <c r="Y184" s="459">
        <v>0.22</v>
      </c>
      <c r="Z184" s="459">
        <v>0.27</v>
      </c>
      <c r="AA184" s="459">
        <v>0.54</v>
      </c>
      <c r="AB184" s="459">
        <v>0.45</v>
      </c>
      <c r="AC184" s="459">
        <v>0.18</v>
      </c>
      <c r="AD184" s="459">
        <v>0.24</v>
      </c>
      <c r="AE184" s="459">
        <v>0.18</v>
      </c>
      <c r="AF184" s="459">
        <v>0.39</v>
      </c>
      <c r="AG184" s="459">
        <v>0.69</v>
      </c>
      <c r="AH184" s="459">
        <f t="shared" si="325"/>
        <v>-1.6</v>
      </c>
      <c r="AI184" s="459">
        <v>0.31</v>
      </c>
      <c r="AJ184" s="459">
        <v>0.95</v>
      </c>
      <c r="AK184" s="391"/>
      <c r="AX184" s="442"/>
      <c r="AY184" s="442"/>
      <c r="BD184" s="442"/>
      <c r="BE184" s="442"/>
      <c r="BJ184" s="442"/>
      <c r="BK184" s="442"/>
      <c r="BP184" s="442"/>
      <c r="BQ184" s="442"/>
      <c r="BV184" s="442"/>
      <c r="BW184" s="442"/>
    </row>
    <row r="185" spans="1:97">
      <c r="B185" s="458">
        <v>150</v>
      </c>
      <c r="C185" s="459">
        <v>0.73</v>
      </c>
      <c r="D185" s="459">
        <v>0.6</v>
      </c>
      <c r="E185" s="459">
        <v>-0.28000000000000003</v>
      </c>
      <c r="F185" s="459">
        <v>0.03</v>
      </c>
      <c r="G185" s="459">
        <v>0.39</v>
      </c>
      <c r="H185" s="459">
        <v>0.42</v>
      </c>
      <c r="I185" s="459">
        <v>0.74</v>
      </c>
      <c r="J185" s="459">
        <v>0.61</v>
      </c>
      <c r="K185" s="459">
        <v>9.9999999999999995E-7</v>
      </c>
      <c r="L185" s="459">
        <v>-0.2</v>
      </c>
      <c r="M185" s="459">
        <v>9.9999999999999995E-7</v>
      </c>
      <c r="N185" s="459">
        <v>0</v>
      </c>
      <c r="O185" s="459">
        <v>-0.11</v>
      </c>
      <c r="P185" s="459">
        <f t="shared" si="324"/>
        <v>-1.7</v>
      </c>
      <c r="Q185" s="459">
        <v>0.3</v>
      </c>
      <c r="R185" s="459">
        <v>0.49</v>
      </c>
      <c r="S185" s="391"/>
      <c r="T185" s="458">
        <v>150</v>
      </c>
      <c r="U185" s="459">
        <v>0.78</v>
      </c>
      <c r="V185" s="459">
        <v>0.61</v>
      </c>
      <c r="W185" s="459">
        <v>-0.28999999999999998</v>
      </c>
      <c r="X185" s="459">
        <v>0.13</v>
      </c>
      <c r="Y185" s="459">
        <v>0.41</v>
      </c>
      <c r="Z185" s="459">
        <v>0.48</v>
      </c>
      <c r="AA185" s="459">
        <v>0.72</v>
      </c>
      <c r="AB185" s="459">
        <v>0.67</v>
      </c>
      <c r="AC185" s="459">
        <v>-0.03</v>
      </c>
      <c r="AD185" s="459">
        <v>-0.73</v>
      </c>
      <c r="AE185" s="459">
        <v>-0.03</v>
      </c>
      <c r="AF185" s="459">
        <v>-0.35</v>
      </c>
      <c r="AG185" s="459">
        <v>-0.21</v>
      </c>
      <c r="AH185" s="459">
        <f t="shared" si="325"/>
        <v>-1.7</v>
      </c>
      <c r="AI185" s="459">
        <v>0.3</v>
      </c>
      <c r="AJ185" s="459">
        <v>0.49</v>
      </c>
      <c r="AK185" s="391"/>
      <c r="AX185" s="442"/>
      <c r="AY185" s="442"/>
      <c r="BB185" s="396"/>
      <c r="BD185" s="442"/>
      <c r="BE185" s="442"/>
      <c r="BH185" s="396"/>
      <c r="BJ185" s="442"/>
      <c r="BK185" s="442"/>
      <c r="BN185" s="396"/>
      <c r="BP185" s="442"/>
      <c r="BQ185" s="442"/>
      <c r="BT185" s="396"/>
      <c r="BV185" s="442"/>
      <c r="BW185" s="442"/>
    </row>
    <row r="186" spans="1:97">
      <c r="B186" s="458">
        <v>200</v>
      </c>
      <c r="C186" s="459">
        <v>0.02</v>
      </c>
      <c r="D186" s="459">
        <v>0.18</v>
      </c>
      <c r="E186" s="459">
        <v>0.05</v>
      </c>
      <c r="F186" s="459">
        <v>-1.03</v>
      </c>
      <c r="G186" s="459">
        <v>0.61</v>
      </c>
      <c r="H186" s="459">
        <v>0.71</v>
      </c>
      <c r="I186" s="459">
        <v>0.96</v>
      </c>
      <c r="J186" s="459">
        <v>0.82</v>
      </c>
      <c r="K186" s="459">
        <v>-0.22</v>
      </c>
      <c r="L186" s="459">
        <v>-0.21</v>
      </c>
      <c r="M186" s="459">
        <v>-0.22</v>
      </c>
      <c r="N186" s="459">
        <v>-0.37</v>
      </c>
      <c r="O186" s="459">
        <v>-1.05</v>
      </c>
      <c r="P186" s="459">
        <f t="shared" si="324"/>
        <v>-0.9</v>
      </c>
      <c r="Q186" s="459">
        <v>0.34</v>
      </c>
      <c r="R186" s="459">
        <v>-0.26</v>
      </c>
      <c r="S186" s="391"/>
      <c r="T186" s="458">
        <v>200</v>
      </c>
      <c r="U186" s="459">
        <v>7.0000000000000007E-2</v>
      </c>
      <c r="V186" s="459">
        <v>0.25</v>
      </c>
      <c r="W186" s="459">
        <v>7.0000000000000007E-2</v>
      </c>
      <c r="X186" s="459">
        <v>-0.67</v>
      </c>
      <c r="Y186" s="459">
        <v>0.61</v>
      </c>
      <c r="Z186" s="459">
        <v>0.76</v>
      </c>
      <c r="AA186" s="459">
        <v>0.97</v>
      </c>
      <c r="AB186" s="459">
        <v>0.91</v>
      </c>
      <c r="AC186" s="459">
        <v>-0.26</v>
      </c>
      <c r="AD186" s="459">
        <v>-0.85</v>
      </c>
      <c r="AE186" s="459">
        <v>-0.26</v>
      </c>
      <c r="AF186" s="459">
        <v>-0.64</v>
      </c>
      <c r="AG186" s="459">
        <v>-1.31</v>
      </c>
      <c r="AH186" s="459">
        <f t="shared" si="325"/>
        <v>-0.9</v>
      </c>
      <c r="AI186" s="459">
        <v>0.34</v>
      </c>
      <c r="AJ186" s="459">
        <v>-0.26</v>
      </c>
      <c r="AK186" s="391"/>
      <c r="AX186" s="442"/>
      <c r="AY186" s="442"/>
      <c r="BB186" s="396"/>
      <c r="BD186" s="442"/>
      <c r="BE186" s="442"/>
      <c r="BH186" s="396"/>
      <c r="BJ186" s="442"/>
      <c r="BK186" s="442"/>
      <c r="BN186" s="396"/>
      <c r="BP186" s="442"/>
      <c r="BQ186" s="442"/>
      <c r="BT186" s="396"/>
      <c r="BV186" s="442"/>
      <c r="BW186" s="442"/>
    </row>
    <row r="187" spans="1:97" s="465" customFormat="1">
      <c r="A187" s="463"/>
      <c r="B187" s="458" t="s">
        <v>208</v>
      </c>
      <c r="C187" s="464">
        <v>0.34</v>
      </c>
      <c r="D187" s="464">
        <v>0.56000000000000005</v>
      </c>
      <c r="E187" s="464">
        <v>0.28000000000000003</v>
      </c>
      <c r="F187" s="464">
        <v>0.25</v>
      </c>
      <c r="G187" s="464">
        <v>0.26</v>
      </c>
      <c r="H187" s="464">
        <v>0.27</v>
      </c>
      <c r="I187" s="464">
        <v>0.24</v>
      </c>
      <c r="J187" s="464">
        <v>0.24</v>
      </c>
      <c r="K187" s="464">
        <v>0.79</v>
      </c>
      <c r="L187" s="464">
        <v>0.27</v>
      </c>
      <c r="M187" s="464">
        <v>0.79</v>
      </c>
      <c r="N187" s="464">
        <v>0.25</v>
      </c>
      <c r="O187" s="464">
        <v>0.27</v>
      </c>
      <c r="P187" s="464">
        <f t="shared" si="324"/>
        <v>0.6</v>
      </c>
      <c r="Q187" s="464">
        <v>0.22</v>
      </c>
      <c r="R187" s="464">
        <v>0.77</v>
      </c>
      <c r="S187" s="463"/>
      <c r="T187" s="458" t="s">
        <v>208</v>
      </c>
      <c r="U187" s="464">
        <v>0.34</v>
      </c>
      <c r="V187" s="464">
        <v>0.56000000000000005</v>
      </c>
      <c r="W187" s="464">
        <v>0.28000000000000003</v>
      </c>
      <c r="X187" s="464">
        <v>0.26</v>
      </c>
      <c r="Y187" s="464">
        <v>0.27</v>
      </c>
      <c r="Z187" s="464">
        <v>0.25</v>
      </c>
      <c r="AA187" s="464">
        <v>0.25</v>
      </c>
      <c r="AB187" s="464">
        <v>0.24</v>
      </c>
      <c r="AC187" s="464">
        <v>0.79</v>
      </c>
      <c r="AD187" s="464">
        <v>0.27</v>
      </c>
      <c r="AE187" s="464">
        <v>0.79</v>
      </c>
      <c r="AF187" s="464">
        <v>0.25</v>
      </c>
      <c r="AG187" s="464">
        <v>0.26</v>
      </c>
      <c r="AH187" s="464">
        <f t="shared" si="325"/>
        <v>0.6</v>
      </c>
      <c r="AI187" s="464">
        <v>0.22</v>
      </c>
      <c r="AJ187" s="464">
        <v>0.77</v>
      </c>
      <c r="AK187" s="463"/>
      <c r="AN187" s="466"/>
      <c r="AP187" s="467"/>
      <c r="AT187" s="466"/>
      <c r="AV187" s="467"/>
      <c r="AX187" s="466"/>
      <c r="AY187" s="466"/>
      <c r="AZ187" s="466"/>
      <c r="BD187" s="466"/>
      <c r="BE187" s="466"/>
      <c r="BF187" s="466"/>
      <c r="BJ187" s="466"/>
      <c r="BK187" s="466"/>
      <c r="BL187" s="466"/>
      <c r="BP187" s="466"/>
      <c r="BQ187" s="466"/>
      <c r="BR187" s="466"/>
      <c r="BV187" s="466"/>
      <c r="BW187" s="466"/>
      <c r="BX187" s="466"/>
      <c r="BZ187" s="467"/>
      <c r="CG187" s="463"/>
      <c r="CM187" s="463"/>
      <c r="CS187" s="463"/>
    </row>
    <row r="188" spans="1:97" s="391" customFormat="1">
      <c r="V188" s="392"/>
      <c r="W188" s="392"/>
      <c r="X188" s="392"/>
      <c r="Y188" s="392"/>
      <c r="Z188" s="392"/>
      <c r="AA188" s="392"/>
      <c r="AB188" s="392"/>
      <c r="AC188" s="392"/>
      <c r="AD188" s="392"/>
      <c r="AZ188" s="392"/>
      <c r="BF188" s="392"/>
      <c r="BL188" s="392"/>
      <c r="BR188" s="392"/>
      <c r="BX188" s="392"/>
    </row>
    <row r="189" spans="1:97" s="391" customFormat="1">
      <c r="V189" s="392"/>
      <c r="W189" s="392"/>
      <c r="X189" s="392"/>
      <c r="Y189" s="392"/>
      <c r="Z189" s="392"/>
      <c r="AA189" s="392"/>
      <c r="AB189" s="392"/>
      <c r="AC189" s="392"/>
      <c r="AD189" s="392"/>
      <c r="AZ189" s="392"/>
      <c r="BF189" s="392"/>
      <c r="BL189" s="392"/>
      <c r="BR189" s="392"/>
      <c r="BX189" s="392"/>
    </row>
    <row r="190" spans="1:97" ht="92.25" customHeight="1">
      <c r="B190" s="469" t="s">
        <v>335</v>
      </c>
      <c r="C190" s="470" t="str">
        <f>C173</f>
        <v>Thermocouple Data Logger, Merek : MADGETECH, Model : OctTemp 2000, SN : P40270</v>
      </c>
      <c r="D190" s="470" t="str">
        <f t="shared" ref="D190:R190" si="326">D173</f>
        <v>Thermocouple Data Logger, Merek : MADGETECH, Model : OctTemp 2000, SN : P41878</v>
      </c>
      <c r="E190" s="470" t="str">
        <f t="shared" si="326"/>
        <v>Mobile Corder, Merek : Yokogawa, Model : GP 10, SN : S5T810599</v>
      </c>
      <c r="F190" s="470" t="str">
        <f t="shared" si="326"/>
        <v>Wireless Temperature Recorder : Merek : HIOKI, Model : LR 8510, SN : 200936000</v>
      </c>
      <c r="G190" s="470" t="str">
        <f t="shared" si="326"/>
        <v>Wireless Temperature Recorder : Merek : HIOKI, Model : LR 8510, SN : 200936001</v>
      </c>
      <c r="H190" s="470" t="str">
        <f t="shared" si="326"/>
        <v>Wireless Temperature Recorder : Merek : HIOKI, Model : LR 8510, SN : 200821397</v>
      </c>
      <c r="I190" s="470" t="str">
        <f t="shared" si="326"/>
        <v>Wireless Temperature Recorder : Merek : HIOKI, Model : LR 8510, SN : 210411983</v>
      </c>
      <c r="J190" s="470" t="str">
        <f t="shared" si="326"/>
        <v>Wireless Temperature Recorder : Merek : HIOKI, Model : LR 8510, SN : 210411984</v>
      </c>
      <c r="K190" s="470" t="str">
        <f t="shared" si="326"/>
        <v>Wireless Temperature Recorder : Merek : HIOKI, Model : LR 8510, SN : 210411985</v>
      </c>
      <c r="L190" s="470" t="str">
        <f t="shared" si="326"/>
        <v>Wireless Temperature Recorder : Merek : HIOKI, Model : LR 8510, SN : 210746054</v>
      </c>
      <c r="M190" s="470" t="str">
        <f t="shared" si="326"/>
        <v>Wireless Temperature Recorder : Merek : HIOKI, Model : LR 8510, SN : 210746055</v>
      </c>
      <c r="N190" s="470" t="str">
        <f t="shared" si="326"/>
        <v>Wireless Temperature Recorder : Merek : HIOKI, Model : LR 8510, SN : 210746056</v>
      </c>
      <c r="O190" s="470" t="str">
        <f t="shared" si="326"/>
        <v>Wireless Temperature Recorder : Merek : HIOKI, Model : LR 8510, SN : 200821396</v>
      </c>
      <c r="P190" s="470" t="str">
        <f t="shared" si="326"/>
        <v>Reference Thermometer, Merek : APPA, Model : APPA51, SN : 03002948</v>
      </c>
      <c r="Q190" s="470" t="str">
        <f t="shared" si="326"/>
        <v>Reference Thermometer, Merek : FLUKE, Model : 1524, SN : 1803038</v>
      </c>
      <c r="R190" s="470" t="str">
        <f t="shared" si="326"/>
        <v>Reference Thermometer, Merek : FLUKE, Model : 1524, SN : 1803037</v>
      </c>
      <c r="S190" s="391"/>
      <c r="T190" s="469" t="s">
        <v>336</v>
      </c>
      <c r="U190" s="441" t="str">
        <f>U173</f>
        <v>Thermocouple Data Logger, Merek : MADGETECH, Model : OctTemp 2000, SN : P40270</v>
      </c>
      <c r="V190" s="441" t="str">
        <f t="shared" ref="V190:AJ190" si="327">V173</f>
        <v>Thermocouple Data Logger, Merek : MADGETECH, Model : OctTemp 2000, SN : P41878</v>
      </c>
      <c r="W190" s="441" t="str">
        <f t="shared" si="327"/>
        <v>Mobile Corder, Merek : Yokogawa, Model : GP 10, SN : S5T810599</v>
      </c>
      <c r="X190" s="441" t="str">
        <f t="shared" si="327"/>
        <v>Wireless Temperature Recorder : Merek : HIOKI, Model : LR 8510, SN : 200936000</v>
      </c>
      <c r="Y190" s="441" t="str">
        <f t="shared" si="327"/>
        <v>Wireless Temperature Recorder : Merek : HIOKI, Model : LR 8510, SN : 200936001</v>
      </c>
      <c r="Z190" s="441" t="str">
        <f t="shared" si="327"/>
        <v>Wireless Temperature Recorder : Merek : HIOKI, Model : LR 8510, SN : 200821397</v>
      </c>
      <c r="AA190" s="441" t="str">
        <f t="shared" si="327"/>
        <v>Wireless Temperature Recorder : Merek : HIOKI, Model : LR 8510, SN : 210411983</v>
      </c>
      <c r="AB190" s="441" t="str">
        <f t="shared" si="327"/>
        <v>Wireless Temperature Recorder : Merek : HIOKI, Model : LR 8510, SN : 210411984</v>
      </c>
      <c r="AC190" s="441" t="str">
        <f t="shared" si="327"/>
        <v>Wireless Temperature Recorder : Merek : HIOKI, Model : LR 8510, SN : 210411985</v>
      </c>
      <c r="AD190" s="441" t="str">
        <f t="shared" si="327"/>
        <v>Wireless Temperature Recorder : Merek : HIOKI, Model : LR 8510, SN : 210746054</v>
      </c>
      <c r="AE190" s="441" t="str">
        <f t="shared" si="327"/>
        <v>Wireless Temperature Recorder : Merek : HIOKI, Model : LR 8510, SN : 210746055</v>
      </c>
      <c r="AF190" s="441" t="str">
        <f t="shared" si="327"/>
        <v>Wireless Temperature Recorder : Merek : HIOKI, Model : LR 8510, SN : 210746056</v>
      </c>
      <c r="AG190" s="441" t="str">
        <f t="shared" si="327"/>
        <v>Wireless Temperature Recorder : Merek : HIOKI, Model : LR 8510, SN : 200821396</v>
      </c>
      <c r="AH190" s="441" t="str">
        <f t="shared" si="327"/>
        <v>Reference Thermometer, Merek : APPA, Model : APPA51, SN : 03002948</v>
      </c>
      <c r="AI190" s="441" t="str">
        <f t="shared" si="327"/>
        <v>Reference Thermometer, Merek : FLUKE, Model : 1524, SN : 1803038</v>
      </c>
      <c r="AJ190" s="441" t="str">
        <f t="shared" si="327"/>
        <v>Reference Thermometer, Merek : FLUKE, Model : 1524, SN : 1803037</v>
      </c>
      <c r="AK190" s="391"/>
      <c r="AX190" s="444"/>
      <c r="AY190" s="445"/>
      <c r="AZ190" s="446"/>
      <c r="BB190" s="396"/>
      <c r="BD190" s="444"/>
      <c r="BE190" s="445"/>
      <c r="BF190" s="446"/>
      <c r="BH190" s="396"/>
      <c r="BJ190" s="444"/>
      <c r="BK190" s="445"/>
      <c r="BL190" s="446"/>
      <c r="BN190" s="396"/>
      <c r="BP190" s="444"/>
      <c r="BQ190" s="445"/>
      <c r="BR190" s="446"/>
      <c r="BT190" s="396"/>
      <c r="BV190" s="444"/>
      <c r="BW190" s="445"/>
      <c r="BX190" s="446"/>
    </row>
    <row r="191" spans="1:97" s="447" customFormat="1" ht="6.6" customHeight="1">
      <c r="B191" s="471"/>
      <c r="C191" s="472"/>
      <c r="D191" s="452"/>
      <c r="E191" s="473"/>
      <c r="F191" s="474"/>
      <c r="G191" s="474"/>
      <c r="H191" s="474"/>
      <c r="I191" s="474"/>
      <c r="J191" s="474"/>
      <c r="K191" s="474"/>
      <c r="L191" s="474"/>
      <c r="M191" s="474"/>
      <c r="N191" s="474"/>
      <c r="O191" s="452"/>
      <c r="P191" s="451"/>
      <c r="Q191" s="451"/>
      <c r="R191" s="451"/>
      <c r="T191" s="471"/>
      <c r="U191" s="474"/>
      <c r="V191" s="474"/>
      <c r="W191" s="474"/>
      <c r="X191" s="474"/>
      <c r="Y191" s="474"/>
      <c r="Z191" s="474"/>
      <c r="AA191" s="474"/>
      <c r="AB191" s="474"/>
      <c r="AC191" s="474"/>
      <c r="AD191" s="474"/>
      <c r="AE191" s="474"/>
      <c r="AF191" s="474"/>
      <c r="AG191" s="452"/>
      <c r="AH191" s="451"/>
      <c r="AI191" s="451"/>
      <c r="AJ191" s="451"/>
      <c r="AN191" s="453"/>
      <c r="AP191" s="454"/>
      <c r="AT191" s="453"/>
      <c r="AV191" s="454"/>
      <c r="AX191" s="455"/>
      <c r="AY191" s="456"/>
      <c r="AZ191" s="457"/>
      <c r="BD191" s="455"/>
      <c r="BE191" s="456"/>
      <c r="BF191" s="457"/>
      <c r="BJ191" s="455"/>
      <c r="BK191" s="456"/>
      <c r="BL191" s="457"/>
      <c r="BP191" s="455"/>
      <c r="BQ191" s="456"/>
      <c r="BR191" s="457"/>
      <c r="BV191" s="455"/>
      <c r="BW191" s="456"/>
      <c r="BX191" s="457"/>
      <c r="BZ191" s="454"/>
    </row>
    <row r="192" spans="1:97">
      <c r="B192" s="458">
        <v>-20</v>
      </c>
      <c r="C192" s="478">
        <v>-0.56999999999999995</v>
      </c>
      <c r="D192" s="459">
        <v>-0.47</v>
      </c>
      <c r="E192" s="478">
        <v>-0.41</v>
      </c>
      <c r="F192" s="459">
        <v>-1.42</v>
      </c>
      <c r="G192" s="459">
        <v>7.0000000000000007E-2</v>
      </c>
      <c r="H192" s="459">
        <v>0.11</v>
      </c>
      <c r="I192" s="459">
        <v>0.46</v>
      </c>
      <c r="J192" s="459">
        <v>0.34</v>
      </c>
      <c r="K192" s="459">
        <v>0.54</v>
      </c>
      <c r="L192" s="459">
        <v>-0.94</v>
      </c>
      <c r="M192" s="459">
        <v>0.54</v>
      </c>
      <c r="N192" s="459">
        <v>-1.29</v>
      </c>
      <c r="O192" s="459">
        <v>-1.4</v>
      </c>
      <c r="P192" s="459">
        <f>P175</f>
        <v>-1.1000000000000001</v>
      </c>
      <c r="Q192" s="459">
        <v>-0.15</v>
      </c>
      <c r="R192" s="459">
        <v>-1.8</v>
      </c>
      <c r="S192" s="391"/>
      <c r="T192" s="458">
        <v>-20</v>
      </c>
      <c r="U192" s="459">
        <v>-0.63</v>
      </c>
      <c r="V192" s="459">
        <v>-0.43</v>
      </c>
      <c r="W192" s="459">
        <v>-0.45</v>
      </c>
      <c r="X192" s="459">
        <v>-1.37</v>
      </c>
      <c r="Y192" s="459">
        <v>0.11</v>
      </c>
      <c r="Z192" s="459">
        <v>0.15</v>
      </c>
      <c r="AA192" s="459">
        <v>0.48</v>
      </c>
      <c r="AB192" s="459">
        <v>0.35</v>
      </c>
      <c r="AC192" s="459">
        <v>0.57999999999999996</v>
      </c>
      <c r="AD192" s="459">
        <v>-0.91</v>
      </c>
      <c r="AE192" s="459">
        <v>0.57999999999999996</v>
      </c>
      <c r="AF192" s="459">
        <v>-1.27</v>
      </c>
      <c r="AG192" s="459">
        <v>-1.43</v>
      </c>
      <c r="AH192" s="459">
        <f>AH175</f>
        <v>-1.1000000000000001</v>
      </c>
      <c r="AI192" s="459">
        <v>-0.15</v>
      </c>
      <c r="AJ192" s="459">
        <v>-1.8</v>
      </c>
      <c r="AK192" s="391"/>
      <c r="AX192" s="442"/>
      <c r="AY192" s="442"/>
      <c r="BB192" s="396"/>
      <c r="BD192" s="442"/>
      <c r="BE192" s="442"/>
      <c r="BH192" s="396"/>
      <c r="BJ192" s="442"/>
      <c r="BK192" s="442"/>
      <c r="BN192" s="396"/>
      <c r="BP192" s="442"/>
      <c r="BQ192" s="442"/>
      <c r="BT192" s="396"/>
      <c r="BV192" s="442"/>
      <c r="BW192" s="442"/>
    </row>
    <row r="193" spans="1:97">
      <c r="B193" s="458">
        <v>-15</v>
      </c>
      <c r="C193" s="478">
        <v>-0.52</v>
      </c>
      <c r="D193" s="459">
        <v>-0.4</v>
      </c>
      <c r="E193" s="478">
        <v>-0.34</v>
      </c>
      <c r="F193" s="459">
        <v>-1.19</v>
      </c>
      <c r="G193" s="459">
        <v>0.12</v>
      </c>
      <c r="H193" s="459">
        <v>0.15</v>
      </c>
      <c r="I193" s="459">
        <v>0.48</v>
      </c>
      <c r="J193" s="459">
        <v>0.36</v>
      </c>
      <c r="K193" s="459">
        <v>9.9999999999999995E-7</v>
      </c>
      <c r="L193" s="459">
        <v>-0.7</v>
      </c>
      <c r="M193" s="459">
        <v>9.9999999999999995E-7</v>
      </c>
      <c r="N193" s="459">
        <v>-1.04</v>
      </c>
      <c r="O193" s="459">
        <v>-1.1399999999999999</v>
      </c>
      <c r="P193" s="459">
        <f t="shared" ref="P193:P204" si="328">P176</f>
        <v>-1.1000000000000001</v>
      </c>
      <c r="Q193" s="459">
        <v>-0.1</v>
      </c>
      <c r="R193" s="459">
        <v>-1.52</v>
      </c>
      <c r="S193" s="391"/>
      <c r="T193" s="458">
        <v>-15</v>
      </c>
      <c r="U193" s="459">
        <v>-0.56000000000000005</v>
      </c>
      <c r="V193" s="459">
        <v>-0.37</v>
      </c>
      <c r="W193" s="459">
        <v>-0.38</v>
      </c>
      <c r="X193" s="459">
        <v>-1.1399999999999999</v>
      </c>
      <c r="Y193" s="459">
        <v>0.15</v>
      </c>
      <c r="Z193" s="459">
        <v>0.18</v>
      </c>
      <c r="AA193" s="459">
        <v>0.49</v>
      </c>
      <c r="AB193" s="459">
        <v>0.38</v>
      </c>
      <c r="AC193" s="459">
        <v>9.9999999999999995E-7</v>
      </c>
      <c r="AD193" s="459">
        <v>-0.65</v>
      </c>
      <c r="AE193" s="459">
        <v>9.9999999999999995E-7</v>
      </c>
      <c r="AF193" s="459">
        <v>-1.01</v>
      </c>
      <c r="AG193" s="459">
        <v>-1.17</v>
      </c>
      <c r="AH193" s="459">
        <f t="shared" ref="AH193:AH204" si="329">AH176</f>
        <v>-1.1000000000000001</v>
      </c>
      <c r="AI193" s="459">
        <v>-0.1</v>
      </c>
      <c r="AJ193" s="459">
        <v>-1.52</v>
      </c>
      <c r="AK193" s="391"/>
      <c r="AX193" s="442"/>
      <c r="AY193" s="442"/>
      <c r="BB193" s="396"/>
      <c r="BD193" s="442"/>
      <c r="BE193" s="442"/>
      <c r="BH193" s="396"/>
      <c r="BJ193" s="442"/>
      <c r="BK193" s="442"/>
      <c r="BN193" s="396"/>
      <c r="BP193" s="442"/>
      <c r="BQ193" s="442"/>
      <c r="BT193" s="396"/>
      <c r="BV193" s="442"/>
      <c r="BW193" s="442"/>
    </row>
    <row r="194" spans="1:97">
      <c r="B194" s="458">
        <v>-10</v>
      </c>
      <c r="C194" s="478">
        <v>-0.46</v>
      </c>
      <c r="D194" s="459">
        <v>-0.34</v>
      </c>
      <c r="E194" s="478">
        <v>-0.27</v>
      </c>
      <c r="F194" s="459">
        <v>-0.94</v>
      </c>
      <c r="G194" s="459">
        <v>0.16</v>
      </c>
      <c r="H194" s="459">
        <v>0.18</v>
      </c>
      <c r="I194" s="459">
        <v>0.49</v>
      </c>
      <c r="J194" s="459">
        <v>0.38</v>
      </c>
      <c r="K194" s="459">
        <v>0.53</v>
      </c>
      <c r="L194" s="459">
        <v>-0.51</v>
      </c>
      <c r="M194" s="459">
        <v>0.53</v>
      </c>
      <c r="N194" s="459">
        <v>-0.84</v>
      </c>
      <c r="O194" s="459">
        <v>-0.91</v>
      </c>
      <c r="P194" s="459">
        <f t="shared" si="328"/>
        <v>-1.2</v>
      </c>
      <c r="Q194" s="459">
        <v>-0.05</v>
      </c>
      <c r="R194" s="459">
        <v>-1.26</v>
      </c>
      <c r="S194" s="391"/>
      <c r="T194" s="458">
        <v>-10</v>
      </c>
      <c r="U194" s="459">
        <v>-0.49</v>
      </c>
      <c r="V194" s="459">
        <v>-0.31</v>
      </c>
      <c r="W194" s="459">
        <v>-0.31</v>
      </c>
      <c r="X194" s="459">
        <v>-0.9</v>
      </c>
      <c r="Y194" s="459">
        <v>0.18</v>
      </c>
      <c r="Z194" s="459">
        <v>0.2</v>
      </c>
      <c r="AA194" s="459">
        <v>0.5</v>
      </c>
      <c r="AB194" s="459">
        <v>0.4</v>
      </c>
      <c r="AC194" s="459">
        <v>0.55000000000000004</v>
      </c>
      <c r="AD194" s="459">
        <v>-0.46</v>
      </c>
      <c r="AE194" s="459">
        <v>0.55000000000000004</v>
      </c>
      <c r="AF194" s="459">
        <v>-0.8</v>
      </c>
      <c r="AG194" s="459">
        <v>-0.94</v>
      </c>
      <c r="AH194" s="459">
        <f t="shared" si="329"/>
        <v>-1.2</v>
      </c>
      <c r="AI194" s="459">
        <v>-0.05</v>
      </c>
      <c r="AJ194" s="459">
        <v>-1.26</v>
      </c>
      <c r="AK194" s="391"/>
      <c r="AX194" s="442"/>
      <c r="AY194" s="442"/>
      <c r="BB194" s="396"/>
      <c r="BD194" s="442"/>
      <c r="BE194" s="442"/>
      <c r="BH194" s="396"/>
      <c r="BJ194" s="442"/>
      <c r="BK194" s="442"/>
      <c r="BN194" s="396"/>
      <c r="BP194" s="442"/>
      <c r="BQ194" s="442"/>
      <c r="BT194" s="396"/>
      <c r="BV194" s="442"/>
      <c r="BW194" s="442"/>
    </row>
    <row r="195" spans="1:97">
      <c r="B195" s="458">
        <v>9.9999999999999995E-7</v>
      </c>
      <c r="C195" s="478">
        <v>-0.34</v>
      </c>
      <c r="D195" s="459">
        <v>-0.22</v>
      </c>
      <c r="E195" s="478">
        <v>-0.16</v>
      </c>
      <c r="F195" s="459">
        <v>-0.3</v>
      </c>
      <c r="G195" s="459">
        <v>0.14000000000000001</v>
      </c>
      <c r="H195" s="459">
        <v>0.16</v>
      </c>
      <c r="I195" s="459">
        <v>0.43</v>
      </c>
      <c r="J195" s="459">
        <v>0.39</v>
      </c>
      <c r="K195" s="459">
        <v>0.51</v>
      </c>
      <c r="L195" s="459">
        <v>-0.27</v>
      </c>
      <c r="M195" s="459">
        <v>0.51</v>
      </c>
      <c r="N195" s="459">
        <v>-0.56999999999999995</v>
      </c>
      <c r="O195" s="459">
        <v>-0.51</v>
      </c>
      <c r="P195" s="459">
        <f t="shared" si="328"/>
        <v>-1.4</v>
      </c>
      <c r="Q195" s="459">
        <v>0.03</v>
      </c>
      <c r="R195" s="459">
        <v>-0.79</v>
      </c>
      <c r="S195" s="391"/>
      <c r="T195" s="458">
        <v>9.9999999999999995E-7</v>
      </c>
      <c r="U195" s="459">
        <v>-0.35</v>
      </c>
      <c r="V195" s="459">
        <v>-0.19</v>
      </c>
      <c r="W195" s="459">
        <v>-0.21</v>
      </c>
      <c r="X195" s="459">
        <v>-0.27</v>
      </c>
      <c r="Y195" s="459">
        <v>0.16</v>
      </c>
      <c r="Z195" s="459">
        <v>0.19</v>
      </c>
      <c r="AA195" s="459">
        <v>0.45</v>
      </c>
      <c r="AB195" s="459">
        <v>0.38</v>
      </c>
      <c r="AC195" s="459">
        <v>0.52</v>
      </c>
      <c r="AD195" s="459">
        <v>-0.25</v>
      </c>
      <c r="AE195" s="459">
        <v>0.52</v>
      </c>
      <c r="AF195" s="459">
        <v>-0.61</v>
      </c>
      <c r="AG195" s="459">
        <v>-0.53</v>
      </c>
      <c r="AH195" s="459">
        <f t="shared" si="329"/>
        <v>-1.4</v>
      </c>
      <c r="AI195" s="459">
        <v>0.03</v>
      </c>
      <c r="AJ195" s="459">
        <v>-0.79</v>
      </c>
      <c r="AK195" s="391"/>
      <c r="AX195" s="442"/>
      <c r="AY195" s="442"/>
      <c r="BB195" s="396"/>
      <c r="BD195" s="442"/>
      <c r="BE195" s="442"/>
      <c r="BH195" s="396"/>
      <c r="BJ195" s="442"/>
      <c r="BK195" s="442"/>
      <c r="BN195" s="396"/>
      <c r="BP195" s="442"/>
      <c r="BQ195" s="442"/>
      <c r="BT195" s="396"/>
      <c r="BV195" s="442"/>
      <c r="BW195" s="442"/>
    </row>
    <row r="196" spans="1:97">
      <c r="B196" s="458">
        <v>2</v>
      </c>
      <c r="C196" s="478">
        <v>-0.31</v>
      </c>
      <c r="D196" s="459">
        <v>-0.19</v>
      </c>
      <c r="E196" s="478">
        <v>-0.14000000000000001</v>
      </c>
      <c r="F196" s="459">
        <v>-0.62</v>
      </c>
      <c r="G196" s="459">
        <v>0.16</v>
      </c>
      <c r="H196" s="459">
        <v>0.18</v>
      </c>
      <c r="I196" s="459">
        <v>0.46</v>
      </c>
      <c r="J196" s="459">
        <v>0.38</v>
      </c>
      <c r="K196" s="459">
        <v>0.5</v>
      </c>
      <c r="L196" s="459">
        <v>-0.3</v>
      </c>
      <c r="M196" s="459">
        <v>0.5</v>
      </c>
      <c r="N196" s="459">
        <v>-0.56000000000000005</v>
      </c>
      <c r="O196" s="459">
        <v>-0.56999999999999995</v>
      </c>
      <c r="P196" s="459">
        <f t="shared" si="328"/>
        <v>0</v>
      </c>
      <c r="Q196" s="459">
        <v>0.04</v>
      </c>
      <c r="R196" s="459">
        <v>-0.7</v>
      </c>
      <c r="S196" s="391"/>
      <c r="T196" s="458">
        <v>2</v>
      </c>
      <c r="U196" s="459">
        <v>-0.32</v>
      </c>
      <c r="V196" s="459">
        <v>-0.17</v>
      </c>
      <c r="W196" s="459">
        <v>-0.19</v>
      </c>
      <c r="X196" s="459">
        <v>-0.56999999999999995</v>
      </c>
      <c r="Y196" s="459">
        <v>0.2</v>
      </c>
      <c r="Z196" s="459">
        <v>0.2</v>
      </c>
      <c r="AA196" s="459">
        <v>0.48</v>
      </c>
      <c r="AB196" s="459">
        <v>0.39</v>
      </c>
      <c r="AC196" s="459">
        <v>0.51</v>
      </c>
      <c r="AD196" s="459">
        <v>-0.27</v>
      </c>
      <c r="AE196" s="459">
        <v>0.51</v>
      </c>
      <c r="AF196" s="459">
        <v>-0.5</v>
      </c>
      <c r="AG196" s="459">
        <v>-0.6</v>
      </c>
      <c r="AH196" s="459">
        <f t="shared" si="329"/>
        <v>0</v>
      </c>
      <c r="AI196" s="459">
        <v>0.04</v>
      </c>
      <c r="AJ196" s="459">
        <v>-0.7</v>
      </c>
      <c r="AK196" s="391"/>
      <c r="AX196" s="442"/>
      <c r="AY196" s="442"/>
      <c r="BB196" s="396"/>
      <c r="BD196" s="442"/>
      <c r="BE196" s="442"/>
      <c r="BH196" s="396"/>
      <c r="BJ196" s="442"/>
      <c r="BK196" s="442"/>
      <c r="BN196" s="396"/>
      <c r="BP196" s="442"/>
      <c r="BQ196" s="442"/>
      <c r="BT196" s="396"/>
      <c r="BV196" s="442"/>
      <c r="BW196" s="442"/>
    </row>
    <row r="197" spans="1:97">
      <c r="B197" s="458">
        <v>8</v>
      </c>
      <c r="C197" s="478">
        <v>-0.23</v>
      </c>
      <c r="D197" s="459">
        <v>-0.12</v>
      </c>
      <c r="E197" s="478">
        <v>-0.09</v>
      </c>
      <c r="F197" s="459">
        <v>-0.34</v>
      </c>
      <c r="G197" s="459">
        <v>0.15</v>
      </c>
      <c r="H197" s="459">
        <v>0.17</v>
      </c>
      <c r="I197" s="459">
        <v>0.45</v>
      </c>
      <c r="J197" s="459">
        <v>0.37</v>
      </c>
      <c r="K197" s="459">
        <v>0.49</v>
      </c>
      <c r="L197" s="459">
        <v>-0.06</v>
      </c>
      <c r="M197" s="459">
        <v>0.49</v>
      </c>
      <c r="N197" s="459">
        <v>-0.3</v>
      </c>
      <c r="O197" s="459">
        <v>-0.31</v>
      </c>
      <c r="P197" s="459">
        <f t="shared" si="328"/>
        <v>0</v>
      </c>
      <c r="Q197" s="459">
        <v>0.08</v>
      </c>
      <c r="R197" s="459">
        <v>-0.46</v>
      </c>
      <c r="S197" s="391"/>
      <c r="T197" s="458">
        <v>8</v>
      </c>
      <c r="U197" s="459">
        <v>-0.24</v>
      </c>
      <c r="V197" s="459">
        <v>-0.1</v>
      </c>
      <c r="W197" s="459">
        <v>-0.14000000000000001</v>
      </c>
      <c r="X197" s="459">
        <v>-0.3</v>
      </c>
      <c r="Y197" s="459">
        <v>0.19</v>
      </c>
      <c r="Z197" s="459">
        <v>0.19</v>
      </c>
      <c r="AA197" s="459">
        <v>0.47</v>
      </c>
      <c r="AB197" s="459">
        <v>0.37</v>
      </c>
      <c r="AC197" s="459">
        <v>0.5</v>
      </c>
      <c r="AD197" s="459">
        <v>-0.03</v>
      </c>
      <c r="AE197" s="459">
        <v>0.5</v>
      </c>
      <c r="AF197" s="459">
        <v>-0.27</v>
      </c>
      <c r="AG197" s="459">
        <v>-0.34</v>
      </c>
      <c r="AH197" s="459">
        <f t="shared" si="329"/>
        <v>0</v>
      </c>
      <c r="AI197" s="459">
        <v>0.08</v>
      </c>
      <c r="AJ197" s="459">
        <v>-0.46</v>
      </c>
      <c r="AK197" s="391"/>
      <c r="AX197" s="442"/>
      <c r="AY197" s="442"/>
      <c r="BB197" s="396"/>
      <c r="BD197" s="442"/>
      <c r="BE197" s="442"/>
      <c r="BH197" s="396"/>
      <c r="BJ197" s="442"/>
      <c r="BK197" s="442"/>
      <c r="BN197" s="396"/>
      <c r="BP197" s="442"/>
      <c r="BQ197" s="442"/>
      <c r="BT197" s="396"/>
      <c r="BV197" s="442"/>
      <c r="BW197" s="442"/>
    </row>
    <row r="198" spans="1:97">
      <c r="B198" s="458">
        <v>37</v>
      </c>
      <c r="C198" s="478">
        <v>0.15</v>
      </c>
      <c r="D198" s="459">
        <v>0.18</v>
      </c>
      <c r="E198" s="478">
        <v>0.02</v>
      </c>
      <c r="F198" s="459">
        <v>0.56000000000000005</v>
      </c>
      <c r="G198" s="459">
        <v>0.15</v>
      </c>
      <c r="H198" s="459">
        <v>0.17</v>
      </c>
      <c r="I198" s="459">
        <v>0.43</v>
      </c>
      <c r="J198" s="459">
        <v>0.33</v>
      </c>
      <c r="K198" s="459">
        <v>0.42</v>
      </c>
      <c r="L198" s="459">
        <v>0.69</v>
      </c>
      <c r="M198" s="459">
        <v>0.42</v>
      </c>
      <c r="N198" s="459">
        <v>0.47</v>
      </c>
      <c r="O198" s="459">
        <v>0.55000000000000004</v>
      </c>
      <c r="P198" s="459">
        <f t="shared" si="328"/>
        <v>0</v>
      </c>
      <c r="Q198" s="459">
        <v>0.23</v>
      </c>
      <c r="R198" s="459">
        <v>0.42</v>
      </c>
      <c r="S198" s="391"/>
      <c r="T198" s="458">
        <v>37</v>
      </c>
      <c r="U198" s="459">
        <v>0.16</v>
      </c>
      <c r="V198" s="459">
        <v>0.19</v>
      </c>
      <c r="W198" s="459">
        <v>-0.02</v>
      </c>
      <c r="X198" s="459">
        <v>0.56999999999999995</v>
      </c>
      <c r="Y198" s="459">
        <v>0.18</v>
      </c>
      <c r="Z198" s="459">
        <v>0.18</v>
      </c>
      <c r="AA198" s="459">
        <v>0.45</v>
      </c>
      <c r="AB198" s="459">
        <v>0.33</v>
      </c>
      <c r="AC198" s="459">
        <v>0.4</v>
      </c>
      <c r="AD198" s="459">
        <v>0.7</v>
      </c>
      <c r="AE198" s="459">
        <v>0.4</v>
      </c>
      <c r="AF198" s="459">
        <v>0.49</v>
      </c>
      <c r="AG198" s="459">
        <v>0.56000000000000005</v>
      </c>
      <c r="AH198" s="459">
        <f t="shared" si="329"/>
        <v>0</v>
      </c>
      <c r="AI198" s="459">
        <v>0.23</v>
      </c>
      <c r="AJ198" s="459">
        <v>0.42</v>
      </c>
      <c r="AK198" s="391"/>
      <c r="AX198" s="442"/>
      <c r="AY198" s="442"/>
      <c r="BB198" s="396"/>
      <c r="BD198" s="442"/>
      <c r="BE198" s="442"/>
      <c r="BH198" s="396"/>
      <c r="BJ198" s="442"/>
      <c r="BK198" s="442"/>
      <c r="BN198" s="396"/>
      <c r="BP198" s="442"/>
      <c r="BQ198" s="442"/>
      <c r="BT198" s="396"/>
      <c r="BV198" s="442"/>
      <c r="BW198" s="442"/>
    </row>
    <row r="199" spans="1:97">
      <c r="B199" s="458">
        <v>44</v>
      </c>
      <c r="C199" s="478">
        <v>0.24</v>
      </c>
      <c r="D199" s="459">
        <v>0.25</v>
      </c>
      <c r="E199" s="478">
        <v>0.03</v>
      </c>
      <c r="F199" s="459">
        <v>0.69</v>
      </c>
      <c r="G199" s="459">
        <v>0.16</v>
      </c>
      <c r="H199" s="459">
        <v>0.17</v>
      </c>
      <c r="I199" s="459">
        <v>0.44</v>
      </c>
      <c r="J199" s="459">
        <v>0.33</v>
      </c>
      <c r="K199" s="459">
        <v>0.4</v>
      </c>
      <c r="L199" s="459">
        <v>0.78</v>
      </c>
      <c r="M199" s="459">
        <v>0.4</v>
      </c>
      <c r="N199" s="459">
        <v>0.56000000000000005</v>
      </c>
      <c r="O199" s="459">
        <v>0.67</v>
      </c>
      <c r="P199" s="459">
        <f t="shared" si="328"/>
        <v>0</v>
      </c>
      <c r="Q199" s="459">
        <v>0.25</v>
      </c>
      <c r="R199" s="459">
        <v>0.56999999999999995</v>
      </c>
      <c r="S199" s="391"/>
      <c r="T199" s="458">
        <v>44</v>
      </c>
      <c r="U199" s="459">
        <v>0.25</v>
      </c>
      <c r="V199" s="459">
        <v>0.25</v>
      </c>
      <c r="W199" s="459">
        <v>-0.01</v>
      </c>
      <c r="X199" s="459">
        <v>0.68</v>
      </c>
      <c r="Y199" s="459">
        <v>0.18</v>
      </c>
      <c r="Z199" s="459">
        <v>0.18</v>
      </c>
      <c r="AA199" s="459">
        <v>0.46</v>
      </c>
      <c r="AB199" s="459">
        <v>0.33</v>
      </c>
      <c r="AC199" s="459">
        <v>0.38</v>
      </c>
      <c r="AD199" s="459">
        <v>0.79</v>
      </c>
      <c r="AE199" s="459">
        <v>0.38</v>
      </c>
      <c r="AF199" s="459">
        <v>0.59</v>
      </c>
      <c r="AG199" s="459">
        <v>0.7</v>
      </c>
      <c r="AH199" s="459">
        <f t="shared" si="329"/>
        <v>0</v>
      </c>
      <c r="AI199" s="459">
        <v>0.25</v>
      </c>
      <c r="AJ199" s="459">
        <v>0.56999999999999995</v>
      </c>
      <c r="AK199" s="391"/>
      <c r="AX199" s="442"/>
      <c r="AY199" s="442"/>
      <c r="BB199" s="396"/>
      <c r="BD199" s="442"/>
      <c r="BE199" s="442"/>
      <c r="BH199" s="396"/>
      <c r="BJ199" s="442"/>
      <c r="BK199" s="442"/>
      <c r="BN199" s="396"/>
      <c r="BP199" s="442"/>
      <c r="BQ199" s="442"/>
      <c r="BT199" s="396"/>
      <c r="BV199" s="442"/>
      <c r="BW199" s="442"/>
    </row>
    <row r="200" spans="1:97">
      <c r="B200" s="458">
        <v>50</v>
      </c>
      <c r="C200" s="478">
        <v>0.31</v>
      </c>
      <c r="D200" s="459">
        <v>0.3</v>
      </c>
      <c r="E200" s="478">
        <v>0.02</v>
      </c>
      <c r="F200" s="459">
        <v>0.76</v>
      </c>
      <c r="G200" s="459">
        <v>0.17</v>
      </c>
      <c r="H200" s="459">
        <v>0.18</v>
      </c>
      <c r="I200" s="459">
        <v>0.44</v>
      </c>
      <c r="J200" s="459">
        <v>0.34</v>
      </c>
      <c r="K200" s="459">
        <v>0.38</v>
      </c>
      <c r="L200" s="459">
        <v>0.84</v>
      </c>
      <c r="M200" s="459">
        <v>0.38</v>
      </c>
      <c r="N200" s="459">
        <v>0.62</v>
      </c>
      <c r="O200" s="459">
        <v>0.75</v>
      </c>
      <c r="P200" s="459">
        <f t="shared" si="328"/>
        <v>-1</v>
      </c>
      <c r="Q200" s="459">
        <v>0.27</v>
      </c>
      <c r="R200" s="459">
        <v>0.67</v>
      </c>
      <c r="S200" s="391"/>
      <c r="T200" s="458">
        <v>50</v>
      </c>
      <c r="U200" s="459">
        <v>0.32</v>
      </c>
      <c r="V200" s="459">
        <v>0.3</v>
      </c>
      <c r="W200" s="459">
        <v>-0.02</v>
      </c>
      <c r="X200" s="459">
        <v>0.76</v>
      </c>
      <c r="Y200" s="459">
        <v>0.19</v>
      </c>
      <c r="Z200" s="459">
        <v>0.19</v>
      </c>
      <c r="AA200" s="459">
        <v>0.46</v>
      </c>
      <c r="AB200" s="459">
        <v>0.34</v>
      </c>
      <c r="AC200" s="459">
        <v>0.36</v>
      </c>
      <c r="AD200" s="459">
        <v>0.84</v>
      </c>
      <c r="AE200" s="459">
        <v>0.36</v>
      </c>
      <c r="AF200" s="459">
        <v>0.66</v>
      </c>
      <c r="AG200" s="459">
        <v>0.79</v>
      </c>
      <c r="AH200" s="459">
        <f t="shared" si="329"/>
        <v>-1</v>
      </c>
      <c r="AI200" s="459">
        <v>0.27</v>
      </c>
      <c r="AJ200" s="459">
        <v>0.67</v>
      </c>
      <c r="AK200" s="391"/>
      <c r="AX200" s="442"/>
      <c r="AY200" s="442"/>
      <c r="BB200" s="396"/>
      <c r="BD200" s="442"/>
      <c r="BE200" s="442"/>
      <c r="BH200" s="396"/>
      <c r="BJ200" s="442"/>
      <c r="BK200" s="442"/>
      <c r="BN200" s="396"/>
      <c r="BP200" s="442"/>
      <c r="BQ200" s="442"/>
      <c r="BT200" s="396"/>
      <c r="BV200" s="442"/>
      <c r="BW200" s="442"/>
    </row>
    <row r="201" spans="1:97">
      <c r="B201" s="458">
        <v>100</v>
      </c>
      <c r="C201" s="478">
        <v>0.79</v>
      </c>
      <c r="D201" s="459">
        <v>0.59</v>
      </c>
      <c r="E201" s="478">
        <v>-0.13</v>
      </c>
      <c r="F201" s="459">
        <v>0.68</v>
      </c>
      <c r="G201" s="459">
        <v>0.28000000000000003</v>
      </c>
      <c r="H201" s="459">
        <v>0.28000000000000003</v>
      </c>
      <c r="I201" s="459">
        <v>0.53</v>
      </c>
      <c r="J201" s="459">
        <v>0.46</v>
      </c>
      <c r="K201" s="459">
        <v>0.21</v>
      </c>
      <c r="L201" s="459">
        <v>0.65</v>
      </c>
      <c r="M201" s="459">
        <v>0.21</v>
      </c>
      <c r="N201" s="459">
        <v>0.39</v>
      </c>
      <c r="O201" s="459">
        <v>0.71</v>
      </c>
      <c r="P201" s="459">
        <f t="shared" si="328"/>
        <v>-1.6</v>
      </c>
      <c r="Q201" s="459">
        <v>0.31</v>
      </c>
      <c r="R201" s="459">
        <v>0.95</v>
      </c>
      <c r="S201" s="391"/>
      <c r="T201" s="458">
        <v>100</v>
      </c>
      <c r="U201" s="459">
        <v>0.78</v>
      </c>
      <c r="V201" s="459">
        <v>0.57999999999999996</v>
      </c>
      <c r="W201" s="459">
        <v>-0.14000000000000001</v>
      </c>
      <c r="X201" s="459">
        <v>0.65</v>
      </c>
      <c r="Y201" s="459">
        <v>0.28999999999999998</v>
      </c>
      <c r="Z201" s="459">
        <v>0.28000000000000003</v>
      </c>
      <c r="AA201" s="459">
        <v>0.53</v>
      </c>
      <c r="AB201" s="459">
        <v>0.46</v>
      </c>
      <c r="AC201" s="459">
        <v>0.17</v>
      </c>
      <c r="AD201" s="459">
        <v>0.63</v>
      </c>
      <c r="AE201" s="459">
        <v>0.17</v>
      </c>
      <c r="AF201" s="459">
        <v>0.63</v>
      </c>
      <c r="AG201" s="459">
        <v>0.87</v>
      </c>
      <c r="AH201" s="459">
        <f t="shared" si="329"/>
        <v>-1.6</v>
      </c>
      <c r="AI201" s="459">
        <v>0.31</v>
      </c>
      <c r="AJ201" s="459">
        <v>0.95</v>
      </c>
      <c r="AK201" s="391"/>
      <c r="AX201" s="442"/>
      <c r="AY201" s="442"/>
      <c r="BB201" s="396"/>
      <c r="BD201" s="442"/>
      <c r="BE201" s="442"/>
      <c r="BH201" s="396"/>
      <c r="BJ201" s="442"/>
      <c r="BK201" s="442"/>
      <c r="BN201" s="396"/>
      <c r="BP201" s="442"/>
      <c r="BQ201" s="442"/>
      <c r="BT201" s="396"/>
      <c r="BV201" s="442"/>
      <c r="BW201" s="442"/>
    </row>
    <row r="202" spans="1:97">
      <c r="B202" s="458">
        <v>150</v>
      </c>
      <c r="C202" s="478">
        <v>0.78</v>
      </c>
      <c r="D202" s="459">
        <v>0.57999999999999996</v>
      </c>
      <c r="E202" s="478">
        <v>-0.25</v>
      </c>
      <c r="F202" s="459">
        <v>-0.13</v>
      </c>
      <c r="G202" s="459">
        <v>0.49</v>
      </c>
      <c r="H202" s="459">
        <v>0.47</v>
      </c>
      <c r="I202" s="459">
        <v>0.7</v>
      </c>
      <c r="J202" s="459">
        <v>0.68</v>
      </c>
      <c r="K202" s="459">
        <v>9.9999999999999995E-7</v>
      </c>
      <c r="L202" s="459">
        <v>0.06</v>
      </c>
      <c r="M202" s="459">
        <v>9.9999999999999995E-7</v>
      </c>
      <c r="N202" s="459">
        <v>-0.37</v>
      </c>
      <c r="O202" s="459">
        <v>-0.11</v>
      </c>
      <c r="P202" s="459">
        <f t="shared" si="328"/>
        <v>-1.7</v>
      </c>
      <c r="Q202" s="459">
        <v>0.3</v>
      </c>
      <c r="R202" s="459">
        <v>0.49</v>
      </c>
      <c r="S202" s="391"/>
      <c r="T202" s="458">
        <v>150</v>
      </c>
      <c r="U202" s="459">
        <v>0.77</v>
      </c>
      <c r="V202" s="459">
        <v>0.57999999999999996</v>
      </c>
      <c r="W202" s="459">
        <v>-0.24</v>
      </c>
      <c r="X202" s="459">
        <v>-0.23</v>
      </c>
      <c r="Y202" s="459">
        <v>0.47</v>
      </c>
      <c r="Z202" s="459">
        <v>0.48</v>
      </c>
      <c r="AA202" s="459">
        <v>0.69</v>
      </c>
      <c r="AB202" s="459">
        <v>0.68</v>
      </c>
      <c r="AC202" s="459">
        <v>-0.05</v>
      </c>
      <c r="AD202" s="459">
        <v>-0.04</v>
      </c>
      <c r="AE202" s="459">
        <v>-0.05</v>
      </c>
      <c r="AF202" s="459">
        <v>-0.1</v>
      </c>
      <c r="AG202" s="459">
        <v>7.0000000000000007E-2</v>
      </c>
      <c r="AH202" s="459">
        <f t="shared" si="329"/>
        <v>-1.7</v>
      </c>
      <c r="AI202" s="459">
        <v>0.3</v>
      </c>
      <c r="AJ202" s="459">
        <v>0.49</v>
      </c>
      <c r="AK202" s="391"/>
      <c r="AX202" s="442"/>
      <c r="AY202" s="442"/>
      <c r="BB202" s="396"/>
      <c r="BD202" s="442"/>
      <c r="BE202" s="442"/>
      <c r="BH202" s="396"/>
      <c r="BJ202" s="442"/>
      <c r="BK202" s="442"/>
      <c r="BN202" s="396"/>
      <c r="BP202" s="442"/>
      <c r="BQ202" s="442"/>
      <c r="BT202" s="396"/>
      <c r="BV202" s="442"/>
      <c r="BW202" s="442"/>
    </row>
    <row r="203" spans="1:97">
      <c r="B203" s="458">
        <v>200</v>
      </c>
      <c r="C203" s="478">
        <v>-0.02</v>
      </c>
      <c r="D203" s="459">
        <v>0.19</v>
      </c>
      <c r="E203" s="478">
        <v>0.04</v>
      </c>
      <c r="F203" s="459">
        <v>-0.84</v>
      </c>
      <c r="G203" s="459">
        <v>0.75</v>
      </c>
      <c r="H203" s="459">
        <v>0.76</v>
      </c>
      <c r="I203" s="459">
        <v>0.91</v>
      </c>
      <c r="J203" s="459">
        <v>0.9</v>
      </c>
      <c r="K203" s="459">
        <v>-0.26</v>
      </c>
      <c r="L203" s="459">
        <v>0.09</v>
      </c>
      <c r="M203" s="459">
        <v>-0.26</v>
      </c>
      <c r="N203" s="459">
        <v>-0.74</v>
      </c>
      <c r="O203" s="459">
        <v>-1.08</v>
      </c>
      <c r="P203" s="459">
        <f t="shared" si="328"/>
        <v>-0.9</v>
      </c>
      <c r="Q203" s="459">
        <v>0.34</v>
      </c>
      <c r="R203" s="459">
        <v>-0.26</v>
      </c>
      <c r="S203" s="391"/>
      <c r="T203" s="458">
        <v>200</v>
      </c>
      <c r="U203" s="459">
        <v>0.06</v>
      </c>
      <c r="V203" s="459">
        <v>0.26</v>
      </c>
      <c r="W203" s="459">
        <v>0.03</v>
      </c>
      <c r="X203" s="459">
        <v>-1.1299999999999999</v>
      </c>
      <c r="Y203" s="459">
        <v>0.71</v>
      </c>
      <c r="Z203" s="459">
        <v>0.75</v>
      </c>
      <c r="AA203" s="459">
        <v>0.92</v>
      </c>
      <c r="AB203" s="459">
        <v>0.91</v>
      </c>
      <c r="AC203" s="459">
        <v>-0.28999999999999998</v>
      </c>
      <c r="AD203" s="459">
        <v>-0.26</v>
      </c>
      <c r="AE203" s="459">
        <v>-0.28999999999999998</v>
      </c>
      <c r="AF203" s="459">
        <v>-0.93</v>
      </c>
      <c r="AG203" s="459">
        <v>-1.1000000000000001</v>
      </c>
      <c r="AH203" s="459">
        <f t="shared" si="329"/>
        <v>-0.9</v>
      </c>
      <c r="AI203" s="459">
        <v>0.34</v>
      </c>
      <c r="AJ203" s="459">
        <v>-0.26</v>
      </c>
      <c r="AK203" s="391"/>
      <c r="AX203" s="442"/>
      <c r="AY203" s="442"/>
      <c r="BB203" s="396"/>
      <c r="BD203" s="442"/>
      <c r="BE203" s="442"/>
      <c r="BH203" s="396"/>
      <c r="BJ203" s="442"/>
      <c r="BK203" s="442"/>
      <c r="BN203" s="396"/>
      <c r="BP203" s="442"/>
      <c r="BQ203" s="442"/>
      <c r="BT203" s="396"/>
      <c r="BV203" s="442"/>
      <c r="BW203" s="442"/>
    </row>
    <row r="204" spans="1:97" s="465" customFormat="1">
      <c r="A204" s="463"/>
      <c r="B204" s="458" t="s">
        <v>208</v>
      </c>
      <c r="C204" s="479">
        <v>0.34</v>
      </c>
      <c r="D204" s="479">
        <v>0.56000000000000005</v>
      </c>
      <c r="E204" s="464">
        <v>0.28000000000000003</v>
      </c>
      <c r="F204" s="464">
        <v>0.26</v>
      </c>
      <c r="G204" s="464">
        <v>0.27</v>
      </c>
      <c r="H204" s="464">
        <v>0.25</v>
      </c>
      <c r="I204" s="464">
        <v>0.25</v>
      </c>
      <c r="J204" s="464">
        <v>0.25</v>
      </c>
      <c r="K204" s="464">
        <v>0.79</v>
      </c>
      <c r="L204" s="464">
        <v>0.26</v>
      </c>
      <c r="M204" s="464">
        <v>0.79</v>
      </c>
      <c r="N204" s="464">
        <v>0.26</v>
      </c>
      <c r="O204" s="464">
        <v>0.25</v>
      </c>
      <c r="P204" s="464">
        <f t="shared" si="328"/>
        <v>0.6</v>
      </c>
      <c r="Q204" s="464">
        <v>0.22</v>
      </c>
      <c r="R204" s="464">
        <v>0.77</v>
      </c>
      <c r="S204" s="463"/>
      <c r="T204" s="458" t="s">
        <v>208</v>
      </c>
      <c r="U204" s="464">
        <v>0.34</v>
      </c>
      <c r="V204" s="464">
        <v>0.56000000000000005</v>
      </c>
      <c r="W204" s="464">
        <v>0.28000000000000003</v>
      </c>
      <c r="X204" s="464">
        <v>0.26</v>
      </c>
      <c r="Y204" s="464">
        <v>0.26</v>
      </c>
      <c r="Z204" s="464">
        <v>0.25</v>
      </c>
      <c r="AA204" s="464">
        <v>0.24</v>
      </c>
      <c r="AB204" s="464">
        <v>0.25</v>
      </c>
      <c r="AC204" s="464">
        <v>0.79</v>
      </c>
      <c r="AD204" s="464">
        <v>0.27</v>
      </c>
      <c r="AE204" s="464">
        <v>0.79</v>
      </c>
      <c r="AF204" s="464">
        <v>0.26</v>
      </c>
      <c r="AG204" s="464">
        <v>0.25</v>
      </c>
      <c r="AH204" s="464">
        <f t="shared" si="329"/>
        <v>0.6</v>
      </c>
      <c r="AI204" s="464">
        <v>0.22</v>
      </c>
      <c r="AJ204" s="464">
        <v>0.77</v>
      </c>
      <c r="AK204" s="463"/>
      <c r="AN204" s="466"/>
      <c r="AP204" s="467"/>
      <c r="AT204" s="466"/>
      <c r="AV204" s="467"/>
      <c r="AX204" s="466"/>
      <c r="AY204" s="466"/>
      <c r="AZ204" s="466"/>
      <c r="BD204" s="466"/>
      <c r="BE204" s="466"/>
      <c r="BF204" s="466"/>
      <c r="BJ204" s="466"/>
      <c r="BK204" s="466"/>
      <c r="BL204" s="466"/>
      <c r="BP204" s="466"/>
      <c r="BQ204" s="466"/>
      <c r="BR204" s="466"/>
      <c r="BV204" s="466"/>
      <c r="BW204" s="466"/>
      <c r="BX204" s="466"/>
      <c r="BZ204" s="467"/>
      <c r="CG204" s="463"/>
      <c r="CM204" s="463"/>
      <c r="CS204" s="463"/>
    </row>
    <row r="205" spans="1:97" s="391" customFormat="1">
      <c r="V205" s="392"/>
      <c r="W205" s="392"/>
      <c r="X205" s="392"/>
      <c r="Y205" s="392"/>
      <c r="Z205" s="392"/>
      <c r="AA205" s="392"/>
      <c r="AB205" s="392"/>
      <c r="AC205" s="392"/>
      <c r="AD205" s="392"/>
      <c r="AZ205" s="392"/>
      <c r="BF205" s="392"/>
      <c r="BL205" s="392"/>
      <c r="BR205" s="392"/>
      <c r="BX205" s="392"/>
    </row>
    <row r="206" spans="1:97" s="391" customFormat="1">
      <c r="V206" s="392"/>
      <c r="W206" s="392"/>
      <c r="X206" s="392"/>
      <c r="Y206" s="392"/>
      <c r="Z206" s="392"/>
      <c r="AA206" s="392"/>
      <c r="AB206" s="392"/>
      <c r="AC206" s="392"/>
      <c r="AD206" s="392"/>
      <c r="AZ206" s="392"/>
      <c r="BF206" s="392"/>
      <c r="BL206" s="392"/>
      <c r="BR206" s="392"/>
      <c r="BX206" s="392"/>
    </row>
    <row r="207" spans="1:97" ht="97.5" customHeight="1">
      <c r="B207" s="469" t="s">
        <v>337</v>
      </c>
      <c r="C207" s="470" t="str">
        <f>C190</f>
        <v>Thermocouple Data Logger, Merek : MADGETECH, Model : OctTemp 2000, SN : P40270</v>
      </c>
      <c r="D207" s="470" t="str">
        <f t="shared" ref="D207:R207" si="330">D190</f>
        <v>Thermocouple Data Logger, Merek : MADGETECH, Model : OctTemp 2000, SN : P41878</v>
      </c>
      <c r="E207" s="470" t="str">
        <f t="shared" si="330"/>
        <v>Mobile Corder, Merek : Yokogawa, Model : GP 10, SN : S5T810599</v>
      </c>
      <c r="F207" s="470" t="str">
        <f t="shared" si="330"/>
        <v>Wireless Temperature Recorder : Merek : HIOKI, Model : LR 8510, SN : 200936000</v>
      </c>
      <c r="G207" s="470" t="str">
        <f t="shared" si="330"/>
        <v>Wireless Temperature Recorder : Merek : HIOKI, Model : LR 8510, SN : 200936001</v>
      </c>
      <c r="H207" s="470" t="str">
        <f t="shared" si="330"/>
        <v>Wireless Temperature Recorder : Merek : HIOKI, Model : LR 8510, SN : 200821397</v>
      </c>
      <c r="I207" s="470" t="str">
        <f t="shared" si="330"/>
        <v>Wireless Temperature Recorder : Merek : HIOKI, Model : LR 8510, SN : 210411983</v>
      </c>
      <c r="J207" s="470" t="str">
        <f t="shared" si="330"/>
        <v>Wireless Temperature Recorder : Merek : HIOKI, Model : LR 8510, SN : 210411984</v>
      </c>
      <c r="K207" s="470" t="str">
        <f t="shared" si="330"/>
        <v>Wireless Temperature Recorder : Merek : HIOKI, Model : LR 8510, SN : 210411985</v>
      </c>
      <c r="L207" s="470" t="str">
        <f t="shared" si="330"/>
        <v>Wireless Temperature Recorder : Merek : HIOKI, Model : LR 8510, SN : 210746054</v>
      </c>
      <c r="M207" s="470" t="str">
        <f t="shared" si="330"/>
        <v>Wireless Temperature Recorder : Merek : HIOKI, Model : LR 8510, SN : 210746055</v>
      </c>
      <c r="N207" s="470" t="str">
        <f t="shared" si="330"/>
        <v>Wireless Temperature Recorder : Merek : HIOKI, Model : LR 8510, SN : 210746056</v>
      </c>
      <c r="O207" s="470" t="str">
        <f t="shared" si="330"/>
        <v>Wireless Temperature Recorder : Merek : HIOKI, Model : LR 8510, SN : 200821396</v>
      </c>
      <c r="P207" s="470" t="str">
        <f t="shared" si="330"/>
        <v>Reference Thermometer, Merek : APPA, Model : APPA51, SN : 03002948</v>
      </c>
      <c r="Q207" s="470" t="str">
        <f t="shared" si="330"/>
        <v>Reference Thermometer, Merek : FLUKE, Model : 1524, SN : 1803038</v>
      </c>
      <c r="R207" s="470" t="str">
        <f t="shared" si="330"/>
        <v>Reference Thermometer, Merek : FLUKE, Model : 1524, SN : 1803037</v>
      </c>
      <c r="S207" s="391"/>
      <c r="T207" s="469" t="s">
        <v>338</v>
      </c>
      <c r="U207" s="441" t="str">
        <f>U190</f>
        <v>Thermocouple Data Logger, Merek : MADGETECH, Model : OctTemp 2000, SN : P40270</v>
      </c>
      <c r="V207" s="441" t="str">
        <f t="shared" ref="V207:AJ207" si="331">V190</f>
        <v>Thermocouple Data Logger, Merek : MADGETECH, Model : OctTemp 2000, SN : P41878</v>
      </c>
      <c r="W207" s="441" t="str">
        <f t="shared" si="331"/>
        <v>Mobile Corder, Merek : Yokogawa, Model : GP 10, SN : S5T810599</v>
      </c>
      <c r="X207" s="441" t="str">
        <f t="shared" si="331"/>
        <v>Wireless Temperature Recorder : Merek : HIOKI, Model : LR 8510, SN : 200936000</v>
      </c>
      <c r="Y207" s="441" t="str">
        <f t="shared" si="331"/>
        <v>Wireless Temperature Recorder : Merek : HIOKI, Model : LR 8510, SN : 200936001</v>
      </c>
      <c r="Z207" s="441" t="str">
        <f t="shared" si="331"/>
        <v>Wireless Temperature Recorder : Merek : HIOKI, Model : LR 8510, SN : 200821397</v>
      </c>
      <c r="AA207" s="441" t="str">
        <f t="shared" si="331"/>
        <v>Wireless Temperature Recorder : Merek : HIOKI, Model : LR 8510, SN : 210411983</v>
      </c>
      <c r="AB207" s="441" t="str">
        <f t="shared" si="331"/>
        <v>Wireless Temperature Recorder : Merek : HIOKI, Model : LR 8510, SN : 210411984</v>
      </c>
      <c r="AC207" s="441" t="str">
        <f t="shared" si="331"/>
        <v>Wireless Temperature Recorder : Merek : HIOKI, Model : LR 8510, SN : 210411985</v>
      </c>
      <c r="AD207" s="441" t="str">
        <f t="shared" si="331"/>
        <v>Wireless Temperature Recorder : Merek : HIOKI, Model : LR 8510, SN : 210746054</v>
      </c>
      <c r="AE207" s="441" t="str">
        <f t="shared" si="331"/>
        <v>Wireless Temperature Recorder : Merek : HIOKI, Model : LR 8510, SN : 210746055</v>
      </c>
      <c r="AF207" s="441" t="str">
        <f t="shared" si="331"/>
        <v>Wireless Temperature Recorder : Merek : HIOKI, Model : LR 8510, SN : 210746056</v>
      </c>
      <c r="AG207" s="441" t="str">
        <f t="shared" si="331"/>
        <v>Wireless Temperature Recorder : Merek : HIOKI, Model : LR 8510, SN : 200821396</v>
      </c>
      <c r="AH207" s="441" t="str">
        <f t="shared" si="331"/>
        <v>Reference Thermometer, Merek : APPA, Model : APPA51, SN : 03002948</v>
      </c>
      <c r="AI207" s="441" t="str">
        <f t="shared" si="331"/>
        <v>Reference Thermometer, Merek : FLUKE, Model : 1524, SN : 1803038</v>
      </c>
      <c r="AJ207" s="441" t="str">
        <f t="shared" si="331"/>
        <v>Reference Thermometer, Merek : FLUKE, Model : 1524, SN : 1803037</v>
      </c>
      <c r="AK207" s="391"/>
      <c r="AX207" s="444"/>
      <c r="AY207" s="445"/>
      <c r="AZ207" s="446"/>
      <c r="BB207" s="396"/>
      <c r="BD207" s="444"/>
      <c r="BE207" s="445"/>
      <c r="BF207" s="446"/>
      <c r="BH207" s="396"/>
      <c r="BJ207" s="444"/>
      <c r="BK207" s="445"/>
      <c r="BL207" s="446"/>
      <c r="BN207" s="396"/>
      <c r="BP207" s="444"/>
      <c r="BQ207" s="445"/>
      <c r="BR207" s="446"/>
      <c r="BT207" s="396"/>
      <c r="BV207" s="444"/>
      <c r="BW207" s="445"/>
      <c r="BX207" s="446"/>
    </row>
    <row r="208" spans="1:97" s="447" customFormat="1" ht="6" customHeight="1">
      <c r="B208" s="471"/>
      <c r="C208" s="473"/>
      <c r="D208" s="474"/>
      <c r="E208" s="473"/>
      <c r="F208" s="474"/>
      <c r="G208" s="474"/>
      <c r="H208" s="474"/>
      <c r="I208" s="474"/>
      <c r="J208" s="474"/>
      <c r="K208" s="474"/>
      <c r="L208" s="474"/>
      <c r="M208" s="474"/>
      <c r="N208" s="474"/>
      <c r="O208" s="474"/>
      <c r="P208" s="451"/>
      <c r="Q208" s="451"/>
      <c r="R208" s="451"/>
      <c r="T208" s="471"/>
      <c r="U208" s="474"/>
      <c r="V208" s="474"/>
      <c r="W208" s="480"/>
      <c r="X208" s="474"/>
      <c r="Y208" s="474"/>
      <c r="Z208" s="474"/>
      <c r="AA208" s="474"/>
      <c r="AB208" s="474"/>
      <c r="AC208" s="474"/>
      <c r="AD208" s="474"/>
      <c r="AE208" s="474"/>
      <c r="AF208" s="474"/>
      <c r="AG208" s="452"/>
      <c r="AH208" s="451"/>
      <c r="AI208" s="451"/>
      <c r="AJ208" s="451"/>
      <c r="AN208" s="453"/>
      <c r="AP208" s="454"/>
      <c r="AT208" s="453"/>
      <c r="AV208" s="454"/>
      <c r="AX208" s="455"/>
      <c r="AY208" s="456"/>
      <c r="AZ208" s="457"/>
      <c r="BD208" s="455"/>
      <c r="BE208" s="456"/>
      <c r="BF208" s="457"/>
      <c r="BJ208" s="455"/>
      <c r="BK208" s="456"/>
      <c r="BL208" s="457"/>
      <c r="BP208" s="455"/>
      <c r="BQ208" s="456"/>
      <c r="BR208" s="457"/>
      <c r="BV208" s="455"/>
      <c r="BW208" s="456"/>
      <c r="BX208" s="457"/>
      <c r="BZ208" s="454"/>
    </row>
    <row r="209" spans="1:97">
      <c r="B209" s="458">
        <v>-20</v>
      </c>
      <c r="C209" s="459">
        <v>-0.56999999999999995</v>
      </c>
      <c r="D209" s="459">
        <v>-0.49</v>
      </c>
      <c r="E209" s="459">
        <v>-0.36</v>
      </c>
      <c r="F209" s="459">
        <v>-1.33</v>
      </c>
      <c r="G209" s="459">
        <v>0.13</v>
      </c>
      <c r="H209" s="459">
        <v>0.16</v>
      </c>
      <c r="I209" s="459">
        <v>0.45</v>
      </c>
      <c r="J209" s="459">
        <v>0.37</v>
      </c>
      <c r="K209" s="459">
        <v>0.54</v>
      </c>
      <c r="L209" s="459">
        <v>-0.91</v>
      </c>
      <c r="M209" s="459">
        <v>0.54</v>
      </c>
      <c r="N209" s="459">
        <v>-1.3</v>
      </c>
      <c r="O209" s="459">
        <v>-1.34</v>
      </c>
      <c r="P209" s="459">
        <f>P192</f>
        <v>-1.1000000000000001</v>
      </c>
      <c r="Q209" s="459">
        <v>-0.15</v>
      </c>
      <c r="R209" s="459">
        <v>-1.8</v>
      </c>
      <c r="S209" s="391"/>
      <c r="T209" s="458">
        <v>-20</v>
      </c>
      <c r="U209" s="459">
        <v>-0.65</v>
      </c>
      <c r="V209" s="459">
        <v>-0.47</v>
      </c>
      <c r="W209" s="481">
        <v>-0.43</v>
      </c>
      <c r="X209" s="459">
        <v>-1.31</v>
      </c>
      <c r="Y209" s="459">
        <v>0.19</v>
      </c>
      <c r="Z209" s="459">
        <v>0.2</v>
      </c>
      <c r="AA209" s="459">
        <v>0.46</v>
      </c>
      <c r="AB209" s="459">
        <v>0.36</v>
      </c>
      <c r="AC209" s="459">
        <v>0.52</v>
      </c>
      <c r="AD209" s="459">
        <v>-0.95</v>
      </c>
      <c r="AE209" s="459">
        <v>0.52</v>
      </c>
      <c r="AF209" s="459">
        <v>-1.22</v>
      </c>
      <c r="AG209" s="459">
        <v>-1.36</v>
      </c>
      <c r="AH209" s="459">
        <f>AH192</f>
        <v>-1.1000000000000001</v>
      </c>
      <c r="AI209" s="459">
        <v>-0.15</v>
      </c>
      <c r="AJ209" s="459">
        <v>-1.8</v>
      </c>
      <c r="AK209" s="391"/>
      <c r="AX209" s="442"/>
      <c r="AY209" s="442"/>
      <c r="BB209" s="396"/>
      <c r="BD209" s="442"/>
      <c r="BE209" s="442"/>
      <c r="BH209" s="396"/>
      <c r="BJ209" s="442"/>
      <c r="BK209" s="442"/>
      <c r="BN209" s="396"/>
      <c r="BP209" s="442"/>
      <c r="BQ209" s="442"/>
      <c r="BT209" s="396"/>
      <c r="BV209" s="442"/>
      <c r="BW209" s="442"/>
    </row>
    <row r="210" spans="1:97">
      <c r="B210" s="458">
        <v>-15</v>
      </c>
      <c r="C210" s="459">
        <v>-0.52</v>
      </c>
      <c r="D210" s="459">
        <v>-0.42</v>
      </c>
      <c r="E210" s="459">
        <v>-0.3</v>
      </c>
      <c r="F210" s="459">
        <v>-1.1000000000000001</v>
      </c>
      <c r="G210" s="459">
        <v>0.18</v>
      </c>
      <c r="H210" s="459">
        <v>0.2</v>
      </c>
      <c r="I210" s="459">
        <v>0.46</v>
      </c>
      <c r="J210" s="459">
        <v>0.39</v>
      </c>
      <c r="K210" s="459">
        <v>9.9999999999999995E-7</v>
      </c>
      <c r="L210" s="459">
        <v>-0.66</v>
      </c>
      <c r="M210" s="459">
        <v>9.9999999999999995E-7</v>
      </c>
      <c r="N210" s="459">
        <v>-1.05</v>
      </c>
      <c r="O210" s="459">
        <v>-1.05</v>
      </c>
      <c r="P210" s="459">
        <f t="shared" ref="P210:P221" si="332">P193</f>
        <v>-1.1000000000000001</v>
      </c>
      <c r="Q210" s="459">
        <v>-0.1</v>
      </c>
      <c r="R210" s="459">
        <v>-1.52</v>
      </c>
      <c r="S210" s="391"/>
      <c r="T210" s="458">
        <v>-15</v>
      </c>
      <c r="U210" s="459">
        <v>-0.56999999999999995</v>
      </c>
      <c r="V210" s="459">
        <v>-0.4</v>
      </c>
      <c r="W210" s="481">
        <v>-0.37</v>
      </c>
      <c r="X210" s="459">
        <v>-1.07</v>
      </c>
      <c r="Y210" s="459">
        <v>0.23</v>
      </c>
      <c r="Z210" s="459">
        <v>0.23</v>
      </c>
      <c r="AA210" s="459">
        <v>0.47</v>
      </c>
      <c r="AB210" s="459">
        <v>0.38</v>
      </c>
      <c r="AC210" s="459">
        <v>9.9999999999999995E-7</v>
      </c>
      <c r="AD210" s="459">
        <v>-0.69</v>
      </c>
      <c r="AE210" s="459">
        <v>9.9999999999999995E-7</v>
      </c>
      <c r="AF210" s="459">
        <v>-0.97</v>
      </c>
      <c r="AG210" s="459">
        <v>-1.0900000000000001</v>
      </c>
      <c r="AH210" s="459">
        <f t="shared" ref="AH210:AH221" si="333">AH193</f>
        <v>-1.1000000000000001</v>
      </c>
      <c r="AI210" s="459">
        <v>-0.1</v>
      </c>
      <c r="AJ210" s="459">
        <v>-1.52</v>
      </c>
      <c r="AK210" s="391"/>
      <c r="AX210" s="442"/>
      <c r="AY210" s="442"/>
      <c r="BB210" s="396"/>
      <c r="BD210" s="442"/>
      <c r="BE210" s="442"/>
      <c r="BH210" s="396"/>
      <c r="BJ210" s="442"/>
      <c r="BK210" s="442"/>
      <c r="BN210" s="396"/>
      <c r="BP210" s="442"/>
      <c r="BQ210" s="442"/>
      <c r="BT210" s="396"/>
      <c r="BV210" s="442"/>
      <c r="BW210" s="442"/>
    </row>
    <row r="211" spans="1:97">
      <c r="B211" s="458">
        <v>-10</v>
      </c>
      <c r="C211" s="459">
        <v>-0.46</v>
      </c>
      <c r="D211" s="459">
        <v>-0.35</v>
      </c>
      <c r="E211" s="459">
        <v>-0.25</v>
      </c>
      <c r="F211" s="459">
        <v>-0.85</v>
      </c>
      <c r="G211" s="459">
        <v>0.21</v>
      </c>
      <c r="H211" s="459">
        <v>0.2</v>
      </c>
      <c r="I211" s="459">
        <v>0.47</v>
      </c>
      <c r="J211" s="459">
        <v>0.4</v>
      </c>
      <c r="K211" s="459">
        <v>0.52</v>
      </c>
      <c r="L211" s="459">
        <v>-0.47</v>
      </c>
      <c r="M211" s="459">
        <v>0.52</v>
      </c>
      <c r="N211" s="459">
        <v>-0.84</v>
      </c>
      <c r="O211" s="459">
        <v>-0.81</v>
      </c>
      <c r="P211" s="459">
        <f t="shared" si="332"/>
        <v>-1.2</v>
      </c>
      <c r="Q211" s="459">
        <v>-0.05</v>
      </c>
      <c r="R211" s="459">
        <v>-1.26</v>
      </c>
      <c r="S211" s="391"/>
      <c r="T211" s="458">
        <v>-10</v>
      </c>
      <c r="U211" s="459">
        <v>-0.5</v>
      </c>
      <c r="V211" s="459">
        <v>-0.34</v>
      </c>
      <c r="W211" s="481">
        <v>-0.31</v>
      </c>
      <c r="X211" s="459">
        <v>-0.82</v>
      </c>
      <c r="Y211" s="459">
        <v>0.26</v>
      </c>
      <c r="Z211" s="459">
        <v>0.25</v>
      </c>
      <c r="AA211" s="459">
        <v>0.48</v>
      </c>
      <c r="AB211" s="459">
        <v>0.4</v>
      </c>
      <c r="AC211" s="459">
        <v>0.5</v>
      </c>
      <c r="AD211" s="459">
        <v>-0.49</v>
      </c>
      <c r="AE211" s="459">
        <v>0.5</v>
      </c>
      <c r="AF211" s="459">
        <v>-0.77</v>
      </c>
      <c r="AG211" s="459">
        <v>-0.85</v>
      </c>
      <c r="AH211" s="459">
        <f t="shared" si="333"/>
        <v>-1.2</v>
      </c>
      <c r="AI211" s="459">
        <v>-0.05</v>
      </c>
      <c r="AJ211" s="459">
        <v>-1.26</v>
      </c>
      <c r="AK211" s="391"/>
      <c r="AX211" s="442"/>
      <c r="AY211" s="442"/>
      <c r="BB211" s="396"/>
      <c r="BD211" s="442"/>
      <c r="BE211" s="442"/>
      <c r="BH211" s="396"/>
      <c r="BJ211" s="442"/>
      <c r="BK211" s="442"/>
      <c r="BN211" s="396"/>
      <c r="BP211" s="442"/>
      <c r="BQ211" s="442"/>
      <c r="BT211" s="396"/>
      <c r="BV211" s="442"/>
      <c r="BW211" s="442"/>
    </row>
    <row r="212" spans="1:97">
      <c r="B212" s="458">
        <v>9.9999999999999995E-7</v>
      </c>
      <c r="C212" s="459">
        <v>-0.33</v>
      </c>
      <c r="D212" s="459">
        <v>-0.22</v>
      </c>
      <c r="E212" s="459">
        <v>-0.16</v>
      </c>
      <c r="F212" s="459">
        <v>-0.28000000000000003</v>
      </c>
      <c r="G212" s="459">
        <v>0.18</v>
      </c>
      <c r="H212" s="459">
        <v>0.21</v>
      </c>
      <c r="I212" s="459">
        <v>0.44</v>
      </c>
      <c r="J212" s="459">
        <v>0.39</v>
      </c>
      <c r="K212" s="459">
        <v>0.5</v>
      </c>
      <c r="L212" s="459">
        <v>-0.25</v>
      </c>
      <c r="M212" s="459">
        <v>0.5</v>
      </c>
      <c r="N212" s="459">
        <v>-0.57999999999999996</v>
      </c>
      <c r="O212" s="459">
        <v>-0.46</v>
      </c>
      <c r="P212" s="459">
        <f t="shared" si="332"/>
        <v>-1.4</v>
      </c>
      <c r="Q212" s="459">
        <v>0.03</v>
      </c>
      <c r="R212" s="459">
        <v>-0.79</v>
      </c>
      <c r="S212" s="391"/>
      <c r="T212" s="458">
        <v>9.9999999999999995E-7</v>
      </c>
      <c r="U212" s="459">
        <v>-0.36</v>
      </c>
      <c r="V212" s="459">
        <v>-0.21</v>
      </c>
      <c r="W212" s="481">
        <v>-0.21</v>
      </c>
      <c r="X212" s="459">
        <v>-0.28999999999999998</v>
      </c>
      <c r="Y212" s="459">
        <v>0.22</v>
      </c>
      <c r="Z212" s="459">
        <v>0.21</v>
      </c>
      <c r="AA212" s="459">
        <v>0.46</v>
      </c>
      <c r="AB212" s="459">
        <v>0.39</v>
      </c>
      <c r="AC212" s="459">
        <v>0.48</v>
      </c>
      <c r="AD212" s="459">
        <v>-0.27</v>
      </c>
      <c r="AE212" s="459">
        <v>0.48</v>
      </c>
      <c r="AF212" s="459">
        <v>-0.56000000000000005</v>
      </c>
      <c r="AG212" s="459">
        <v>-0.5</v>
      </c>
      <c r="AH212" s="459">
        <f t="shared" si="333"/>
        <v>-1.4</v>
      </c>
      <c r="AI212" s="459">
        <v>0.03</v>
      </c>
      <c r="AJ212" s="459">
        <v>-0.79</v>
      </c>
      <c r="AK212" s="391"/>
      <c r="AX212" s="442"/>
      <c r="AY212" s="442"/>
      <c r="BB212" s="396"/>
      <c r="BD212" s="442"/>
      <c r="BE212" s="442"/>
      <c r="BH212" s="396"/>
      <c r="BJ212" s="442"/>
      <c r="BK212" s="442"/>
      <c r="BN212" s="396"/>
      <c r="BP212" s="442"/>
      <c r="BQ212" s="442"/>
      <c r="BT212" s="396"/>
      <c r="BV212" s="442"/>
      <c r="BW212" s="442"/>
    </row>
    <row r="213" spans="1:97">
      <c r="B213" s="458">
        <v>2</v>
      </c>
      <c r="C213" s="459">
        <v>-0.3</v>
      </c>
      <c r="D213" s="459">
        <v>-0.19</v>
      </c>
      <c r="E213" s="459">
        <v>-0.15</v>
      </c>
      <c r="F213" s="459">
        <v>-0.49</v>
      </c>
      <c r="G213" s="459">
        <v>0.23</v>
      </c>
      <c r="H213" s="459">
        <v>0.23</v>
      </c>
      <c r="I213" s="459">
        <v>0.46</v>
      </c>
      <c r="J213" s="459">
        <v>0.4</v>
      </c>
      <c r="K213" s="459">
        <v>0.5</v>
      </c>
      <c r="L213" s="459">
        <v>-0.28000000000000003</v>
      </c>
      <c r="M213" s="459">
        <v>0.5</v>
      </c>
      <c r="N213" s="459">
        <v>-0.54</v>
      </c>
      <c r="O213" s="459">
        <v>-0.56000000000000005</v>
      </c>
      <c r="P213" s="459">
        <f t="shared" si="332"/>
        <v>0</v>
      </c>
      <c r="Q213" s="459">
        <v>0.04</v>
      </c>
      <c r="R213" s="459">
        <v>-0.7</v>
      </c>
      <c r="S213" s="391"/>
      <c r="T213" s="458">
        <v>2</v>
      </c>
      <c r="U213" s="459">
        <v>-0.33</v>
      </c>
      <c r="V213" s="459">
        <v>-0.19</v>
      </c>
      <c r="W213" s="481">
        <v>-0.2</v>
      </c>
      <c r="X213" s="459">
        <v>-0.51</v>
      </c>
      <c r="Y213" s="459">
        <v>0.27</v>
      </c>
      <c r="Z213" s="459">
        <v>0.25</v>
      </c>
      <c r="AA213" s="459">
        <v>0.48</v>
      </c>
      <c r="AB213" s="459">
        <v>0.4</v>
      </c>
      <c r="AC213" s="459">
        <v>0.48</v>
      </c>
      <c r="AD213" s="459">
        <v>-0.27</v>
      </c>
      <c r="AE213" s="459">
        <v>0.48</v>
      </c>
      <c r="AF213" s="459">
        <v>-0.51</v>
      </c>
      <c r="AG213" s="459">
        <v>-0.57999999999999996</v>
      </c>
      <c r="AH213" s="459">
        <f t="shared" si="333"/>
        <v>0</v>
      </c>
      <c r="AI213" s="459">
        <v>0.04</v>
      </c>
      <c r="AJ213" s="459">
        <v>-0.7</v>
      </c>
      <c r="AK213" s="391"/>
      <c r="AX213" s="442"/>
      <c r="AY213" s="442"/>
      <c r="BB213" s="396"/>
      <c r="BD213" s="442"/>
      <c r="BE213" s="442"/>
      <c r="BH213" s="396"/>
      <c r="BJ213" s="442"/>
      <c r="BK213" s="442"/>
      <c r="BN213" s="396"/>
      <c r="BP213" s="442"/>
      <c r="BQ213" s="442"/>
      <c r="BT213" s="396"/>
      <c r="BV213" s="442"/>
      <c r="BW213" s="442"/>
    </row>
    <row r="214" spans="1:97">
      <c r="B214" s="458">
        <v>8</v>
      </c>
      <c r="C214" s="459">
        <v>-0.23</v>
      </c>
      <c r="D214" s="459">
        <v>-0.12</v>
      </c>
      <c r="E214" s="459">
        <v>-0.11</v>
      </c>
      <c r="F214" s="459">
        <v>-0.26</v>
      </c>
      <c r="G214" s="459">
        <v>0.22</v>
      </c>
      <c r="H214" s="459">
        <v>0.22</v>
      </c>
      <c r="I214" s="459">
        <v>0.46</v>
      </c>
      <c r="J214" s="459">
        <v>0.38</v>
      </c>
      <c r="K214" s="459">
        <v>0.48</v>
      </c>
      <c r="L214" s="459">
        <v>-0.04</v>
      </c>
      <c r="M214" s="459">
        <v>0.48</v>
      </c>
      <c r="N214" s="459">
        <v>-0.3</v>
      </c>
      <c r="O214" s="459">
        <v>-0.28999999999999998</v>
      </c>
      <c r="P214" s="459">
        <f t="shared" si="332"/>
        <v>0</v>
      </c>
      <c r="Q214" s="459">
        <v>0.08</v>
      </c>
      <c r="R214" s="459">
        <v>-0.46</v>
      </c>
      <c r="S214" s="391"/>
      <c r="T214" s="458">
        <v>8</v>
      </c>
      <c r="U214" s="459">
        <v>-0.24</v>
      </c>
      <c r="V214" s="459">
        <v>-0.12</v>
      </c>
      <c r="W214" s="481">
        <v>-0.16</v>
      </c>
      <c r="X214" s="459">
        <v>-0.26</v>
      </c>
      <c r="Y214" s="459">
        <v>0.25</v>
      </c>
      <c r="Z214" s="459">
        <v>0.24</v>
      </c>
      <c r="AA214" s="459">
        <v>0.48</v>
      </c>
      <c r="AB214" s="459">
        <v>0.38</v>
      </c>
      <c r="AC214" s="459">
        <v>0.46</v>
      </c>
      <c r="AD214" s="459">
        <v>-0.03</v>
      </c>
      <c r="AE214" s="459">
        <v>0.46</v>
      </c>
      <c r="AF214" s="459">
        <v>-0.26</v>
      </c>
      <c r="AG214" s="459">
        <v>-0.3</v>
      </c>
      <c r="AH214" s="459">
        <f t="shared" si="333"/>
        <v>0</v>
      </c>
      <c r="AI214" s="459">
        <v>0.08</v>
      </c>
      <c r="AJ214" s="459">
        <v>-0.46</v>
      </c>
      <c r="AK214" s="391"/>
      <c r="AX214" s="442"/>
      <c r="AY214" s="442"/>
      <c r="BB214" s="396"/>
      <c r="BD214" s="442"/>
      <c r="BE214" s="442"/>
      <c r="BH214" s="396"/>
      <c r="BJ214" s="442"/>
      <c r="BK214" s="442"/>
      <c r="BN214" s="396"/>
      <c r="BP214" s="442"/>
      <c r="BQ214" s="442"/>
      <c r="BT214" s="396"/>
      <c r="BV214" s="442"/>
      <c r="BW214" s="442"/>
    </row>
    <row r="215" spans="1:97">
      <c r="B215" s="458">
        <v>37</v>
      </c>
      <c r="C215" s="459">
        <v>0.15</v>
      </c>
      <c r="D215" s="459">
        <v>0.2</v>
      </c>
      <c r="E215" s="459">
        <v>-0.04</v>
      </c>
      <c r="F215" s="459">
        <v>0.55000000000000004</v>
      </c>
      <c r="G215" s="459">
        <v>0.19</v>
      </c>
      <c r="H215" s="459">
        <v>0.21</v>
      </c>
      <c r="I215" s="459">
        <v>0.46</v>
      </c>
      <c r="J215" s="459">
        <v>0.33</v>
      </c>
      <c r="K215" s="459">
        <v>0.41</v>
      </c>
      <c r="L215" s="459">
        <v>0.7</v>
      </c>
      <c r="M215" s="459">
        <v>0.41</v>
      </c>
      <c r="N215" s="459">
        <v>0.5</v>
      </c>
      <c r="O215" s="459">
        <v>0.6</v>
      </c>
      <c r="P215" s="459">
        <f t="shared" si="332"/>
        <v>0</v>
      </c>
      <c r="Q215" s="459">
        <v>0.23</v>
      </c>
      <c r="R215" s="459">
        <v>0.42</v>
      </c>
      <c r="S215" s="391"/>
      <c r="T215" s="458">
        <v>37</v>
      </c>
      <c r="U215" s="459">
        <v>0.16</v>
      </c>
      <c r="V215" s="459">
        <v>0.19</v>
      </c>
      <c r="W215" s="481">
        <v>-0.05</v>
      </c>
      <c r="X215" s="459">
        <v>0.57999999999999996</v>
      </c>
      <c r="Y215" s="459">
        <v>0.22</v>
      </c>
      <c r="Z215" s="459">
        <v>0.23</v>
      </c>
      <c r="AA215" s="459">
        <v>0.47</v>
      </c>
      <c r="AB215" s="459">
        <v>0.33</v>
      </c>
      <c r="AC215" s="459">
        <v>0.39</v>
      </c>
      <c r="AD215" s="459">
        <v>0.72</v>
      </c>
      <c r="AE215" s="459">
        <v>0.39</v>
      </c>
      <c r="AF215" s="459">
        <v>0.49</v>
      </c>
      <c r="AG215" s="459">
        <v>0.61</v>
      </c>
      <c r="AH215" s="459">
        <f t="shared" si="333"/>
        <v>0</v>
      </c>
      <c r="AI215" s="459">
        <v>0.23</v>
      </c>
      <c r="AJ215" s="459">
        <v>0.42</v>
      </c>
      <c r="AK215" s="391"/>
      <c r="AX215" s="442"/>
      <c r="AY215" s="442"/>
      <c r="BB215" s="396"/>
      <c r="BD215" s="442"/>
      <c r="BE215" s="442"/>
      <c r="BH215" s="396"/>
      <c r="BJ215" s="442"/>
      <c r="BK215" s="442"/>
      <c r="BN215" s="396"/>
      <c r="BP215" s="442"/>
      <c r="BQ215" s="442"/>
      <c r="BT215" s="396"/>
      <c r="BV215" s="442"/>
      <c r="BW215" s="442"/>
    </row>
    <row r="216" spans="1:97">
      <c r="B216" s="458">
        <v>44</v>
      </c>
      <c r="C216" s="459">
        <v>0.24</v>
      </c>
      <c r="D216" s="459">
        <v>0.26</v>
      </c>
      <c r="E216" s="459">
        <v>-0.04</v>
      </c>
      <c r="F216" s="459">
        <v>0.67</v>
      </c>
      <c r="G216" s="459">
        <v>0.2</v>
      </c>
      <c r="H216" s="459">
        <v>0.21</v>
      </c>
      <c r="I216" s="459">
        <v>0.47</v>
      </c>
      <c r="J216" s="459">
        <v>0.33</v>
      </c>
      <c r="K216" s="459">
        <v>0.39</v>
      </c>
      <c r="L216" s="459">
        <v>0.79</v>
      </c>
      <c r="M216" s="459">
        <v>0.39</v>
      </c>
      <c r="N216" s="459">
        <v>0.61</v>
      </c>
      <c r="O216" s="459">
        <v>0.72</v>
      </c>
      <c r="P216" s="459">
        <f t="shared" si="332"/>
        <v>0</v>
      </c>
      <c r="Q216" s="459">
        <v>0.25</v>
      </c>
      <c r="R216" s="459">
        <v>0.56999999999999995</v>
      </c>
      <c r="S216" s="391"/>
      <c r="T216" s="458">
        <v>44</v>
      </c>
      <c r="U216" s="459">
        <v>0.25</v>
      </c>
      <c r="V216" s="459">
        <v>0.26</v>
      </c>
      <c r="W216" s="481">
        <v>-0.04</v>
      </c>
      <c r="X216" s="459">
        <v>0.7</v>
      </c>
      <c r="Y216" s="459">
        <v>0.21</v>
      </c>
      <c r="Z216" s="459">
        <v>0.23</v>
      </c>
      <c r="AA216" s="459">
        <v>0.48</v>
      </c>
      <c r="AB216" s="459">
        <v>0.33</v>
      </c>
      <c r="AC216" s="459">
        <v>0.37</v>
      </c>
      <c r="AD216" s="459">
        <v>0.82</v>
      </c>
      <c r="AE216" s="459">
        <v>0.37</v>
      </c>
      <c r="AF216" s="459">
        <v>0.56999999999999995</v>
      </c>
      <c r="AG216" s="459">
        <v>0.73</v>
      </c>
      <c r="AH216" s="459">
        <f t="shared" si="333"/>
        <v>0</v>
      </c>
      <c r="AI216" s="459">
        <v>0.25</v>
      </c>
      <c r="AJ216" s="459">
        <v>0.56999999999999995</v>
      </c>
      <c r="AK216" s="391"/>
      <c r="AX216" s="442"/>
      <c r="AY216" s="442"/>
      <c r="BB216" s="396"/>
      <c r="BD216" s="442"/>
      <c r="BE216" s="442"/>
      <c r="BH216" s="396"/>
      <c r="BJ216" s="442"/>
      <c r="BK216" s="442"/>
      <c r="BN216" s="396"/>
      <c r="BP216" s="442"/>
      <c r="BQ216" s="442"/>
      <c r="BT216" s="396"/>
      <c r="BV216" s="442"/>
      <c r="BW216" s="442"/>
    </row>
    <row r="217" spans="1:97">
      <c r="B217" s="458">
        <v>50</v>
      </c>
      <c r="C217" s="459">
        <v>0.31</v>
      </c>
      <c r="D217" s="459">
        <v>0.31</v>
      </c>
      <c r="E217" s="459">
        <v>-0.05</v>
      </c>
      <c r="F217" s="459">
        <v>0.75</v>
      </c>
      <c r="G217" s="459">
        <v>0.2</v>
      </c>
      <c r="H217" s="459">
        <v>0.22</v>
      </c>
      <c r="I217" s="459">
        <v>0.47</v>
      </c>
      <c r="J217" s="459">
        <v>0.33</v>
      </c>
      <c r="K217" s="459">
        <v>0.37</v>
      </c>
      <c r="L217" s="459">
        <v>0.84</v>
      </c>
      <c r="M217" s="459">
        <v>0.37</v>
      </c>
      <c r="N217" s="459">
        <v>0.68</v>
      </c>
      <c r="O217" s="459">
        <v>0.8</v>
      </c>
      <c r="P217" s="459">
        <f t="shared" si="332"/>
        <v>-1</v>
      </c>
      <c r="Q217" s="459">
        <v>0.27</v>
      </c>
      <c r="R217" s="459">
        <v>0.67</v>
      </c>
      <c r="S217" s="391"/>
      <c r="T217" s="458">
        <v>50</v>
      </c>
      <c r="U217" s="459">
        <v>0.32</v>
      </c>
      <c r="V217" s="459">
        <v>0.31</v>
      </c>
      <c r="W217" s="481">
        <v>-0.05</v>
      </c>
      <c r="X217" s="459">
        <v>0.79</v>
      </c>
      <c r="Y217" s="459">
        <v>0.21</v>
      </c>
      <c r="Z217" s="459">
        <v>0.23</v>
      </c>
      <c r="AA217" s="459">
        <v>0.48</v>
      </c>
      <c r="AB217" s="459">
        <v>0.34</v>
      </c>
      <c r="AC217" s="459">
        <v>0.35</v>
      </c>
      <c r="AD217" s="459">
        <v>0.87</v>
      </c>
      <c r="AE217" s="459">
        <v>0.35</v>
      </c>
      <c r="AF217" s="459">
        <v>0.62</v>
      </c>
      <c r="AG217" s="459">
        <v>0.81</v>
      </c>
      <c r="AH217" s="459">
        <f t="shared" si="333"/>
        <v>-1</v>
      </c>
      <c r="AI217" s="459">
        <v>0.27</v>
      </c>
      <c r="AJ217" s="459">
        <v>0.67</v>
      </c>
      <c r="AK217" s="391"/>
      <c r="AX217" s="442"/>
      <c r="AY217" s="442"/>
      <c r="BB217" s="396"/>
      <c r="BD217" s="442"/>
      <c r="BE217" s="442"/>
      <c r="BH217" s="396"/>
      <c r="BJ217" s="442"/>
      <c r="BK217" s="442"/>
      <c r="BN217" s="396"/>
      <c r="BP217" s="442"/>
      <c r="BQ217" s="442"/>
      <c r="BT217" s="396"/>
      <c r="BV217" s="442"/>
      <c r="BW217" s="442"/>
    </row>
    <row r="218" spans="1:97">
      <c r="B218" s="458">
        <v>100</v>
      </c>
      <c r="C218" s="459">
        <v>0.77</v>
      </c>
      <c r="D218" s="459">
        <v>0.56999999999999995</v>
      </c>
      <c r="E218" s="459">
        <v>-0.19</v>
      </c>
      <c r="F218" s="459">
        <v>0.79</v>
      </c>
      <c r="G218" s="459">
        <v>0.28999999999999998</v>
      </c>
      <c r="H218" s="459">
        <v>0.32</v>
      </c>
      <c r="I218" s="459">
        <v>0.57999999999999996</v>
      </c>
      <c r="J218" s="459">
        <v>0.42</v>
      </c>
      <c r="K218" s="459">
        <v>0.2</v>
      </c>
      <c r="L218" s="459">
        <v>0.6</v>
      </c>
      <c r="M218" s="459">
        <v>0.2</v>
      </c>
      <c r="N218" s="459">
        <v>0.63</v>
      </c>
      <c r="O218" s="459">
        <v>0.68</v>
      </c>
      <c r="P218" s="459">
        <f t="shared" si="332"/>
        <v>-1.6</v>
      </c>
      <c r="Q218" s="459">
        <v>0.31</v>
      </c>
      <c r="R218" s="459">
        <v>0.95</v>
      </c>
      <c r="S218" s="391"/>
      <c r="T218" s="458">
        <v>100</v>
      </c>
      <c r="U218" s="459">
        <v>0.75</v>
      </c>
      <c r="V218" s="459">
        <v>0.61</v>
      </c>
      <c r="W218" s="481">
        <v>-0.17</v>
      </c>
      <c r="X218" s="459">
        <v>0.82</v>
      </c>
      <c r="Y218" s="459">
        <v>0.28000000000000003</v>
      </c>
      <c r="Z218" s="459">
        <v>0.33</v>
      </c>
      <c r="AA218" s="459">
        <v>0.57999999999999996</v>
      </c>
      <c r="AB218" s="459">
        <v>0.43</v>
      </c>
      <c r="AC218" s="459">
        <v>0.19</v>
      </c>
      <c r="AD218" s="459">
        <v>0.71</v>
      </c>
      <c r="AE218" s="459">
        <v>0.19</v>
      </c>
      <c r="AF218" s="459">
        <v>0.31</v>
      </c>
      <c r="AG218" s="459">
        <v>0.66</v>
      </c>
      <c r="AH218" s="459">
        <f t="shared" si="333"/>
        <v>-1.6</v>
      </c>
      <c r="AI218" s="459">
        <v>0.31</v>
      </c>
      <c r="AJ218" s="459">
        <v>0.95</v>
      </c>
      <c r="AK218" s="391"/>
      <c r="AX218" s="442"/>
      <c r="AY218" s="442"/>
      <c r="BB218" s="396"/>
      <c r="BD218" s="442"/>
      <c r="BE218" s="442"/>
      <c r="BH218" s="396"/>
      <c r="BJ218" s="442"/>
      <c r="BK218" s="442"/>
      <c r="BN218" s="396"/>
      <c r="BP218" s="442"/>
      <c r="BQ218" s="442"/>
      <c r="BT218" s="396"/>
      <c r="BV218" s="442"/>
      <c r="BW218" s="442"/>
    </row>
    <row r="219" spans="1:97">
      <c r="B219" s="458">
        <v>150</v>
      </c>
      <c r="C219" s="459">
        <v>0.77</v>
      </c>
      <c r="D219" s="459">
        <v>0.55000000000000004</v>
      </c>
      <c r="E219" s="459">
        <v>-0.27</v>
      </c>
      <c r="F219" s="459">
        <v>0.06</v>
      </c>
      <c r="G219" s="459">
        <v>0.47</v>
      </c>
      <c r="H219" s="459">
        <v>0.52</v>
      </c>
      <c r="I219" s="459">
        <v>0.76</v>
      </c>
      <c r="J219" s="459">
        <v>0.62</v>
      </c>
      <c r="K219" s="459">
        <v>-0.02</v>
      </c>
      <c r="L219" s="459">
        <v>-0.1</v>
      </c>
      <c r="M219" s="459">
        <v>-0.02</v>
      </c>
      <c r="N219" s="459">
        <v>-7.0000000000000007E-2</v>
      </c>
      <c r="O219" s="459">
        <v>-0.3</v>
      </c>
      <c r="P219" s="459">
        <f t="shared" si="332"/>
        <v>-1.7</v>
      </c>
      <c r="Q219" s="459">
        <v>0.3</v>
      </c>
      <c r="R219" s="459">
        <v>0.49</v>
      </c>
      <c r="S219" s="391"/>
      <c r="T219" s="458">
        <v>150</v>
      </c>
      <c r="U219" s="459">
        <v>0.71</v>
      </c>
      <c r="V219" s="459">
        <v>0.56999999999999995</v>
      </c>
      <c r="W219" s="481">
        <v>-0.26</v>
      </c>
      <c r="X219" s="459">
        <v>0.09</v>
      </c>
      <c r="Y219" s="459">
        <v>0.44</v>
      </c>
      <c r="Z219" s="459">
        <v>0.51</v>
      </c>
      <c r="AA219" s="459">
        <v>0.74</v>
      </c>
      <c r="AB219" s="459">
        <v>0.62</v>
      </c>
      <c r="AC219" s="459">
        <v>-0.02</v>
      </c>
      <c r="AD219" s="459">
        <v>0.09</v>
      </c>
      <c r="AE219" s="459">
        <v>-0.02</v>
      </c>
      <c r="AF219" s="459">
        <v>-0.56999999999999995</v>
      </c>
      <c r="AG219" s="459">
        <v>-0.22</v>
      </c>
      <c r="AH219" s="459">
        <f t="shared" si="333"/>
        <v>-1.7</v>
      </c>
      <c r="AI219" s="459">
        <v>0.3</v>
      </c>
      <c r="AJ219" s="459">
        <v>0.49</v>
      </c>
      <c r="AK219" s="391"/>
      <c r="AX219" s="442"/>
      <c r="AY219" s="442"/>
      <c r="BB219" s="396"/>
      <c r="BD219" s="442"/>
      <c r="BE219" s="442"/>
      <c r="BH219" s="396"/>
      <c r="BJ219" s="442"/>
      <c r="BK219" s="442"/>
      <c r="BN219" s="396"/>
      <c r="BP219" s="442"/>
      <c r="BQ219" s="442"/>
      <c r="BT219" s="396"/>
      <c r="BV219" s="442"/>
      <c r="BW219" s="442"/>
    </row>
    <row r="220" spans="1:97">
      <c r="B220" s="458">
        <v>200</v>
      </c>
      <c r="C220" s="459">
        <v>0.02</v>
      </c>
      <c r="D220" s="459">
        <v>0.24</v>
      </c>
      <c r="E220" s="459">
        <v>0.04</v>
      </c>
      <c r="F220" s="459">
        <v>-0.9</v>
      </c>
      <c r="G220" s="459">
        <v>0.7</v>
      </c>
      <c r="H220" s="459">
        <v>0.76</v>
      </c>
      <c r="I220" s="459">
        <v>0.98</v>
      </c>
      <c r="J220" s="459">
        <v>0.83</v>
      </c>
      <c r="K220" s="459">
        <v>-0.28000000000000003</v>
      </c>
      <c r="L220" s="459">
        <v>-0.31</v>
      </c>
      <c r="M220" s="459">
        <v>-0.28000000000000003</v>
      </c>
      <c r="N220" s="459">
        <v>-0.74</v>
      </c>
      <c r="O220" s="459">
        <v>-1.43</v>
      </c>
      <c r="P220" s="459">
        <f t="shared" si="332"/>
        <v>-0.9</v>
      </c>
      <c r="Q220" s="459">
        <v>0.34</v>
      </c>
      <c r="R220" s="459">
        <v>-0.26</v>
      </c>
      <c r="S220" s="391"/>
      <c r="T220" s="458">
        <v>200</v>
      </c>
      <c r="U220" s="459">
        <v>-0.06</v>
      </c>
      <c r="V220" s="459">
        <v>0.11</v>
      </c>
      <c r="W220" s="481">
        <v>-0.03</v>
      </c>
      <c r="X220" s="459">
        <v>-0.86</v>
      </c>
      <c r="Y220" s="459">
        <v>0.67</v>
      </c>
      <c r="Z220" s="459">
        <v>0.76</v>
      </c>
      <c r="AA220" s="459">
        <v>0.96</v>
      </c>
      <c r="AB220" s="459">
        <v>0.82</v>
      </c>
      <c r="AC220" s="459">
        <v>-0.26</v>
      </c>
      <c r="AD220" s="459">
        <v>-0.06</v>
      </c>
      <c r="AE220" s="459">
        <v>-0.26</v>
      </c>
      <c r="AF220" s="459">
        <v>-1.06</v>
      </c>
      <c r="AG220" s="459">
        <v>-0.93</v>
      </c>
      <c r="AH220" s="459">
        <f t="shared" si="333"/>
        <v>-0.9</v>
      </c>
      <c r="AI220" s="459">
        <v>0.34</v>
      </c>
      <c r="AJ220" s="459">
        <v>-0.26</v>
      </c>
      <c r="AK220" s="391"/>
      <c r="AX220" s="442"/>
      <c r="AY220" s="442"/>
      <c r="BB220" s="396"/>
      <c r="BD220" s="442"/>
      <c r="BE220" s="442"/>
      <c r="BH220" s="396"/>
      <c r="BJ220" s="442"/>
      <c r="BK220" s="442"/>
      <c r="BN220" s="396"/>
      <c r="BP220" s="442"/>
      <c r="BQ220" s="442"/>
      <c r="BT220" s="396"/>
      <c r="BV220" s="442"/>
      <c r="BW220" s="442"/>
    </row>
    <row r="221" spans="1:97" s="465" customFormat="1">
      <c r="A221" s="463"/>
      <c r="B221" s="458" t="s">
        <v>208</v>
      </c>
      <c r="C221" s="464">
        <v>0.34</v>
      </c>
      <c r="D221" s="464">
        <v>0.56000000000000005</v>
      </c>
      <c r="E221" s="464">
        <v>0.28000000000000003</v>
      </c>
      <c r="F221" s="464">
        <v>0.25</v>
      </c>
      <c r="G221" s="464">
        <v>0.26</v>
      </c>
      <c r="H221" s="464">
        <v>0.26</v>
      </c>
      <c r="I221" s="464">
        <v>0.25</v>
      </c>
      <c r="J221" s="464">
        <v>0.25</v>
      </c>
      <c r="K221" s="464">
        <v>0.79</v>
      </c>
      <c r="L221" s="464">
        <v>0.27</v>
      </c>
      <c r="M221" s="464">
        <v>0.79</v>
      </c>
      <c r="N221" s="464">
        <v>0.26</v>
      </c>
      <c r="O221" s="464">
        <v>0.27</v>
      </c>
      <c r="P221" s="464">
        <f t="shared" si="332"/>
        <v>0.6</v>
      </c>
      <c r="Q221" s="464">
        <v>0.22</v>
      </c>
      <c r="R221" s="464">
        <v>0.77</v>
      </c>
      <c r="S221" s="463"/>
      <c r="T221" s="458" t="s">
        <v>208</v>
      </c>
      <c r="U221" s="464">
        <v>0.34</v>
      </c>
      <c r="V221" s="464">
        <v>0.56000000000000005</v>
      </c>
      <c r="W221" s="482">
        <v>0.28000000000000003</v>
      </c>
      <c r="X221" s="464">
        <v>0.26</v>
      </c>
      <c r="Y221" s="464">
        <v>0.26</v>
      </c>
      <c r="Z221" s="464">
        <v>0.26</v>
      </c>
      <c r="AA221" s="464">
        <v>0.25</v>
      </c>
      <c r="AB221" s="464">
        <v>0.25</v>
      </c>
      <c r="AC221" s="464">
        <v>0.79</v>
      </c>
      <c r="AD221" s="464">
        <v>0.27</v>
      </c>
      <c r="AE221" s="464">
        <v>0.79</v>
      </c>
      <c r="AF221" s="464">
        <v>0.26</v>
      </c>
      <c r="AG221" s="464">
        <v>0.28000000000000003</v>
      </c>
      <c r="AH221" s="464">
        <f t="shared" si="333"/>
        <v>0.6</v>
      </c>
      <c r="AI221" s="464">
        <v>0.22</v>
      </c>
      <c r="AJ221" s="464">
        <v>0.77</v>
      </c>
      <c r="AK221" s="463"/>
      <c r="AN221" s="466"/>
      <c r="AP221" s="467"/>
      <c r="AT221" s="466"/>
      <c r="AV221" s="467"/>
      <c r="AX221" s="466"/>
      <c r="AY221" s="466"/>
      <c r="AZ221" s="466"/>
      <c r="BD221" s="466"/>
      <c r="BE221" s="466"/>
      <c r="BF221" s="466"/>
      <c r="BJ221" s="466"/>
      <c r="BK221" s="466"/>
      <c r="BL221" s="466"/>
      <c r="BP221" s="466"/>
      <c r="BQ221" s="466"/>
      <c r="BR221" s="466"/>
      <c r="BV221" s="466"/>
      <c r="BW221" s="466"/>
      <c r="BX221" s="466"/>
      <c r="BZ221" s="467"/>
      <c r="CG221" s="463"/>
      <c r="CM221" s="463"/>
      <c r="CS221" s="463"/>
    </row>
    <row r="222" spans="1:97" s="391" customFormat="1">
      <c r="B222" s="392"/>
      <c r="C222" s="392"/>
      <c r="D222" s="392"/>
      <c r="E222" s="392"/>
      <c r="F222" s="392"/>
      <c r="G222" s="392"/>
      <c r="H222" s="392"/>
      <c r="I222" s="392"/>
      <c r="J222" s="392"/>
      <c r="K222" s="392"/>
      <c r="L222" s="392"/>
      <c r="M222" s="392"/>
      <c r="N222" s="392"/>
      <c r="O222" s="392"/>
      <c r="P222" s="392"/>
      <c r="Q222" s="392"/>
      <c r="T222" s="392"/>
      <c r="U222" s="392"/>
      <c r="V222" s="392"/>
      <c r="W222" s="392"/>
      <c r="X222" s="392"/>
      <c r="Y222" s="392"/>
      <c r="Z222" s="392"/>
      <c r="AA222" s="392"/>
      <c r="AB222" s="392"/>
      <c r="AC222" s="392"/>
      <c r="AD222" s="392"/>
      <c r="AE222" s="392"/>
      <c r="AF222" s="392"/>
      <c r="AG222" s="392"/>
      <c r="AI222" s="393"/>
      <c r="AZ222" s="392"/>
      <c r="BB222" s="393"/>
      <c r="BF222" s="392"/>
      <c r="BH222" s="393"/>
      <c r="BL222" s="392"/>
      <c r="BN222" s="393"/>
      <c r="BR222" s="392"/>
      <c r="BT222" s="393"/>
      <c r="BX222" s="392"/>
      <c r="BZ222" s="393"/>
    </row>
    <row r="223" spans="1:97" ht="97.5" customHeight="1">
      <c r="B223" s="469" t="s">
        <v>339</v>
      </c>
      <c r="C223" s="470" t="str">
        <f>C207</f>
        <v>Thermocouple Data Logger, Merek : MADGETECH, Model : OctTemp 2000, SN : P40270</v>
      </c>
      <c r="D223" s="470" t="str">
        <f t="shared" ref="D223:R223" si="334">D207</f>
        <v>Thermocouple Data Logger, Merek : MADGETECH, Model : OctTemp 2000, SN : P41878</v>
      </c>
      <c r="E223" s="470" t="str">
        <f t="shared" si="334"/>
        <v>Mobile Corder, Merek : Yokogawa, Model : GP 10, SN : S5T810599</v>
      </c>
      <c r="F223" s="470" t="str">
        <f t="shared" si="334"/>
        <v>Wireless Temperature Recorder : Merek : HIOKI, Model : LR 8510, SN : 200936000</v>
      </c>
      <c r="G223" s="470" t="str">
        <f t="shared" si="334"/>
        <v>Wireless Temperature Recorder : Merek : HIOKI, Model : LR 8510, SN : 200936001</v>
      </c>
      <c r="H223" s="470" t="str">
        <f t="shared" si="334"/>
        <v>Wireless Temperature Recorder : Merek : HIOKI, Model : LR 8510, SN : 200821397</v>
      </c>
      <c r="I223" s="470" t="str">
        <f t="shared" si="334"/>
        <v>Wireless Temperature Recorder : Merek : HIOKI, Model : LR 8510, SN : 210411983</v>
      </c>
      <c r="J223" s="470" t="str">
        <f t="shared" si="334"/>
        <v>Wireless Temperature Recorder : Merek : HIOKI, Model : LR 8510, SN : 210411984</v>
      </c>
      <c r="K223" s="470" t="str">
        <f t="shared" si="334"/>
        <v>Wireless Temperature Recorder : Merek : HIOKI, Model : LR 8510, SN : 210411985</v>
      </c>
      <c r="L223" s="470" t="str">
        <f t="shared" si="334"/>
        <v>Wireless Temperature Recorder : Merek : HIOKI, Model : LR 8510, SN : 210746054</v>
      </c>
      <c r="M223" s="470" t="str">
        <f t="shared" si="334"/>
        <v>Wireless Temperature Recorder : Merek : HIOKI, Model : LR 8510, SN : 210746055</v>
      </c>
      <c r="N223" s="470" t="str">
        <f t="shared" si="334"/>
        <v>Wireless Temperature Recorder : Merek : HIOKI, Model : LR 8510, SN : 210746056</v>
      </c>
      <c r="O223" s="441" t="str">
        <f t="shared" si="334"/>
        <v>Wireless Temperature Recorder : Merek : HIOKI, Model : LR 8510, SN : 200821396</v>
      </c>
      <c r="P223" s="441" t="str">
        <f t="shared" si="334"/>
        <v>Reference Thermometer, Merek : APPA, Model : APPA51, SN : 03002948</v>
      </c>
      <c r="Q223" s="441" t="str">
        <f t="shared" si="334"/>
        <v>Reference Thermometer, Merek : FLUKE, Model : 1524, SN : 1803038</v>
      </c>
      <c r="R223" s="441" t="str">
        <f t="shared" si="334"/>
        <v>Reference Thermometer, Merek : FLUKE, Model : 1524, SN : 1803037</v>
      </c>
      <c r="S223" s="391"/>
      <c r="T223" s="469" t="s">
        <v>340</v>
      </c>
      <c r="U223" s="441" t="str">
        <f>U207</f>
        <v>Thermocouple Data Logger, Merek : MADGETECH, Model : OctTemp 2000, SN : P40270</v>
      </c>
      <c r="V223" s="441" t="str">
        <f t="shared" ref="V223:AJ223" si="335">V207</f>
        <v>Thermocouple Data Logger, Merek : MADGETECH, Model : OctTemp 2000, SN : P41878</v>
      </c>
      <c r="W223" s="441" t="str">
        <f t="shared" si="335"/>
        <v>Mobile Corder, Merek : Yokogawa, Model : GP 10, SN : S5T810599</v>
      </c>
      <c r="X223" s="441" t="str">
        <f t="shared" si="335"/>
        <v>Wireless Temperature Recorder : Merek : HIOKI, Model : LR 8510, SN : 200936000</v>
      </c>
      <c r="Y223" s="441" t="str">
        <f t="shared" si="335"/>
        <v>Wireless Temperature Recorder : Merek : HIOKI, Model : LR 8510, SN : 200936001</v>
      </c>
      <c r="Z223" s="441" t="str">
        <f t="shared" si="335"/>
        <v>Wireless Temperature Recorder : Merek : HIOKI, Model : LR 8510, SN : 200821397</v>
      </c>
      <c r="AA223" s="441" t="str">
        <f t="shared" si="335"/>
        <v>Wireless Temperature Recorder : Merek : HIOKI, Model : LR 8510, SN : 210411983</v>
      </c>
      <c r="AB223" s="441" t="str">
        <f t="shared" si="335"/>
        <v>Wireless Temperature Recorder : Merek : HIOKI, Model : LR 8510, SN : 210411984</v>
      </c>
      <c r="AC223" s="441" t="str">
        <f t="shared" si="335"/>
        <v>Wireless Temperature Recorder : Merek : HIOKI, Model : LR 8510, SN : 210411985</v>
      </c>
      <c r="AD223" s="441" t="str">
        <f t="shared" si="335"/>
        <v>Wireless Temperature Recorder : Merek : HIOKI, Model : LR 8510, SN : 210746054</v>
      </c>
      <c r="AE223" s="441" t="str">
        <f t="shared" si="335"/>
        <v>Wireless Temperature Recorder : Merek : HIOKI, Model : LR 8510, SN : 210746055</v>
      </c>
      <c r="AF223" s="441" t="str">
        <f t="shared" si="335"/>
        <v>Wireless Temperature Recorder : Merek : HIOKI, Model : LR 8510, SN : 210746056</v>
      </c>
      <c r="AG223" s="441" t="str">
        <f t="shared" si="335"/>
        <v>Wireless Temperature Recorder : Merek : HIOKI, Model : LR 8510, SN : 200821396</v>
      </c>
      <c r="AH223" s="441" t="str">
        <f t="shared" si="335"/>
        <v>Reference Thermometer, Merek : APPA, Model : APPA51, SN : 03002948</v>
      </c>
      <c r="AI223" s="441" t="str">
        <f t="shared" si="335"/>
        <v>Reference Thermometer, Merek : FLUKE, Model : 1524, SN : 1803038</v>
      </c>
      <c r="AJ223" s="441" t="str">
        <f t="shared" si="335"/>
        <v>Reference Thermometer, Merek : FLUKE, Model : 1524, SN : 1803037</v>
      </c>
      <c r="AK223" s="391"/>
      <c r="AX223" s="444"/>
      <c r="AY223" s="445"/>
      <c r="AZ223" s="446"/>
      <c r="BB223" s="396"/>
      <c r="BD223" s="444"/>
      <c r="BE223" s="445"/>
      <c r="BF223" s="446"/>
      <c r="BH223" s="396"/>
      <c r="BJ223" s="444"/>
      <c r="BK223" s="445"/>
      <c r="BL223" s="446"/>
      <c r="BN223" s="396"/>
      <c r="BP223" s="444"/>
      <c r="BQ223" s="445"/>
      <c r="BR223" s="446"/>
      <c r="BT223" s="396"/>
      <c r="BV223" s="444"/>
      <c r="BW223" s="445"/>
      <c r="BX223" s="446"/>
      <c r="BZ223" s="396"/>
    </row>
    <row r="224" spans="1:97" s="447" customFormat="1" ht="6" customHeight="1">
      <c r="B224" s="471"/>
      <c r="C224" s="472"/>
      <c r="D224" s="472"/>
      <c r="E224" s="472"/>
      <c r="F224" s="472"/>
      <c r="G224" s="472"/>
      <c r="H224" s="472"/>
      <c r="I224" s="472"/>
      <c r="J224" s="472"/>
      <c r="K224" s="472"/>
      <c r="L224" s="472"/>
      <c r="M224" s="472"/>
      <c r="N224" s="472"/>
      <c r="O224" s="452"/>
      <c r="P224" s="451"/>
      <c r="Q224" s="451"/>
      <c r="R224" s="451"/>
      <c r="T224" s="471"/>
      <c r="U224" s="474"/>
      <c r="V224" s="474"/>
      <c r="W224" s="474"/>
      <c r="X224" s="474"/>
      <c r="Y224" s="474"/>
      <c r="Z224" s="474"/>
      <c r="AA224" s="474"/>
      <c r="AB224" s="474"/>
      <c r="AC224" s="474"/>
      <c r="AD224" s="474"/>
      <c r="AE224" s="474"/>
      <c r="AF224" s="474"/>
      <c r="AG224" s="452"/>
      <c r="AH224" s="451"/>
      <c r="AI224" s="451"/>
      <c r="AJ224" s="451"/>
      <c r="AN224" s="453"/>
      <c r="AP224" s="454"/>
      <c r="AT224" s="453"/>
      <c r="AV224" s="454"/>
      <c r="AX224" s="455"/>
      <c r="AY224" s="456"/>
      <c r="AZ224" s="457"/>
      <c r="BD224" s="455"/>
      <c r="BE224" s="456"/>
      <c r="BF224" s="457"/>
      <c r="BJ224" s="455"/>
      <c r="BK224" s="456"/>
      <c r="BL224" s="457"/>
      <c r="BP224" s="455"/>
      <c r="BQ224" s="456"/>
      <c r="BR224" s="457"/>
      <c r="BV224" s="455"/>
      <c r="BW224" s="456"/>
      <c r="BX224" s="457"/>
    </row>
    <row r="225" spans="1:97">
      <c r="B225" s="458">
        <v>-20</v>
      </c>
      <c r="C225" s="459">
        <v>9.9999999999999995E-7</v>
      </c>
      <c r="D225" s="459">
        <v>9.9999999999999995E-7</v>
      </c>
      <c r="E225" s="459">
        <v>-0.45</v>
      </c>
      <c r="F225" s="459">
        <v>-1.4</v>
      </c>
      <c r="G225" s="459">
        <v>0.2</v>
      </c>
      <c r="H225" s="459">
        <v>0.19</v>
      </c>
      <c r="I225" s="459">
        <v>0.44</v>
      </c>
      <c r="J225" s="459">
        <v>0.36</v>
      </c>
      <c r="K225" s="459">
        <v>0.5</v>
      </c>
      <c r="L225" s="459">
        <v>-1.1100000000000001</v>
      </c>
      <c r="M225" s="459">
        <v>0.5</v>
      </c>
      <c r="N225" s="459">
        <v>-1.26</v>
      </c>
      <c r="O225" s="459">
        <v>-1.42</v>
      </c>
      <c r="P225" s="459">
        <f>P209</f>
        <v>-1.1000000000000001</v>
      </c>
      <c r="Q225" s="459">
        <v>-0.15</v>
      </c>
      <c r="R225" s="459">
        <v>-1.8</v>
      </c>
      <c r="S225" s="391"/>
      <c r="T225" s="458">
        <v>-20</v>
      </c>
      <c r="U225" s="459">
        <v>9.9999999999999995E-7</v>
      </c>
      <c r="V225" s="459">
        <v>9.9999999999999995E-7</v>
      </c>
      <c r="W225" s="459">
        <v>-0.46</v>
      </c>
      <c r="X225" s="459">
        <v>-1.35</v>
      </c>
      <c r="Y225" s="459">
        <v>0.21</v>
      </c>
      <c r="Z225" s="459">
        <v>0.22</v>
      </c>
      <c r="AA225" s="459">
        <v>0.44</v>
      </c>
      <c r="AB225" s="459">
        <v>0.34</v>
      </c>
      <c r="AC225" s="459">
        <v>0.47</v>
      </c>
      <c r="AD225" s="459">
        <v>-1.0900000000000001</v>
      </c>
      <c r="AE225" s="459">
        <v>0.47</v>
      </c>
      <c r="AF225" s="459">
        <v>-1.22</v>
      </c>
      <c r="AG225" s="459">
        <v>-1.34</v>
      </c>
      <c r="AH225" s="459">
        <f>AH209</f>
        <v>-1.1000000000000001</v>
      </c>
      <c r="AI225" s="459">
        <v>-0.15</v>
      </c>
      <c r="AJ225" s="459">
        <v>-1.8</v>
      </c>
      <c r="AK225" s="391"/>
      <c r="AX225" s="442"/>
      <c r="AY225" s="442"/>
      <c r="BB225" s="396"/>
      <c r="BD225" s="442"/>
      <c r="BE225" s="442"/>
      <c r="BH225" s="396"/>
      <c r="BJ225" s="442"/>
      <c r="BK225" s="442"/>
      <c r="BN225" s="396"/>
      <c r="BP225" s="442"/>
      <c r="BQ225" s="442"/>
      <c r="BT225" s="396"/>
      <c r="BV225" s="442"/>
      <c r="BW225" s="442"/>
      <c r="BZ225" s="396"/>
    </row>
    <row r="226" spans="1:97">
      <c r="B226" s="458">
        <v>-15</v>
      </c>
      <c r="C226" s="459">
        <v>9.9999999999999995E-7</v>
      </c>
      <c r="D226" s="459">
        <v>9.9999999999999995E-7</v>
      </c>
      <c r="E226" s="459">
        <v>-0.38</v>
      </c>
      <c r="F226" s="459">
        <v>-1.1499999999999999</v>
      </c>
      <c r="G226" s="459">
        <v>0.24</v>
      </c>
      <c r="H226" s="459">
        <v>0.24</v>
      </c>
      <c r="I226" s="459">
        <v>0.45</v>
      </c>
      <c r="J226" s="459">
        <v>0.38</v>
      </c>
      <c r="K226" s="459">
        <v>9.9999999999999995E-7</v>
      </c>
      <c r="L226" s="459">
        <v>-0.83</v>
      </c>
      <c r="M226" s="459">
        <v>9.9999999999999995E-7</v>
      </c>
      <c r="N226" s="459">
        <v>-1</v>
      </c>
      <c r="O226" s="459">
        <v>-1.1399999999999999</v>
      </c>
      <c r="P226" s="459">
        <f t="shared" ref="P226:P237" si="336">P210</f>
        <v>-1.1000000000000001</v>
      </c>
      <c r="Q226" s="459">
        <v>-0.1</v>
      </c>
      <c r="R226" s="459">
        <v>-1.52</v>
      </c>
      <c r="S226" s="391"/>
      <c r="T226" s="458">
        <v>-15</v>
      </c>
      <c r="U226" s="459">
        <v>9.9999999999999995E-7</v>
      </c>
      <c r="V226" s="459">
        <v>9.9999999999999995E-7</v>
      </c>
      <c r="W226" s="459">
        <v>-0.39</v>
      </c>
      <c r="X226" s="459">
        <v>-1.1100000000000001</v>
      </c>
      <c r="Y226" s="459">
        <v>0.25</v>
      </c>
      <c r="Z226" s="459">
        <v>0.26</v>
      </c>
      <c r="AA226" s="459">
        <v>0.45</v>
      </c>
      <c r="AB226" s="459">
        <v>0.35</v>
      </c>
      <c r="AC226" s="459">
        <v>9.9999999999999995E-7</v>
      </c>
      <c r="AD226" s="459">
        <v>-0.81</v>
      </c>
      <c r="AE226" s="459">
        <v>9.9999999999999995E-7</v>
      </c>
      <c r="AF226" s="459">
        <v>-0.96</v>
      </c>
      <c r="AG226" s="459">
        <v>-1.06</v>
      </c>
      <c r="AH226" s="459">
        <f t="shared" ref="AH226:AH236" si="337">AH210</f>
        <v>-1.1000000000000001</v>
      </c>
      <c r="AI226" s="459">
        <v>-0.1</v>
      </c>
      <c r="AJ226" s="459">
        <v>-1.52</v>
      </c>
      <c r="AK226" s="391"/>
      <c r="AX226" s="442"/>
      <c r="AY226" s="442"/>
      <c r="BB226" s="396"/>
      <c r="BD226" s="442"/>
      <c r="BE226" s="442"/>
      <c r="BH226" s="396"/>
      <c r="BJ226" s="442"/>
      <c r="BK226" s="442"/>
      <c r="BN226" s="396"/>
      <c r="BP226" s="442"/>
      <c r="BQ226" s="442"/>
      <c r="BT226" s="396"/>
      <c r="BV226" s="442"/>
      <c r="BW226" s="442"/>
      <c r="BZ226" s="396"/>
    </row>
    <row r="227" spans="1:97">
      <c r="B227" s="458">
        <v>-10</v>
      </c>
      <c r="C227" s="459">
        <v>9.9999999999999995E-7</v>
      </c>
      <c r="D227" s="459">
        <v>9.9999999999999995E-7</v>
      </c>
      <c r="E227" s="459">
        <v>-0.32</v>
      </c>
      <c r="F227" s="459">
        <v>-0.9</v>
      </c>
      <c r="G227" s="459">
        <v>0.27</v>
      </c>
      <c r="H227" s="459">
        <v>0.26</v>
      </c>
      <c r="I227" s="459">
        <v>0.46</v>
      </c>
      <c r="J227" s="459">
        <v>0.39</v>
      </c>
      <c r="K227" s="459">
        <v>0.48</v>
      </c>
      <c r="L227" s="459">
        <v>-0.6</v>
      </c>
      <c r="M227" s="459">
        <v>0.48</v>
      </c>
      <c r="N227" s="459">
        <v>-0.78</v>
      </c>
      <c r="O227" s="459">
        <v>-0.89</v>
      </c>
      <c r="P227" s="459">
        <f t="shared" si="336"/>
        <v>-1.2</v>
      </c>
      <c r="Q227" s="459">
        <v>-0.05</v>
      </c>
      <c r="R227" s="459">
        <v>-1.26</v>
      </c>
      <c r="S227" s="391"/>
      <c r="T227" s="458">
        <v>-10</v>
      </c>
      <c r="U227" s="459">
        <v>9.9999999999999995E-7</v>
      </c>
      <c r="V227" s="459">
        <v>9.9999999999999995E-7</v>
      </c>
      <c r="W227" s="459">
        <v>-0.32</v>
      </c>
      <c r="X227" s="459">
        <v>-0.87</v>
      </c>
      <c r="Y227" s="459">
        <v>0.28000000000000003</v>
      </c>
      <c r="Z227" s="459">
        <v>0.28000000000000003</v>
      </c>
      <c r="AA227" s="459">
        <v>0.46</v>
      </c>
      <c r="AB227" s="459">
        <v>0.36</v>
      </c>
      <c r="AC227" s="459">
        <v>0.46</v>
      </c>
      <c r="AD227" s="459">
        <v>-0.59</v>
      </c>
      <c r="AE227" s="459">
        <v>0.46</v>
      </c>
      <c r="AF227" s="459">
        <v>-0.75</v>
      </c>
      <c r="AG227" s="459">
        <v>-0.81</v>
      </c>
      <c r="AH227" s="459">
        <f t="shared" si="337"/>
        <v>-1.2</v>
      </c>
      <c r="AI227" s="459">
        <v>-0.05</v>
      </c>
      <c r="AJ227" s="459">
        <v>-1.26</v>
      </c>
      <c r="AK227" s="391"/>
      <c r="AX227" s="442"/>
      <c r="AY227" s="442"/>
      <c r="BB227" s="396"/>
      <c r="BD227" s="442"/>
      <c r="BE227" s="442"/>
      <c r="BH227" s="396"/>
      <c r="BJ227" s="442"/>
      <c r="BK227" s="442"/>
      <c r="BN227" s="396"/>
      <c r="BP227" s="442"/>
      <c r="BQ227" s="442"/>
      <c r="BT227" s="396"/>
      <c r="BV227" s="442"/>
      <c r="BW227" s="442"/>
      <c r="BZ227" s="396"/>
    </row>
    <row r="228" spans="1:97">
      <c r="B228" s="458">
        <v>9.9999999999999995E-7</v>
      </c>
      <c r="C228" s="459">
        <v>9.9999999999999995E-7</v>
      </c>
      <c r="D228" s="459">
        <v>9.9999999999999995E-7</v>
      </c>
      <c r="E228" s="459">
        <v>-0.21</v>
      </c>
      <c r="F228" s="459">
        <v>-0.36</v>
      </c>
      <c r="G228" s="459">
        <v>0.22</v>
      </c>
      <c r="H228" s="459">
        <v>0.21</v>
      </c>
      <c r="I228" s="459">
        <v>0.46</v>
      </c>
      <c r="J228" s="459">
        <v>0.38</v>
      </c>
      <c r="K228" s="459">
        <v>0.47</v>
      </c>
      <c r="L228" s="459">
        <v>-0.34</v>
      </c>
      <c r="M228" s="459">
        <v>0.47</v>
      </c>
      <c r="N228" s="459">
        <v>-0.55000000000000004</v>
      </c>
      <c r="O228" s="459">
        <v>-0.54</v>
      </c>
      <c r="P228" s="459">
        <f t="shared" si="336"/>
        <v>-1.4</v>
      </c>
      <c r="Q228" s="459">
        <v>0.03</v>
      </c>
      <c r="R228" s="459">
        <v>-0.79</v>
      </c>
      <c r="S228" s="391"/>
      <c r="T228" s="458">
        <v>9.9999999999999995E-7</v>
      </c>
      <c r="U228" s="459">
        <v>9.9999999999999995E-7</v>
      </c>
      <c r="V228" s="459">
        <v>9.9999999999999995E-7</v>
      </c>
      <c r="W228" s="459">
        <v>-0.22</v>
      </c>
      <c r="X228" s="459">
        <v>-0.36</v>
      </c>
      <c r="Y228" s="459">
        <v>0.26</v>
      </c>
      <c r="Z228" s="459">
        <v>0.24</v>
      </c>
      <c r="AA228" s="459">
        <v>0.46</v>
      </c>
      <c r="AB228" s="459">
        <v>0.36</v>
      </c>
      <c r="AC228" s="459">
        <v>0.45</v>
      </c>
      <c r="AD228" s="459">
        <v>-0.34</v>
      </c>
      <c r="AE228" s="459">
        <v>0.45</v>
      </c>
      <c r="AF228" s="459">
        <v>-0.53</v>
      </c>
      <c r="AG228" s="459">
        <v>-0.52</v>
      </c>
      <c r="AH228" s="459">
        <f t="shared" si="337"/>
        <v>-1.4</v>
      </c>
      <c r="AI228" s="459">
        <v>0.03</v>
      </c>
      <c r="AJ228" s="459">
        <v>-0.79</v>
      </c>
      <c r="AK228" s="391"/>
      <c r="AX228" s="442"/>
      <c r="AY228" s="442"/>
      <c r="BB228" s="396"/>
      <c r="BD228" s="442"/>
      <c r="BE228" s="442"/>
      <c r="BH228" s="396"/>
      <c r="BJ228" s="442"/>
      <c r="BK228" s="442"/>
      <c r="BN228" s="396"/>
      <c r="BP228" s="442"/>
      <c r="BQ228" s="442"/>
      <c r="BT228" s="396"/>
      <c r="BV228" s="442"/>
      <c r="BW228" s="442"/>
      <c r="BZ228" s="396"/>
    </row>
    <row r="229" spans="1:97">
      <c r="B229" s="458">
        <v>2</v>
      </c>
      <c r="C229" s="459">
        <v>9.9999999999999995E-7</v>
      </c>
      <c r="D229" s="459">
        <v>9.9999999999999995E-7</v>
      </c>
      <c r="E229" s="459">
        <v>-0.2</v>
      </c>
      <c r="F229" s="459">
        <v>-0.53</v>
      </c>
      <c r="G229" s="459">
        <v>0.26</v>
      </c>
      <c r="H229" s="459">
        <v>0.25</v>
      </c>
      <c r="I229" s="459">
        <v>0.49</v>
      </c>
      <c r="J229" s="459">
        <v>0.4</v>
      </c>
      <c r="K229" s="459">
        <v>0.47</v>
      </c>
      <c r="L229" s="459">
        <v>-0.36</v>
      </c>
      <c r="M229" s="459">
        <v>0.47</v>
      </c>
      <c r="N229" s="459">
        <v>-0.53</v>
      </c>
      <c r="O229" s="459">
        <v>-0.62</v>
      </c>
      <c r="P229" s="459">
        <f t="shared" si="336"/>
        <v>0</v>
      </c>
      <c r="Q229" s="459">
        <v>0.04</v>
      </c>
      <c r="R229" s="459">
        <v>-2.7</v>
      </c>
      <c r="S229" s="391"/>
      <c r="T229" s="458">
        <v>2</v>
      </c>
      <c r="U229" s="459">
        <v>9.9999999999999995E-7</v>
      </c>
      <c r="V229" s="459">
        <v>9.9999999999999995E-7</v>
      </c>
      <c r="W229" s="459">
        <v>-0.2</v>
      </c>
      <c r="X229" s="459">
        <v>-0.51</v>
      </c>
      <c r="Y229" s="459">
        <v>0.31</v>
      </c>
      <c r="Z229" s="459">
        <v>0.28000000000000003</v>
      </c>
      <c r="AA229" s="459">
        <v>0.48</v>
      </c>
      <c r="AB229" s="459">
        <v>0.38</v>
      </c>
      <c r="AC229" s="459">
        <v>0.44</v>
      </c>
      <c r="AD229" s="459">
        <v>-0.37</v>
      </c>
      <c r="AE229" s="459">
        <v>0.44</v>
      </c>
      <c r="AF229" s="459">
        <v>-0.47</v>
      </c>
      <c r="AG229" s="459">
        <v>-0.57999999999999996</v>
      </c>
      <c r="AH229" s="459">
        <f t="shared" si="337"/>
        <v>0</v>
      </c>
      <c r="AI229" s="459">
        <v>0.04</v>
      </c>
      <c r="AJ229" s="459">
        <v>-2.7</v>
      </c>
      <c r="AK229" s="391"/>
      <c r="AX229" s="442"/>
      <c r="AY229" s="442"/>
      <c r="BB229" s="396"/>
      <c r="BD229" s="442"/>
      <c r="BE229" s="442"/>
      <c r="BH229" s="396"/>
      <c r="BJ229" s="442"/>
      <c r="BK229" s="442"/>
      <c r="BN229" s="396"/>
      <c r="BP229" s="442"/>
      <c r="BQ229" s="442"/>
      <c r="BT229" s="396"/>
      <c r="BV229" s="442"/>
      <c r="BW229" s="442"/>
      <c r="BZ229" s="396"/>
    </row>
    <row r="230" spans="1:97">
      <c r="B230" s="458">
        <v>8</v>
      </c>
      <c r="C230" s="459">
        <v>9.9999999999999995E-7</v>
      </c>
      <c r="D230" s="459">
        <v>9.9999999999999995E-7</v>
      </c>
      <c r="E230" s="459">
        <v>-0.15</v>
      </c>
      <c r="F230" s="459">
        <v>-0.28000000000000003</v>
      </c>
      <c r="G230" s="459">
        <v>0.25</v>
      </c>
      <c r="H230" s="459">
        <v>0.25</v>
      </c>
      <c r="I230" s="459">
        <v>0.49</v>
      </c>
      <c r="J230" s="459">
        <v>0.38</v>
      </c>
      <c r="K230" s="459">
        <v>0.46</v>
      </c>
      <c r="L230" s="459">
        <v>-0.09</v>
      </c>
      <c r="M230" s="459">
        <v>0.46</v>
      </c>
      <c r="N230" s="459">
        <v>-0.27</v>
      </c>
      <c r="O230" s="459">
        <v>-0.34</v>
      </c>
      <c r="P230" s="459">
        <f t="shared" si="336"/>
        <v>0</v>
      </c>
      <c r="Q230" s="459">
        <v>0.08</v>
      </c>
      <c r="R230" s="459">
        <v>-0.46</v>
      </c>
      <c r="S230" s="391"/>
      <c r="T230" s="458">
        <v>8</v>
      </c>
      <c r="U230" s="459">
        <v>9.9999999999999995E-7</v>
      </c>
      <c r="V230" s="459">
        <v>9.9999999999999995E-7</v>
      </c>
      <c r="W230" s="459">
        <v>-0.15</v>
      </c>
      <c r="X230" s="459">
        <v>-0.26</v>
      </c>
      <c r="Y230" s="459">
        <v>0.28999999999999998</v>
      </c>
      <c r="Z230" s="459">
        <v>0.28000000000000003</v>
      </c>
      <c r="AA230" s="459">
        <v>0.49</v>
      </c>
      <c r="AB230" s="459">
        <v>0.37</v>
      </c>
      <c r="AC230" s="459">
        <v>0.43</v>
      </c>
      <c r="AD230" s="459">
        <v>-0.09</v>
      </c>
      <c r="AE230" s="459">
        <v>0.43</v>
      </c>
      <c r="AF230" s="459">
        <v>-0.24</v>
      </c>
      <c r="AG230" s="459">
        <v>-0.31</v>
      </c>
      <c r="AH230" s="459">
        <f t="shared" si="337"/>
        <v>0</v>
      </c>
      <c r="AI230" s="459">
        <v>0.08</v>
      </c>
      <c r="AJ230" s="459">
        <v>-0.46</v>
      </c>
      <c r="AK230" s="391"/>
      <c r="AX230" s="442"/>
      <c r="AY230" s="442"/>
      <c r="BB230" s="396"/>
      <c r="BD230" s="442"/>
      <c r="BE230" s="442"/>
      <c r="BH230" s="396"/>
      <c r="BJ230" s="442"/>
      <c r="BK230" s="442"/>
      <c r="BN230" s="396"/>
      <c r="BP230" s="442"/>
      <c r="BQ230" s="442"/>
      <c r="BT230" s="396"/>
      <c r="BV230" s="442"/>
      <c r="BW230" s="442"/>
      <c r="BZ230" s="396"/>
    </row>
    <row r="231" spans="1:97">
      <c r="B231" s="458">
        <v>37</v>
      </c>
      <c r="C231" s="459">
        <v>9.9999999999999995E-7</v>
      </c>
      <c r="D231" s="459">
        <v>9.9999999999999995E-7</v>
      </c>
      <c r="E231" s="459">
        <v>-0.04</v>
      </c>
      <c r="F231" s="459">
        <v>0.6</v>
      </c>
      <c r="G231" s="459">
        <v>0.24</v>
      </c>
      <c r="H231" s="459">
        <v>0.26</v>
      </c>
      <c r="I231" s="459">
        <v>0.51</v>
      </c>
      <c r="J231" s="459">
        <v>0.34</v>
      </c>
      <c r="K231" s="459">
        <v>0.4</v>
      </c>
      <c r="L231" s="459">
        <v>0.79</v>
      </c>
      <c r="M231" s="459">
        <v>0.4</v>
      </c>
      <c r="N231" s="459">
        <v>0.52</v>
      </c>
      <c r="O231" s="459">
        <v>0.56999999999999995</v>
      </c>
      <c r="P231" s="459">
        <f t="shared" si="336"/>
        <v>0</v>
      </c>
      <c r="Q231" s="459">
        <v>0.23</v>
      </c>
      <c r="R231" s="459">
        <v>0.42</v>
      </c>
      <c r="S231" s="391"/>
      <c r="T231" s="458">
        <v>37</v>
      </c>
      <c r="U231" s="459">
        <v>9.9999999999999995E-7</v>
      </c>
      <c r="V231" s="459">
        <v>9.9999999999999995E-7</v>
      </c>
      <c r="W231" s="459">
        <v>-0.03</v>
      </c>
      <c r="X231" s="459">
        <v>0.63</v>
      </c>
      <c r="Y231" s="459">
        <v>0.27</v>
      </c>
      <c r="Z231" s="459">
        <v>0.28999999999999998</v>
      </c>
      <c r="AA231" s="459">
        <v>0.52</v>
      </c>
      <c r="AB231" s="459">
        <v>0.35</v>
      </c>
      <c r="AC231" s="459">
        <v>0.37</v>
      </c>
      <c r="AD231" s="459">
        <v>0.81</v>
      </c>
      <c r="AE231" s="459">
        <v>0.37</v>
      </c>
      <c r="AF231" s="459">
        <v>0.5</v>
      </c>
      <c r="AG231" s="459">
        <v>0.56999999999999995</v>
      </c>
      <c r="AH231" s="459">
        <f t="shared" si="337"/>
        <v>0</v>
      </c>
      <c r="AI231" s="459">
        <v>0.23</v>
      </c>
      <c r="AJ231" s="459">
        <v>0.42</v>
      </c>
      <c r="AK231" s="391"/>
      <c r="AX231" s="442"/>
      <c r="AY231" s="442"/>
      <c r="BB231" s="396"/>
      <c r="BD231" s="442"/>
      <c r="BE231" s="442"/>
      <c r="BH231" s="396"/>
      <c r="BJ231" s="442"/>
      <c r="BK231" s="442"/>
      <c r="BN231" s="396"/>
      <c r="BP231" s="442"/>
      <c r="BQ231" s="442"/>
      <c r="BT231" s="396"/>
      <c r="BV231" s="442"/>
      <c r="BW231" s="442"/>
      <c r="BZ231" s="396"/>
    </row>
    <row r="232" spans="1:97">
      <c r="B232" s="458">
        <v>44</v>
      </c>
      <c r="C232" s="459">
        <v>9.9999999999999995E-7</v>
      </c>
      <c r="D232" s="459">
        <v>9.9999999999999995E-7</v>
      </c>
      <c r="E232" s="459">
        <v>-0.04</v>
      </c>
      <c r="F232" s="459">
        <v>0.74</v>
      </c>
      <c r="G232" s="459">
        <v>0.24</v>
      </c>
      <c r="H232" s="459">
        <v>0.26</v>
      </c>
      <c r="I232" s="459">
        <v>0.51</v>
      </c>
      <c r="J232" s="459">
        <v>0.34</v>
      </c>
      <c r="K232" s="459">
        <v>0.38</v>
      </c>
      <c r="L232" s="459">
        <v>0.91</v>
      </c>
      <c r="M232" s="459">
        <v>0.38</v>
      </c>
      <c r="N232" s="459">
        <v>0.6</v>
      </c>
      <c r="O232" s="459">
        <v>0.7</v>
      </c>
      <c r="P232" s="459">
        <f t="shared" si="336"/>
        <v>0</v>
      </c>
      <c r="Q232" s="459">
        <v>0.25</v>
      </c>
      <c r="R232" s="459">
        <v>0.56999999999999995</v>
      </c>
      <c r="S232" s="391"/>
      <c r="T232" s="458">
        <v>44</v>
      </c>
      <c r="U232" s="459">
        <v>9.9999999999999995E-7</v>
      </c>
      <c r="V232" s="459">
        <v>9.9999999999999995E-7</v>
      </c>
      <c r="W232" s="459">
        <v>-0.03</v>
      </c>
      <c r="X232" s="459">
        <v>0.77</v>
      </c>
      <c r="Y232" s="459">
        <v>0.27</v>
      </c>
      <c r="Z232" s="459">
        <v>0.28999999999999998</v>
      </c>
      <c r="AA232" s="459">
        <v>0.53</v>
      </c>
      <c r="AB232" s="459">
        <v>0.35</v>
      </c>
      <c r="AC232" s="459">
        <v>0.36</v>
      </c>
      <c r="AD232" s="459">
        <v>0.93</v>
      </c>
      <c r="AE232" s="459">
        <v>0.36</v>
      </c>
      <c r="AF232" s="459">
        <v>0.6</v>
      </c>
      <c r="AG232" s="459">
        <v>0.68</v>
      </c>
      <c r="AH232" s="459">
        <f t="shared" si="337"/>
        <v>0</v>
      </c>
      <c r="AI232" s="459">
        <v>0.25</v>
      </c>
      <c r="AJ232" s="459">
        <v>0.56999999999999995</v>
      </c>
      <c r="AK232" s="391"/>
      <c r="AX232" s="442"/>
      <c r="AY232" s="442"/>
      <c r="BB232" s="396"/>
      <c r="BD232" s="442"/>
      <c r="BE232" s="442"/>
      <c r="BH232" s="396"/>
      <c r="BJ232" s="442"/>
      <c r="BK232" s="442"/>
      <c r="BN232" s="396"/>
      <c r="BP232" s="442"/>
      <c r="BQ232" s="442"/>
      <c r="BT232" s="396"/>
      <c r="BV232" s="442"/>
      <c r="BW232" s="442"/>
      <c r="BZ232" s="396"/>
    </row>
    <row r="233" spans="1:97">
      <c r="B233" s="458">
        <v>50</v>
      </c>
      <c r="C233" s="459">
        <v>9.9999999999999995E-7</v>
      </c>
      <c r="D233" s="459">
        <v>9.9999999999999995E-7</v>
      </c>
      <c r="E233" s="459">
        <v>-0.04</v>
      </c>
      <c r="F233" s="459">
        <v>0.83</v>
      </c>
      <c r="G233" s="459">
        <v>0.24</v>
      </c>
      <c r="H233" s="459">
        <v>0.27</v>
      </c>
      <c r="I233" s="459">
        <v>0.52</v>
      </c>
      <c r="J233" s="459">
        <v>0.34</v>
      </c>
      <c r="K233" s="459">
        <v>0.37</v>
      </c>
      <c r="L233" s="459">
        <v>0.99</v>
      </c>
      <c r="M233" s="459">
        <v>0.37</v>
      </c>
      <c r="N233" s="459">
        <v>0.65</v>
      </c>
      <c r="O233" s="459">
        <v>0.77</v>
      </c>
      <c r="P233" s="459">
        <f t="shared" si="336"/>
        <v>-1</v>
      </c>
      <c r="Q233" s="459">
        <v>0.27</v>
      </c>
      <c r="R233" s="459">
        <v>0.67</v>
      </c>
      <c r="S233" s="391"/>
      <c r="T233" s="458">
        <v>50</v>
      </c>
      <c r="U233" s="459">
        <v>9.9999999999999995E-7</v>
      </c>
      <c r="V233" s="459">
        <v>9.9999999999999995E-7</v>
      </c>
      <c r="W233" s="459">
        <v>-0.03</v>
      </c>
      <c r="X233" s="459">
        <v>0.86</v>
      </c>
      <c r="Y233" s="459">
        <v>0.27</v>
      </c>
      <c r="Z233" s="459">
        <v>0.3</v>
      </c>
      <c r="AA233" s="459">
        <v>0.53</v>
      </c>
      <c r="AB233" s="459">
        <v>0.35</v>
      </c>
      <c r="AC233" s="459">
        <v>0.34</v>
      </c>
      <c r="AD233" s="459">
        <v>1.01</v>
      </c>
      <c r="AE233" s="459">
        <v>0.34</v>
      </c>
      <c r="AF233" s="459">
        <v>0.66</v>
      </c>
      <c r="AG233" s="459">
        <v>0.75</v>
      </c>
      <c r="AH233" s="459">
        <f t="shared" si="337"/>
        <v>-1</v>
      </c>
      <c r="AI233" s="459">
        <v>0.27</v>
      </c>
      <c r="AJ233" s="459">
        <v>0.67</v>
      </c>
      <c r="AK233" s="391"/>
      <c r="AX233" s="442"/>
      <c r="AY233" s="442"/>
      <c r="BB233" s="396"/>
      <c r="BD233" s="442"/>
      <c r="BE233" s="442"/>
      <c r="BH233" s="396"/>
      <c r="BJ233" s="442"/>
      <c r="BK233" s="442"/>
      <c r="BN233" s="396"/>
      <c r="BP233" s="442"/>
      <c r="BQ233" s="442"/>
      <c r="BT233" s="396"/>
      <c r="BV233" s="442"/>
      <c r="BW233" s="442"/>
      <c r="BZ233" s="396"/>
    </row>
    <row r="234" spans="1:97">
      <c r="B234" s="458">
        <v>100</v>
      </c>
      <c r="C234" s="459">
        <v>9.9999999999999995E-7</v>
      </c>
      <c r="D234" s="459">
        <v>9.9999999999999995E-7</v>
      </c>
      <c r="E234" s="459">
        <v>-0.17</v>
      </c>
      <c r="F234" s="459">
        <v>0.95</v>
      </c>
      <c r="G234" s="459">
        <v>0.33</v>
      </c>
      <c r="H234" s="459">
        <v>0.36</v>
      </c>
      <c r="I234" s="459">
        <v>0.61</v>
      </c>
      <c r="J234" s="459">
        <v>0.44</v>
      </c>
      <c r="K234" s="459">
        <v>0.2</v>
      </c>
      <c r="L234" s="459">
        <v>1.02</v>
      </c>
      <c r="M234" s="459">
        <v>0.2</v>
      </c>
      <c r="N234" s="459">
        <v>0.37</v>
      </c>
      <c r="O234" s="459">
        <v>0.67</v>
      </c>
      <c r="P234" s="459">
        <f t="shared" si="336"/>
        <v>-1.6</v>
      </c>
      <c r="Q234" s="459">
        <v>0.31</v>
      </c>
      <c r="R234" s="459">
        <v>0.95</v>
      </c>
      <c r="S234" s="391"/>
      <c r="T234" s="458">
        <v>100</v>
      </c>
      <c r="U234" s="459">
        <v>9.9999999999999995E-7</v>
      </c>
      <c r="V234" s="459">
        <v>9.9999999999999995E-7</v>
      </c>
      <c r="W234" s="459">
        <v>-0.16</v>
      </c>
      <c r="X234" s="459">
        <v>0.99</v>
      </c>
      <c r="Y234" s="459">
        <v>0.34</v>
      </c>
      <c r="Z234" s="459">
        <v>0.38</v>
      </c>
      <c r="AA234" s="459">
        <v>0.6</v>
      </c>
      <c r="AB234" s="459">
        <v>0.44</v>
      </c>
      <c r="AC234" s="459">
        <v>0.18</v>
      </c>
      <c r="AD234" s="459">
        <v>1.06</v>
      </c>
      <c r="AE234" s="459">
        <v>0.18</v>
      </c>
      <c r="AF234" s="459">
        <v>0.54</v>
      </c>
      <c r="AG234" s="459">
        <v>0.56000000000000005</v>
      </c>
      <c r="AH234" s="459">
        <f t="shared" si="337"/>
        <v>-1.6</v>
      </c>
      <c r="AI234" s="459">
        <v>0.31</v>
      </c>
      <c r="AJ234" s="459">
        <v>0.95</v>
      </c>
      <c r="AK234" s="391"/>
      <c r="AX234" s="442"/>
      <c r="AY234" s="442"/>
      <c r="BB234" s="396"/>
      <c r="BD234" s="442"/>
      <c r="BE234" s="442"/>
      <c r="BH234" s="396"/>
      <c r="BJ234" s="442"/>
      <c r="BK234" s="442"/>
      <c r="BN234" s="396"/>
      <c r="BP234" s="442"/>
      <c r="BQ234" s="442"/>
      <c r="BT234" s="396"/>
      <c r="BV234" s="442"/>
      <c r="BW234" s="442"/>
      <c r="BZ234" s="396"/>
    </row>
    <row r="235" spans="1:97">
      <c r="B235" s="458">
        <v>150</v>
      </c>
      <c r="C235" s="459">
        <v>9.9999999999999995E-7</v>
      </c>
      <c r="D235" s="459">
        <v>9.9999999999999995E-7</v>
      </c>
      <c r="E235" s="459">
        <v>-0.28000000000000003</v>
      </c>
      <c r="F235" s="459">
        <v>0.34</v>
      </c>
      <c r="G235" s="459">
        <v>0.51</v>
      </c>
      <c r="H235" s="459">
        <v>0.54</v>
      </c>
      <c r="I235" s="459">
        <v>0.77</v>
      </c>
      <c r="J235" s="459">
        <v>0.62</v>
      </c>
      <c r="K235" s="459">
        <v>-0.01</v>
      </c>
      <c r="L235" s="459">
        <v>0.63</v>
      </c>
      <c r="M235" s="459">
        <v>-0.01</v>
      </c>
      <c r="N235" s="459">
        <v>-0.35</v>
      </c>
      <c r="O235" s="459">
        <v>-0.12</v>
      </c>
      <c r="P235" s="459">
        <f t="shared" si="336"/>
        <v>-1.7</v>
      </c>
      <c r="Q235" s="459">
        <v>0.3</v>
      </c>
      <c r="R235" s="459">
        <v>0.49</v>
      </c>
      <c r="S235" s="391"/>
      <c r="T235" s="458">
        <v>150</v>
      </c>
      <c r="U235" s="459">
        <v>9.9999999999999995E-7</v>
      </c>
      <c r="V235" s="459">
        <v>9.9999999999999995E-7</v>
      </c>
      <c r="W235" s="459">
        <v>-0.28000000000000003</v>
      </c>
      <c r="X235" s="459">
        <v>0.28000000000000003</v>
      </c>
      <c r="Y235" s="459">
        <v>0.51</v>
      </c>
      <c r="Z235" s="459">
        <v>0.54</v>
      </c>
      <c r="AA235" s="459">
        <v>0.72</v>
      </c>
      <c r="AB235" s="459">
        <v>0.61</v>
      </c>
      <c r="AC235" s="459">
        <v>-0.02</v>
      </c>
      <c r="AD235" s="459">
        <v>0.62</v>
      </c>
      <c r="AE235" s="459">
        <v>-0.02</v>
      </c>
      <c r="AF235" s="459">
        <v>-0.15</v>
      </c>
      <c r="AG235" s="459">
        <v>-0.39</v>
      </c>
      <c r="AH235" s="459">
        <f t="shared" si="337"/>
        <v>-1.7</v>
      </c>
      <c r="AI235" s="459">
        <v>0.3</v>
      </c>
      <c r="AJ235" s="459">
        <v>0.49</v>
      </c>
      <c r="AK235" s="391"/>
      <c r="AX235" s="442"/>
      <c r="AY235" s="442"/>
      <c r="BB235" s="396"/>
      <c r="BD235" s="442"/>
      <c r="BE235" s="442"/>
      <c r="BH235" s="396"/>
      <c r="BJ235" s="442"/>
      <c r="BK235" s="442"/>
      <c r="BN235" s="396"/>
      <c r="BP235" s="442"/>
      <c r="BQ235" s="442"/>
      <c r="BT235" s="396"/>
      <c r="BV235" s="442"/>
      <c r="BW235" s="442"/>
      <c r="BZ235" s="396"/>
    </row>
    <row r="236" spans="1:97">
      <c r="B236" s="458">
        <v>200</v>
      </c>
      <c r="C236" s="459">
        <v>9.9999999999999995E-7</v>
      </c>
      <c r="D236" s="459">
        <v>9.9999999999999995E-7</v>
      </c>
      <c r="E236" s="459">
        <v>0</v>
      </c>
      <c r="F236" s="459">
        <v>-0.41</v>
      </c>
      <c r="G236" s="459">
        <v>0.74</v>
      </c>
      <c r="H236" s="459">
        <v>0.81</v>
      </c>
      <c r="I236" s="459">
        <v>1.02</v>
      </c>
      <c r="J236" s="459">
        <v>0.83</v>
      </c>
      <c r="K236" s="459">
        <v>-0.28999999999999998</v>
      </c>
      <c r="L236" s="459">
        <v>0.8</v>
      </c>
      <c r="M236" s="459">
        <v>-0.28999999999999998</v>
      </c>
      <c r="N236" s="459">
        <v>-0.36</v>
      </c>
      <c r="O236" s="459">
        <v>-0.65</v>
      </c>
      <c r="P236" s="459">
        <f t="shared" si="336"/>
        <v>-0.9</v>
      </c>
      <c r="Q236" s="459">
        <v>0.34</v>
      </c>
      <c r="R236" s="459">
        <v>-0.26</v>
      </c>
      <c r="S236" s="391"/>
      <c r="T236" s="458">
        <v>200</v>
      </c>
      <c r="U236" s="459">
        <v>9.9999999999999995E-7</v>
      </c>
      <c r="V236" s="459">
        <v>9.9999999999999995E-7</v>
      </c>
      <c r="W236" s="459">
        <v>0</v>
      </c>
      <c r="X236" s="459">
        <v>-0.8</v>
      </c>
      <c r="Y236" s="459">
        <v>0.73</v>
      </c>
      <c r="Z236" s="459">
        <v>0.81</v>
      </c>
      <c r="AA236" s="459">
        <v>0.95</v>
      </c>
      <c r="AB236" s="459">
        <v>0.84</v>
      </c>
      <c r="AC236" s="459">
        <v>-0.28000000000000003</v>
      </c>
      <c r="AD236" s="459">
        <v>0.66</v>
      </c>
      <c r="AE236" s="459">
        <v>-0.28000000000000003</v>
      </c>
      <c r="AF236" s="459">
        <v>-0.66</v>
      </c>
      <c r="AG236" s="459">
        <v>-1.22</v>
      </c>
      <c r="AH236" s="459">
        <f t="shared" si="337"/>
        <v>-0.9</v>
      </c>
      <c r="AI236" s="459">
        <v>0.34</v>
      </c>
      <c r="AJ236" s="459">
        <v>-0.26</v>
      </c>
      <c r="AK236" s="391"/>
      <c r="AX236" s="442"/>
      <c r="AY236" s="442"/>
      <c r="BB236" s="396"/>
      <c r="BD236" s="442"/>
      <c r="BE236" s="442"/>
      <c r="BH236" s="396"/>
      <c r="BJ236" s="442"/>
      <c r="BK236" s="442"/>
      <c r="BN236" s="396"/>
      <c r="BP236" s="442"/>
      <c r="BQ236" s="442"/>
      <c r="BT236" s="396"/>
      <c r="BV236" s="442"/>
      <c r="BW236" s="442"/>
      <c r="BZ236" s="396"/>
    </row>
    <row r="237" spans="1:97" s="465" customFormat="1">
      <c r="A237" s="463"/>
      <c r="B237" s="458" t="s">
        <v>208</v>
      </c>
      <c r="C237" s="464">
        <v>0.1</v>
      </c>
      <c r="D237" s="464">
        <v>0.1</v>
      </c>
      <c r="E237" s="464">
        <v>0.28000000000000003</v>
      </c>
      <c r="F237" s="464">
        <v>0.25</v>
      </c>
      <c r="G237" s="464">
        <v>0.26</v>
      </c>
      <c r="H237" s="464">
        <v>0.27</v>
      </c>
      <c r="I237" s="464">
        <v>0.25</v>
      </c>
      <c r="J237" s="464">
        <v>0.25</v>
      </c>
      <c r="K237" s="464">
        <v>0.79</v>
      </c>
      <c r="L237" s="464">
        <v>0.28000000000000003</v>
      </c>
      <c r="M237" s="464">
        <v>0.79</v>
      </c>
      <c r="N237" s="464">
        <v>0.25</v>
      </c>
      <c r="O237" s="464">
        <v>0.27</v>
      </c>
      <c r="P237" s="464">
        <f t="shared" si="336"/>
        <v>0.6</v>
      </c>
      <c r="Q237" s="464">
        <v>0.22</v>
      </c>
      <c r="R237" s="464">
        <v>0.77</v>
      </c>
      <c r="S237" s="463"/>
      <c r="T237" s="458" t="s">
        <v>208</v>
      </c>
      <c r="U237" s="464">
        <v>0.1</v>
      </c>
      <c r="V237" s="464">
        <v>0.1</v>
      </c>
      <c r="W237" s="464">
        <v>0.28000000000000003</v>
      </c>
      <c r="X237" s="464">
        <v>0.26</v>
      </c>
      <c r="Y237" s="464">
        <v>0.26</v>
      </c>
      <c r="Z237" s="464">
        <v>0.28000000000000003</v>
      </c>
      <c r="AA237" s="464">
        <v>0.24</v>
      </c>
      <c r="AB237" s="464">
        <v>0.25</v>
      </c>
      <c r="AC237" s="464">
        <v>0.79</v>
      </c>
      <c r="AD237" s="464">
        <v>0.27</v>
      </c>
      <c r="AE237" s="464">
        <v>0.79</v>
      </c>
      <c r="AF237" s="464">
        <v>0.25</v>
      </c>
      <c r="AG237" s="464">
        <v>0.27</v>
      </c>
      <c r="AH237" s="464">
        <f>AH221</f>
        <v>0.6</v>
      </c>
      <c r="AI237" s="464">
        <v>0.22</v>
      </c>
      <c r="AJ237" s="464">
        <v>0.77</v>
      </c>
      <c r="AK237" s="463"/>
      <c r="AN237" s="466"/>
      <c r="AP237" s="467"/>
      <c r="AT237" s="466"/>
      <c r="AV237" s="467"/>
      <c r="AX237" s="466"/>
      <c r="AY237" s="466"/>
      <c r="AZ237" s="466"/>
      <c r="BD237" s="466"/>
      <c r="BE237" s="466"/>
      <c r="BF237" s="466"/>
      <c r="BJ237" s="466"/>
      <c r="BK237" s="466"/>
      <c r="BL237" s="466"/>
      <c r="BP237" s="466"/>
      <c r="BQ237" s="466"/>
      <c r="BR237" s="466"/>
      <c r="BV237" s="466"/>
      <c r="BW237" s="466"/>
      <c r="BX237" s="466"/>
      <c r="CG237" s="463"/>
      <c r="CM237" s="463"/>
      <c r="CS237" s="463"/>
    </row>
    <row r="238" spans="1:97" s="391" customFormat="1">
      <c r="V238" s="392"/>
      <c r="W238" s="392"/>
      <c r="X238" s="392"/>
      <c r="Y238" s="392"/>
      <c r="Z238" s="392"/>
      <c r="AA238" s="392"/>
      <c r="AB238" s="392"/>
      <c r="AC238" s="392"/>
      <c r="AD238" s="392"/>
      <c r="AI238" s="393"/>
      <c r="AZ238" s="392"/>
      <c r="BB238" s="393"/>
      <c r="BF238" s="392"/>
      <c r="BH238" s="393"/>
      <c r="BL238" s="392"/>
      <c r="BN238" s="393"/>
      <c r="BR238" s="392"/>
      <c r="BT238" s="393"/>
      <c r="BX238" s="392"/>
      <c r="BZ238" s="393"/>
    </row>
    <row r="239" spans="1:97" ht="97.5" customHeight="1">
      <c r="B239" s="469" t="s">
        <v>342</v>
      </c>
      <c r="C239" s="470" t="str">
        <f>C223</f>
        <v>Thermocouple Data Logger, Merek : MADGETECH, Model : OctTemp 2000, SN : P40270</v>
      </c>
      <c r="D239" s="470" t="str">
        <f t="shared" ref="D239:R239" si="338">D223</f>
        <v>Thermocouple Data Logger, Merek : MADGETECH, Model : OctTemp 2000, SN : P41878</v>
      </c>
      <c r="E239" s="470" t="str">
        <f t="shared" si="338"/>
        <v>Mobile Corder, Merek : Yokogawa, Model : GP 10, SN : S5T810599</v>
      </c>
      <c r="F239" s="470" t="str">
        <f t="shared" si="338"/>
        <v>Wireless Temperature Recorder : Merek : HIOKI, Model : LR 8510, SN : 200936000</v>
      </c>
      <c r="G239" s="470" t="str">
        <f t="shared" si="338"/>
        <v>Wireless Temperature Recorder : Merek : HIOKI, Model : LR 8510, SN : 200936001</v>
      </c>
      <c r="H239" s="470" t="str">
        <f t="shared" si="338"/>
        <v>Wireless Temperature Recorder : Merek : HIOKI, Model : LR 8510, SN : 200821397</v>
      </c>
      <c r="I239" s="470" t="str">
        <f t="shared" si="338"/>
        <v>Wireless Temperature Recorder : Merek : HIOKI, Model : LR 8510, SN : 210411983</v>
      </c>
      <c r="J239" s="470" t="str">
        <f t="shared" si="338"/>
        <v>Wireless Temperature Recorder : Merek : HIOKI, Model : LR 8510, SN : 210411984</v>
      </c>
      <c r="K239" s="470" t="str">
        <f t="shared" si="338"/>
        <v>Wireless Temperature Recorder : Merek : HIOKI, Model : LR 8510, SN : 210411985</v>
      </c>
      <c r="L239" s="470" t="str">
        <f t="shared" si="338"/>
        <v>Wireless Temperature Recorder : Merek : HIOKI, Model : LR 8510, SN : 210746054</v>
      </c>
      <c r="M239" s="470" t="str">
        <f t="shared" si="338"/>
        <v>Wireless Temperature Recorder : Merek : HIOKI, Model : LR 8510, SN : 210746055</v>
      </c>
      <c r="N239" s="470" t="str">
        <f t="shared" si="338"/>
        <v>Wireless Temperature Recorder : Merek : HIOKI, Model : LR 8510, SN : 210746056</v>
      </c>
      <c r="O239" s="470" t="str">
        <f t="shared" si="338"/>
        <v>Wireless Temperature Recorder : Merek : HIOKI, Model : LR 8510, SN : 200821396</v>
      </c>
      <c r="P239" s="470" t="str">
        <f t="shared" si="338"/>
        <v>Reference Thermometer, Merek : APPA, Model : APPA51, SN : 03002948</v>
      </c>
      <c r="Q239" s="470" t="str">
        <f t="shared" si="338"/>
        <v>Reference Thermometer, Merek : FLUKE, Model : 1524, SN : 1803038</v>
      </c>
      <c r="R239" s="470" t="str">
        <f t="shared" si="338"/>
        <v>Reference Thermometer, Merek : FLUKE, Model : 1524, SN : 1803037</v>
      </c>
      <c r="S239" s="391"/>
      <c r="T239" s="469" t="s">
        <v>343</v>
      </c>
      <c r="U239" s="441" t="str">
        <f>U223</f>
        <v>Thermocouple Data Logger, Merek : MADGETECH, Model : OctTemp 2000, SN : P40270</v>
      </c>
      <c r="V239" s="441" t="str">
        <f t="shared" ref="V239:AJ239" si="339">V223</f>
        <v>Thermocouple Data Logger, Merek : MADGETECH, Model : OctTemp 2000, SN : P41878</v>
      </c>
      <c r="W239" s="441" t="str">
        <f t="shared" si="339"/>
        <v>Mobile Corder, Merek : Yokogawa, Model : GP 10, SN : S5T810599</v>
      </c>
      <c r="X239" s="441" t="str">
        <f t="shared" si="339"/>
        <v>Wireless Temperature Recorder : Merek : HIOKI, Model : LR 8510, SN : 200936000</v>
      </c>
      <c r="Y239" s="441" t="str">
        <f t="shared" si="339"/>
        <v>Wireless Temperature Recorder : Merek : HIOKI, Model : LR 8510, SN : 200936001</v>
      </c>
      <c r="Z239" s="441" t="str">
        <f t="shared" si="339"/>
        <v>Wireless Temperature Recorder : Merek : HIOKI, Model : LR 8510, SN : 200821397</v>
      </c>
      <c r="AA239" s="441" t="str">
        <f t="shared" si="339"/>
        <v>Wireless Temperature Recorder : Merek : HIOKI, Model : LR 8510, SN : 210411983</v>
      </c>
      <c r="AB239" s="441" t="str">
        <f t="shared" si="339"/>
        <v>Wireless Temperature Recorder : Merek : HIOKI, Model : LR 8510, SN : 210411984</v>
      </c>
      <c r="AC239" s="441" t="str">
        <f t="shared" si="339"/>
        <v>Wireless Temperature Recorder : Merek : HIOKI, Model : LR 8510, SN : 210411985</v>
      </c>
      <c r="AD239" s="441" t="str">
        <f t="shared" si="339"/>
        <v>Wireless Temperature Recorder : Merek : HIOKI, Model : LR 8510, SN : 210746054</v>
      </c>
      <c r="AE239" s="441" t="str">
        <f t="shared" si="339"/>
        <v>Wireless Temperature Recorder : Merek : HIOKI, Model : LR 8510, SN : 210746055</v>
      </c>
      <c r="AF239" s="441" t="str">
        <f t="shared" si="339"/>
        <v>Wireless Temperature Recorder : Merek : HIOKI, Model : LR 8510, SN : 210746056</v>
      </c>
      <c r="AG239" s="441" t="str">
        <f t="shared" si="339"/>
        <v>Wireless Temperature Recorder : Merek : HIOKI, Model : LR 8510, SN : 200821396</v>
      </c>
      <c r="AH239" s="441" t="str">
        <f t="shared" si="339"/>
        <v>Reference Thermometer, Merek : APPA, Model : APPA51, SN : 03002948</v>
      </c>
      <c r="AI239" s="441" t="str">
        <f t="shared" si="339"/>
        <v>Reference Thermometer, Merek : FLUKE, Model : 1524, SN : 1803038</v>
      </c>
      <c r="AJ239" s="441" t="str">
        <f t="shared" si="339"/>
        <v>Reference Thermometer, Merek : FLUKE, Model : 1524, SN : 1803037</v>
      </c>
      <c r="AK239" s="391"/>
      <c r="AX239" s="483"/>
      <c r="AY239" s="484"/>
      <c r="AZ239" s="446"/>
      <c r="BB239" s="396"/>
      <c r="BD239" s="483"/>
      <c r="BE239" s="484"/>
      <c r="BF239" s="446"/>
      <c r="BH239" s="396"/>
      <c r="BJ239" s="483"/>
      <c r="BK239" s="484"/>
      <c r="BL239" s="446"/>
      <c r="BN239" s="396"/>
      <c r="BP239" s="483"/>
      <c r="BQ239" s="484"/>
      <c r="BR239" s="446"/>
      <c r="BT239" s="396"/>
      <c r="BV239" s="483"/>
      <c r="BW239" s="484"/>
      <c r="BX239" s="446"/>
      <c r="BZ239" s="396"/>
    </row>
    <row r="240" spans="1:97" s="447" customFormat="1" ht="6" customHeight="1">
      <c r="B240" s="471"/>
      <c r="C240" s="472"/>
      <c r="D240" s="472"/>
      <c r="E240" s="472"/>
      <c r="F240" s="472"/>
      <c r="G240" s="472"/>
      <c r="H240" s="472"/>
      <c r="I240" s="472"/>
      <c r="J240" s="472"/>
      <c r="K240" s="472"/>
      <c r="L240" s="472"/>
      <c r="M240" s="472"/>
      <c r="N240" s="472"/>
      <c r="O240" s="452"/>
      <c r="P240" s="451"/>
      <c r="Q240" s="451"/>
      <c r="R240" s="451"/>
      <c r="T240" s="471"/>
      <c r="U240" s="474"/>
      <c r="V240" s="474"/>
      <c r="W240" s="474"/>
      <c r="X240" s="474"/>
      <c r="Y240" s="474"/>
      <c r="Z240" s="474"/>
      <c r="AA240" s="474"/>
      <c r="AB240" s="474"/>
      <c r="AC240" s="474"/>
      <c r="AD240" s="474"/>
      <c r="AE240" s="474"/>
      <c r="AF240" s="474"/>
      <c r="AG240" s="452"/>
      <c r="AH240" s="451"/>
      <c r="AI240" s="451"/>
      <c r="AJ240" s="451"/>
      <c r="AN240" s="453"/>
      <c r="AP240" s="454"/>
      <c r="AT240" s="453"/>
      <c r="AV240" s="454"/>
      <c r="AX240" s="455"/>
      <c r="AY240" s="456"/>
      <c r="AZ240" s="457"/>
      <c r="BD240" s="455"/>
      <c r="BE240" s="456"/>
      <c r="BF240" s="457"/>
      <c r="BJ240" s="455"/>
      <c r="BK240" s="456"/>
      <c r="BL240" s="457"/>
      <c r="BP240" s="455"/>
      <c r="BQ240" s="456"/>
      <c r="BR240" s="457"/>
      <c r="BV240" s="455"/>
      <c r="BW240" s="456"/>
      <c r="BX240" s="457"/>
    </row>
    <row r="241" spans="1:97">
      <c r="B241" s="458">
        <v>-20</v>
      </c>
      <c r="C241" s="459">
        <v>9.9999999999999995E-7</v>
      </c>
      <c r="D241" s="459">
        <v>9.9999999999999995E-7</v>
      </c>
      <c r="E241" s="459">
        <v>9.9999999999999995E-7</v>
      </c>
      <c r="F241" s="459">
        <v>9.9999999999999995E-7</v>
      </c>
      <c r="G241" s="459">
        <v>9.9999999999999995E-7</v>
      </c>
      <c r="H241" s="459">
        <v>9.9999999999999995E-7</v>
      </c>
      <c r="I241" s="459">
        <v>9.9999999999999995E-7</v>
      </c>
      <c r="J241" s="459">
        <v>9.9999999999999995E-7</v>
      </c>
      <c r="K241" s="459">
        <v>9.9999999999999995E-7</v>
      </c>
      <c r="L241" s="459">
        <v>9.9999999999999995E-7</v>
      </c>
      <c r="M241" s="459">
        <v>9.9999999999999995E-7</v>
      </c>
      <c r="N241" s="459">
        <v>9.9999999999999995E-7</v>
      </c>
      <c r="O241" s="459">
        <v>2</v>
      </c>
      <c r="P241" s="459">
        <f>P225</f>
        <v>-1.1000000000000001</v>
      </c>
      <c r="Q241" s="459">
        <v>-0.15</v>
      </c>
      <c r="R241" s="459">
        <v>-1.8</v>
      </c>
      <c r="S241" s="391"/>
      <c r="T241" s="458">
        <v>-20</v>
      </c>
      <c r="U241" s="459">
        <v>9.9999999999999995E-7</v>
      </c>
      <c r="V241" s="459">
        <v>9.9999999999999995E-7</v>
      </c>
      <c r="W241" s="459">
        <v>9.9999999999999995E-7</v>
      </c>
      <c r="X241" s="459">
        <v>9.9999999999999995E-7</v>
      </c>
      <c r="Y241" s="459">
        <v>9.9999999999999995E-7</v>
      </c>
      <c r="Z241" s="459">
        <v>9.9999999999999995E-7</v>
      </c>
      <c r="AA241" s="459">
        <v>9.9999999999999995E-7</v>
      </c>
      <c r="AB241" s="459">
        <v>9.9999999999999995E-7</v>
      </c>
      <c r="AC241" s="459">
        <v>9.9999999999999995E-7</v>
      </c>
      <c r="AD241" s="459">
        <v>9.9999999999999995E-7</v>
      </c>
      <c r="AE241" s="459">
        <v>9.9999999999999995E-7</v>
      </c>
      <c r="AF241" s="459">
        <v>9.9999999999999995E-7</v>
      </c>
      <c r="AG241" s="459">
        <v>9.9999999999999995E-7</v>
      </c>
      <c r="AH241" s="459">
        <f>AH225</f>
        <v>-1.1000000000000001</v>
      </c>
      <c r="AI241" s="459">
        <v>-0.15</v>
      </c>
      <c r="AJ241" s="459">
        <v>-1.8</v>
      </c>
      <c r="AK241" s="391"/>
      <c r="AX241" s="442"/>
      <c r="AY241" s="442"/>
      <c r="BB241" s="396"/>
      <c r="BD241" s="442"/>
      <c r="BE241" s="442"/>
      <c r="BH241" s="396"/>
      <c r="BJ241" s="442"/>
      <c r="BK241" s="442"/>
      <c r="BN241" s="396"/>
      <c r="BP241" s="442"/>
      <c r="BQ241" s="442"/>
      <c r="BT241" s="396"/>
      <c r="BV241" s="442"/>
      <c r="BW241" s="442"/>
      <c r="BZ241" s="396"/>
    </row>
    <row r="242" spans="1:97">
      <c r="B242" s="458">
        <v>-15</v>
      </c>
      <c r="C242" s="459">
        <v>9.9999999999999995E-7</v>
      </c>
      <c r="D242" s="459">
        <v>9.9999999999999995E-7</v>
      </c>
      <c r="E242" s="459">
        <v>9.9999999999999995E-7</v>
      </c>
      <c r="F242" s="459">
        <v>9.9999999999999995E-7</v>
      </c>
      <c r="G242" s="459">
        <v>9.9999999999999995E-7</v>
      </c>
      <c r="H242" s="459">
        <v>9.9999999999999995E-7</v>
      </c>
      <c r="I242" s="459">
        <v>9.9999999999999995E-7</v>
      </c>
      <c r="J242" s="459">
        <v>9.9999999999999995E-7</v>
      </c>
      <c r="K242" s="459">
        <v>9.9999999999999995E-7</v>
      </c>
      <c r="L242" s="459">
        <v>9.9999999999999995E-7</v>
      </c>
      <c r="M242" s="459">
        <v>9.9999999999999995E-7</v>
      </c>
      <c r="N242" s="459">
        <v>9.9999999999999995E-7</v>
      </c>
      <c r="O242" s="459">
        <v>3</v>
      </c>
      <c r="P242" s="459">
        <f t="shared" ref="P242:P253" si="340">P226</f>
        <v>-1.1000000000000001</v>
      </c>
      <c r="Q242" s="459">
        <v>-0.1</v>
      </c>
      <c r="R242" s="459">
        <v>-1.52</v>
      </c>
      <c r="S242" s="391"/>
      <c r="T242" s="458">
        <v>-15</v>
      </c>
      <c r="U242" s="459">
        <v>9.9999999999999995E-7</v>
      </c>
      <c r="V242" s="459">
        <v>9.9999999999999995E-7</v>
      </c>
      <c r="W242" s="459">
        <v>9.9999999999999995E-7</v>
      </c>
      <c r="X242" s="459">
        <v>9.9999999999999995E-7</v>
      </c>
      <c r="Y242" s="459">
        <v>9.9999999999999995E-7</v>
      </c>
      <c r="Z242" s="459">
        <v>9.9999999999999995E-7</v>
      </c>
      <c r="AA242" s="459">
        <v>9.9999999999999995E-7</v>
      </c>
      <c r="AB242" s="459">
        <v>9.9999999999999995E-7</v>
      </c>
      <c r="AC242" s="459">
        <v>9.9999999999999995E-7</v>
      </c>
      <c r="AD242" s="459">
        <v>9.9999999999999995E-7</v>
      </c>
      <c r="AE242" s="459">
        <v>9.9999999999999995E-7</v>
      </c>
      <c r="AF242" s="459">
        <v>9.9999999999999995E-7</v>
      </c>
      <c r="AG242" s="459">
        <v>9.9999999999999995E-7</v>
      </c>
      <c r="AH242" s="459">
        <f t="shared" ref="AH242:AH253" si="341">AH226</f>
        <v>-1.1000000000000001</v>
      </c>
      <c r="AI242" s="459">
        <v>-0.1</v>
      </c>
      <c r="AJ242" s="459">
        <v>-1.52</v>
      </c>
      <c r="AK242" s="391"/>
      <c r="AX242" s="442"/>
      <c r="AY242" s="442"/>
      <c r="BB242" s="396"/>
      <c r="BD242" s="442"/>
      <c r="BE242" s="442"/>
      <c r="BH242" s="396"/>
      <c r="BJ242" s="442"/>
      <c r="BK242" s="442"/>
      <c r="BN242" s="396"/>
      <c r="BP242" s="442"/>
      <c r="BQ242" s="442"/>
      <c r="BT242" s="396"/>
      <c r="BV242" s="442"/>
      <c r="BW242" s="442"/>
      <c r="BZ242" s="396"/>
    </row>
    <row r="243" spans="1:97">
      <c r="B243" s="458">
        <v>-10</v>
      </c>
      <c r="C243" s="459">
        <v>9.9999999999999995E-7</v>
      </c>
      <c r="D243" s="459">
        <v>9.9999999999999995E-7</v>
      </c>
      <c r="E243" s="459">
        <v>9.9999999999999995E-7</v>
      </c>
      <c r="F243" s="459">
        <v>9.9999999999999995E-7</v>
      </c>
      <c r="G243" s="459">
        <v>9.9999999999999995E-7</v>
      </c>
      <c r="H243" s="459">
        <v>9.9999999999999995E-7</v>
      </c>
      <c r="I243" s="459">
        <v>9.9999999999999995E-7</v>
      </c>
      <c r="J243" s="459">
        <v>9.9999999999999995E-7</v>
      </c>
      <c r="K243" s="459">
        <v>9.9999999999999995E-7</v>
      </c>
      <c r="L243" s="459">
        <v>9.9999999999999995E-7</v>
      </c>
      <c r="M243" s="459">
        <v>9.9999999999999995E-7</v>
      </c>
      <c r="N243" s="459">
        <v>9.9999999999999995E-7</v>
      </c>
      <c r="O243" s="459">
        <v>4</v>
      </c>
      <c r="P243" s="459">
        <f t="shared" si="340"/>
        <v>-1.2</v>
      </c>
      <c r="Q243" s="459">
        <v>-0.05</v>
      </c>
      <c r="R243" s="459">
        <v>-1.26</v>
      </c>
      <c r="S243" s="391"/>
      <c r="T243" s="458">
        <v>-10</v>
      </c>
      <c r="U243" s="459">
        <v>9.9999999999999995E-7</v>
      </c>
      <c r="V243" s="459">
        <v>9.9999999999999995E-7</v>
      </c>
      <c r="W243" s="459">
        <v>9.9999999999999995E-7</v>
      </c>
      <c r="X243" s="459">
        <v>9.9999999999999995E-7</v>
      </c>
      <c r="Y243" s="459">
        <v>9.9999999999999995E-7</v>
      </c>
      <c r="Z243" s="459">
        <v>9.9999999999999995E-7</v>
      </c>
      <c r="AA243" s="459">
        <v>9.9999999999999995E-7</v>
      </c>
      <c r="AB243" s="459">
        <v>9.9999999999999995E-7</v>
      </c>
      <c r="AC243" s="459">
        <v>9.9999999999999995E-7</v>
      </c>
      <c r="AD243" s="459">
        <v>9.9999999999999995E-7</v>
      </c>
      <c r="AE243" s="459">
        <v>9.9999999999999995E-7</v>
      </c>
      <c r="AF243" s="459">
        <v>9.9999999999999995E-7</v>
      </c>
      <c r="AG243" s="459">
        <v>9.9999999999999995E-7</v>
      </c>
      <c r="AH243" s="459">
        <f t="shared" si="341"/>
        <v>-1.2</v>
      </c>
      <c r="AI243" s="459">
        <v>-0.05</v>
      </c>
      <c r="AJ243" s="459">
        <v>-1.26</v>
      </c>
      <c r="AK243" s="391"/>
      <c r="AX243" s="442"/>
      <c r="AY243" s="442"/>
      <c r="BB243" s="396"/>
      <c r="BD243" s="442"/>
      <c r="BE243" s="442"/>
      <c r="BH243" s="396"/>
      <c r="BJ243" s="442"/>
      <c r="BK243" s="442"/>
      <c r="BN243" s="396"/>
      <c r="BP243" s="442"/>
      <c r="BQ243" s="442"/>
      <c r="BT243" s="396"/>
      <c r="BV243" s="442"/>
      <c r="BW243" s="442"/>
      <c r="BZ243" s="396"/>
    </row>
    <row r="244" spans="1:97">
      <c r="B244" s="458">
        <v>9.9999999999999995E-7</v>
      </c>
      <c r="C244" s="459">
        <v>9.9999999999999995E-7</v>
      </c>
      <c r="D244" s="459">
        <v>9.9999999999999995E-7</v>
      </c>
      <c r="E244" s="459">
        <v>9.9999999999999995E-7</v>
      </c>
      <c r="F244" s="459">
        <v>9.9999999999999995E-7</v>
      </c>
      <c r="G244" s="459">
        <v>9.9999999999999995E-7</v>
      </c>
      <c r="H244" s="459">
        <v>9.9999999999999995E-7</v>
      </c>
      <c r="I244" s="459">
        <v>9.9999999999999995E-7</v>
      </c>
      <c r="J244" s="459">
        <v>9.9999999999999995E-7</v>
      </c>
      <c r="K244" s="459">
        <v>9.9999999999999995E-7</v>
      </c>
      <c r="L244" s="459">
        <v>9.9999999999999995E-7</v>
      </c>
      <c r="M244" s="459">
        <v>9.9999999999999995E-7</v>
      </c>
      <c r="N244" s="459">
        <v>9.9999999999999995E-7</v>
      </c>
      <c r="O244" s="459">
        <v>5</v>
      </c>
      <c r="P244" s="459">
        <f t="shared" si="340"/>
        <v>-1.4</v>
      </c>
      <c r="Q244" s="459">
        <v>0.03</v>
      </c>
      <c r="R244" s="459">
        <v>-0.79</v>
      </c>
      <c r="S244" s="391"/>
      <c r="T244" s="458">
        <v>9.9999999999999995E-7</v>
      </c>
      <c r="U244" s="459">
        <v>9.9999999999999995E-7</v>
      </c>
      <c r="V244" s="459">
        <v>9.9999999999999995E-7</v>
      </c>
      <c r="W244" s="459">
        <v>9.9999999999999995E-7</v>
      </c>
      <c r="X244" s="459">
        <v>9.9999999999999995E-7</v>
      </c>
      <c r="Y244" s="459">
        <v>9.9999999999999995E-7</v>
      </c>
      <c r="Z244" s="459">
        <v>9.9999999999999995E-7</v>
      </c>
      <c r="AA244" s="459">
        <v>9.9999999999999995E-7</v>
      </c>
      <c r="AB244" s="459">
        <v>9.9999999999999995E-7</v>
      </c>
      <c r="AC244" s="459">
        <v>9.9999999999999995E-7</v>
      </c>
      <c r="AD244" s="459">
        <v>9.9999999999999995E-7</v>
      </c>
      <c r="AE244" s="459">
        <v>9.9999999999999995E-7</v>
      </c>
      <c r="AF244" s="459">
        <v>9.9999999999999995E-7</v>
      </c>
      <c r="AG244" s="459">
        <v>9.9999999999999995E-7</v>
      </c>
      <c r="AH244" s="459">
        <f t="shared" si="341"/>
        <v>-1.4</v>
      </c>
      <c r="AI244" s="459">
        <v>0.03</v>
      </c>
      <c r="AJ244" s="459">
        <v>-0.79</v>
      </c>
      <c r="AK244" s="391"/>
      <c r="AX244" s="442"/>
      <c r="AY244" s="442"/>
      <c r="BB244" s="396"/>
      <c r="BD244" s="442"/>
      <c r="BE244" s="442"/>
      <c r="BH244" s="396"/>
      <c r="BJ244" s="442"/>
      <c r="BK244" s="442"/>
      <c r="BN244" s="396"/>
      <c r="BP244" s="442"/>
      <c r="BQ244" s="442"/>
      <c r="BT244" s="396"/>
      <c r="BV244" s="442"/>
      <c r="BW244" s="442"/>
      <c r="BZ244" s="396"/>
    </row>
    <row r="245" spans="1:97">
      <c r="B245" s="458">
        <v>2</v>
      </c>
      <c r="C245" s="459">
        <v>9.9999999999999995E-7</v>
      </c>
      <c r="D245" s="459">
        <v>9.9999999999999995E-7</v>
      </c>
      <c r="E245" s="459">
        <v>9.9999999999999995E-7</v>
      </c>
      <c r="F245" s="459">
        <v>9.9999999999999995E-7</v>
      </c>
      <c r="G245" s="459">
        <v>9.9999999999999995E-7</v>
      </c>
      <c r="H245" s="459">
        <v>9.9999999999999995E-7</v>
      </c>
      <c r="I245" s="459">
        <v>9.9999999999999995E-7</v>
      </c>
      <c r="J245" s="459">
        <v>9.9999999999999995E-7</v>
      </c>
      <c r="K245" s="459">
        <v>9.9999999999999995E-7</v>
      </c>
      <c r="L245" s="459">
        <v>9.9999999999999995E-7</v>
      </c>
      <c r="M245" s="459">
        <v>9.9999999999999995E-7</v>
      </c>
      <c r="N245" s="459">
        <v>9.9999999999999995E-7</v>
      </c>
      <c r="O245" s="459">
        <v>6</v>
      </c>
      <c r="P245" s="459">
        <f t="shared" si="340"/>
        <v>0</v>
      </c>
      <c r="Q245" s="459">
        <v>0.04</v>
      </c>
      <c r="R245" s="459">
        <v>-2.7</v>
      </c>
      <c r="S245" s="391"/>
      <c r="T245" s="458">
        <v>2</v>
      </c>
      <c r="U245" s="459">
        <v>9.9999999999999995E-7</v>
      </c>
      <c r="V245" s="459">
        <v>9.9999999999999995E-7</v>
      </c>
      <c r="W245" s="459">
        <v>9.9999999999999995E-7</v>
      </c>
      <c r="X245" s="459">
        <v>9.9999999999999995E-7</v>
      </c>
      <c r="Y245" s="459">
        <v>9.9999999999999995E-7</v>
      </c>
      <c r="Z245" s="459">
        <v>9.9999999999999995E-7</v>
      </c>
      <c r="AA245" s="459">
        <v>9.9999999999999995E-7</v>
      </c>
      <c r="AB245" s="459">
        <v>9.9999999999999995E-7</v>
      </c>
      <c r="AC245" s="459">
        <v>9.9999999999999995E-7</v>
      </c>
      <c r="AD245" s="459">
        <v>9.9999999999999995E-7</v>
      </c>
      <c r="AE245" s="459">
        <v>9.9999999999999995E-7</v>
      </c>
      <c r="AF245" s="459">
        <v>9.9999999999999995E-7</v>
      </c>
      <c r="AG245" s="459">
        <v>9.9999999999999995E-7</v>
      </c>
      <c r="AH245" s="459">
        <f t="shared" si="341"/>
        <v>0</v>
      </c>
      <c r="AI245" s="459">
        <v>0.04</v>
      </c>
      <c r="AJ245" s="459">
        <v>-2.7</v>
      </c>
      <c r="AK245" s="391"/>
      <c r="AX245" s="442"/>
      <c r="AY245" s="442"/>
      <c r="BB245" s="396"/>
      <c r="BD245" s="442"/>
      <c r="BE245" s="442"/>
      <c r="BH245" s="396"/>
      <c r="BJ245" s="442"/>
      <c r="BK245" s="442"/>
      <c r="BN245" s="396"/>
      <c r="BP245" s="442"/>
      <c r="BQ245" s="442"/>
      <c r="BT245" s="396"/>
      <c r="BV245" s="442"/>
      <c r="BW245" s="442"/>
      <c r="BZ245" s="396"/>
    </row>
    <row r="246" spans="1:97">
      <c r="B246" s="458">
        <v>8</v>
      </c>
      <c r="C246" s="459">
        <v>9.9999999999999995E-7</v>
      </c>
      <c r="D246" s="459">
        <v>9.9999999999999995E-7</v>
      </c>
      <c r="E246" s="459">
        <v>9.9999999999999995E-7</v>
      </c>
      <c r="F246" s="459">
        <v>9.9999999999999995E-7</v>
      </c>
      <c r="G246" s="459">
        <v>9.9999999999999995E-7</v>
      </c>
      <c r="H246" s="459">
        <v>9.9999999999999995E-7</v>
      </c>
      <c r="I246" s="459">
        <v>9.9999999999999995E-7</v>
      </c>
      <c r="J246" s="459">
        <v>9.9999999999999995E-7</v>
      </c>
      <c r="K246" s="459">
        <v>9.9999999999999995E-7</v>
      </c>
      <c r="L246" s="459">
        <v>9.9999999999999995E-7</v>
      </c>
      <c r="M246" s="459">
        <v>9.9999999999999995E-7</v>
      </c>
      <c r="N246" s="459">
        <v>9.9999999999999995E-7</v>
      </c>
      <c r="O246" s="459">
        <v>7</v>
      </c>
      <c r="P246" s="459">
        <f t="shared" si="340"/>
        <v>0</v>
      </c>
      <c r="Q246" s="459">
        <v>0.08</v>
      </c>
      <c r="R246" s="459">
        <v>-0.46</v>
      </c>
      <c r="S246" s="391"/>
      <c r="T246" s="458">
        <v>8</v>
      </c>
      <c r="U246" s="459">
        <v>9.9999999999999995E-7</v>
      </c>
      <c r="V246" s="459">
        <v>9.9999999999999995E-7</v>
      </c>
      <c r="W246" s="459">
        <v>9.9999999999999995E-7</v>
      </c>
      <c r="X246" s="459">
        <v>9.9999999999999995E-7</v>
      </c>
      <c r="Y246" s="459">
        <v>9.9999999999999995E-7</v>
      </c>
      <c r="Z246" s="459">
        <v>9.9999999999999995E-7</v>
      </c>
      <c r="AA246" s="459">
        <v>9.9999999999999995E-7</v>
      </c>
      <c r="AB246" s="459">
        <v>9.9999999999999995E-7</v>
      </c>
      <c r="AC246" s="459">
        <v>9.9999999999999995E-7</v>
      </c>
      <c r="AD246" s="459">
        <v>9.9999999999999995E-7</v>
      </c>
      <c r="AE246" s="459">
        <v>9.9999999999999995E-7</v>
      </c>
      <c r="AF246" s="459">
        <v>9.9999999999999995E-7</v>
      </c>
      <c r="AG246" s="459">
        <v>9.9999999999999995E-7</v>
      </c>
      <c r="AH246" s="459">
        <f t="shared" si="341"/>
        <v>0</v>
      </c>
      <c r="AI246" s="459">
        <v>0.08</v>
      </c>
      <c r="AJ246" s="459">
        <v>-0.46</v>
      </c>
      <c r="AK246" s="391"/>
      <c r="AX246" s="442"/>
      <c r="AY246" s="442"/>
      <c r="BB246" s="396"/>
      <c r="BD246" s="442"/>
      <c r="BE246" s="442"/>
      <c r="BH246" s="396"/>
      <c r="BJ246" s="442"/>
      <c r="BK246" s="442"/>
      <c r="BN246" s="396"/>
      <c r="BP246" s="442"/>
      <c r="BQ246" s="442"/>
      <c r="BT246" s="396"/>
      <c r="BV246" s="442"/>
      <c r="BW246" s="442"/>
      <c r="BZ246" s="396"/>
    </row>
    <row r="247" spans="1:97">
      <c r="B247" s="458">
        <v>37</v>
      </c>
      <c r="C247" s="459">
        <v>9.9999999999999995E-7</v>
      </c>
      <c r="D247" s="459">
        <v>9.9999999999999995E-7</v>
      </c>
      <c r="E247" s="459">
        <v>9.9999999999999995E-7</v>
      </c>
      <c r="F247" s="459">
        <v>9.9999999999999995E-7</v>
      </c>
      <c r="G247" s="459">
        <v>9.9999999999999995E-7</v>
      </c>
      <c r="H247" s="459">
        <v>9.9999999999999995E-7</v>
      </c>
      <c r="I247" s="459">
        <v>9.9999999999999995E-7</v>
      </c>
      <c r="J247" s="459">
        <v>9.9999999999999995E-7</v>
      </c>
      <c r="K247" s="459">
        <v>9.9999999999999995E-7</v>
      </c>
      <c r="L247" s="459">
        <v>9.9999999999999995E-7</v>
      </c>
      <c r="M247" s="459">
        <v>9.9999999999999995E-7</v>
      </c>
      <c r="N247" s="459">
        <v>9.9999999999999995E-7</v>
      </c>
      <c r="O247" s="459">
        <v>8</v>
      </c>
      <c r="P247" s="459">
        <f t="shared" si="340"/>
        <v>0</v>
      </c>
      <c r="Q247" s="459">
        <v>0.23</v>
      </c>
      <c r="R247" s="459">
        <v>0.42</v>
      </c>
      <c r="S247" s="391"/>
      <c r="T247" s="458">
        <v>37</v>
      </c>
      <c r="U247" s="459">
        <v>9.9999999999999995E-7</v>
      </c>
      <c r="V247" s="459">
        <v>9.9999999999999995E-7</v>
      </c>
      <c r="W247" s="459">
        <v>9.9999999999999995E-7</v>
      </c>
      <c r="X247" s="459">
        <v>9.9999999999999995E-7</v>
      </c>
      <c r="Y247" s="459">
        <v>9.9999999999999995E-7</v>
      </c>
      <c r="Z247" s="459">
        <v>9.9999999999999995E-7</v>
      </c>
      <c r="AA247" s="459">
        <v>9.9999999999999995E-7</v>
      </c>
      <c r="AB247" s="459">
        <v>9.9999999999999995E-7</v>
      </c>
      <c r="AC247" s="459">
        <v>9.9999999999999995E-7</v>
      </c>
      <c r="AD247" s="459">
        <v>9.9999999999999995E-7</v>
      </c>
      <c r="AE247" s="459">
        <v>9.9999999999999995E-7</v>
      </c>
      <c r="AF247" s="459">
        <v>9.9999999999999995E-7</v>
      </c>
      <c r="AG247" s="459">
        <v>9.9999999999999995E-7</v>
      </c>
      <c r="AH247" s="459">
        <f t="shared" si="341"/>
        <v>0</v>
      </c>
      <c r="AI247" s="459">
        <v>0.23</v>
      </c>
      <c r="AJ247" s="459">
        <v>0.42</v>
      </c>
      <c r="AK247" s="391"/>
      <c r="AX247" s="442"/>
      <c r="AY247" s="442"/>
      <c r="BB247" s="396"/>
      <c r="BD247" s="442"/>
      <c r="BE247" s="442"/>
      <c r="BH247" s="396"/>
      <c r="BJ247" s="442"/>
      <c r="BK247" s="442"/>
      <c r="BN247" s="396"/>
      <c r="BP247" s="442"/>
      <c r="BQ247" s="442"/>
      <c r="BT247" s="396"/>
      <c r="BV247" s="442"/>
      <c r="BW247" s="442"/>
      <c r="BZ247" s="396"/>
    </row>
    <row r="248" spans="1:97">
      <c r="B248" s="458">
        <v>44</v>
      </c>
      <c r="C248" s="459">
        <v>9.9999999999999995E-7</v>
      </c>
      <c r="D248" s="459">
        <v>9.9999999999999995E-7</v>
      </c>
      <c r="E248" s="459">
        <v>9.9999999999999995E-7</v>
      </c>
      <c r="F248" s="459">
        <v>9.9999999999999995E-7</v>
      </c>
      <c r="G248" s="459">
        <v>9.9999999999999995E-7</v>
      </c>
      <c r="H248" s="459">
        <v>9.9999999999999995E-7</v>
      </c>
      <c r="I248" s="459">
        <v>9.9999999999999995E-7</v>
      </c>
      <c r="J248" s="459">
        <v>9.9999999999999995E-7</v>
      </c>
      <c r="K248" s="459">
        <v>9.9999999999999995E-7</v>
      </c>
      <c r="L248" s="459">
        <v>9.9999999999999995E-7</v>
      </c>
      <c r="M248" s="459">
        <v>9.9999999999999995E-7</v>
      </c>
      <c r="N248" s="459">
        <v>9.9999999999999995E-7</v>
      </c>
      <c r="O248" s="459">
        <v>9</v>
      </c>
      <c r="P248" s="459">
        <f t="shared" si="340"/>
        <v>0</v>
      </c>
      <c r="Q248" s="459">
        <v>0.25</v>
      </c>
      <c r="R248" s="459">
        <v>0.56999999999999995</v>
      </c>
      <c r="S248" s="391"/>
      <c r="T248" s="458">
        <v>44</v>
      </c>
      <c r="U248" s="459">
        <v>9.9999999999999995E-7</v>
      </c>
      <c r="V248" s="459">
        <v>9.9999999999999995E-7</v>
      </c>
      <c r="W248" s="459">
        <v>9.9999999999999995E-7</v>
      </c>
      <c r="X248" s="459">
        <v>9.9999999999999995E-7</v>
      </c>
      <c r="Y248" s="459">
        <v>9.9999999999999995E-7</v>
      </c>
      <c r="Z248" s="459">
        <v>9.9999999999999995E-7</v>
      </c>
      <c r="AA248" s="459">
        <v>9.9999999999999995E-7</v>
      </c>
      <c r="AB248" s="459">
        <v>9.9999999999999995E-7</v>
      </c>
      <c r="AC248" s="459">
        <v>9.9999999999999995E-7</v>
      </c>
      <c r="AD248" s="459">
        <v>9.9999999999999995E-7</v>
      </c>
      <c r="AE248" s="459">
        <v>9.9999999999999995E-7</v>
      </c>
      <c r="AF248" s="459">
        <v>9.9999999999999995E-7</v>
      </c>
      <c r="AG248" s="459">
        <v>9.9999999999999995E-7</v>
      </c>
      <c r="AH248" s="459">
        <f t="shared" si="341"/>
        <v>0</v>
      </c>
      <c r="AI248" s="459">
        <v>0.25</v>
      </c>
      <c r="AJ248" s="459">
        <v>0.56999999999999995</v>
      </c>
      <c r="AK248" s="391"/>
      <c r="AX248" s="442"/>
      <c r="AY248" s="442"/>
      <c r="BB248" s="396"/>
      <c r="BD248" s="442"/>
      <c r="BE248" s="442"/>
      <c r="BH248" s="396"/>
      <c r="BJ248" s="442"/>
      <c r="BK248" s="442"/>
      <c r="BN248" s="396"/>
      <c r="BP248" s="442"/>
      <c r="BQ248" s="442"/>
      <c r="BT248" s="396"/>
      <c r="BV248" s="442"/>
      <c r="BW248" s="442"/>
      <c r="BZ248" s="396"/>
    </row>
    <row r="249" spans="1:97">
      <c r="B249" s="458">
        <v>50</v>
      </c>
      <c r="C249" s="459">
        <v>9.9999999999999995E-7</v>
      </c>
      <c r="D249" s="459">
        <v>9.9999999999999995E-7</v>
      </c>
      <c r="E249" s="459">
        <v>9.9999999999999995E-7</v>
      </c>
      <c r="F249" s="459">
        <v>9.9999999999999995E-7</v>
      </c>
      <c r="G249" s="459">
        <v>9.9999999999999995E-7</v>
      </c>
      <c r="H249" s="459">
        <v>9.9999999999999995E-7</v>
      </c>
      <c r="I249" s="459">
        <v>9.9999999999999995E-7</v>
      </c>
      <c r="J249" s="459">
        <v>9.9999999999999995E-7</v>
      </c>
      <c r="K249" s="459">
        <v>9.9999999999999995E-7</v>
      </c>
      <c r="L249" s="459">
        <v>9.9999999999999995E-7</v>
      </c>
      <c r="M249" s="459">
        <v>9.9999999999999995E-7</v>
      </c>
      <c r="N249" s="459">
        <v>9.9999999999999995E-7</v>
      </c>
      <c r="O249" s="459">
        <v>10</v>
      </c>
      <c r="P249" s="459">
        <f t="shared" si="340"/>
        <v>-1</v>
      </c>
      <c r="Q249" s="459">
        <v>0.27</v>
      </c>
      <c r="R249" s="459">
        <v>0.67</v>
      </c>
      <c r="S249" s="391"/>
      <c r="T249" s="458">
        <v>50</v>
      </c>
      <c r="U249" s="459">
        <v>9.9999999999999995E-7</v>
      </c>
      <c r="V249" s="459">
        <v>9.9999999999999995E-7</v>
      </c>
      <c r="W249" s="459">
        <v>9.9999999999999995E-7</v>
      </c>
      <c r="X249" s="459">
        <v>9.9999999999999995E-7</v>
      </c>
      <c r="Y249" s="459">
        <v>9.9999999999999995E-7</v>
      </c>
      <c r="Z249" s="459">
        <v>9.9999999999999995E-7</v>
      </c>
      <c r="AA249" s="459">
        <v>9.9999999999999995E-7</v>
      </c>
      <c r="AB249" s="459">
        <v>9.9999999999999995E-7</v>
      </c>
      <c r="AC249" s="459">
        <v>9.9999999999999995E-7</v>
      </c>
      <c r="AD249" s="459">
        <v>9.9999999999999995E-7</v>
      </c>
      <c r="AE249" s="459">
        <v>9.9999999999999995E-7</v>
      </c>
      <c r="AF249" s="459">
        <v>9.9999999999999995E-7</v>
      </c>
      <c r="AG249" s="459">
        <v>9.9999999999999995E-7</v>
      </c>
      <c r="AH249" s="459">
        <f t="shared" si="341"/>
        <v>-1</v>
      </c>
      <c r="AI249" s="459">
        <v>0.27</v>
      </c>
      <c r="AJ249" s="459">
        <v>0.67</v>
      </c>
      <c r="AK249" s="391"/>
      <c r="AX249" s="442"/>
      <c r="AY249" s="442"/>
      <c r="BB249" s="396"/>
      <c r="BD249" s="442"/>
      <c r="BE249" s="442"/>
      <c r="BH249" s="396"/>
      <c r="BJ249" s="442"/>
      <c r="BK249" s="442"/>
      <c r="BN249" s="396"/>
      <c r="BP249" s="442"/>
      <c r="BQ249" s="442"/>
      <c r="BT249" s="396"/>
      <c r="BV249" s="442"/>
      <c r="BW249" s="442"/>
      <c r="BZ249" s="396"/>
    </row>
    <row r="250" spans="1:97">
      <c r="B250" s="458">
        <v>100</v>
      </c>
      <c r="C250" s="459">
        <v>9.9999999999999995E-7</v>
      </c>
      <c r="D250" s="459">
        <v>9.9999999999999995E-7</v>
      </c>
      <c r="E250" s="459">
        <v>9.9999999999999995E-7</v>
      </c>
      <c r="F250" s="459">
        <v>9.9999999999999995E-7</v>
      </c>
      <c r="G250" s="459">
        <v>9.9999999999999995E-7</v>
      </c>
      <c r="H250" s="459">
        <v>9.9999999999999995E-7</v>
      </c>
      <c r="I250" s="459">
        <v>9.9999999999999995E-7</v>
      </c>
      <c r="J250" s="459">
        <v>9.9999999999999995E-7</v>
      </c>
      <c r="K250" s="459">
        <v>9.9999999999999995E-7</v>
      </c>
      <c r="L250" s="459">
        <v>9.9999999999999995E-7</v>
      </c>
      <c r="M250" s="459">
        <v>9.9999999999999995E-7</v>
      </c>
      <c r="N250" s="459">
        <v>9.9999999999999995E-7</v>
      </c>
      <c r="O250" s="459">
        <v>11</v>
      </c>
      <c r="P250" s="459">
        <f t="shared" si="340"/>
        <v>-1.6</v>
      </c>
      <c r="Q250" s="459">
        <v>0.31</v>
      </c>
      <c r="R250" s="459">
        <v>0.95</v>
      </c>
      <c r="S250" s="391"/>
      <c r="T250" s="458">
        <v>100</v>
      </c>
      <c r="U250" s="459">
        <v>9.9999999999999995E-7</v>
      </c>
      <c r="V250" s="459">
        <v>9.9999999999999995E-7</v>
      </c>
      <c r="W250" s="459">
        <v>9.9999999999999995E-7</v>
      </c>
      <c r="X250" s="459">
        <v>9.9999999999999995E-7</v>
      </c>
      <c r="Y250" s="459">
        <v>9.9999999999999995E-7</v>
      </c>
      <c r="Z250" s="459">
        <v>9.9999999999999995E-7</v>
      </c>
      <c r="AA250" s="459">
        <v>9.9999999999999995E-7</v>
      </c>
      <c r="AB250" s="459">
        <v>9.9999999999999995E-7</v>
      </c>
      <c r="AC250" s="459">
        <v>9.9999999999999995E-7</v>
      </c>
      <c r="AD250" s="459">
        <v>9.9999999999999995E-7</v>
      </c>
      <c r="AE250" s="459">
        <v>9.9999999999999995E-7</v>
      </c>
      <c r="AF250" s="459">
        <v>9.9999999999999995E-7</v>
      </c>
      <c r="AG250" s="459">
        <v>9.9999999999999995E-7</v>
      </c>
      <c r="AH250" s="459">
        <f t="shared" si="341"/>
        <v>-1.6</v>
      </c>
      <c r="AI250" s="459">
        <v>0.31</v>
      </c>
      <c r="AJ250" s="459">
        <v>0.95</v>
      </c>
      <c r="AK250" s="391"/>
      <c r="AX250" s="442"/>
      <c r="AY250" s="442"/>
      <c r="BB250" s="396"/>
      <c r="BD250" s="442"/>
      <c r="BE250" s="442"/>
      <c r="BH250" s="396"/>
      <c r="BJ250" s="442"/>
      <c r="BK250" s="442"/>
      <c r="BN250" s="396"/>
      <c r="BP250" s="442"/>
      <c r="BQ250" s="442"/>
      <c r="BT250" s="396"/>
      <c r="BV250" s="442"/>
      <c r="BW250" s="442"/>
      <c r="BZ250" s="396"/>
    </row>
    <row r="251" spans="1:97">
      <c r="B251" s="458">
        <v>150</v>
      </c>
      <c r="C251" s="459">
        <v>9.9999999999999995E-7</v>
      </c>
      <c r="D251" s="459">
        <v>9.9999999999999995E-7</v>
      </c>
      <c r="E251" s="459">
        <v>9.9999999999999995E-7</v>
      </c>
      <c r="F251" s="459">
        <v>9.9999999999999995E-7</v>
      </c>
      <c r="G251" s="459">
        <v>9.9999999999999995E-7</v>
      </c>
      <c r="H251" s="459">
        <v>9.9999999999999995E-7</v>
      </c>
      <c r="I251" s="459">
        <v>9.9999999999999995E-7</v>
      </c>
      <c r="J251" s="459">
        <v>9.9999999999999995E-7</v>
      </c>
      <c r="K251" s="459">
        <v>9.9999999999999995E-7</v>
      </c>
      <c r="L251" s="459">
        <v>9.9999999999999995E-7</v>
      </c>
      <c r="M251" s="459">
        <v>9.9999999999999995E-7</v>
      </c>
      <c r="N251" s="459">
        <v>9.9999999999999995E-7</v>
      </c>
      <c r="O251" s="459">
        <v>12</v>
      </c>
      <c r="P251" s="459">
        <f t="shared" si="340"/>
        <v>-1.7</v>
      </c>
      <c r="Q251" s="459">
        <v>0.3</v>
      </c>
      <c r="R251" s="459">
        <v>0.49</v>
      </c>
      <c r="S251" s="391"/>
      <c r="T251" s="458">
        <v>150</v>
      </c>
      <c r="U251" s="459">
        <v>9.9999999999999995E-7</v>
      </c>
      <c r="V251" s="459">
        <v>9.9999999999999995E-7</v>
      </c>
      <c r="W251" s="459">
        <v>9.9999999999999995E-7</v>
      </c>
      <c r="X251" s="459">
        <v>9.9999999999999995E-7</v>
      </c>
      <c r="Y251" s="459">
        <v>9.9999999999999995E-7</v>
      </c>
      <c r="Z251" s="459">
        <v>9.9999999999999995E-7</v>
      </c>
      <c r="AA251" s="459">
        <v>9.9999999999999995E-7</v>
      </c>
      <c r="AB251" s="459">
        <v>9.9999999999999995E-7</v>
      </c>
      <c r="AC251" s="459">
        <v>9.9999999999999995E-7</v>
      </c>
      <c r="AD251" s="459">
        <v>9.9999999999999995E-7</v>
      </c>
      <c r="AE251" s="459">
        <v>9.9999999999999995E-7</v>
      </c>
      <c r="AF251" s="459">
        <v>9.9999999999999995E-7</v>
      </c>
      <c r="AG251" s="459">
        <v>9.9999999999999995E-7</v>
      </c>
      <c r="AH251" s="459">
        <f t="shared" si="341"/>
        <v>-1.7</v>
      </c>
      <c r="AI251" s="459">
        <v>0.3</v>
      </c>
      <c r="AJ251" s="459">
        <v>0.49</v>
      </c>
      <c r="AK251" s="391"/>
      <c r="AX251" s="442"/>
      <c r="AY251" s="442"/>
      <c r="BB251" s="396"/>
      <c r="BD251" s="442"/>
      <c r="BE251" s="442"/>
      <c r="BH251" s="396"/>
      <c r="BJ251" s="442"/>
      <c r="BK251" s="442"/>
      <c r="BN251" s="396"/>
      <c r="BP251" s="442"/>
      <c r="BQ251" s="442"/>
      <c r="BT251" s="396"/>
      <c r="BV251" s="442"/>
      <c r="BW251" s="442"/>
      <c r="BZ251" s="396"/>
    </row>
    <row r="252" spans="1:97">
      <c r="B252" s="458">
        <v>200</v>
      </c>
      <c r="C252" s="459">
        <v>9.9999999999999995E-7</v>
      </c>
      <c r="D252" s="459">
        <v>9.9999999999999995E-7</v>
      </c>
      <c r="E252" s="459">
        <v>9.9999999999999995E-7</v>
      </c>
      <c r="F252" s="459">
        <v>9.9999999999999995E-7</v>
      </c>
      <c r="G252" s="459">
        <v>9.9999999999999995E-7</v>
      </c>
      <c r="H252" s="459">
        <v>9.9999999999999995E-7</v>
      </c>
      <c r="I252" s="459">
        <v>9.9999999999999995E-7</v>
      </c>
      <c r="J252" s="459">
        <v>9.9999999999999995E-7</v>
      </c>
      <c r="K252" s="459">
        <v>9.9999999999999995E-7</v>
      </c>
      <c r="L252" s="459">
        <v>9.9999999999999995E-7</v>
      </c>
      <c r="M252" s="459">
        <v>9.9999999999999995E-7</v>
      </c>
      <c r="N252" s="459">
        <v>9.9999999999999995E-7</v>
      </c>
      <c r="O252" s="459">
        <v>13</v>
      </c>
      <c r="P252" s="459">
        <f t="shared" si="340"/>
        <v>-0.9</v>
      </c>
      <c r="Q252" s="459">
        <v>0.34</v>
      </c>
      <c r="R252" s="459">
        <v>-0.26</v>
      </c>
      <c r="S252" s="391"/>
      <c r="T252" s="458">
        <v>200</v>
      </c>
      <c r="U252" s="459">
        <v>9.9999999999999995E-7</v>
      </c>
      <c r="V252" s="459">
        <v>9.9999999999999995E-7</v>
      </c>
      <c r="W252" s="459">
        <v>9.9999999999999995E-7</v>
      </c>
      <c r="X252" s="459">
        <v>9.9999999999999995E-7</v>
      </c>
      <c r="Y252" s="459">
        <v>9.9999999999999995E-7</v>
      </c>
      <c r="Z252" s="459">
        <v>9.9999999999999995E-7</v>
      </c>
      <c r="AA252" s="459">
        <v>9.9999999999999995E-7</v>
      </c>
      <c r="AB252" s="459">
        <v>9.9999999999999995E-7</v>
      </c>
      <c r="AC252" s="459">
        <v>9.9999999999999995E-7</v>
      </c>
      <c r="AD252" s="459">
        <v>9.9999999999999995E-7</v>
      </c>
      <c r="AE252" s="459">
        <v>9.9999999999999995E-7</v>
      </c>
      <c r="AF252" s="459">
        <v>9.9999999999999995E-7</v>
      </c>
      <c r="AG252" s="459">
        <v>9.9999999999999995E-7</v>
      </c>
      <c r="AH252" s="459">
        <f t="shared" si="341"/>
        <v>-0.9</v>
      </c>
      <c r="AI252" s="459">
        <v>0.34</v>
      </c>
      <c r="AJ252" s="459">
        <v>-0.26</v>
      </c>
      <c r="AK252" s="391"/>
      <c r="AX252" s="442"/>
      <c r="AY252" s="442"/>
      <c r="BB252" s="396"/>
      <c r="BD252" s="442"/>
      <c r="BE252" s="442"/>
      <c r="BH252" s="396"/>
      <c r="BJ252" s="442"/>
      <c r="BK252" s="442"/>
      <c r="BN252" s="396"/>
      <c r="BP252" s="442"/>
      <c r="BQ252" s="442"/>
      <c r="BT252" s="396"/>
      <c r="BV252" s="442"/>
      <c r="BW252" s="442"/>
      <c r="BZ252" s="396"/>
    </row>
    <row r="253" spans="1:97" s="465" customFormat="1">
      <c r="A253" s="463"/>
      <c r="B253" s="458" t="s">
        <v>208</v>
      </c>
      <c r="C253" s="464">
        <v>0.1</v>
      </c>
      <c r="D253" s="464">
        <v>0.1</v>
      </c>
      <c r="E253" s="464">
        <v>0.1</v>
      </c>
      <c r="F253" s="464">
        <v>0.1</v>
      </c>
      <c r="G253" s="464">
        <v>0.1</v>
      </c>
      <c r="H253" s="464">
        <v>0.1</v>
      </c>
      <c r="I253" s="464">
        <v>0.1</v>
      </c>
      <c r="J253" s="464">
        <v>0.1</v>
      </c>
      <c r="K253" s="464">
        <v>0.1</v>
      </c>
      <c r="L253" s="464">
        <v>0.1</v>
      </c>
      <c r="M253" s="464">
        <v>0.1</v>
      </c>
      <c r="N253" s="464">
        <v>0.1</v>
      </c>
      <c r="O253" s="464">
        <v>0.1</v>
      </c>
      <c r="P253" s="464">
        <f t="shared" si="340"/>
        <v>0.6</v>
      </c>
      <c r="Q253" s="464">
        <v>0.22</v>
      </c>
      <c r="R253" s="464">
        <v>0.77</v>
      </c>
      <c r="S253" s="463"/>
      <c r="T253" s="458" t="s">
        <v>208</v>
      </c>
      <c r="U253" s="464">
        <v>0.1</v>
      </c>
      <c r="V253" s="464">
        <v>0.1</v>
      </c>
      <c r="W253" s="464">
        <v>0.1</v>
      </c>
      <c r="X253" s="464">
        <v>0.1</v>
      </c>
      <c r="Y253" s="464">
        <v>0.1</v>
      </c>
      <c r="Z253" s="464">
        <v>0.1</v>
      </c>
      <c r="AA253" s="464">
        <v>0.1</v>
      </c>
      <c r="AB253" s="464">
        <v>0.1</v>
      </c>
      <c r="AC253" s="464">
        <v>0.1</v>
      </c>
      <c r="AD253" s="464">
        <v>0.1</v>
      </c>
      <c r="AE253" s="464">
        <v>0.1</v>
      </c>
      <c r="AF253" s="464">
        <v>0.1</v>
      </c>
      <c r="AG253" s="464">
        <v>9.9999999999999995E-7</v>
      </c>
      <c r="AH253" s="464">
        <f t="shared" si="341"/>
        <v>0.6</v>
      </c>
      <c r="AI253" s="464">
        <v>0.22</v>
      </c>
      <c r="AJ253" s="464">
        <v>0.77</v>
      </c>
      <c r="AK253" s="463"/>
      <c r="AN253" s="466"/>
      <c r="AP253" s="467"/>
      <c r="AT253" s="466"/>
      <c r="AV253" s="467"/>
      <c r="AX253" s="466"/>
      <c r="AY253" s="466"/>
      <c r="AZ253" s="466"/>
      <c r="BD253" s="466"/>
      <c r="BE253" s="466"/>
      <c r="BF253" s="466"/>
      <c r="BJ253" s="466"/>
      <c r="BK253" s="466"/>
      <c r="BL253" s="466"/>
      <c r="BP253" s="466"/>
      <c r="BQ253" s="466"/>
      <c r="BR253" s="466"/>
      <c r="BV253" s="466"/>
      <c r="BW253" s="466"/>
      <c r="BX253" s="466"/>
      <c r="CG253" s="463"/>
      <c r="CM253" s="463"/>
      <c r="CS253" s="463"/>
    </row>
    <row r="254" spans="1:97" s="391" customFormat="1">
      <c r="B254" s="415"/>
      <c r="C254" s="415"/>
      <c r="D254" s="415"/>
      <c r="E254" s="392"/>
      <c r="F254" s="392"/>
      <c r="G254" s="392"/>
      <c r="H254" s="392"/>
      <c r="I254" s="392"/>
      <c r="J254" s="392"/>
      <c r="K254" s="392"/>
      <c r="L254" s="392"/>
      <c r="M254" s="392"/>
      <c r="N254" s="392"/>
      <c r="O254" s="392"/>
      <c r="R254" s="415"/>
      <c r="S254" s="415"/>
      <c r="T254" s="415"/>
      <c r="U254" s="392"/>
      <c r="V254" s="415"/>
      <c r="W254" s="415"/>
      <c r="X254" s="415"/>
      <c r="Y254" s="415"/>
      <c r="Z254" s="415"/>
      <c r="AA254" s="415"/>
      <c r="AB254" s="415"/>
      <c r="AD254" s="392"/>
      <c r="AE254" s="415"/>
      <c r="AF254" s="415"/>
      <c r="AG254" s="415"/>
      <c r="AH254" s="392"/>
      <c r="AJ254" s="393"/>
      <c r="AK254" s="415"/>
      <c r="AL254" s="415"/>
      <c r="AM254" s="415"/>
      <c r="AN254" s="392"/>
      <c r="AR254" s="415"/>
      <c r="AS254" s="415"/>
      <c r="AT254" s="392"/>
      <c r="AX254" s="415"/>
      <c r="AY254" s="415"/>
      <c r="AZ254" s="392"/>
      <c r="BD254" s="415"/>
      <c r="BE254" s="415"/>
      <c r="BF254" s="392"/>
      <c r="BJ254" s="415"/>
      <c r="BK254" s="415"/>
      <c r="BL254" s="392"/>
      <c r="BP254" s="415"/>
      <c r="BQ254" s="415"/>
      <c r="BR254" s="392"/>
      <c r="BV254" s="415"/>
      <c r="BW254" s="415"/>
      <c r="BX254" s="392"/>
    </row>
    <row r="255" spans="1:97" s="391" customFormat="1">
      <c r="B255" s="415"/>
      <c r="C255" s="415"/>
      <c r="D255" s="415"/>
      <c r="E255" s="392"/>
      <c r="F255" s="392"/>
      <c r="G255" s="392"/>
      <c r="H255" s="392"/>
      <c r="I255" s="392"/>
      <c r="J255" s="392"/>
      <c r="K255" s="392"/>
      <c r="L255" s="392"/>
      <c r="M255" s="392"/>
      <c r="N255" s="392"/>
      <c r="O255" s="392"/>
      <c r="R255" s="415"/>
      <c r="S255" s="415"/>
      <c r="T255" s="415"/>
      <c r="U255" s="392"/>
      <c r="V255" s="415"/>
      <c r="W255" s="415"/>
      <c r="X255" s="415"/>
      <c r="Y255" s="415"/>
      <c r="Z255" s="415"/>
      <c r="AA255" s="415"/>
      <c r="AB255" s="415"/>
      <c r="AD255" s="392"/>
      <c r="AE255" s="415"/>
      <c r="AF255" s="415"/>
      <c r="AG255" s="415"/>
      <c r="AH255" s="392"/>
      <c r="AJ255" s="393"/>
      <c r="AK255" s="415"/>
      <c r="AL255" s="415"/>
      <c r="AM255" s="415"/>
      <c r="AN255" s="392"/>
      <c r="AR255" s="415"/>
      <c r="AS255" s="415"/>
      <c r="AT255" s="392"/>
      <c r="AX255" s="415"/>
      <c r="AY255" s="415"/>
      <c r="AZ255" s="392"/>
      <c r="BD255" s="415"/>
      <c r="BE255" s="415"/>
      <c r="BF255" s="392"/>
      <c r="BJ255" s="415"/>
      <c r="BK255" s="415"/>
      <c r="BL255" s="392"/>
      <c r="BP255" s="415"/>
      <c r="BQ255" s="415"/>
      <c r="BR255" s="392"/>
      <c r="BV255" s="415"/>
      <c r="BW255" s="415"/>
      <c r="BX255" s="392"/>
    </row>
    <row r="256" spans="1:97" s="391" customFormat="1" ht="20.100000000000001" customHeight="1">
      <c r="T256" s="392"/>
      <c r="U256" s="392"/>
      <c r="V256" s="392"/>
      <c r="W256" s="392"/>
      <c r="X256" s="392"/>
      <c r="Y256" s="392"/>
      <c r="Z256" s="392"/>
      <c r="AA256" s="392"/>
      <c r="AB256" s="392"/>
      <c r="AH256" s="392"/>
      <c r="AJ256" s="393"/>
      <c r="AN256" s="392"/>
      <c r="AT256" s="392"/>
      <c r="AZ256" s="392"/>
      <c r="BF256" s="392"/>
      <c r="BL256" s="392"/>
      <c r="BR256" s="392"/>
      <c r="BX256" s="392"/>
    </row>
    <row r="257" spans="2:78" ht="70.05" customHeight="1">
      <c r="B257" s="827" t="s">
        <v>344</v>
      </c>
      <c r="C257" s="827"/>
      <c r="D257" s="827"/>
      <c r="E257" s="827"/>
      <c r="F257" s="827"/>
      <c r="G257" s="827"/>
      <c r="H257" s="827"/>
      <c r="I257" s="827"/>
      <c r="J257" s="827"/>
      <c r="K257" s="827"/>
      <c r="L257" s="827"/>
      <c r="M257" s="391"/>
      <c r="N257" s="391"/>
      <c r="O257" s="391"/>
      <c r="P257" s="391"/>
      <c r="Q257" s="391"/>
      <c r="R257" s="391"/>
      <c r="AP257" s="396"/>
      <c r="AV257" s="396"/>
      <c r="BB257" s="396"/>
      <c r="BH257" s="396"/>
      <c r="BN257" s="396"/>
      <c r="BT257" s="396"/>
      <c r="BZ257" s="396"/>
    </row>
    <row r="258" spans="2:78" ht="20.100000000000001" customHeight="1">
      <c r="B258" s="828"/>
      <c r="C258" s="828"/>
      <c r="D258" s="828"/>
      <c r="E258" s="828"/>
      <c r="F258" s="828"/>
      <c r="G258" s="828"/>
      <c r="H258" s="828"/>
      <c r="I258" s="828"/>
      <c r="J258" s="828"/>
      <c r="K258" s="828"/>
      <c r="L258" s="828"/>
      <c r="M258" s="391"/>
      <c r="N258" s="391"/>
      <c r="O258" s="391"/>
      <c r="P258" s="391"/>
      <c r="Q258" s="391"/>
      <c r="R258" s="391"/>
      <c r="AP258" s="396"/>
      <c r="AV258" s="396"/>
      <c r="BB258" s="396"/>
      <c r="BH258" s="396"/>
      <c r="BN258" s="396"/>
      <c r="BT258" s="396"/>
      <c r="BZ258" s="396"/>
    </row>
    <row r="259" spans="2:78" ht="84" customHeight="1">
      <c r="B259" s="485" t="str">
        <f>ID!B96</f>
        <v>Thermocouple Data Logger, Merek : MADGETECH, Model : OctTemp 2000, SN : P41878</v>
      </c>
      <c r="C259" s="486" t="s">
        <v>327</v>
      </c>
      <c r="D259" s="486" t="s">
        <v>332</v>
      </c>
      <c r="E259" s="486" t="s">
        <v>333</v>
      </c>
      <c r="F259" s="486" t="s">
        <v>334</v>
      </c>
      <c r="G259" s="486" t="s">
        <v>335</v>
      </c>
      <c r="H259" s="486" t="s">
        <v>336</v>
      </c>
      <c r="I259" s="486" t="s">
        <v>337</v>
      </c>
      <c r="J259" s="486" t="s">
        <v>338</v>
      </c>
      <c r="K259" s="486" t="s">
        <v>339</v>
      </c>
      <c r="L259" s="486" t="s">
        <v>340</v>
      </c>
      <c r="M259" s="392"/>
      <c r="N259" s="392"/>
      <c r="O259" s="392"/>
      <c r="P259" s="392"/>
      <c r="Q259" s="392"/>
      <c r="R259" s="392"/>
      <c r="AP259" s="396"/>
      <c r="AV259" s="396"/>
      <c r="BB259" s="396"/>
      <c r="BH259" s="396"/>
      <c r="BN259" s="396"/>
      <c r="BT259" s="396"/>
      <c r="BZ259" s="396"/>
    </row>
    <row r="260" spans="2:78" ht="15">
      <c r="B260" s="487">
        <v>-20</v>
      </c>
      <c r="C260" s="488">
        <f>HLOOKUP($B$259,$B$156:$R$170,3,0)</f>
        <v>-0.62</v>
      </c>
      <c r="D260" s="488">
        <f>HLOOKUP($B$259,$T$156:$AJ$170,3,0)</f>
        <v>-0.59</v>
      </c>
      <c r="E260" s="488">
        <f>HLOOKUP($B$259,$B$173:$R$187,3,0)</f>
        <v>-0.48</v>
      </c>
      <c r="F260" s="488">
        <f>HLOOKUP($B$259,$T$173:$AJ$187,3,0)</f>
        <v>-0.42</v>
      </c>
      <c r="G260" s="488">
        <f>HLOOKUP($B$259,$B$190:$R$204,3,0)</f>
        <v>-0.47</v>
      </c>
      <c r="H260" s="488">
        <f>HLOOKUP($B$259,$T$190:$AJ$204,3,0)</f>
        <v>-0.43</v>
      </c>
      <c r="I260" s="488">
        <f>HLOOKUP($B$259,$B$207:$R$221,3,0)</f>
        <v>-0.49</v>
      </c>
      <c r="J260" s="488">
        <f>HLOOKUP($B$259,$T$207:$AJ$221,3,0)</f>
        <v>-0.47</v>
      </c>
      <c r="K260" s="488">
        <f>HLOOKUP($B$259,$B$223:$R$237,3,0)</f>
        <v>9.9999999999999995E-7</v>
      </c>
      <c r="L260" s="488">
        <f>HLOOKUP($B$259,$T$223:$AJ$237,3,0)</f>
        <v>9.9999999999999995E-7</v>
      </c>
      <c r="M260" s="412"/>
      <c r="N260" s="412"/>
      <c r="O260" s="412"/>
      <c r="P260" s="412"/>
      <c r="Q260" s="412"/>
      <c r="R260" s="412"/>
      <c r="V260" s="489"/>
      <c r="W260" s="489"/>
      <c r="X260" s="489"/>
      <c r="Y260" s="489"/>
      <c r="Z260" s="489"/>
      <c r="AA260" s="489"/>
      <c r="AB260" s="489"/>
      <c r="AP260" s="396"/>
      <c r="AV260" s="396"/>
      <c r="BB260" s="396"/>
      <c r="BH260" s="396"/>
      <c r="BN260" s="396"/>
      <c r="BT260" s="396"/>
      <c r="BZ260" s="396"/>
    </row>
    <row r="261" spans="2:78" ht="15">
      <c r="B261" s="487">
        <v>-15</v>
      </c>
      <c r="C261" s="488">
        <f>HLOOKUP($B$259,$B$156:$R$170,4,0)</f>
        <v>0.52</v>
      </c>
      <c r="D261" s="488">
        <f>HLOOKUP($B$259,$T$156:$AJ$170,4,0)</f>
        <v>-0.51</v>
      </c>
      <c r="E261" s="488">
        <f>HLOOKUP($B$259,$B$173:$R$187,4,0)</f>
        <v>-0.41</v>
      </c>
      <c r="F261" s="488">
        <f>HLOOKUP($B$259,$T$173:$AJ$187,4,0)</f>
        <v>-0.37</v>
      </c>
      <c r="G261" s="488">
        <f>HLOOKUP($B$259,$B$190:$R$204,4,0)</f>
        <v>-0.4</v>
      </c>
      <c r="H261" s="488">
        <f>HLOOKUP($B$259,$T$190:$AJ$204,4,0)</f>
        <v>-0.37</v>
      </c>
      <c r="I261" s="488">
        <f>HLOOKUP($B$259,$B$207:$R$221,4,0)</f>
        <v>-0.42</v>
      </c>
      <c r="J261" s="488">
        <f>HLOOKUP($B$259,$T$207:$AJ$221,4,0)</f>
        <v>-0.4</v>
      </c>
      <c r="K261" s="488">
        <f>HLOOKUP($B$259,$B$223:$R$237,4,0)</f>
        <v>9.9999999999999995E-7</v>
      </c>
      <c r="L261" s="488">
        <f>HLOOKUP($B$259,$T$223:$AJ$237,4,0)</f>
        <v>9.9999999999999995E-7</v>
      </c>
      <c r="M261" s="412"/>
      <c r="N261" s="412"/>
      <c r="O261" s="412"/>
      <c r="P261" s="412"/>
      <c r="Q261" s="412"/>
      <c r="R261" s="412"/>
      <c r="V261" s="489"/>
      <c r="W261" s="489"/>
      <c r="X261" s="489"/>
      <c r="Y261" s="489"/>
      <c r="Z261" s="489"/>
      <c r="AA261" s="489"/>
      <c r="AB261" s="489"/>
      <c r="AP261" s="396"/>
      <c r="AV261" s="396"/>
      <c r="BB261" s="396"/>
      <c r="BH261" s="396"/>
      <c r="BN261" s="396"/>
      <c r="BT261" s="396"/>
      <c r="BZ261" s="396"/>
    </row>
    <row r="262" spans="2:78" ht="15">
      <c r="B262" s="487">
        <v>-10</v>
      </c>
      <c r="C262" s="488">
        <f>HLOOKUP($B$259,$B$156:$R$170,5,0)</f>
        <v>-0.43</v>
      </c>
      <c r="D262" s="488">
        <f>HLOOKUP($B$259,$T$156:$AJ$170,5,0)</f>
        <v>-0.42</v>
      </c>
      <c r="E262" s="488">
        <f>HLOOKUP($B$259,$B$173:$R$187,5,0)</f>
        <v>-0.35</v>
      </c>
      <c r="F262" s="488">
        <f>HLOOKUP($B$259,$T$173:$AJ$187,5,0)</f>
        <v>-0.31</v>
      </c>
      <c r="G262" s="488">
        <f>HLOOKUP($B$259,$B$190:$R$204,5,0)</f>
        <v>-0.34</v>
      </c>
      <c r="H262" s="488">
        <f>HLOOKUP($B$259,$T$190:$AJ$204,5,0)</f>
        <v>-0.31</v>
      </c>
      <c r="I262" s="488">
        <f>HLOOKUP($B$259,$B$207:$R$221,5,0)</f>
        <v>-0.35</v>
      </c>
      <c r="J262" s="488">
        <f>HLOOKUP($B$259,$T$207:$AJ$221,5,0)</f>
        <v>-0.34</v>
      </c>
      <c r="K262" s="488">
        <f>HLOOKUP($B$259,$B$223:$R$237,5,0)</f>
        <v>9.9999999999999995E-7</v>
      </c>
      <c r="L262" s="488">
        <f>HLOOKUP($B$259,$T$223:$AJ$237,5,0)</f>
        <v>9.9999999999999995E-7</v>
      </c>
      <c r="M262" s="412"/>
      <c r="N262" s="412"/>
      <c r="O262" s="412"/>
      <c r="P262" s="412"/>
      <c r="Q262" s="412"/>
      <c r="R262" s="412"/>
      <c r="V262" s="489"/>
      <c r="W262" s="489"/>
      <c r="X262" s="489"/>
      <c r="Y262" s="489"/>
      <c r="Z262" s="489"/>
      <c r="AA262" s="489"/>
      <c r="AB262" s="489"/>
      <c r="AP262" s="396"/>
      <c r="AV262" s="396"/>
      <c r="BB262" s="396"/>
      <c r="BH262" s="396"/>
      <c r="BN262" s="396"/>
      <c r="BT262" s="396"/>
      <c r="BZ262" s="396"/>
    </row>
    <row r="263" spans="2:78" ht="15">
      <c r="B263" s="487">
        <v>9.9999999999999995E-7</v>
      </c>
      <c r="C263" s="488">
        <f>HLOOKUP($B$259,$B$156:$R$170,6,0)</f>
        <v>-0.26</v>
      </c>
      <c r="D263" s="488">
        <f>HLOOKUP($B$259,$T$156:$AJ$170,6,0)</f>
        <v>-0.26</v>
      </c>
      <c r="E263" s="488">
        <f>HLOOKUP($B$259,$B$173:$R$187,6,0)</f>
        <v>-0.23</v>
      </c>
      <c r="F263" s="488">
        <f>HLOOKUP($B$259,$T$173:$AJ$187,6,0)</f>
        <v>-0.2</v>
      </c>
      <c r="G263" s="488">
        <f>HLOOKUP($B$259,$B$190:$R$204,6,0)</f>
        <v>-0.22</v>
      </c>
      <c r="H263" s="488">
        <f>HLOOKUP($B$259,$T$190:$AJ$204,6,0)</f>
        <v>-0.19</v>
      </c>
      <c r="I263" s="488">
        <f>HLOOKUP($B$259,$B$207:$R$221,6,0)</f>
        <v>-0.22</v>
      </c>
      <c r="J263" s="488">
        <f>HLOOKUP($B$259,$T$207:$AJ$221,6,0)</f>
        <v>-0.21</v>
      </c>
      <c r="K263" s="488">
        <f>HLOOKUP($B$259,$B$223:$R$237,6,0)</f>
        <v>9.9999999999999995E-7</v>
      </c>
      <c r="L263" s="488">
        <f>HLOOKUP($B$259,$T$223:$AJ$237,6,0)</f>
        <v>9.9999999999999995E-7</v>
      </c>
      <c r="M263" s="412"/>
      <c r="N263" s="412"/>
      <c r="O263" s="412"/>
      <c r="P263" s="412"/>
      <c r="Q263" s="412"/>
      <c r="R263" s="412"/>
      <c r="V263" s="490"/>
      <c r="W263" s="490"/>
      <c r="X263" s="490"/>
      <c r="Y263" s="490"/>
      <c r="Z263" s="490"/>
      <c r="AA263" s="490"/>
      <c r="AB263" s="490"/>
      <c r="AP263" s="396"/>
      <c r="AV263" s="396"/>
      <c r="BB263" s="396"/>
      <c r="BH263" s="396"/>
      <c r="BN263" s="396"/>
      <c r="BT263" s="396"/>
      <c r="BZ263" s="396"/>
    </row>
    <row r="264" spans="2:78" ht="15">
      <c r="B264" s="487">
        <v>2</v>
      </c>
      <c r="C264" s="488">
        <f>HLOOKUP($B$259,$B$156:$R$170,7,0)</f>
        <v>-0.23</v>
      </c>
      <c r="D264" s="488">
        <f>HLOOKUP($B$259,$T$156:$AJ$170,7,0)</f>
        <v>-0.23</v>
      </c>
      <c r="E264" s="488">
        <f>HLOOKUP($B$259,$B$173:$R$187,7,0)</f>
        <v>-0.2</v>
      </c>
      <c r="F264" s="488">
        <f>HLOOKUP($B$259,$T$173:$AJ$187,7,0)</f>
        <v>-0.18</v>
      </c>
      <c r="G264" s="488">
        <f>HLOOKUP($B$259,$B$190:$R$204,7,0)</f>
        <v>-0.19</v>
      </c>
      <c r="H264" s="488">
        <f>HLOOKUP($B$259,$T$190:$AJ$204,7,0)</f>
        <v>-0.17</v>
      </c>
      <c r="I264" s="488">
        <f>HLOOKUP($B$259,$B$207:$R$221,7,0)</f>
        <v>-0.19</v>
      </c>
      <c r="J264" s="488">
        <f>HLOOKUP($B$259,$T$207:$AJ$221,7,0)</f>
        <v>-0.19</v>
      </c>
      <c r="K264" s="488">
        <f>HLOOKUP($B$259,$B$223:$R$237,7,0)</f>
        <v>9.9999999999999995E-7</v>
      </c>
      <c r="L264" s="488">
        <f>HLOOKUP($B$259,$T$223:$AJ$237,7,0)</f>
        <v>9.9999999999999995E-7</v>
      </c>
      <c r="M264" s="412"/>
      <c r="N264" s="412"/>
      <c r="O264" s="412"/>
      <c r="P264" s="412"/>
      <c r="Q264" s="412"/>
      <c r="R264" s="412"/>
      <c r="V264" s="490"/>
      <c r="W264" s="490"/>
      <c r="X264" s="490"/>
      <c r="Y264" s="490"/>
      <c r="Z264" s="490"/>
      <c r="AA264" s="490"/>
      <c r="AB264" s="490"/>
    </row>
    <row r="265" spans="2:78" ht="15">
      <c r="B265" s="487">
        <v>8</v>
      </c>
      <c r="C265" s="488">
        <f>HLOOKUP($B$259,$B$156:$R$170,8,0)</f>
        <v>-0.13</v>
      </c>
      <c r="D265" s="488">
        <f>HLOOKUP($B$259,$T$156:$AJ$170,8,0)</f>
        <v>-0.14000000000000001</v>
      </c>
      <c r="E265" s="488">
        <f>HLOOKUP($B$259,$B$173:$R$187,8,0)</f>
        <v>-0.13</v>
      </c>
      <c r="F265" s="488">
        <f>HLOOKUP($B$259,$T$173:$AJ$187,8,0)</f>
        <v>-0.12</v>
      </c>
      <c r="G265" s="488">
        <f>HLOOKUP($B$259,$B$190:$R$204,8,0)</f>
        <v>-0.12</v>
      </c>
      <c r="H265" s="488">
        <f>HLOOKUP($B$259,$T$190:$AJ$204,8,0)</f>
        <v>-0.1</v>
      </c>
      <c r="I265" s="488">
        <f>HLOOKUP($B$259,$B$207:$R$221,8,0)</f>
        <v>-0.12</v>
      </c>
      <c r="J265" s="488">
        <f>HLOOKUP($B$259,$T$207:$AJ$221,8,0)</f>
        <v>-0.12</v>
      </c>
      <c r="K265" s="488">
        <f>HLOOKUP($B$259,$B$223:$R$237,8,0)</f>
        <v>9.9999999999999995E-7</v>
      </c>
      <c r="L265" s="488">
        <f>HLOOKUP($B$259,$T$223:$AJ$237,8,0)</f>
        <v>9.9999999999999995E-7</v>
      </c>
      <c r="M265" s="412"/>
      <c r="N265" s="412"/>
      <c r="O265" s="412"/>
      <c r="P265" s="412"/>
      <c r="Q265" s="412"/>
      <c r="R265" s="412"/>
      <c r="V265" s="490"/>
      <c r="W265" s="490"/>
      <c r="X265" s="490"/>
      <c r="Y265" s="490"/>
      <c r="Z265" s="490"/>
      <c r="AA265" s="490"/>
      <c r="AB265" s="490"/>
    </row>
    <row r="266" spans="2:78" ht="15">
      <c r="B266" s="487">
        <v>37</v>
      </c>
      <c r="C266" s="488">
        <f>HLOOKUP($B$259,$B$156:$R$170,9,0)</f>
        <v>0.21</v>
      </c>
      <c r="D266" s="488">
        <f>HLOOKUP($B$259,$T$156:$AJ$170,9,0)</f>
        <v>0.21</v>
      </c>
      <c r="E266" s="488">
        <f>HLOOKUP($B$259,$B$173:$R$187,9,0)</f>
        <v>0.18</v>
      </c>
      <c r="F266" s="488">
        <f>HLOOKUP($B$259,$T$173:$AJ$187,9,0)</f>
        <v>0.17</v>
      </c>
      <c r="G266" s="488">
        <f>HLOOKUP($B$259,$B$190:$R$204,9,0)</f>
        <v>0.18</v>
      </c>
      <c r="H266" s="488">
        <f>HLOOKUP($B$259,$T$190:$AJ$204,9,0)</f>
        <v>0.19</v>
      </c>
      <c r="I266" s="488">
        <f>HLOOKUP($B$259,$B$207:$R$221,9,0)</f>
        <v>0.2</v>
      </c>
      <c r="J266" s="488">
        <f>HLOOKUP($B$259,$T$207:$AJ$221,9,0)</f>
        <v>0.19</v>
      </c>
      <c r="K266" s="488">
        <f>HLOOKUP($B$259,$B$223:$R$237,9,0)</f>
        <v>9.9999999999999995E-7</v>
      </c>
      <c r="L266" s="488">
        <f>HLOOKUP($B$259,$T$223:$AJ$237,9,0)</f>
        <v>9.9999999999999995E-7</v>
      </c>
      <c r="M266" s="412"/>
      <c r="N266" s="412"/>
      <c r="O266" s="412"/>
      <c r="P266" s="412"/>
      <c r="Q266" s="412"/>
      <c r="R266" s="412"/>
      <c r="V266" s="490"/>
      <c r="W266" s="490"/>
      <c r="X266" s="490"/>
      <c r="Y266" s="490"/>
      <c r="Z266" s="490"/>
      <c r="AA266" s="490"/>
      <c r="AB266" s="490"/>
    </row>
    <row r="267" spans="2:78" ht="15">
      <c r="B267" s="487">
        <v>44</v>
      </c>
      <c r="C267" s="488">
        <f>HLOOKUP($B$259,$B$156:$R$170,10,0)</f>
        <v>0.28000000000000003</v>
      </c>
      <c r="D267" s="488">
        <f>HLOOKUP($B$259,$T$156:$AJ$170,10,0)</f>
        <v>0.27</v>
      </c>
      <c r="E267" s="488">
        <f>HLOOKUP($B$259,$B$173:$R$187,10,0)</f>
        <v>0.25</v>
      </c>
      <c r="F267" s="488">
        <f>HLOOKUP($B$259,$T$173:$AJ$187,10,0)</f>
        <v>0.23</v>
      </c>
      <c r="G267" s="488">
        <f>HLOOKUP($B$259,$B$190:$R$204,10,0)</f>
        <v>0.25</v>
      </c>
      <c r="H267" s="488">
        <f>HLOOKUP($B$259,$T$190:$AJ$204,10,0)</f>
        <v>0.25</v>
      </c>
      <c r="I267" s="488">
        <f>HLOOKUP($B$259,$B$207:$R$221,10,0)</f>
        <v>0.26</v>
      </c>
      <c r="J267" s="488">
        <f>HLOOKUP($B$259,$T$207:$AJ$221,10,0)</f>
        <v>0.26</v>
      </c>
      <c r="K267" s="488">
        <f>HLOOKUP($B$259,$B$223:$R$237,10,0)</f>
        <v>9.9999999999999995E-7</v>
      </c>
      <c r="L267" s="488">
        <f>HLOOKUP($B$259,$T$223:$AJ$237,10,0)</f>
        <v>9.9999999999999995E-7</v>
      </c>
      <c r="M267" s="412"/>
      <c r="N267" s="412"/>
      <c r="O267" s="412"/>
      <c r="P267" s="412"/>
      <c r="Q267" s="412"/>
      <c r="R267" s="412"/>
      <c r="V267" s="490"/>
      <c r="W267" s="490"/>
      <c r="X267" s="490"/>
      <c r="Y267" s="490"/>
      <c r="Z267" s="490"/>
      <c r="AA267" s="490"/>
      <c r="AB267" s="490"/>
    </row>
    <row r="268" spans="2:78" ht="15">
      <c r="B268" s="487">
        <v>50</v>
      </c>
      <c r="C268" s="488">
        <f>HLOOKUP($B$259,$B$156:$R$170,11,0)</f>
        <v>0.33</v>
      </c>
      <c r="D268" s="488">
        <f>HLOOKUP($B$259,$T$156:$AJ$170,11,0)</f>
        <v>0.33</v>
      </c>
      <c r="E268" s="488">
        <f>HLOOKUP($B$259,$B$173:$R$187,11,0)</f>
        <v>0.3</v>
      </c>
      <c r="F268" s="488">
        <f>HLOOKUP($B$259,$T$173:$AJ$187,11,0)</f>
        <v>0.28000000000000003</v>
      </c>
      <c r="G268" s="488">
        <f>HLOOKUP($B$259,$B$190:$R$204,11,0)</f>
        <v>0.3</v>
      </c>
      <c r="H268" s="488">
        <f>HLOOKUP($B$259,$T$190:$AJ$204,11,0)</f>
        <v>0.3</v>
      </c>
      <c r="I268" s="488">
        <f>HLOOKUP($B$259,$B$207:$R$221,11,0)</f>
        <v>0.31</v>
      </c>
      <c r="J268" s="488">
        <f>HLOOKUP($B$259,$T$207:$AJ$221,11,0)</f>
        <v>0.31</v>
      </c>
      <c r="K268" s="488">
        <f>HLOOKUP($B$259,$B$223:$R$237,11,0)</f>
        <v>9.9999999999999995E-7</v>
      </c>
      <c r="L268" s="488">
        <f>HLOOKUP($B$259,$T$223:$AJ$237,11,0)</f>
        <v>9.9999999999999995E-7</v>
      </c>
      <c r="M268" s="412"/>
      <c r="N268" s="412"/>
      <c r="O268" s="412"/>
      <c r="P268" s="412"/>
      <c r="Q268" s="412"/>
      <c r="R268" s="412"/>
      <c r="V268" s="490"/>
      <c r="W268" s="490"/>
      <c r="X268" s="490"/>
      <c r="Y268" s="490"/>
      <c r="Z268" s="490"/>
      <c r="AA268" s="490"/>
      <c r="AB268" s="490"/>
    </row>
    <row r="269" spans="2:78" ht="15">
      <c r="B269" s="487">
        <v>100</v>
      </c>
      <c r="C269" s="488">
        <f>HLOOKUP($B$259,$B$156:$R$170,12,0)</f>
        <v>0.55000000000000004</v>
      </c>
      <c r="D269" s="488">
        <f>HLOOKUP($B$259,$T$156:$AJ$170,12,0)</f>
        <v>0.59</v>
      </c>
      <c r="E269" s="488">
        <f>HLOOKUP($B$259,$B$173:$R$187,12,0)</f>
        <v>0.61</v>
      </c>
      <c r="F269" s="488">
        <f>HLOOKUP($B$259,$T$173:$AJ$187,12,0)</f>
        <v>0.57999999999999996</v>
      </c>
      <c r="G269" s="488">
        <f>HLOOKUP($B$259,$B$190:$R$204,12,0)</f>
        <v>0.59</v>
      </c>
      <c r="H269" s="488">
        <f>HLOOKUP($B$259,$T$190:$AJ$204,12,0)</f>
        <v>0.57999999999999996</v>
      </c>
      <c r="I269" s="488">
        <f>HLOOKUP($B$259,$B$207:$R$221,12,0)</f>
        <v>0.56999999999999995</v>
      </c>
      <c r="J269" s="488">
        <f>HLOOKUP($B$259,$T$207:$AJ$221,12,0)</f>
        <v>0.61</v>
      </c>
      <c r="K269" s="488">
        <f>HLOOKUP($B$259,$B$223:$R$237,12,0)</f>
        <v>9.9999999999999995E-7</v>
      </c>
      <c r="L269" s="488">
        <f>HLOOKUP($B$259,$T$223:$AJ$237,12,0)</f>
        <v>9.9999999999999995E-7</v>
      </c>
      <c r="M269" s="412"/>
      <c r="N269" s="412"/>
      <c r="O269" s="412"/>
      <c r="P269" s="412"/>
      <c r="Q269" s="412"/>
      <c r="R269" s="412"/>
      <c r="V269" s="490"/>
      <c r="W269" s="490"/>
      <c r="X269" s="490"/>
      <c r="Y269" s="490"/>
      <c r="Z269" s="490"/>
      <c r="AA269" s="490"/>
      <c r="AB269" s="490"/>
    </row>
    <row r="270" spans="2:78" ht="15">
      <c r="B270" s="487">
        <v>150</v>
      </c>
      <c r="C270" s="488">
        <f>HLOOKUP($B$259,$B$156:$R$170,13,0)</f>
        <v>0.53</v>
      </c>
      <c r="D270" s="488">
        <f>HLOOKUP($B$259,$T$156:$AJ$170,13,0)</f>
        <v>0.56000000000000005</v>
      </c>
      <c r="E270" s="488">
        <f>HLOOKUP($B$259,$B$173:$R$187,13,0)</f>
        <v>0.6</v>
      </c>
      <c r="F270" s="488">
        <f>HLOOKUP($B$259,$T$173:$AJ$187,13,0)</f>
        <v>0.61</v>
      </c>
      <c r="G270" s="488">
        <f>HLOOKUP($B$259,$B$190:$R$204,13,0)</f>
        <v>0.57999999999999996</v>
      </c>
      <c r="H270" s="488">
        <f>HLOOKUP($B$259,$T$190:$AJ$204,13,0)</f>
        <v>0.57999999999999996</v>
      </c>
      <c r="I270" s="488">
        <f>HLOOKUP($B$259,$B$207:$R$221,13,0)</f>
        <v>0.55000000000000004</v>
      </c>
      <c r="J270" s="488">
        <f>HLOOKUP($B$259,$T$207:$AJ$221,13,0)</f>
        <v>0.56999999999999995</v>
      </c>
      <c r="K270" s="488">
        <f>HLOOKUP($B$259,$B$223:$R$237,13,0)</f>
        <v>9.9999999999999995E-7</v>
      </c>
      <c r="L270" s="488">
        <f>HLOOKUP($B$259,$T$223:$AJ$237,13,0)</f>
        <v>9.9999999999999995E-7</v>
      </c>
      <c r="M270" s="412"/>
      <c r="N270" s="412"/>
      <c r="O270" s="412"/>
      <c r="P270" s="412"/>
      <c r="Q270" s="412"/>
      <c r="R270" s="412"/>
      <c r="V270" s="490"/>
      <c r="W270" s="490"/>
      <c r="X270" s="490"/>
      <c r="Y270" s="490"/>
      <c r="Z270" s="490"/>
      <c r="AA270" s="490"/>
      <c r="AB270" s="490"/>
    </row>
    <row r="271" spans="2:78" ht="15">
      <c r="B271" s="487">
        <v>200</v>
      </c>
      <c r="C271" s="488">
        <f>HLOOKUP($B$259,$B$156:$R$170,14,0)</f>
        <v>0.39</v>
      </c>
      <c r="D271" s="488">
        <f>HLOOKUP($B$259,$T$156:$AJ$170,14,0)</f>
        <v>0.28000000000000003</v>
      </c>
      <c r="E271" s="488">
        <f>HLOOKUP($B$259,$B$173:$R$187,14,0)</f>
        <v>0.18</v>
      </c>
      <c r="F271" s="488">
        <f>HLOOKUP($B$259,$T$173:$AJ$187,14,0)</f>
        <v>0.25</v>
      </c>
      <c r="G271" s="488">
        <f>HLOOKUP($B$259,$B$190:$R$204,14,0)</f>
        <v>0.19</v>
      </c>
      <c r="H271" s="488">
        <f>HLOOKUP($B$259,$T$190:$AJ$204,14,0)</f>
        <v>0.26</v>
      </c>
      <c r="I271" s="488">
        <f>HLOOKUP($B$259,$B$207:$R$221,14,0)</f>
        <v>0.24</v>
      </c>
      <c r="J271" s="488">
        <f>HLOOKUP($B$259,$T$207:$AJ$221,14,0)</f>
        <v>0.11</v>
      </c>
      <c r="K271" s="488">
        <f>HLOOKUP($B$259,$B$223:$R$237,14,0)</f>
        <v>9.9999999999999995E-7</v>
      </c>
      <c r="L271" s="488">
        <f>HLOOKUP($B$259,$T$223:$AJ$237,14,0)</f>
        <v>9.9999999999999995E-7</v>
      </c>
      <c r="M271" s="412"/>
      <c r="N271" s="412"/>
      <c r="O271" s="412"/>
      <c r="P271" s="412"/>
      <c r="Q271" s="412"/>
      <c r="R271" s="412"/>
      <c r="V271" s="490"/>
      <c r="W271" s="490"/>
      <c r="X271" s="490"/>
      <c r="Y271" s="490"/>
      <c r="Z271" s="490"/>
      <c r="AA271" s="490"/>
      <c r="AB271" s="490"/>
    </row>
    <row r="272" spans="2:78" ht="15">
      <c r="B272" s="487" t="s">
        <v>208</v>
      </c>
      <c r="C272" s="491">
        <f>HLOOKUP($B$259,$B$156:$R$170,15,0)</f>
        <v>0.56000000000000005</v>
      </c>
      <c r="D272" s="491">
        <f>HLOOKUP($B$259,$T$156:$AJ$170,15,0)</f>
        <v>0.56000000000000005</v>
      </c>
      <c r="E272" s="491">
        <f>HLOOKUP($B$259,$B$173:$R$187,15,0)</f>
        <v>0.56000000000000005</v>
      </c>
      <c r="F272" s="491">
        <f>HLOOKUP($B$259,$T$173:$AJ$187,15,0)</f>
        <v>0.56000000000000005</v>
      </c>
      <c r="G272" s="491">
        <f>HLOOKUP($B$259,$B$190:$R$204,15,0)</f>
        <v>0.56000000000000005</v>
      </c>
      <c r="H272" s="491">
        <f>HLOOKUP($B$259,$T$190:$AJ$204,15,0)</f>
        <v>0.56000000000000005</v>
      </c>
      <c r="I272" s="491">
        <f>HLOOKUP($B$259,$B$207:$R$221,15,0)</f>
        <v>0.56000000000000005</v>
      </c>
      <c r="J272" s="491">
        <f>HLOOKUP($B$259,$T$207:$AJ$221,15,0)</f>
        <v>0.56000000000000005</v>
      </c>
      <c r="K272" s="491">
        <f>HLOOKUP($B$259,$B$223:$R$237,15,0)</f>
        <v>0.1</v>
      </c>
      <c r="L272" s="491">
        <f>HLOOKUP($B$259,$T$223:$AJ$237,15,0)</f>
        <v>0.1</v>
      </c>
      <c r="M272" s="412"/>
      <c r="N272" s="412" t="s">
        <v>417</v>
      </c>
      <c r="O272" s="412"/>
      <c r="P272" s="412"/>
      <c r="Q272" s="412"/>
      <c r="R272" s="412"/>
      <c r="V272" s="490"/>
      <c r="W272" s="490"/>
      <c r="X272" s="490"/>
      <c r="Y272" s="490"/>
      <c r="Z272" s="490"/>
      <c r="AA272" s="490"/>
      <c r="AB272" s="490"/>
    </row>
    <row r="273" spans="1:97" ht="15">
      <c r="B273" s="492" t="s">
        <v>345</v>
      </c>
      <c r="C273" s="649">
        <f>HLOOKUP($B$259,$B$278:$R$288,2,0)</f>
        <v>0.29509789789724122</v>
      </c>
      <c r="D273" s="649">
        <f>HLOOKUP($B$259,$B$278:$R$288,3,0)</f>
        <v>9.4204260587445146E-2</v>
      </c>
      <c r="E273" s="649">
        <f>HLOOKUP($B$259,$B$278:$R$288,4,0)</f>
        <v>0.13415834788547276</v>
      </c>
      <c r="F273" s="649">
        <f>HLOOKUP($B$259,$B$278:$R$288,5,0)</f>
        <v>0.11656486846737146</v>
      </c>
      <c r="G273" s="649">
        <f>HLOOKUP($B$259,$B$278:$R$288,6,0)</f>
        <v>0.10433853902276084</v>
      </c>
      <c r="H273" s="649">
        <f>HLOOKUP($B$259,$B$278:$R$288,7,0)</f>
        <v>0.16827210287868885</v>
      </c>
      <c r="I273" s="649">
        <f>HLOOKUP($B$259,$B$278:$R$288,8,0)</f>
        <v>0.1503370645907921</v>
      </c>
      <c r="J273" s="649">
        <f>HLOOKUP($B$259,$B$278:$R$288,9,0)</f>
        <v>0.16488544722501908</v>
      </c>
      <c r="K273" s="649">
        <f>HLOOKUP($B$259,$B$278:$R$288,10,0)</f>
        <v>1.0000000000000002E-6</v>
      </c>
      <c r="L273" s="649">
        <f>HLOOKUP($B$259,$B$278:$R$288,11,0)</f>
        <v>1.0000000000000002E-6</v>
      </c>
      <c r="M273" s="392">
        <v>2</v>
      </c>
      <c r="N273" s="412">
        <f>MAX(C273:L273)</f>
        <v>0.29509789789724122</v>
      </c>
      <c r="O273" s="412"/>
      <c r="P273" s="412"/>
      <c r="Q273" s="412"/>
      <c r="R273" s="412"/>
      <c r="V273" s="490"/>
      <c r="W273" s="490"/>
      <c r="X273" s="490"/>
      <c r="Y273" s="490"/>
      <c r="Z273" s="490"/>
      <c r="AA273" s="490"/>
      <c r="AB273" s="490"/>
    </row>
    <row r="274" spans="1:97" s="391" customFormat="1" ht="15">
      <c r="C274" s="649">
        <f>HLOOKUP($B$259,$T$278:$AJ$288,2,0)</f>
        <v>0.2963352092446902</v>
      </c>
      <c r="D274" s="649">
        <f>HLOOKUP($B$259,$T$278:$AJ$288,3,0)</f>
        <v>9.9929161518425291E-2</v>
      </c>
      <c r="E274" s="649">
        <f>HLOOKUP($B$259,$T$278:$AJ$288,4,0)</f>
        <v>0.1366869719733903</v>
      </c>
      <c r="F274" s="649">
        <f>HLOOKUP($B$259,$T$278:$AJ$288,5,0)</f>
        <v>0.11965315208725966</v>
      </c>
      <c r="G274" s="649">
        <f>HLOOKUP($B$259,$T$278:$AJ$288,6,0)</f>
        <v>0.10906638581868104</v>
      </c>
      <c r="H274" s="649">
        <f>HLOOKUP($B$259,$T$278:$AJ$288,7,0)</f>
        <v>0.16957997916233736</v>
      </c>
      <c r="I274" s="649">
        <f>HLOOKUP($B$259,$T$278:$AJ$288,8,0)</f>
        <v>0.15297938931284907</v>
      </c>
      <c r="J274" s="649">
        <f>HLOOKUP($B$259,$T$278:$AJ$288,9,0)</f>
        <v>0.16750063159163625</v>
      </c>
      <c r="K274" s="649">
        <f>HLOOKUP($B$259,$T$278:$AJ$288,10,0)</f>
        <v>1.0000000000000002E-6</v>
      </c>
      <c r="L274" s="649">
        <f>HLOOKUP($B$259,$T$278:$AJ$288,11,0)</f>
        <v>1.0000000000000002E-6</v>
      </c>
      <c r="M274" s="392">
        <v>5</v>
      </c>
      <c r="N274" s="412">
        <f>MAX(C274:L274)</f>
        <v>0.2963352092446902</v>
      </c>
      <c r="V274" s="493"/>
      <c r="W274" s="493"/>
      <c r="X274" s="493"/>
      <c r="Y274" s="493"/>
      <c r="Z274" s="493"/>
      <c r="AA274" s="493"/>
      <c r="AB274" s="493"/>
      <c r="AH274" s="392"/>
      <c r="AJ274" s="393"/>
      <c r="AN274" s="392"/>
      <c r="AP274" s="393"/>
      <c r="AT274" s="392"/>
      <c r="AV274" s="393"/>
      <c r="AZ274" s="392"/>
      <c r="BB274" s="393"/>
      <c r="BF274" s="392"/>
      <c r="BH274" s="393"/>
      <c r="BL274" s="392"/>
      <c r="BN274" s="393"/>
      <c r="BR274" s="392"/>
      <c r="BT274" s="393"/>
      <c r="BX274" s="392"/>
      <c r="BZ274" s="393"/>
    </row>
    <row r="275" spans="1:97" s="391" customFormat="1" ht="15">
      <c r="C275" s="649">
        <f>HLOOKUP($B$259,$AL$278:$BB$288,2,0)</f>
        <v>0.29753260732286668</v>
      </c>
      <c r="D275" s="649">
        <f>HLOOKUP($B$259,$AL$278:$BB$288,3,0)</f>
        <v>0.10546938822582541</v>
      </c>
      <c r="E275" s="649">
        <f>HLOOKUP($B$259,$AL$278:$BB$288,4,0)</f>
        <v>0.13913402754234278</v>
      </c>
      <c r="F275" s="649">
        <f>HLOOKUP($B$259,$AL$278:$BB$288,5,0)</f>
        <v>0.12264181365489338</v>
      </c>
      <c r="G275" s="649">
        <f>HLOOKUP($B$259,$AL$278:$BB$288,6,0)</f>
        <v>0.11364172142763608</v>
      </c>
      <c r="H275" s="649">
        <f>HLOOKUP($B$259,$AL$278:$BB$288,7,0)</f>
        <v>0.17084566588844882</v>
      </c>
      <c r="I275" s="649">
        <f>HLOOKUP($B$259,$AL$278:$BB$288,8,0)</f>
        <v>0.1555364777535494</v>
      </c>
      <c r="J275" s="649">
        <f>HLOOKUP($B$259,$AL$278:$BB$288,9,0)</f>
        <v>0.17003145517223353</v>
      </c>
      <c r="K275" s="649">
        <f>HLOOKUP($B$259,$AL$278:$BB$288,10,0)</f>
        <v>1.0000000000000002E-6</v>
      </c>
      <c r="L275" s="649">
        <f>HLOOKUP($B$259,$AL$278:$BB$288,11,0)</f>
        <v>1.0000000000000002E-6</v>
      </c>
      <c r="M275" s="392">
        <v>8</v>
      </c>
      <c r="N275" s="412">
        <f t="shared" ref="N275" si="342">MAX(C275:L275)</f>
        <v>0.29753260732286668</v>
      </c>
      <c r="V275" s="493"/>
      <c r="W275" s="493"/>
      <c r="X275" s="493"/>
      <c r="Y275" s="493"/>
      <c r="Z275" s="493"/>
      <c r="AA275" s="493"/>
      <c r="AB275" s="493"/>
      <c r="AH275" s="392"/>
      <c r="AJ275" s="393"/>
      <c r="AN275" s="392"/>
      <c r="AP275" s="393"/>
      <c r="AT275" s="392"/>
      <c r="AV275" s="393"/>
      <c r="AZ275" s="392"/>
      <c r="BB275" s="393"/>
      <c r="BF275" s="392"/>
      <c r="BH275" s="393"/>
      <c r="BL275" s="392"/>
      <c r="BN275" s="393"/>
      <c r="BR275" s="392"/>
      <c r="BT275" s="393"/>
      <c r="BX275" s="392"/>
      <c r="BZ275" s="393"/>
    </row>
    <row r="276" spans="1:97" s="391" customFormat="1" ht="15">
      <c r="V276" s="493"/>
      <c r="W276" s="493"/>
      <c r="X276" s="493"/>
      <c r="Y276" s="493"/>
      <c r="Z276" s="493"/>
      <c r="AA276" s="493"/>
      <c r="AB276" s="493"/>
      <c r="AH276" s="392"/>
      <c r="AJ276" s="393"/>
      <c r="AN276" s="392"/>
      <c r="AP276" s="393"/>
      <c r="AT276" s="392"/>
      <c r="AV276" s="393"/>
      <c r="AZ276" s="392"/>
      <c r="BB276" s="393"/>
      <c r="BF276" s="392"/>
      <c r="BH276" s="393"/>
      <c r="BL276" s="392"/>
      <c r="BN276" s="393"/>
      <c r="BR276" s="392"/>
      <c r="BT276" s="393"/>
      <c r="BX276" s="392"/>
      <c r="BZ276" s="393"/>
    </row>
    <row r="277" spans="1:97" s="391" customFormat="1" ht="30" customHeight="1">
      <c r="B277" s="819" t="s">
        <v>346</v>
      </c>
      <c r="C277" s="819"/>
      <c r="D277" s="819"/>
      <c r="E277" s="819"/>
      <c r="F277" s="819"/>
      <c r="G277" s="819"/>
      <c r="H277" s="819"/>
      <c r="I277" s="819"/>
      <c r="J277" s="819"/>
      <c r="K277" s="819"/>
      <c r="L277" s="819"/>
      <c r="M277" s="819"/>
      <c r="N277" s="819"/>
      <c r="O277" s="819"/>
      <c r="P277" s="819"/>
      <c r="Q277" s="819"/>
      <c r="R277" s="819"/>
      <c r="T277" s="819" t="s">
        <v>346</v>
      </c>
      <c r="U277" s="819"/>
      <c r="V277" s="819"/>
      <c r="W277" s="819"/>
      <c r="X277" s="819"/>
      <c r="Y277" s="819"/>
      <c r="Z277" s="819"/>
      <c r="AA277" s="819"/>
      <c r="AB277" s="819"/>
      <c r="AC277" s="819"/>
      <c r="AD277" s="819"/>
      <c r="AE277" s="819"/>
      <c r="AF277" s="819"/>
      <c r="AG277" s="819"/>
      <c r="AH277" s="819"/>
      <c r="AI277" s="819"/>
      <c r="AJ277" s="819"/>
      <c r="AL277" s="819" t="s">
        <v>346</v>
      </c>
      <c r="AM277" s="819"/>
      <c r="AN277" s="819"/>
      <c r="AO277" s="819"/>
      <c r="AP277" s="819"/>
      <c r="AQ277" s="819"/>
      <c r="AR277" s="819"/>
      <c r="AS277" s="819"/>
      <c r="AT277" s="819"/>
      <c r="AU277" s="819"/>
      <c r="AV277" s="819"/>
      <c r="AW277" s="819"/>
      <c r="AX277" s="819"/>
      <c r="AY277" s="819"/>
      <c r="AZ277" s="819"/>
      <c r="BA277" s="819"/>
      <c r="BB277" s="819"/>
      <c r="BF277" s="392"/>
      <c r="BH277" s="393"/>
      <c r="BL277" s="392"/>
      <c r="BN277" s="393"/>
      <c r="BR277" s="392"/>
      <c r="BT277" s="393"/>
      <c r="BX277" s="392"/>
      <c r="BZ277" s="393"/>
    </row>
    <row r="278" spans="1:97" ht="140.4">
      <c r="B278" s="494" t="s">
        <v>347</v>
      </c>
      <c r="C278" s="495" t="str">
        <f t="shared" ref="C278:O278" si="343">C239</f>
        <v>Thermocouple Data Logger, Merek : MADGETECH, Model : OctTemp 2000, SN : P40270</v>
      </c>
      <c r="D278" s="495" t="str">
        <f t="shared" si="343"/>
        <v>Thermocouple Data Logger, Merek : MADGETECH, Model : OctTemp 2000, SN : P41878</v>
      </c>
      <c r="E278" s="495" t="str">
        <f t="shared" si="343"/>
        <v>Mobile Corder, Merek : Yokogawa, Model : GP 10, SN : S5T810599</v>
      </c>
      <c r="F278" s="495" t="str">
        <f t="shared" si="343"/>
        <v>Wireless Temperature Recorder : Merek : HIOKI, Model : LR 8510, SN : 200936000</v>
      </c>
      <c r="G278" s="495" t="str">
        <f t="shared" si="343"/>
        <v>Wireless Temperature Recorder : Merek : HIOKI, Model : LR 8510, SN : 200936001</v>
      </c>
      <c r="H278" s="495" t="str">
        <f t="shared" si="343"/>
        <v>Wireless Temperature Recorder : Merek : HIOKI, Model : LR 8510, SN : 200821397</v>
      </c>
      <c r="I278" s="495" t="str">
        <f t="shared" si="343"/>
        <v>Wireless Temperature Recorder : Merek : HIOKI, Model : LR 8510, SN : 210411983</v>
      </c>
      <c r="J278" s="495" t="str">
        <f t="shared" si="343"/>
        <v>Wireless Temperature Recorder : Merek : HIOKI, Model : LR 8510, SN : 210411984</v>
      </c>
      <c r="K278" s="495" t="str">
        <f t="shared" si="343"/>
        <v>Wireless Temperature Recorder : Merek : HIOKI, Model : LR 8510, SN : 210411985</v>
      </c>
      <c r="L278" s="495" t="str">
        <f t="shared" si="343"/>
        <v>Wireless Temperature Recorder : Merek : HIOKI, Model : LR 8510, SN : 210746054</v>
      </c>
      <c r="M278" s="495" t="str">
        <f t="shared" si="343"/>
        <v>Wireless Temperature Recorder : Merek : HIOKI, Model : LR 8510, SN : 210746055</v>
      </c>
      <c r="N278" s="495" t="str">
        <f t="shared" si="343"/>
        <v>Wireless Temperature Recorder : Merek : HIOKI, Model : LR 8510, SN : 210746056</v>
      </c>
      <c r="O278" s="495" t="str">
        <f t="shared" si="343"/>
        <v>Wireless Temperature Recorder : Merek : HIOKI, Model : LR 8510, SN : 200821396</v>
      </c>
      <c r="P278" s="496" t="s">
        <v>348</v>
      </c>
      <c r="Q278" s="496" t="s">
        <v>349</v>
      </c>
      <c r="R278" s="496" t="s">
        <v>350</v>
      </c>
      <c r="S278" s="391"/>
      <c r="T278" s="494" t="s">
        <v>347</v>
      </c>
      <c r="U278" s="495" t="str">
        <f t="shared" ref="U278:AG278" si="344">U239</f>
        <v>Thermocouple Data Logger, Merek : MADGETECH, Model : OctTemp 2000, SN : P40270</v>
      </c>
      <c r="V278" s="495" t="str">
        <f t="shared" si="344"/>
        <v>Thermocouple Data Logger, Merek : MADGETECH, Model : OctTemp 2000, SN : P41878</v>
      </c>
      <c r="W278" s="495" t="str">
        <f t="shared" si="344"/>
        <v>Mobile Corder, Merek : Yokogawa, Model : GP 10, SN : S5T810599</v>
      </c>
      <c r="X278" s="495" t="str">
        <f t="shared" si="344"/>
        <v>Wireless Temperature Recorder : Merek : HIOKI, Model : LR 8510, SN : 200936000</v>
      </c>
      <c r="Y278" s="495" t="str">
        <f t="shared" si="344"/>
        <v>Wireless Temperature Recorder : Merek : HIOKI, Model : LR 8510, SN : 200936001</v>
      </c>
      <c r="Z278" s="495" t="str">
        <f t="shared" si="344"/>
        <v>Wireless Temperature Recorder : Merek : HIOKI, Model : LR 8510, SN : 200821397</v>
      </c>
      <c r="AA278" s="495" t="str">
        <f t="shared" si="344"/>
        <v>Wireless Temperature Recorder : Merek : HIOKI, Model : LR 8510, SN : 210411983</v>
      </c>
      <c r="AB278" s="495" t="str">
        <f t="shared" si="344"/>
        <v>Wireless Temperature Recorder : Merek : HIOKI, Model : LR 8510, SN : 210411984</v>
      </c>
      <c r="AC278" s="495" t="str">
        <f t="shared" si="344"/>
        <v>Wireless Temperature Recorder : Merek : HIOKI, Model : LR 8510, SN : 210411985</v>
      </c>
      <c r="AD278" s="495" t="str">
        <f t="shared" si="344"/>
        <v>Wireless Temperature Recorder : Merek : HIOKI, Model : LR 8510, SN : 210746054</v>
      </c>
      <c r="AE278" s="495" t="str">
        <f t="shared" si="344"/>
        <v>Wireless Temperature Recorder : Merek : HIOKI, Model : LR 8510, SN : 210746055</v>
      </c>
      <c r="AF278" s="495" t="str">
        <f t="shared" si="344"/>
        <v>Wireless Temperature Recorder : Merek : HIOKI, Model : LR 8510, SN : 210746056</v>
      </c>
      <c r="AG278" s="495" t="str">
        <f t="shared" si="344"/>
        <v>Wireless Temperature Recorder : Merek : HIOKI, Model : LR 8510, SN : 200821396</v>
      </c>
      <c r="AH278" s="496" t="s">
        <v>348</v>
      </c>
      <c r="AI278" s="496" t="s">
        <v>349</v>
      </c>
      <c r="AJ278" s="496" t="s">
        <v>350</v>
      </c>
      <c r="AL278" s="494" t="s">
        <v>347</v>
      </c>
      <c r="AM278" s="495" t="str">
        <f>U278</f>
        <v>Thermocouple Data Logger, Merek : MADGETECH, Model : OctTemp 2000, SN : P40270</v>
      </c>
      <c r="AN278" s="495" t="str">
        <f t="shared" ref="AN278:BB278" si="345">V278</f>
        <v>Thermocouple Data Logger, Merek : MADGETECH, Model : OctTemp 2000, SN : P41878</v>
      </c>
      <c r="AO278" s="495" t="str">
        <f t="shared" si="345"/>
        <v>Mobile Corder, Merek : Yokogawa, Model : GP 10, SN : S5T810599</v>
      </c>
      <c r="AP278" s="495" t="str">
        <f t="shared" si="345"/>
        <v>Wireless Temperature Recorder : Merek : HIOKI, Model : LR 8510, SN : 200936000</v>
      </c>
      <c r="AQ278" s="495" t="str">
        <f t="shared" si="345"/>
        <v>Wireless Temperature Recorder : Merek : HIOKI, Model : LR 8510, SN : 200936001</v>
      </c>
      <c r="AR278" s="495" t="str">
        <f t="shared" si="345"/>
        <v>Wireless Temperature Recorder : Merek : HIOKI, Model : LR 8510, SN : 200821397</v>
      </c>
      <c r="AS278" s="495" t="str">
        <f t="shared" si="345"/>
        <v>Wireless Temperature Recorder : Merek : HIOKI, Model : LR 8510, SN : 210411983</v>
      </c>
      <c r="AT278" s="495" t="str">
        <f t="shared" si="345"/>
        <v>Wireless Temperature Recorder : Merek : HIOKI, Model : LR 8510, SN : 210411984</v>
      </c>
      <c r="AU278" s="495" t="str">
        <f t="shared" si="345"/>
        <v>Wireless Temperature Recorder : Merek : HIOKI, Model : LR 8510, SN : 210411985</v>
      </c>
      <c r="AV278" s="495" t="str">
        <f t="shared" si="345"/>
        <v>Wireless Temperature Recorder : Merek : HIOKI, Model : LR 8510, SN : 210746054</v>
      </c>
      <c r="AW278" s="495" t="str">
        <f t="shared" si="345"/>
        <v>Wireless Temperature Recorder : Merek : HIOKI, Model : LR 8510, SN : 210746055</v>
      </c>
      <c r="AX278" s="495" t="str">
        <f t="shared" si="345"/>
        <v>Wireless Temperature Recorder : Merek : HIOKI, Model : LR 8510, SN : 210746056</v>
      </c>
      <c r="AY278" s="495" t="str">
        <f t="shared" si="345"/>
        <v>Wireless Temperature Recorder : Merek : HIOKI, Model : LR 8510, SN : 200821396</v>
      </c>
      <c r="AZ278" s="495" t="str">
        <f t="shared" si="345"/>
        <v>Reference Thermometer, Merek : APPA, Model : APPA51, SN : 03002948</v>
      </c>
      <c r="BA278" s="495" t="str">
        <f t="shared" si="345"/>
        <v>Reference Thermometer, Merek : FLUKE, Model : 1524, SN : 1803038</v>
      </c>
      <c r="BB278" s="495" t="str">
        <f t="shared" si="345"/>
        <v>Reference Thermometer, Merek : FLUKE, Model : 1524, SN : 1803037</v>
      </c>
      <c r="BC278" s="442"/>
      <c r="BD278" s="497"/>
      <c r="BE278" s="442"/>
      <c r="BF278" s="443"/>
      <c r="BH278" s="497"/>
      <c r="BI278" s="442"/>
      <c r="BJ278" s="497"/>
      <c r="BK278" s="442"/>
      <c r="BL278" s="443"/>
      <c r="BN278" s="497"/>
      <c r="BO278" s="442"/>
      <c r="BP278" s="497"/>
      <c r="BQ278" s="442"/>
      <c r="BR278" s="443"/>
      <c r="BT278" s="497"/>
      <c r="BU278" s="442"/>
      <c r="BV278" s="497"/>
      <c r="BW278" s="442"/>
      <c r="BX278" s="443"/>
      <c r="BZ278" s="497"/>
      <c r="CA278" s="442"/>
      <c r="CB278" s="443"/>
      <c r="CD278" s="497"/>
      <c r="CE278" s="466"/>
      <c r="CF278" s="497"/>
      <c r="CG278" s="392"/>
      <c r="CH278" s="443"/>
    </row>
    <row r="279" spans="1:97" s="442" customFormat="1" ht="13.95" customHeight="1">
      <c r="A279" s="392"/>
      <c r="B279" s="498" t="s">
        <v>327</v>
      </c>
      <c r="C279" s="499">
        <f>_xlfn.FORECAST.LINEAR($B$289,$E$5:$E$16,$B$5:$B$16)</f>
        <v>0.25784902973112028</v>
      </c>
      <c r="D279" s="499">
        <f>_xlfn.FORECAST.LINEAR($B$289,$K$5:$K$16,$H$5:$H$16)</f>
        <v>0.29509789789724122</v>
      </c>
      <c r="E279" s="499">
        <f>_xlfn.FORECAST.LINEAR($B$289,$Q$5:$Q$16,$N$5:$N$16)</f>
        <v>9.2453583279082777E-2</v>
      </c>
      <c r="F279" s="499">
        <f>_xlfn.FORECAST.LINEAR($B$289,$W$5:$W$16,$T$5:$T$16)</f>
        <v>8.3333333333333329E-2</v>
      </c>
      <c r="G279" s="499">
        <f>_xlfn.FORECAST.LINEAR($B$289,$AC$5:$AC$16,$Z$5:$Z$16)</f>
        <v>0.25416294976066101</v>
      </c>
      <c r="H279" s="499">
        <f>_xlfn.FORECAST.LINEAR($B$289,$AI$5:$AI$16,$AF$5:$AF$16)</f>
        <v>0.29553635279036289</v>
      </c>
      <c r="I279" s="499">
        <f>_xlfn.FORECAST.LINEAR($B$289,$AO$5:$AO$16,$AL$5:$AL$16)</f>
        <v>8.3333333333333329E-2</v>
      </c>
      <c r="J279" s="499">
        <f>_xlfn.FORECAST.LINEAR($B$289,$AU$5:$AU$16,$AR$5:$AR$16)</f>
        <v>7.9999999999999988E-2</v>
      </c>
      <c r="K279" s="499">
        <f>_xlfn.FORECAST.LINEAR($B$289,$BA$5:$BA$16,$AX$5:$AX$16)</f>
        <v>0.26333333333333331</v>
      </c>
      <c r="L279" s="499">
        <f>_xlfn.FORECAST.LINEAR($B$289,$BG$5:$BG$16,$BD$5:$BD$16)</f>
        <v>8.9999999999999983E-2</v>
      </c>
      <c r="M279" s="499">
        <f>_xlfn.FORECAST.LINEAR($B$289,$BM$5:$BM$16,$BJ$5:$BJ$16)</f>
        <v>0.26333333333333331</v>
      </c>
      <c r="N279" s="499">
        <f>_xlfn.FORECAST.LINEAR($B$289,$BS$5:$BS$16,$BP$5:$BP$16)</f>
        <v>8.666666666666667E-2</v>
      </c>
      <c r="O279" s="499">
        <f>_xlfn.FORECAST.LINEAR($B$289,$BY$5:$BY$16,$BV$5:$BV$16)</f>
        <v>8.9999999999999983E-2</v>
      </c>
      <c r="P279" s="499">
        <f>_xlfn.FORECAST.LINEAR($B$289,$CE$5:$CE$16,$CB$5:$CB$16)</f>
        <v>0.38296276799017814</v>
      </c>
      <c r="Q279" s="499">
        <f>_xlfn.FORECAST.LINEAR($B$289,$CK$5:$CK$16,$CH$5:$CH$16)</f>
        <v>9.5194525864151433E-2</v>
      </c>
      <c r="R279" s="499">
        <f>_xlfn.FORECAST.LINEAR($B$289,$CQ$5:$CQ$16,$CN$5:$CN$16)</f>
        <v>0.64006486964568821</v>
      </c>
      <c r="S279" s="392"/>
      <c r="T279" s="498" t="s">
        <v>327</v>
      </c>
      <c r="U279" s="499">
        <f>_xlfn.FORECAST.LINEAR($T$289,$E$5:$E$16,$B$5:$B$16)</f>
        <v>0.259897984226444</v>
      </c>
      <c r="V279" s="499">
        <f>_xlfn.FORECAST.LINEAR($T$289,$K$5:$K$16,$H$5:$H$16)</f>
        <v>0.2963352092446902</v>
      </c>
      <c r="W279" s="499">
        <f>_xlfn.FORECAST.LINEAR($T$289,$Q$5:$Q$16,$N$5:$N$16)</f>
        <v>9.5261419732721189E-2</v>
      </c>
      <c r="X279" s="499">
        <f>_xlfn.FORECAST.LINEAR($T$289,$W$5:$W$16,$T$5:$T$16)</f>
        <v>8.3333333333333329E-2</v>
      </c>
      <c r="Y279" s="499">
        <f>_xlfn.FORECAST.LINEAR($T$289,$AC$5:$AC$16,$Z$5:$Z$16)</f>
        <v>0.25955502767257105</v>
      </c>
      <c r="Z279" s="499">
        <f>_xlfn.FORECAST.LINEAR($T$289,$AI$5:$AI$16,$AF$5:$AF$16)</f>
        <v>0.30438582635180977</v>
      </c>
      <c r="AA279" s="499">
        <f>_xlfn.FORECAST.LINEAR($T$289,$AO$5:$AO$16,$AL$5:$AL$16)</f>
        <v>8.3333333333333329E-2</v>
      </c>
      <c r="AB279" s="499">
        <f>_xlfn.FORECAST.LINEAR($T$289,$AU$5:$AU$16,$AR$5:$AR$16)</f>
        <v>7.9999999999999988E-2</v>
      </c>
      <c r="AC279" s="499">
        <f>_xlfn.FORECAST.LINEAR($T$289,$BA$5:$BA$16,$AX$5:$AX$16)</f>
        <v>0.26333333333333331</v>
      </c>
      <c r="AD279" s="499">
        <f>_xlfn.FORECAST.LINEAR($T$289,$BG$5:$BG$16,$BD$5:$BD$16)</f>
        <v>8.9999999999999983E-2</v>
      </c>
      <c r="AE279" s="499">
        <f>_xlfn.FORECAST.LINEAR($T$289,$BM$5:$BM$16,$BJ$5:$BJ$16)</f>
        <v>0.26333333333333331</v>
      </c>
      <c r="AF279" s="499">
        <f>_xlfn.FORECAST.LINEAR($T$289,$BS$5:$BS$16,$BP$5:$BP$16)</f>
        <v>8.666666666666667E-2</v>
      </c>
      <c r="AG279" s="499">
        <f>_xlfn.FORECAST.LINEAR($T$289,$BY$5:$BY$16,$BV$5:$BV$16)</f>
        <v>8.9999999999999983E-2</v>
      </c>
      <c r="AH279" s="499">
        <f>_xlfn.FORECAST.LINEAR($T$289,$CE$5:$CE$16,$CB$5:$CB$16)</f>
        <v>0.38713666903488658</v>
      </c>
      <c r="AI279" s="499">
        <f>_xlfn.FORECAST.LINEAR($T$289,$CK$5:$CK$16,$CH$5:$CH$16)</f>
        <v>9.4943691839121616E-2</v>
      </c>
      <c r="AJ279" s="499">
        <f>_xlfn.FORECAST.LINEAR($T$289,$CQ$5:$CQ$16,$CN$5:$CN$16)</f>
        <v>0.63739397295580158</v>
      </c>
      <c r="AL279" s="498" t="s">
        <v>327</v>
      </c>
      <c r="AM279" s="499">
        <f>_xlfn.FORECAST.LINEAR($AL$289,$E$5:$E$16,$B$5:$B$16)</f>
        <v>0.26188084341546697</v>
      </c>
      <c r="AN279" s="499">
        <f>_xlfn.FORECAST.LINEAR($AL$289,$K$5:$K$16,$H$5:$H$16)</f>
        <v>0.29753260732286668</v>
      </c>
      <c r="AO279" s="499">
        <f>_xlfn.FORECAST.LINEAR($AL$289,$Q$5:$Q$16,$N$5:$N$16)</f>
        <v>9.797868081688739E-2</v>
      </c>
      <c r="AP279" s="499">
        <f>_xlfn.FORECAST.LINEAR($AL$289,$W$5:$W$16,$T$5:$T$16)</f>
        <v>8.3333333333333329E-2</v>
      </c>
      <c r="AQ279" s="499">
        <f>_xlfn.FORECAST.LINEAR($AL$289,$AC$5:$AC$16,$Z$5:$Z$16)</f>
        <v>0.26477316758732267</v>
      </c>
      <c r="AR279" s="499">
        <f>_xlfn.FORECAST.LINEAR($AL$289,$AI$5:$AI$16,$AF$5:$AF$16)</f>
        <v>0.31294983302417778</v>
      </c>
      <c r="AS279" s="499">
        <f>_xlfn.FORECAST.LINEAR($AL$289,$AO$5:$AO$16,$AL$5:$AL$16)</f>
        <v>8.3333333333333329E-2</v>
      </c>
      <c r="AT279" s="499">
        <f>_xlfn.FORECAST.LINEAR($AL$289,$AU$5:$AU$16,$AR$5:$AR$16)</f>
        <v>7.9999999999999988E-2</v>
      </c>
      <c r="AU279" s="499">
        <f>_xlfn.FORECAST.LINEAR($AL$289,$BA$5:$BA$16,$AX$5:$AX$16)</f>
        <v>0.26333333333333331</v>
      </c>
      <c r="AV279" s="499">
        <f>_xlfn.FORECAST.LINEAR($AL$289,$BG$5:$BG$16,$BD$5:$BD$16)</f>
        <v>8.9999999999999983E-2</v>
      </c>
      <c r="AW279" s="499">
        <f>_xlfn.FORECAST.LINEAR($AL$289,$BM$5:$BM$16,$BJ$5:$BJ$16)</f>
        <v>0.26333333333333331</v>
      </c>
      <c r="AX279" s="499">
        <f>_xlfn.FORECAST.LINEAR($AL$289,$BS$5:$BS$16,$BP$5:$BP$16)</f>
        <v>8.666666666666667E-2</v>
      </c>
      <c r="AY279" s="499">
        <f>_xlfn.FORECAST.LINEAR($AL$289,$BY$5:$BY$16,$BV$5:$BV$16)</f>
        <v>8.9999999999999983E-2</v>
      </c>
      <c r="AZ279" s="499">
        <f>_xlfn.FORECAST.LINEAR($AL$289,$CE$5:$CE$16,$CB$5:$CB$16)</f>
        <v>0.39117592811041096</v>
      </c>
      <c r="BA279" s="499">
        <f>_xlfn.FORECAST.LINEAR($AL$289,$CK$5:$CK$16,$CH$5:$CH$16)</f>
        <v>9.4700949234254053E-2</v>
      </c>
      <c r="BB279" s="499">
        <f>_xlfn.FORECAST.LINEAR($AL$289,$CQ$5:$CQ$16,$CN$5:$CN$16)</f>
        <v>0.63480923422365321</v>
      </c>
      <c r="BF279" s="443"/>
      <c r="BH279" s="500"/>
      <c r="BL279" s="443"/>
      <c r="BN279" s="500"/>
      <c r="BR279" s="443"/>
      <c r="BT279" s="500"/>
      <c r="BX279" s="443"/>
      <c r="BZ279" s="500"/>
      <c r="CB279" s="443"/>
      <c r="CD279" s="500"/>
      <c r="CG279" s="392"/>
      <c r="CH279" s="443"/>
      <c r="CM279" s="392"/>
      <c r="CS279" s="392"/>
    </row>
    <row r="280" spans="1:97" s="442" customFormat="1" ht="13.95" customHeight="1">
      <c r="A280" s="392"/>
      <c r="B280" s="498" t="s">
        <v>332</v>
      </c>
      <c r="C280" s="499">
        <f>_xlfn.FORECAST.LINEAR($B$289,$E$20:$E$31,$B$20:$B$31)</f>
        <v>0.15250610984409835</v>
      </c>
      <c r="D280" s="499">
        <f>_xlfn.FORECAST.LINEAR($B$289,$K$20:$K$31,$H$20:$H$31)</f>
        <v>9.4204260587445146E-2</v>
      </c>
      <c r="E280" s="499">
        <f>_xlfn.FORECAST.LINEAR($B$289,$Q$20:$Q$31,$N$20:$N$31)</f>
        <v>8.4016081390146172E-2</v>
      </c>
      <c r="F280" s="499">
        <f>_xlfn.FORECAST.LINEAR($B$289,$W$20:$W$31,$T$20:$T$31)</f>
        <v>8.9999999999999983E-2</v>
      </c>
      <c r="G280" s="499">
        <f>_xlfn.FORECAST.LINEAR($B$289,$AC$20:$AC$31,$Z$20:$Z$31)</f>
        <v>0.23914349522591416</v>
      </c>
      <c r="H280" s="499">
        <f>_xlfn.FORECAST.LINEAR($B$289,$AI$20:$AI$31,$AF$20:$AF$31)</f>
        <v>0.24803520144650659</v>
      </c>
      <c r="I280" s="499">
        <f>_xlfn.FORECAST.LINEAR($B$289,$AO$20:$AO$31,$AL$20:$AL$31)</f>
        <v>8.3333333333333329E-2</v>
      </c>
      <c r="J280" s="499">
        <f>_xlfn.FORECAST.LINEAR($B$289,$AU$20:$AU$31,$AR$20:$AR$31)</f>
        <v>7.9999999999999988E-2</v>
      </c>
      <c r="K280" s="499">
        <f>_xlfn.FORECAST.LINEAR($B$289,$BA$20:$BA$31,$AX$20:$AX$31)</f>
        <v>0.26333333333333331</v>
      </c>
      <c r="L280" s="650">
        <f>$BH$28</f>
        <v>9.3333333333333338E-2</v>
      </c>
      <c r="M280" s="499">
        <f>_xlfn.FORECAST.LINEAR($B$289,$BM$20:$BM$31,$BJ$20:$BJ$31)</f>
        <v>0.26333333333333331</v>
      </c>
      <c r="N280" s="499">
        <f>_xlfn.FORECAST.LINEAR($B$289,$BS$20:$BS$31,$BP$20:$BP$31)</f>
        <v>8.3333333333333329E-2</v>
      </c>
      <c r="O280" s="499">
        <f>_xlfn.FORECAST.LINEAR($B$289,$BY$20:$BY$31,$BV$20:$BV$31)</f>
        <v>8.9999999999999983E-2</v>
      </c>
      <c r="P280" s="499">
        <f>_xlfn.FORECAST.LINEAR($B$289,$CE$20:$CE$31,$CB$20:$CB$31)</f>
        <v>0.38296276799017814</v>
      </c>
      <c r="Q280" s="499">
        <f>_xlfn.FORECAST.LINEAR($B$289,$CK$20:$CK$31,$CH$20:$CH$31)</f>
        <v>9.5194525864151433E-2</v>
      </c>
      <c r="R280" s="499">
        <f>_xlfn.FORECAST.LINEAR($B$289,$CQ$20:$CQ$31,$CN$20:$CN$31)</f>
        <v>0.64006486964568821</v>
      </c>
      <c r="S280" s="392"/>
      <c r="T280" s="498" t="s">
        <v>332</v>
      </c>
      <c r="U280" s="499">
        <f>_xlfn.FORECAST.LINEAR($T$289,$E$20:$E$31,$B$20:$B$31)</f>
        <v>0.15766049193248741</v>
      </c>
      <c r="V280" s="499">
        <f>_xlfn.FORECAST.LINEAR($T$289,$K$20:$K$31,$H$20:$H$31)</f>
        <v>9.9929161518425291E-2</v>
      </c>
      <c r="W280" s="499">
        <f>_xlfn.FORECAST.LINEAR($T$289,$Q$20:$Q$31,$N$20:$N$31)</f>
        <v>8.5448806487343876E-2</v>
      </c>
      <c r="X280" s="499">
        <f>_xlfn.FORECAST.LINEAR($T$289,$W$20:$W$31,$T$20:$T$31)</f>
        <v>8.9999999999999983E-2</v>
      </c>
      <c r="Y280" s="499">
        <f>_xlfn.FORECAST.LINEAR($T$289,$AC$20:$AC$31,$Z$20:$Z$31)</f>
        <v>0.24530721631045599</v>
      </c>
      <c r="Z280" s="499">
        <f>_xlfn.FORECAST.LINEAR($T$289,$AI$20:$AI$31,$AF$20:$AF$31)</f>
        <v>0.25848452158362556</v>
      </c>
      <c r="AA280" s="499">
        <f>_xlfn.FORECAST.LINEAR($T$289,$AO$20:$AO$31,$AL$20:$AL$31)</f>
        <v>8.3333333333333329E-2</v>
      </c>
      <c r="AB280" s="499">
        <f>_xlfn.FORECAST.LINEAR($T$289,$AU$20:$AU$31,$AR$20:$AR$31)</f>
        <v>7.9999999999999988E-2</v>
      </c>
      <c r="AC280" s="499">
        <f>_xlfn.FORECAST.LINEAR($T$289,$BA$20:$BA$31,$AX$20:$AX$31)</f>
        <v>0.26333333333333331</v>
      </c>
      <c r="AD280" s="650">
        <f>BD167</f>
        <v>9.3333333333333338E-2</v>
      </c>
      <c r="AE280" s="499">
        <f>_xlfn.FORECAST.LINEAR($T$289,$BM$20:$BM$31,$BJ$20:$BJ$31)</f>
        <v>0.26333333333333331</v>
      </c>
      <c r="AF280" s="499">
        <f>_xlfn.FORECAST.LINEAR($T$289,$BS$20:$BS$31,$BP$20:$BP$31)</f>
        <v>8.3333333333333329E-2</v>
      </c>
      <c r="AG280" s="499">
        <f>_xlfn.FORECAST.LINEAR($T$289,$BY$20:$BY$31,$BV$20:$BV$31)</f>
        <v>8.9999999999999983E-2</v>
      </c>
      <c r="AH280" s="499">
        <f>_xlfn.FORECAST.LINEAR($T$289,$CE$20:$CE$31,$CB$20:$CB$31)</f>
        <v>0.38713666903488658</v>
      </c>
      <c r="AI280" s="499">
        <f>_xlfn.FORECAST.LINEAR($T$289,$CK$20:$CK$31,$CH$20:$CH$31)</f>
        <v>9.4943691839121616E-2</v>
      </c>
      <c r="AJ280" s="499">
        <f>_xlfn.FORECAST.LINEAR($T$289,$CQ$20:$CQ$31,$CN$20:$CN$31)</f>
        <v>0.63739397295580158</v>
      </c>
      <c r="AL280" s="498" t="s">
        <v>332</v>
      </c>
      <c r="AM280" s="499">
        <f>_xlfn.FORECAST.LINEAR($AL$289,$E$20:$E$31,$B$20:$B$31)</f>
        <v>0.16264860363092842</v>
      </c>
      <c r="AN280" s="499">
        <f>_xlfn.FORECAST.LINEAR($AL$289,$K$20:$K$31,$H$20:$H$31)</f>
        <v>0.10546938822582541</v>
      </c>
      <c r="AO280" s="499">
        <f>_xlfn.FORECAST.LINEAR($AL$289,$Q$20:$Q$31,$N$20:$N$31)</f>
        <v>8.6835314645922299E-2</v>
      </c>
      <c r="AP280" s="499">
        <f>_xlfn.FORECAST.LINEAR($AL$289,$W$20:$W$31,$T$20:$T$31)</f>
        <v>8.9999999999999983E-2</v>
      </c>
      <c r="AQ280" s="499">
        <f>_xlfn.FORECAST.LINEAR($AL$289,$AC$20:$AC$31,$Z$20:$Z$31)</f>
        <v>0.25127210768259323</v>
      </c>
      <c r="AR280" s="499">
        <f>_xlfn.FORECAST.LINEAR($AL$289,$AI$20:$AI$31,$AF$20:$AF$31)</f>
        <v>0.26859676687761164</v>
      </c>
      <c r="AS280" s="499">
        <f>_xlfn.FORECAST.LINEAR($AL$289,$AO$20:$AO$31,$AL$20:$AL$31)</f>
        <v>8.3333333333333329E-2</v>
      </c>
      <c r="AT280" s="499">
        <f>_xlfn.FORECAST.LINEAR($AL$289,$AU$20:$AU$31,$AR$20:$AR$31)</f>
        <v>7.9999999999999988E-2</v>
      </c>
      <c r="AU280" s="499">
        <f>_xlfn.FORECAST.LINEAR($AL$289,$BA$20:$BA$31,$AX$20:$AX$31)</f>
        <v>0.26333333333333331</v>
      </c>
      <c r="AV280" s="650">
        <f>BE167</f>
        <v>9.3333333333333338E-2</v>
      </c>
      <c r="AW280" s="499">
        <f>_xlfn.FORECAST.LINEAR($AL$289,$BM$20:$BM$31,$BJ$20:$BJ$31)</f>
        <v>0.26333333333333331</v>
      </c>
      <c r="AX280" s="499">
        <f>_xlfn.FORECAST.LINEAR($AL$289,$BS$20:$BS$31,$BP$20:$BP$31)</f>
        <v>8.3333333333333329E-2</v>
      </c>
      <c r="AY280" s="499">
        <f>_xlfn.FORECAST.LINEAR($AL$289,$BY$20:$BY$31,$BV$20:$BV$31)</f>
        <v>8.9999999999999983E-2</v>
      </c>
      <c r="AZ280" s="499">
        <f>_xlfn.FORECAST.LINEAR($AL$289,$CE$20:$CE$31,$CB$20:$CB$31)</f>
        <v>0.39117592811041096</v>
      </c>
      <c r="BA280" s="499">
        <f>_xlfn.FORECAST.LINEAR($AL$289,$CK$20:$CK$31,$CH$20:$CH$31)</f>
        <v>9.4700949234254053E-2</v>
      </c>
      <c r="BB280" s="499">
        <f>_xlfn.FORECAST.LINEAR($AL$289,$CQ$20:$CQ$31,$CN$20:$CN$31)</f>
        <v>0.63480923422365321</v>
      </c>
      <c r="BF280" s="443"/>
      <c r="BH280" s="500"/>
      <c r="BL280" s="443"/>
      <c r="BN280" s="500"/>
      <c r="BR280" s="443"/>
      <c r="BT280" s="500"/>
      <c r="BX280" s="443"/>
      <c r="BZ280" s="500"/>
      <c r="CB280" s="443"/>
      <c r="CD280" s="500"/>
      <c r="CG280" s="392"/>
      <c r="CH280" s="443"/>
      <c r="CM280" s="392"/>
      <c r="CS280" s="392"/>
    </row>
    <row r="281" spans="1:97" s="442" customFormat="1" ht="13.95" customHeight="1">
      <c r="A281" s="392"/>
      <c r="B281" s="498" t="s">
        <v>333</v>
      </c>
      <c r="C281" s="499">
        <f>_xlfn.FORECAST.LINEAR($B$289,$E$35:$E$46,$B$35:$B$46)</f>
        <v>0.14726834371310632</v>
      </c>
      <c r="D281" s="499">
        <f>_xlfn.FORECAST.LINEAR($B$289,$K$35:$K$46,$H$35:$H$46)</f>
        <v>0.13415834788547276</v>
      </c>
      <c r="E281" s="499">
        <f>_xlfn.FORECAST.LINEAR($B$289,$Q$35:$Q$46,$N$35:$N$46)</f>
        <v>0.15391506472566518</v>
      </c>
      <c r="F281" s="499">
        <f>_xlfn.FORECAST.LINEAR($B$289,$W$35:$W$46,$T$35:$T$46)</f>
        <v>8.3333333333333329E-2</v>
      </c>
      <c r="G281" s="499">
        <f>_xlfn.FORECAST.LINEAR($B$289,$AC$35:$AC$46,$Z$35:$Z$46)</f>
        <v>0.2335666175978785</v>
      </c>
      <c r="H281" s="499">
        <f>_xlfn.FORECAST.LINEAR($B$289,$AI$35:$AI$46,$AF$35:$AF$46)</f>
        <v>0.21594912576513445</v>
      </c>
      <c r="I281" s="499">
        <f>_xlfn.FORECAST.LINEAR($B$289,$AO$35:$AO$46,$AL$35:$AL$46)</f>
        <v>7.9999999999999988E-2</v>
      </c>
      <c r="J281" s="499">
        <f>_xlfn.FORECAST.LINEAR($B$289,$AU$35:$AU$46,$AR$35:$AR$46)</f>
        <v>7.9999999999999988E-2</v>
      </c>
      <c r="K281" s="499">
        <f>_xlfn.FORECAST.LINEAR($B$289,$BA$35:$BA$46,$AX$35:$AX$46)</f>
        <v>0.26333333333333331</v>
      </c>
      <c r="L281" s="499">
        <f>_xlfn.FORECAST.LINEAR($B$289,$BG$35:$BG$46,$BD$35:$BD$46)</f>
        <v>8.9999999999999983E-2</v>
      </c>
      <c r="M281" s="499">
        <f>_xlfn.FORECAST.LINEAR($B$289,$BM$35:$BM$46,$BJ$35:$BJ$46)</f>
        <v>0.26333333333333331</v>
      </c>
      <c r="N281" s="499">
        <f>_xlfn.FORECAST.LINEAR($B$289,$BS$35:$BS$46,$BP$35:$BP$46)</f>
        <v>8.3333333333333329E-2</v>
      </c>
      <c r="O281" s="499">
        <f>_xlfn.FORECAST.LINEAR($B$289,$BY$35:$BY$46,$BV$35:$BV$46)</f>
        <v>8.9999999999999983E-2</v>
      </c>
      <c r="P281" s="499">
        <f>_xlfn.FORECAST.LINEAR($B$289,$CE$35:$CE$46,$CB$35:$CB$46)</f>
        <v>0.38296276799017814</v>
      </c>
      <c r="Q281" s="499">
        <f>_xlfn.FORECAST.LINEAR($B$289,$CK$35:$CK$46,$CH$35:$CH$46)</f>
        <v>9.5194525864151433E-2</v>
      </c>
      <c r="R281" s="499">
        <f>_xlfn.FORECAST.LINEAR($B$289,$CQ$35:$CQ$46,$CN$35:$CN$46)</f>
        <v>0.64006486964568821</v>
      </c>
      <c r="S281" s="392"/>
      <c r="T281" s="498" t="s">
        <v>333</v>
      </c>
      <c r="U281" s="499">
        <f>_xlfn.FORECAST.LINEAR($T$289,$E$35:$E$46,$B$35:$B$46)</f>
        <v>0.1519656250762087</v>
      </c>
      <c r="V281" s="499">
        <f>_xlfn.FORECAST.LINEAR($T$289,$K$35:$K$46,$H$35:$H$46)</f>
        <v>0.1366869719733903</v>
      </c>
      <c r="W281" s="499">
        <f>_xlfn.FORECAST.LINEAR($T$289,$Q$35:$Q$46,$N$35:$N$46)</f>
        <v>0.15179992633560477</v>
      </c>
      <c r="X281" s="499">
        <f>_xlfn.FORECAST.LINEAR($T$289,$W$35:$W$46,$T$35:$T$46)</f>
        <v>8.3333333333333329E-2</v>
      </c>
      <c r="Y281" s="499">
        <f>_xlfn.FORECAST.LINEAR($T$289,$AC$35:$AC$46,$Z$35:$Z$46)</f>
        <v>0.23923809833122606</v>
      </c>
      <c r="Z281" s="499">
        <f>_xlfn.FORECAST.LINEAR($T$289,$AI$35:$AI$46,$AF$35:$AF$46)</f>
        <v>0.22607276760652084</v>
      </c>
      <c r="AA281" s="499">
        <f>_xlfn.FORECAST.LINEAR($T$289,$AO$35:$AO$46,$AL$35:$AL$46)</f>
        <v>7.9999999999999988E-2</v>
      </c>
      <c r="AB281" s="499">
        <f>_xlfn.FORECAST.LINEAR($T$289,$AU$35:$AU$46,$AR$35:$AR$46)</f>
        <v>7.9999999999999988E-2</v>
      </c>
      <c r="AC281" s="499">
        <f>_xlfn.FORECAST.LINEAR($T$289,$BA$35:$BA$46,$AX$35:$AX$46)</f>
        <v>0.26333333333333331</v>
      </c>
      <c r="AD281" s="499">
        <f>_xlfn.FORECAST.LINEAR($T$289,$BG$35:$BG$46,$BD$35:$BD$46)</f>
        <v>8.9999999999999983E-2</v>
      </c>
      <c r="AE281" s="499">
        <f>_xlfn.FORECAST.LINEAR($T$289,$BM$35:$BM$46,$BJ$35:$BJ$46)</f>
        <v>0.26333333333333331</v>
      </c>
      <c r="AF281" s="499">
        <f>_xlfn.FORECAST.LINEAR($T$289,$BS$35:$BS$46,$BP$35:$BP$46)</f>
        <v>8.3333333333333329E-2</v>
      </c>
      <c r="AG281" s="499">
        <f>_xlfn.FORECAST.LINEAR($T$289,$BY$35:$BY$46,$BV$35:$BV$46)</f>
        <v>8.9999999999999983E-2</v>
      </c>
      <c r="AH281" s="499">
        <f>_xlfn.FORECAST.LINEAR($T$289,$CE$35:$CE$46,$CB$35:$CB$46)</f>
        <v>0.38713666903488658</v>
      </c>
      <c r="AI281" s="499">
        <f>_xlfn.FORECAST.LINEAR($T$289,$CK$35:$CK$46,$CH$35:$CH$46)</f>
        <v>9.4943691839121616E-2</v>
      </c>
      <c r="AJ281" s="499">
        <f>_xlfn.FORECAST.LINEAR($T$289,$CQ$35:$CQ$46,$CN$35:$CN$46)</f>
        <v>0.63739397295580158</v>
      </c>
      <c r="AL281" s="498" t="s">
        <v>333</v>
      </c>
      <c r="AM281" s="499">
        <f>_xlfn.FORECAST.LINEAR($AL$289,$E$35:$E$46,$B$35:$B$46)</f>
        <v>0.1565113812340497</v>
      </c>
      <c r="AN281" s="499">
        <f>_xlfn.FORECAST.LINEAR($AL$289,$K$35:$K$46,$H$35:$H$46)</f>
        <v>0.13913402754234278</v>
      </c>
      <c r="AO281" s="499">
        <f>_xlfn.FORECAST.LINEAR($AL$289,$Q$35:$Q$46,$N$35:$N$46)</f>
        <v>0.14975301821619147</v>
      </c>
      <c r="AP281" s="499">
        <f>_xlfn.FORECAST.LINEAR($AL$289,$W$35:$W$46,$T$35:$T$46)</f>
        <v>8.3333333333333329E-2</v>
      </c>
      <c r="AQ281" s="499">
        <f>_xlfn.FORECAST.LINEAR($AL$289,$AC$35:$AC$46,$Z$35:$Z$46)</f>
        <v>0.2447266280731753</v>
      </c>
      <c r="AR281" s="499">
        <f>_xlfn.FORECAST.LINEAR($AL$289,$AI$35:$AI$46,$AF$35:$AF$46)</f>
        <v>0.23586984035624961</v>
      </c>
      <c r="AS281" s="499">
        <f>_xlfn.FORECAST.LINEAR($AL$289,$AO$35:$AO$46,$AL$35:$AL$46)</f>
        <v>7.9999999999999988E-2</v>
      </c>
      <c r="AT281" s="499">
        <f>_xlfn.FORECAST.LINEAR($AL$289,$AU$35:$AU$46,$AR$35:$AR$46)</f>
        <v>7.9999999999999988E-2</v>
      </c>
      <c r="AU281" s="499">
        <f>_xlfn.FORECAST.LINEAR($AL$289,$BA$35:$BA$46,$AX$35:$AX$46)</f>
        <v>0.26333333333333331</v>
      </c>
      <c r="AV281" s="499">
        <f>_xlfn.FORECAST.LINEAR($AL$289,$BG$35:$BG$46,$BD$35:$BD$46)</f>
        <v>8.9999999999999983E-2</v>
      </c>
      <c r="AW281" s="499">
        <f>_xlfn.FORECAST.LINEAR($AL$289,$BM$35:$BM$46,$BJ$35:$BJ$46)</f>
        <v>0.26333333333333331</v>
      </c>
      <c r="AX281" s="499">
        <f>_xlfn.FORECAST.LINEAR($AL$289,$BS$35:$BS$46,$BP$35:$BP$46)</f>
        <v>8.3333333333333329E-2</v>
      </c>
      <c r="AY281" s="499">
        <f>_xlfn.FORECAST.LINEAR($AL$289,$BY$35:$BY$46,$BV$35:$BV$46)</f>
        <v>8.9999999999999983E-2</v>
      </c>
      <c r="AZ281" s="499">
        <f>_xlfn.FORECAST.LINEAR($AL$289,$CE$35:$CE$46,$CB$35:$CB$46)</f>
        <v>0.39117592811041096</v>
      </c>
      <c r="BA281" s="499">
        <f>_xlfn.FORECAST.LINEAR($AL$289,$CK$35:$CK$46,$CH$35:$CH$46)</f>
        <v>9.4700949234254053E-2</v>
      </c>
      <c r="BB281" s="499">
        <f>_xlfn.FORECAST.LINEAR($AL$289,$CQ$35:$CQ$46,$CN$35:$CN$46)</f>
        <v>0.63480923422365321</v>
      </c>
      <c r="BF281" s="443"/>
      <c r="BH281" s="500"/>
      <c r="BL281" s="443"/>
      <c r="BN281" s="500"/>
      <c r="BR281" s="443"/>
      <c r="BT281" s="500"/>
      <c r="BX281" s="443"/>
      <c r="BZ281" s="500"/>
      <c r="CB281" s="443"/>
      <c r="CD281" s="500"/>
      <c r="CG281" s="392"/>
      <c r="CH281" s="443"/>
      <c r="CM281" s="392"/>
      <c r="CS281" s="392"/>
    </row>
    <row r="282" spans="1:97" s="442" customFormat="1" ht="13.95" customHeight="1">
      <c r="A282" s="392"/>
      <c r="B282" s="498" t="s">
        <v>334</v>
      </c>
      <c r="C282" s="499">
        <f>_xlfn.FORECAST.LINEAR($B$289,$E$50:$E$61,$B$50:$B$61)</f>
        <v>0.1958523267899959</v>
      </c>
      <c r="D282" s="499">
        <f>_xlfn.FORECAST.LINEAR($B$289,$K$50:$K$61,$H$50:$H$61)</f>
        <v>0.11656486846737146</v>
      </c>
      <c r="E282" s="499">
        <f>_xlfn.FORECAST.LINEAR($B$289,$Q$50:$Q$61,$N$50:$N$61)</f>
        <v>0.13432763788573673</v>
      </c>
      <c r="F282" s="499">
        <f>_xlfn.FORECAST.LINEAR($B$289,$W$50:$W$61,$T$50:$T$61)</f>
        <v>8.666666666666667E-2</v>
      </c>
      <c r="G282" s="499">
        <f>_xlfn.FORECAST.LINEAR($B$289,$AC$50:$AC$61,$Z$50:$Z$61)</f>
        <v>0.34908176830337651</v>
      </c>
      <c r="H282" s="499">
        <f>_xlfn.FORECAST.LINEAR($B$289,$AI$50:$AI$61,$AF$50:$AF$61)</f>
        <v>0.22479901069868449</v>
      </c>
      <c r="I282" s="499">
        <f>_xlfn.FORECAST.LINEAR($B$289,$AO$50:$AO$61,$AL$50:$AL$61)</f>
        <v>8.3333333333333329E-2</v>
      </c>
      <c r="J282" s="499">
        <f>_xlfn.FORECAST.LINEAR($B$289,$AU$50:$AU$61,$AR$50:$AR$61)</f>
        <v>7.9999999999999988E-2</v>
      </c>
      <c r="K282" s="499">
        <f>_xlfn.FORECAST.LINEAR($B$289,$BA$50:$BA$61,$AX$50:$AX$61)</f>
        <v>0.26333333333333331</v>
      </c>
      <c r="L282" s="499">
        <f>_xlfn.FORECAST.LINEAR($B$289,$BG$50:$BG$61,$BD$50:$BD$61)</f>
        <v>8.9999999999999983E-2</v>
      </c>
      <c r="M282" s="499">
        <f>_xlfn.FORECAST.LINEAR($B$289,$BM$50:$BM$61,$BJ$50:$BJ$61)</f>
        <v>0.26333333333333331</v>
      </c>
      <c r="N282" s="499">
        <f>_xlfn.FORECAST.LINEAR($B$289,$BS$50:$BS$61,$BP$50:$BP$61)</f>
        <v>8.3333333333333329E-2</v>
      </c>
      <c r="O282" s="499">
        <f>_xlfn.FORECAST.LINEAR($B$289,$BY$50:$BY$61,$BV$50:$BV$61)</f>
        <v>8.666666666666667E-2</v>
      </c>
      <c r="P282" s="499">
        <f>_xlfn.FORECAST.LINEAR($B$289,$CE$50:$CE$61,$CB$50:$CB$61)</f>
        <v>0.38296276799017814</v>
      </c>
      <c r="Q282" s="499">
        <f>_xlfn.FORECAST.LINEAR($B$289,$CK$50:$CK$61,$CH$50:$CH$61)</f>
        <v>9.5194525864151433E-2</v>
      </c>
      <c r="R282" s="499">
        <f>_xlfn.FORECAST.LINEAR($B$289,$CQ$50:$CQ$61,$CN$50:$CN$61)</f>
        <v>0.64006486964568821</v>
      </c>
      <c r="S282" s="392"/>
      <c r="T282" s="498" t="s">
        <v>334</v>
      </c>
      <c r="U282" s="499">
        <f>_xlfn.FORECAST.LINEAR($T$289,$E$50:$E$61,$B$50:$B$61)</f>
        <v>0.20088729131288807</v>
      </c>
      <c r="V282" s="499">
        <f>_xlfn.FORECAST.LINEAR($T$289,$K$50:$K$61,$H$50:$H$61)</f>
        <v>0.11965315208725966</v>
      </c>
      <c r="W282" s="499">
        <f>_xlfn.FORECAST.LINEAR($T$289,$Q$50:$Q$61,$N$50:$N$61)</f>
        <v>0.13686397555415084</v>
      </c>
      <c r="X282" s="499">
        <f>_xlfn.FORECAST.LINEAR($T$289,$W$50:$W$61,$T$50:$T$61)</f>
        <v>8.666666666666667E-2</v>
      </c>
      <c r="Y282" s="499">
        <f>_xlfn.FORECAST.LINEAR($T$289,$AC$50:$AC$61,$Z$50:$Z$61)</f>
        <v>0.35086532166218926</v>
      </c>
      <c r="Z282" s="499">
        <f>_xlfn.FORECAST.LINEAR($T$289,$AI$50:$AI$61,$AF$50:$AF$61)</f>
        <v>0.23198263779124051</v>
      </c>
      <c r="AA282" s="499">
        <f>_xlfn.FORECAST.LINEAR($T$289,$AO$50:$AO$61,$AL$50:$AL$61)</f>
        <v>8.3333333333333329E-2</v>
      </c>
      <c r="AB282" s="499">
        <f>_xlfn.FORECAST.LINEAR($T$289,$AU$50:$AU$61,$AR$50:$AR$61)</f>
        <v>7.9999999999999988E-2</v>
      </c>
      <c r="AC282" s="499">
        <f>_xlfn.FORECAST.LINEAR($T$289,$BA$50:$BA$61,$AX$50:$AX$61)</f>
        <v>0.26333333333333331</v>
      </c>
      <c r="AD282" s="499">
        <f>_xlfn.FORECAST.LINEAR($T$289,$BG$50:$BG$61,$BD$50:$BD$61)</f>
        <v>8.9999999999999983E-2</v>
      </c>
      <c r="AE282" s="499">
        <f>_xlfn.FORECAST.LINEAR($T$289,$BM$50:$BM$61,$BJ$50:$BJ$61)</f>
        <v>0.26333333333333331</v>
      </c>
      <c r="AF282" s="499">
        <f>_xlfn.FORECAST.LINEAR($T$289,$BS$50:$BS$61,$BP$50:$BP$61)</f>
        <v>8.3333333333333329E-2</v>
      </c>
      <c r="AG282" s="499">
        <f>_xlfn.FORECAST.LINEAR($T$289,$BY$50:$BY$61,$BV$50:$BV$61)</f>
        <v>8.666666666666667E-2</v>
      </c>
      <c r="AH282" s="499">
        <f>_xlfn.FORECAST.LINEAR($T$289,$CE$50:$CE$61,$CB$50:$CB$61)</f>
        <v>0.38713666903488658</v>
      </c>
      <c r="AI282" s="499">
        <f>_xlfn.FORECAST.LINEAR($T$289,$CK$50:$CK$61,$CH$50:$CH$61)</f>
        <v>9.4943691839121616E-2</v>
      </c>
      <c r="AJ282" s="499">
        <f>_xlfn.FORECAST.LINEAR($T$289,$CQ$50:$CQ$61,$CN$50:$CN$61)</f>
        <v>0.63739397295580158</v>
      </c>
      <c r="AL282" s="498" t="s">
        <v>334</v>
      </c>
      <c r="AM282" s="499">
        <f>_xlfn.FORECAST.LINEAR($AL$289,$E$50:$E$61,$B$50:$B$61)</f>
        <v>0.20575983762536437</v>
      </c>
      <c r="AN282" s="499">
        <f>_xlfn.FORECAST.LINEAR($AL$289,$K$50:$K$61,$H$50:$H$61)</f>
        <v>0.12264181365489338</v>
      </c>
      <c r="AO282" s="499">
        <f>_xlfn.FORECAST.LINEAR($AL$289,$Q$50:$Q$61,$N$50:$N$61)</f>
        <v>0.13931849587842254</v>
      </c>
      <c r="AP282" s="499">
        <f>_xlfn.FORECAST.LINEAR($AL$289,$W$50:$W$61,$T$50:$T$61)</f>
        <v>8.666666666666667E-2</v>
      </c>
      <c r="AQ282" s="499">
        <f>_xlfn.FORECAST.LINEAR($AL$289,$AC$50:$AC$61,$Z$50:$Z$61)</f>
        <v>0.35259134104168549</v>
      </c>
      <c r="AR282" s="499">
        <f>_xlfn.FORECAST.LINEAR($AL$289,$AI$50:$AI$61,$AF$50:$AF$61)</f>
        <v>0.23893453497758504</v>
      </c>
      <c r="AS282" s="499">
        <f>_xlfn.FORECAST.LINEAR($AL$289,$AO$50:$AO$61,$AL$50:$AL$61)</f>
        <v>8.3333333333333329E-2</v>
      </c>
      <c r="AT282" s="499">
        <f>_xlfn.FORECAST.LINEAR($AL$289,$AU$50:$AU$61,$AR$50:$AR$61)</f>
        <v>7.9999999999999988E-2</v>
      </c>
      <c r="AU282" s="499">
        <f>_xlfn.FORECAST.LINEAR($AL$289,$BA$50:$BA$61,$AX$50:$AX$61)</f>
        <v>0.26333333333333331</v>
      </c>
      <c r="AV282" s="499">
        <f>_xlfn.FORECAST.LINEAR($AL$289,$BG$50:$BG$61,$BD$50:$BD$61)</f>
        <v>8.9999999999999983E-2</v>
      </c>
      <c r="AW282" s="499">
        <f>_xlfn.FORECAST.LINEAR($AL$289,$BM$50:$BM$61,$BJ$50:$BJ$61)</f>
        <v>0.26333333333333331</v>
      </c>
      <c r="AX282" s="499">
        <f>_xlfn.FORECAST.LINEAR($AL$289,$BS$50:$BS$61,$BP$50:$BP$61)</f>
        <v>8.3333333333333329E-2</v>
      </c>
      <c r="AY282" s="499">
        <f>_xlfn.FORECAST.LINEAR($AL$289,$BY$50:$BY$61,$BV$50:$BV$61)</f>
        <v>8.666666666666667E-2</v>
      </c>
      <c r="AZ282" s="499">
        <f>_xlfn.FORECAST.LINEAR($AL$289,$CE$50:$CE$61,$CB$50:$CB$61)</f>
        <v>0.39117592811041096</v>
      </c>
      <c r="BA282" s="499">
        <f>_xlfn.FORECAST.LINEAR($AL$289,$CK$50:$CK$61,$CH$50:$CH$61)</f>
        <v>9.4700949234254053E-2</v>
      </c>
      <c r="BB282" s="499">
        <f>_xlfn.FORECAST.LINEAR($AL$289,$CQ$50:$CQ$61,$CN$50:$CN$61)</f>
        <v>0.63480923422365321</v>
      </c>
      <c r="BF282" s="443"/>
      <c r="BH282" s="500"/>
      <c r="BL282" s="443"/>
      <c r="BN282" s="500"/>
      <c r="BR282" s="443"/>
      <c r="BT282" s="500"/>
      <c r="BX282" s="443"/>
      <c r="BZ282" s="500"/>
      <c r="CB282" s="443"/>
      <c r="CD282" s="500"/>
      <c r="CG282" s="392"/>
      <c r="CH282" s="443"/>
      <c r="CM282" s="392"/>
      <c r="CS282" s="392"/>
    </row>
    <row r="283" spans="1:97" s="442" customFormat="1" ht="13.95" customHeight="1">
      <c r="A283" s="392"/>
      <c r="B283" s="498" t="s">
        <v>335</v>
      </c>
      <c r="C283" s="499">
        <f>_xlfn.FORECAST.LINEAR($B$289,$E$65:$E$76,$B$65:$B$76)</f>
        <v>0.14151268983531756</v>
      </c>
      <c r="D283" s="499">
        <f>_xlfn.FORECAST.LINEAR($B$289,$K$65:$K$76,$H$65:$H$76)</f>
        <v>0.10433853902276084</v>
      </c>
      <c r="E283" s="499">
        <f>_xlfn.FORECAST.LINEAR($B$289,$Q$65:$Q$76,$N$65:$N$76)</f>
        <v>0.10339749327418064</v>
      </c>
      <c r="F283" s="499">
        <f>_xlfn.FORECAST.LINEAR($B$289,$W$65:$W$76,$T$65:$T$76)</f>
        <v>8.666666666666667E-2</v>
      </c>
      <c r="G283" s="499">
        <f>_xlfn.FORECAST.LINEAR($B$289,$AC$65:$AC$76,$Z$65:$Z$76)</f>
        <v>0.31964078883471214</v>
      </c>
      <c r="H283" s="499">
        <f>_xlfn.FORECAST.LINEAR($B$289,$AI$65:$AI$76,$AF$65:$AF$76)</f>
        <v>0.21915241586044515</v>
      </c>
      <c r="I283" s="499">
        <f>_xlfn.FORECAST.LINEAR($B$289,$AO$65:$AO$76,$AL$65:$AL$76)</f>
        <v>8.3333333333333329E-2</v>
      </c>
      <c r="J283" s="499">
        <f>_xlfn.FORECAST.LINEAR($B$289,$AU$65:$AU$76,$AR$65:$AR$76)</f>
        <v>8.3333333333333329E-2</v>
      </c>
      <c r="K283" s="499">
        <f>_xlfn.FORECAST.LINEAR($B$289,$BA$65:$BA$76,$AX$65:$AX$76)</f>
        <v>0.26333333333333331</v>
      </c>
      <c r="L283" s="499">
        <f>_xlfn.FORECAST.LINEAR($B$289,$BG$65:$BG$76,$BD$65:$BD$76)</f>
        <v>8.666666666666667E-2</v>
      </c>
      <c r="M283" s="499">
        <f>_xlfn.FORECAST.LINEAR($B$289,$BM$65:$BM$76,$BJ$65:$BJ$76)</f>
        <v>0.26333333333333331</v>
      </c>
      <c r="N283" s="499">
        <f>_xlfn.FORECAST.LINEAR($B$289,$BS$65:$BS$76,$BP$65:$BP$76)</f>
        <v>8.666666666666667E-2</v>
      </c>
      <c r="O283" s="499">
        <f>_xlfn.FORECAST.LINEAR($B$289,$BY$65:$BY$76,$BV$65:$BV$76)</f>
        <v>8.3333333333333329E-2</v>
      </c>
      <c r="P283" s="499">
        <f>_xlfn.FORECAST.LINEAR($B$289,$CE$65:$CE$76,$CB$65:$CB$76)</f>
        <v>0.38296276799017814</v>
      </c>
      <c r="Q283" s="499">
        <f>_xlfn.FORECAST.LINEAR($B$289,$CK$65:$CK$76,$CH$65:$CH$76)</f>
        <v>9.5194525864151433E-2</v>
      </c>
      <c r="R283" s="499">
        <f>_xlfn.FORECAST.LINEAR($B$289,$CQ$65:$CQ$76,$CN$65:$CN$76)</f>
        <v>0.64006486964568821</v>
      </c>
      <c r="S283" s="392"/>
      <c r="T283" s="498" t="s">
        <v>335</v>
      </c>
      <c r="U283" s="499">
        <f>_xlfn.FORECAST.LINEAR($T$289,$E$65:$E$76,$B$65:$B$76)</f>
        <v>0.14744871417054339</v>
      </c>
      <c r="V283" s="499">
        <f>_xlfn.FORECAST.LINEAR($T$289,$K$65:$K$76,$H$65:$H$76)</f>
        <v>0.10906638581868104</v>
      </c>
      <c r="W283" s="499">
        <f>_xlfn.FORECAST.LINEAR($T$289,$Q$65:$Q$76,$N$65:$N$76)</f>
        <v>0.10398543908766025</v>
      </c>
      <c r="X283" s="499">
        <f>_xlfn.FORECAST.LINEAR($T$289,$W$65:$W$76,$T$65:$T$76)</f>
        <v>8.666666666666667E-2</v>
      </c>
      <c r="Y283" s="499">
        <f>_xlfn.FORECAST.LINEAR($T$289,$AC$65:$AC$76,$Z$65:$Z$76)</f>
        <v>0.32333987647165713</v>
      </c>
      <c r="Z283" s="499">
        <f>_xlfn.FORECAST.LINEAR($T$289,$AI$65:$AI$76,$AF$65:$AF$76)</f>
        <v>0.22863354548680279</v>
      </c>
      <c r="AA283" s="499">
        <f>_xlfn.FORECAST.LINEAR($T$289,$AO$65:$AO$76,$AL$65:$AL$76)</f>
        <v>8.3333333333333329E-2</v>
      </c>
      <c r="AB283" s="499">
        <f>_xlfn.FORECAST.LINEAR($T$289,$AU$65:$AU$76,$AR$65:$AR$76)</f>
        <v>8.3333333333333329E-2</v>
      </c>
      <c r="AC283" s="499">
        <f>_xlfn.FORECAST.LINEAR($T$289,$BA$65:$BA$76,$AX$65:$AX$76)</f>
        <v>0.26333333333333331</v>
      </c>
      <c r="AD283" s="499">
        <f>_xlfn.FORECAST.LINEAR($T$289,$BG$65:$BG$76,$BD$65:$BD$76)</f>
        <v>8.666666666666667E-2</v>
      </c>
      <c r="AE283" s="499">
        <f>_xlfn.FORECAST.LINEAR($T$289,$BM$65:$BM$76,$BJ$65:$BJ$76)</f>
        <v>0.26333333333333331</v>
      </c>
      <c r="AF283" s="499">
        <f>_xlfn.FORECAST.LINEAR($T$289,$BS$65:$BS$76,$BP$65:$BP$76)</f>
        <v>8.666666666666667E-2</v>
      </c>
      <c r="AG283" s="499">
        <f>_xlfn.FORECAST.LINEAR($T$289,$BY$65:$BY$76,$BV$65:$BV$76)</f>
        <v>8.3333333333333329E-2</v>
      </c>
      <c r="AH283" s="499">
        <f>_xlfn.FORECAST.LINEAR($T$289,$CE$65:$CE$76,$CB$65:$CB$76)</f>
        <v>0.38713666903488658</v>
      </c>
      <c r="AI283" s="499">
        <f>_xlfn.FORECAST.LINEAR($T$289,$CK$65:$CK$76,$CH$65:$CH$76)</f>
        <v>9.4943691839121616E-2</v>
      </c>
      <c r="AJ283" s="499">
        <f>_xlfn.FORECAST.LINEAR($T$289,$CQ$65:$CQ$76,$CN$65:$CN$76)</f>
        <v>0.63739397295580158</v>
      </c>
      <c r="AL283" s="498" t="s">
        <v>335</v>
      </c>
      <c r="AM283" s="499">
        <f>_xlfn.FORECAST.LINEAR($AL$289,$E$65:$E$76,$B$65:$B$76)</f>
        <v>0.15319325384979421</v>
      </c>
      <c r="AN283" s="499">
        <f>_xlfn.FORECAST.LINEAR($AL$289,$K$65:$K$76,$H$65:$H$76)</f>
        <v>0.11364172142763608</v>
      </c>
      <c r="AO283" s="499">
        <f>_xlfn.FORECAST.LINEAR($AL$289,$Q$65:$Q$76,$N$65:$N$76)</f>
        <v>0.10455441890715667</v>
      </c>
      <c r="AP283" s="499">
        <f>_xlfn.FORECAST.LINEAR($AL$289,$W$65:$W$76,$T$65:$T$76)</f>
        <v>8.666666666666667E-2</v>
      </c>
      <c r="AQ283" s="499">
        <f>_xlfn.FORECAST.LINEAR($AL$289,$AC$65:$AC$76,$Z$65:$Z$76)</f>
        <v>0.32691963870095869</v>
      </c>
      <c r="AR283" s="499">
        <f>_xlfn.FORECAST.LINEAR($AL$289,$AI$65:$AI$76,$AF$65:$AF$76)</f>
        <v>0.23780883222198759</v>
      </c>
      <c r="AS283" s="499">
        <f>_xlfn.FORECAST.LINEAR($AL$289,$AO$65:$AO$76,$AL$65:$AL$76)</f>
        <v>8.3333333333333329E-2</v>
      </c>
      <c r="AT283" s="499">
        <f>_xlfn.FORECAST.LINEAR($AL$289,$AU$65:$AU$76,$AR$65:$AR$76)</f>
        <v>8.3333333333333329E-2</v>
      </c>
      <c r="AU283" s="499">
        <f>_xlfn.FORECAST.LINEAR($AL$289,$BA$65:$BA$76,$AX$65:$AX$76)</f>
        <v>0.26333333333333331</v>
      </c>
      <c r="AV283" s="499">
        <f>_xlfn.FORECAST.LINEAR($AL$289,$BG$65:$BG$76,$BD$65:$BD$76)</f>
        <v>8.666666666666667E-2</v>
      </c>
      <c r="AW283" s="499">
        <f>_xlfn.FORECAST.LINEAR($AL$289,$BM$65:$BM$76,$BJ$65:$BJ$76)</f>
        <v>0.26333333333333331</v>
      </c>
      <c r="AX283" s="499">
        <f>_xlfn.FORECAST.LINEAR($AL$289,$BS$65:$BS$76,$BP$65:$BP$76)</f>
        <v>8.666666666666667E-2</v>
      </c>
      <c r="AY283" s="499">
        <f>_xlfn.FORECAST.LINEAR($AL$289,$BY$65:$BY$76,$BV$65:$BV$76)</f>
        <v>8.3333333333333329E-2</v>
      </c>
      <c r="AZ283" s="499">
        <f>_xlfn.FORECAST.LINEAR($AL$289,$CE$65:$CE$76,$CB$65:$CB$76)</f>
        <v>0.39117592811041096</v>
      </c>
      <c r="BA283" s="499">
        <f>_xlfn.FORECAST.LINEAR($AL$289,$CK$65:$CK$76,$CH$65:$CH$76)</f>
        <v>9.4700949234254053E-2</v>
      </c>
      <c r="BB283" s="499">
        <f>_xlfn.FORECAST.LINEAR($AL$289,$CQ$65:$CQ$76,$CN$65:$CN$76)</f>
        <v>0.63480923422365321</v>
      </c>
      <c r="BF283" s="443"/>
      <c r="BH283" s="500"/>
      <c r="BL283" s="443"/>
      <c r="BN283" s="500"/>
      <c r="BR283" s="443"/>
      <c r="BT283" s="500"/>
      <c r="BX283" s="443"/>
      <c r="BZ283" s="500"/>
      <c r="CB283" s="443"/>
      <c r="CD283" s="500"/>
      <c r="CG283" s="392"/>
      <c r="CH283" s="443"/>
      <c r="CM283" s="392"/>
      <c r="CS283" s="392"/>
    </row>
    <row r="284" spans="1:97" s="442" customFormat="1" ht="13.95" customHeight="1">
      <c r="A284" s="392"/>
      <c r="B284" s="498" t="s">
        <v>336</v>
      </c>
      <c r="C284" s="499">
        <f>_xlfn.FORECAST.LINEAR($B$289,$E$80:$E$91,$B$80:$B$91)</f>
        <v>0.23900440495023317</v>
      </c>
      <c r="D284" s="499">
        <f>_xlfn.FORECAST.LINEAR($B$289,$K$80:$K$91,$H$80:$H$91)</f>
        <v>0.16827210287868885</v>
      </c>
      <c r="E284" s="499">
        <f>_xlfn.FORECAST.LINEAR($B$289,$Q$80:$Q$91,$N$80:$N$91)</f>
        <v>0.14747180905221516</v>
      </c>
      <c r="F284" s="499">
        <f>_xlfn.FORECAST.LINEAR($B$289,$W$80:$W$91,$T$80:$T$91)</f>
        <v>8.666666666666667E-2</v>
      </c>
      <c r="G284" s="499">
        <f>_xlfn.FORECAST.LINEAR($B$289,$AC$80:$AC$91,$Z$80:$Z$91)</f>
        <v>0.31480960903630861</v>
      </c>
      <c r="H284" s="499">
        <f>_xlfn.FORECAST.LINEAR($B$289,$AI$80:$AI$91,$AF$80:$AF$91)</f>
        <v>0.25005909736089987</v>
      </c>
      <c r="I284" s="499">
        <f>_xlfn.FORECAST.LINEAR($B$289,$AO$80:$AO$91,$AL$80:$AL$91)</f>
        <v>7.9999999999999988E-2</v>
      </c>
      <c r="J284" s="499">
        <f>_xlfn.FORECAST.LINEAR($B$289,$AU$80:$AU$91,$AR$80:$AR$91)</f>
        <v>8.3333333333333329E-2</v>
      </c>
      <c r="K284" s="499">
        <f>_xlfn.FORECAST.LINEAR($B$289,$BA$80:$BA$91,$AX$80:$AX$91)</f>
        <v>0.26333333333333331</v>
      </c>
      <c r="L284" s="499">
        <f>_xlfn.FORECAST.LINEAR($B$289,$BG$80:$BG$91,$BD$80:$BD$91)</f>
        <v>8.9999999999999983E-2</v>
      </c>
      <c r="M284" s="499">
        <f>_xlfn.FORECAST.LINEAR($B$289,$BM$80:$BM$91,$BJ$80:$BJ$91)</f>
        <v>0.26333333333333331</v>
      </c>
      <c r="N284" s="499">
        <f>_xlfn.FORECAST.LINEAR($B$289,$BS$80:$BS$91,$BP$80:$BP$91)</f>
        <v>8.666666666666667E-2</v>
      </c>
      <c r="O284" s="499">
        <f>_xlfn.FORECAST.LINEAR($B$289,$BY$80:$BY$91,$BV$80:$BV$91)</f>
        <v>8.3333333333333329E-2</v>
      </c>
      <c r="P284" s="499">
        <f>_xlfn.FORECAST.LINEAR($B$289,$CE$80:$CE$91,$CB$80:$CB$91)</f>
        <v>0.38296276799017814</v>
      </c>
      <c r="Q284" s="499">
        <f>_xlfn.FORECAST.LINEAR($B$289,$CK$80:$CK$91,$CH$80:$CH$91)</f>
        <v>9.5194525864151433E-2</v>
      </c>
      <c r="R284" s="499">
        <f>_xlfn.FORECAST.LINEAR($B$289,$CQ$80:$CQ$91,$CN$80:$CN$91)</f>
        <v>0.64006486964568821</v>
      </c>
      <c r="S284" s="392"/>
      <c r="T284" s="498" t="s">
        <v>336</v>
      </c>
      <c r="U284" s="499">
        <f>_xlfn.FORECAST.LINEAR($T$289,$E$80:$E$91,$B$80:$B$91)</f>
        <v>0.24239323547864008</v>
      </c>
      <c r="V284" s="499">
        <f>_xlfn.FORECAST.LINEAR($T$289,$K$80:$K$91,$H$80:$H$91)</f>
        <v>0.16957997916233736</v>
      </c>
      <c r="W284" s="499">
        <f>_xlfn.FORECAST.LINEAR($T$289,$Q$80:$Q$91,$N$80:$N$91)</f>
        <v>0.14777006727652583</v>
      </c>
      <c r="X284" s="499">
        <f>_xlfn.FORECAST.LINEAR($T$289,$W$80:$W$91,$T$80:$T$91)</f>
        <v>8.666666666666667E-2</v>
      </c>
      <c r="Y284" s="499">
        <f>_xlfn.FORECAST.LINEAR($T$289,$AC$80:$AC$91,$Z$80:$Z$91)</f>
        <v>0.31760792601079452</v>
      </c>
      <c r="Z284" s="499">
        <f>_xlfn.FORECAST.LINEAR($T$289,$AI$80:$AI$91,$AF$80:$AF$91)</f>
        <v>0.25852774887027657</v>
      </c>
      <c r="AA284" s="499">
        <f>_xlfn.FORECAST.LINEAR($T$289,$AO$80:$AO$91,$AL$80:$AL$91)</f>
        <v>7.9999999999999988E-2</v>
      </c>
      <c r="AB284" s="499">
        <f>_xlfn.FORECAST.LINEAR($T$289,$AU$80:$AU$91,$AR$80:$AR$91)</f>
        <v>8.3333333333333329E-2</v>
      </c>
      <c r="AC284" s="499">
        <f>_xlfn.FORECAST.LINEAR($T$289,$BA$80:$BA$91,$AX$80:$AX$91)</f>
        <v>0.26333333333333331</v>
      </c>
      <c r="AD284" s="499">
        <f>_xlfn.FORECAST.LINEAR($T$289,$BG$80:$BG$91,$BD$80:$BD$91)</f>
        <v>8.9999999999999983E-2</v>
      </c>
      <c r="AE284" s="499">
        <f>_xlfn.FORECAST.LINEAR($T$289,$BM$80:$BM$91,$BJ$80:$BJ$91)</f>
        <v>0.26333333333333331</v>
      </c>
      <c r="AF284" s="499">
        <f>_xlfn.FORECAST.LINEAR($T$289,$BS$80:$BS$91,$BP$80:$BP$91)</f>
        <v>8.666666666666667E-2</v>
      </c>
      <c r="AG284" s="499">
        <f>_xlfn.FORECAST.LINEAR($T$289,$BY$80:$BY$91,$BV$80:$BV$91)</f>
        <v>8.3333333333333329E-2</v>
      </c>
      <c r="AH284" s="499">
        <f>_xlfn.FORECAST.LINEAR($T$289,$CE$80:$CE$91,$CB$80:$CB$91)</f>
        <v>0.38713666903488658</v>
      </c>
      <c r="AI284" s="499">
        <f>_xlfn.FORECAST.LINEAR($T$289,$CK$80:$CK$91,$CH$80:$CH$91)</f>
        <v>9.4943691839121616E-2</v>
      </c>
      <c r="AJ284" s="499">
        <f>_xlfn.FORECAST.LINEAR($T$289,$CQ$80:$CQ$91,$CN$80:$CN$91)</f>
        <v>0.63739397295580158</v>
      </c>
      <c r="AL284" s="498" t="s">
        <v>336</v>
      </c>
      <c r="AM284" s="499">
        <f>_xlfn.FORECAST.LINEAR($AL$289,$E$80:$E$91,$B$80:$B$91)</f>
        <v>0.24567274889322743</v>
      </c>
      <c r="AN284" s="499">
        <f>_xlfn.FORECAST.LINEAR($AL$289,$K$80:$K$91,$H$80:$H$91)</f>
        <v>0.17084566588844882</v>
      </c>
      <c r="AO284" s="499">
        <f>_xlfn.FORECAST.LINEAR($AL$289,$Q$80:$Q$91,$N$80:$N$91)</f>
        <v>0.14805870426779422</v>
      </c>
      <c r="AP284" s="499">
        <f>_xlfn.FORECAST.LINEAR($AL$289,$W$80:$W$91,$T$80:$T$91)</f>
        <v>8.666666666666667E-2</v>
      </c>
      <c r="AQ284" s="499">
        <f>_xlfn.FORECAST.LINEAR($AL$289,$AC$80:$AC$91,$Z$80:$Z$91)</f>
        <v>0.32031597469578083</v>
      </c>
      <c r="AR284" s="499">
        <f>_xlfn.FORECAST.LINEAR($AL$289,$AI$80:$AI$91,$AF$80:$AF$91)</f>
        <v>0.26672321807289912</v>
      </c>
      <c r="AS284" s="499">
        <f>_xlfn.FORECAST.LINEAR($AL$289,$AO$80:$AO$91,$AL$80:$AL$91)</f>
        <v>7.9999999999999988E-2</v>
      </c>
      <c r="AT284" s="499">
        <f>_xlfn.FORECAST.LINEAR($AL$289,$AU$80:$AU$91,$AR$80:$AR$91)</f>
        <v>8.3333333333333329E-2</v>
      </c>
      <c r="AU284" s="499">
        <f>_xlfn.FORECAST.LINEAR($AL$289,$BA$80:$BA$91,$AX$80:$AX$91)</f>
        <v>0.26333333333333331</v>
      </c>
      <c r="AV284" s="499">
        <f>_xlfn.FORECAST.LINEAR($AL$289,$BG$80:$BG$91,$BD$80:$BD$91)</f>
        <v>8.9999999999999983E-2</v>
      </c>
      <c r="AW284" s="499">
        <f>_xlfn.FORECAST.LINEAR($AL$289,$BM$80:$BM$91,$BJ$80:$BJ$91)</f>
        <v>0.26333333333333331</v>
      </c>
      <c r="AX284" s="499">
        <f>_xlfn.FORECAST.LINEAR($AL$289,$BS$80:$BS$91,$BP$80:$BP$91)</f>
        <v>8.666666666666667E-2</v>
      </c>
      <c r="AY284" s="499">
        <f>_xlfn.FORECAST.LINEAR($AL$289,$BY$80:$BY$91,$BV$80:$BV$91)</f>
        <v>8.3333333333333329E-2</v>
      </c>
      <c r="AZ284" s="499">
        <f>_xlfn.FORECAST.LINEAR($AL$289,$CE$80:$CE$91,$CB$80:$CB$91)</f>
        <v>0.39117592811041096</v>
      </c>
      <c r="BA284" s="499">
        <f>_xlfn.FORECAST.LINEAR($AL$289,$CK$80:$CK$91,$CH$80:$CH$91)</f>
        <v>9.4700949234254053E-2</v>
      </c>
      <c r="BB284" s="499">
        <f>_xlfn.FORECAST.LINEAR($AL$289,$CQ$80:$CQ$91,$CN$80:$CN$91)</f>
        <v>0.63480923422365321</v>
      </c>
      <c r="BF284" s="443"/>
      <c r="BH284" s="500"/>
      <c r="BL284" s="443"/>
      <c r="BN284" s="500"/>
      <c r="BR284" s="443"/>
      <c r="BT284" s="500"/>
      <c r="BX284" s="443"/>
      <c r="BZ284" s="500"/>
      <c r="CB284" s="443"/>
      <c r="CD284" s="500"/>
      <c r="CG284" s="392"/>
      <c r="CH284" s="443"/>
      <c r="CM284" s="392"/>
      <c r="CS284" s="392"/>
    </row>
    <row r="285" spans="1:97" s="442" customFormat="1" ht="13.95" customHeight="1">
      <c r="A285" s="392"/>
      <c r="B285" s="498" t="s">
        <v>337</v>
      </c>
      <c r="C285" s="499">
        <f>_xlfn.FORECAST.LINEAR($B$289,$E$95:$E$106,$B$95:$B$106)</f>
        <v>0.14757179962546677</v>
      </c>
      <c r="D285" s="499">
        <f>_xlfn.FORECAST.LINEAR($B$289,$K$95:$K$106,$H$95:$H$106)</f>
        <v>0.1503370645907921</v>
      </c>
      <c r="E285" s="499">
        <f>_xlfn.FORECAST.LINEAR($B$289,$Q$95:$Q$106,$N$95:$N$106)</f>
        <v>0.1830014835827061</v>
      </c>
      <c r="F285" s="499">
        <f>_xlfn.FORECAST.LINEAR($B$289,$W$95:$W$106,$T$95:$T$106)</f>
        <v>8.3333333333333329E-2</v>
      </c>
      <c r="G285" s="499">
        <f>_xlfn.FORECAST.LINEAR($B$289,$AC$95:$AC$106,$Z$95:$Z$106)</f>
        <v>0.30426051974904744</v>
      </c>
      <c r="H285" s="499">
        <f>_xlfn.FORECAST.LINEAR($B$289,$AI$95:$AI$106,$AF$95:$AF$106)</f>
        <v>0.20806626724716212</v>
      </c>
      <c r="I285" s="499">
        <f>_xlfn.FORECAST.LINEAR($B$289,$AO$95:$AO$106,$AL$95:$AL$106)</f>
        <v>8.3333333333333329E-2</v>
      </c>
      <c r="J285" s="499">
        <f>_xlfn.FORECAST.LINEAR($B$289,$AU$95:$AU$106,$AR$95:$AR$106)</f>
        <v>8.3333333333333329E-2</v>
      </c>
      <c r="K285" s="499">
        <f>_xlfn.FORECAST.LINEAR($B$289,$BA$95:$BA$106,$AX$95:$AX$106)</f>
        <v>0.26333333333333331</v>
      </c>
      <c r="L285" s="499">
        <f>_xlfn.FORECAST.LINEAR($B$289,$BG$95:$BG$106,$BD$95:$BD$106)</f>
        <v>8.9999999999999983E-2</v>
      </c>
      <c r="M285" s="499">
        <f>_xlfn.FORECAST.LINEAR($B$289,$BM$95:$BM$106,$BJ$95:$BJ$106)</f>
        <v>0.26333333333333331</v>
      </c>
      <c r="N285" s="499">
        <f>_xlfn.FORECAST.LINEAR($B$289,$BS$95:$BS$106,$BP$95:$BP$106)</f>
        <v>8.666666666666667E-2</v>
      </c>
      <c r="O285" s="499">
        <f>_xlfn.FORECAST.LINEAR($B$289,$BY$95:$BY$106,$BV$95:$BV$106)</f>
        <v>8.9999999999999983E-2</v>
      </c>
      <c r="P285" s="499">
        <f>_xlfn.FORECAST.LINEAR($B$289,$CE$95:$CE$106,$CB$95:$CB$106)</f>
        <v>0.38296276799017814</v>
      </c>
      <c r="Q285" s="499">
        <f>_xlfn.FORECAST.LINEAR($B$289,$CK$95:$CK$106,$CH$95:$CH$106)</f>
        <v>9.5194525864151433E-2</v>
      </c>
      <c r="R285" s="499">
        <f>_xlfn.FORECAST.LINEAR($B$289,$CQ$95:$CQ$106,$CN$95:$CN$106)</f>
        <v>0.64006486964568821</v>
      </c>
      <c r="S285" s="392"/>
      <c r="T285" s="498" t="s">
        <v>337</v>
      </c>
      <c r="U285" s="499">
        <f>_xlfn.FORECAST.LINEAR($T$289,$E$95:$E$106,$B$95:$B$106)</f>
        <v>0.15366952334074757</v>
      </c>
      <c r="V285" s="499">
        <f>_xlfn.FORECAST.LINEAR($T$289,$K$95:$K$106,$H$95:$H$106)</f>
        <v>0.15297938931284907</v>
      </c>
      <c r="W285" s="499">
        <f>_xlfn.FORECAST.LINEAR($T$289,$Q$95:$Q$106,$N$95:$N$106)</f>
        <v>0.18652087350473198</v>
      </c>
      <c r="X285" s="499">
        <f>_xlfn.FORECAST.LINEAR($T$289,$W$95:$W$106,$T$95:$T$106)</f>
        <v>8.3333333333333329E-2</v>
      </c>
      <c r="Y285" s="499">
        <f>_xlfn.FORECAST.LINEAR($T$289,$AC$95:$AC$106,$Z$95:$Z$106)</f>
        <v>0.30749288849669604</v>
      </c>
      <c r="Z285" s="499">
        <f>_xlfn.FORECAST.LINEAR($T$289,$AI$95:$AI$106,$AF$95:$AF$106)</f>
        <v>0.21608410316151178</v>
      </c>
      <c r="AA285" s="499">
        <f>_xlfn.FORECAST.LINEAR($T$289,$AO$95:$AO$106,$AL$95:$AL$106)</f>
        <v>8.3333333333333329E-2</v>
      </c>
      <c r="AB285" s="499">
        <f>_xlfn.FORECAST.LINEAR($T$289,$AU$95:$AU$106,$AR$95:$AR$106)</f>
        <v>8.3333333333333329E-2</v>
      </c>
      <c r="AC285" s="499">
        <f>_xlfn.FORECAST.LINEAR($T$289,$BA$95:$BA$106,$AX$95:$AX$106)</f>
        <v>0.26333333333333331</v>
      </c>
      <c r="AD285" s="499">
        <f>_xlfn.FORECAST.LINEAR($T$289,$BG$95:$BG$106,$BD$95:$BD$106)</f>
        <v>8.9999999999999983E-2</v>
      </c>
      <c r="AE285" s="499">
        <f>_xlfn.FORECAST.LINEAR($T$289,$BM$95:$BM$106,$BJ$95:$BJ$106)</f>
        <v>0.26333333333333331</v>
      </c>
      <c r="AF285" s="499">
        <f>_xlfn.FORECAST.LINEAR($T$289,$BS$95:$BS$106,$BP$95:$BP$106)</f>
        <v>8.666666666666667E-2</v>
      </c>
      <c r="AG285" s="499">
        <f>_xlfn.FORECAST.LINEAR($T$289,$BY$95:$BY$106,$BV$95:$BV$106)</f>
        <v>8.9999999999999983E-2</v>
      </c>
      <c r="AH285" s="499">
        <f>_xlfn.FORECAST.LINEAR($T$289,$CE$95:$CE$106,$CB$95:$CB$106)</f>
        <v>0.38713666903488658</v>
      </c>
      <c r="AI285" s="499">
        <f>_xlfn.FORECAST.LINEAR($T$289,$CK$95:$CK$106,$CH$95:$CH$106)</f>
        <v>9.4943691839121616E-2</v>
      </c>
      <c r="AJ285" s="499">
        <f>_xlfn.FORECAST.LINEAR($T$289,$CQ$95:$CQ$106,$CN$95:$CN$106)</f>
        <v>0.63739397295580158</v>
      </c>
      <c r="AL285" s="498" t="s">
        <v>337</v>
      </c>
      <c r="AM285" s="499">
        <f>_xlfn.FORECAST.LINEAR($AL$289,$E$95:$E$106,$B$95:$B$106)</f>
        <v>0.1595705462910193</v>
      </c>
      <c r="AN285" s="499">
        <f>_xlfn.FORECAST.LINEAR($AL$289,$K$95:$K$106,$H$95:$H$106)</f>
        <v>0.1555364777535494</v>
      </c>
      <c r="AO285" s="499">
        <f>_xlfn.FORECAST.LINEAR($AL$289,$Q$95:$Q$106,$N$95:$N$106)</f>
        <v>0.18992673471959573</v>
      </c>
      <c r="AP285" s="499">
        <f>_xlfn.FORECAST.LINEAR($AL$289,$W$95:$W$106,$T$95:$T$106)</f>
        <v>8.3333333333333329E-2</v>
      </c>
      <c r="AQ285" s="499">
        <f>_xlfn.FORECAST.LINEAR($AL$289,$AC$95:$AC$106,$Z$95:$Z$106)</f>
        <v>0.31062098728474302</v>
      </c>
      <c r="AR285" s="499">
        <f>_xlfn.FORECAST.LINEAR($AL$289,$AI$95:$AI$106,$AF$95:$AF$106)</f>
        <v>0.22384329920765658</v>
      </c>
      <c r="AS285" s="499">
        <f>_xlfn.FORECAST.LINEAR($AL$289,$AO$95:$AO$106,$AL$95:$AL$106)</f>
        <v>8.3333333333333329E-2</v>
      </c>
      <c r="AT285" s="499">
        <f>_xlfn.FORECAST.LINEAR($AL$289,$AU$95:$AU$106,$AR$95:$AR$106)</f>
        <v>8.3333333333333329E-2</v>
      </c>
      <c r="AU285" s="499">
        <f>_xlfn.FORECAST.LINEAR($AL$289,$BA$95:$BA$106,$AX$95:$AX$106)</f>
        <v>0.26333333333333331</v>
      </c>
      <c r="AV285" s="499">
        <f>_xlfn.FORECAST.LINEAR($AL$289,$BG$95:$BG$106,$BD$95:$BD$106)</f>
        <v>8.9999999999999983E-2</v>
      </c>
      <c r="AW285" s="499">
        <f>_xlfn.FORECAST.LINEAR($AL$289,$BM$95:$BM$106,$BJ$95:$BJ$106)</f>
        <v>0.26333333333333331</v>
      </c>
      <c r="AX285" s="499">
        <f>_xlfn.FORECAST.LINEAR($AL$289,$BS$95:$BS$106,$BP$95:$BP$106)</f>
        <v>8.666666666666667E-2</v>
      </c>
      <c r="AY285" s="499">
        <f>_xlfn.FORECAST.LINEAR($AL$289,$BY$95:$BY$106,$BV$95:$BV$106)</f>
        <v>8.9999999999999983E-2</v>
      </c>
      <c r="AZ285" s="499">
        <f>_xlfn.FORECAST.LINEAR($AL$289,$CE$95:$CE$106,$CB$95:$CB$106)</f>
        <v>0.39117592811041096</v>
      </c>
      <c r="BA285" s="499">
        <f>_xlfn.FORECAST.LINEAR($AL$289,$CK$95:$CK$106,$CH$95:$CH$106)</f>
        <v>9.4700949234254053E-2</v>
      </c>
      <c r="BB285" s="499">
        <f>_xlfn.FORECAST.LINEAR($AL$289,$CQ$95:$CQ$106,$CN$95:$CN$106)</f>
        <v>0.63480923422365321</v>
      </c>
      <c r="BF285" s="443"/>
      <c r="BH285" s="500"/>
      <c r="BL285" s="443"/>
      <c r="BN285" s="500"/>
      <c r="BR285" s="443"/>
      <c r="BT285" s="500"/>
      <c r="BX285" s="443"/>
      <c r="BZ285" s="500"/>
      <c r="CB285" s="443"/>
      <c r="CD285" s="500"/>
      <c r="CG285" s="392"/>
      <c r="CH285" s="443"/>
      <c r="CM285" s="392"/>
      <c r="CS285" s="392"/>
    </row>
    <row r="286" spans="1:97" s="442" customFormat="1" ht="13.95" customHeight="1">
      <c r="A286" s="392"/>
      <c r="B286" s="498" t="s">
        <v>338</v>
      </c>
      <c r="C286" s="499">
        <f>_xlfn.FORECAST.LINEAR($B$289,$E$110:$E$121,$B$110:$B$121)</f>
        <v>0.14137129272747898</v>
      </c>
      <c r="D286" s="499">
        <f>_xlfn.FORECAST.LINEAR($B$289,$K$110:$K$121,$H$110:$H$121)</f>
        <v>0.16488544722501908</v>
      </c>
      <c r="E286" s="499">
        <f>_xlfn.FORECAST.LINEAR($B$289,$Q$110:$Q$121,$N$110:$N$121)</f>
        <v>0.10311551914194873</v>
      </c>
      <c r="F286" s="499">
        <f>_xlfn.FORECAST.LINEAR($B$289,$W$110:$W$121,$T$110:$T$121)</f>
        <v>8.666666666666667E-2</v>
      </c>
      <c r="G286" s="499">
        <f>_xlfn.FORECAST.LINEAR($B$289,$AC$110:$AC$121,$Z$110:$Z$121)</f>
        <v>0.34763847875296683</v>
      </c>
      <c r="H286" s="499">
        <f>_xlfn.FORECAST.LINEAR($B$289,$AI$110:$AI$121,$AF$110:$AF$121)</f>
        <v>0.2350028445008695</v>
      </c>
      <c r="I286" s="499">
        <f>_xlfn.FORECAST.LINEAR($B$289,$AO$110:$AO$121,$AL$110:$AL$121)</f>
        <v>8.3333333333333329E-2</v>
      </c>
      <c r="J286" s="499">
        <f>_xlfn.FORECAST.LINEAR($B$289,$AU$110:$AU$121,$AR$110:$AR$121)</f>
        <v>8.3333333333333329E-2</v>
      </c>
      <c r="K286" s="499">
        <f>_xlfn.FORECAST.LINEAR($B$289,$BA$110:$BA$121,$AX$110:$AX$121)</f>
        <v>0.26333333333333331</v>
      </c>
      <c r="L286" s="499">
        <f>_xlfn.FORECAST.LINEAR($B$289,$BG$110:$BG$121,$BD$110:$BD$121)</f>
        <v>8.9999999999999983E-2</v>
      </c>
      <c r="M286" s="499">
        <f>_xlfn.FORECAST.LINEAR($B$289,$BM$110:$BM$121,$BJ$110:$BJ$121)</f>
        <v>0.26333333333333331</v>
      </c>
      <c r="N286" s="499">
        <f>_xlfn.FORECAST.LINEAR($B$289,$BS$110:$BS$121,$BP$110:$BP$121)</f>
        <v>8.666666666666667E-2</v>
      </c>
      <c r="O286" s="650">
        <f>$BZ$118</f>
        <v>9.3333333333333338E-2</v>
      </c>
      <c r="P286" s="499">
        <f>_xlfn.FORECAST.LINEAR($B$289,$CE$110:$CE$121,$CB$110:$CB$121)</f>
        <v>0.38296276799017814</v>
      </c>
      <c r="Q286" s="499">
        <f>_xlfn.FORECAST.LINEAR($B$289,$CK$110:$CK$121,$CH$110:$CH$121)</f>
        <v>9.5194525864151433E-2</v>
      </c>
      <c r="R286" s="499">
        <f>_xlfn.FORECAST.LINEAR($B$289,$CQ$110:$CQ$121,$CN$110:$CN$121)</f>
        <v>0.64006486964568821</v>
      </c>
      <c r="S286" s="392"/>
      <c r="T286" s="498" t="s">
        <v>338</v>
      </c>
      <c r="U286" s="499">
        <f>_xlfn.FORECAST.LINEAR($T$289,$E$110:$E$121,$B$110:$B$121)</f>
        <v>0.1471396182335368</v>
      </c>
      <c r="V286" s="499">
        <f>_xlfn.FORECAST.LINEAR($T$289,$K$110:$K$121,$H$110:$H$121)</f>
        <v>0.16750063159163625</v>
      </c>
      <c r="W286" s="499">
        <f>_xlfn.FORECAST.LINEAR($T$289,$Q$110:$Q$121,$N$110:$N$121)</f>
        <v>0.10698230561758466</v>
      </c>
      <c r="X286" s="499">
        <f>_xlfn.FORECAST.LINEAR($T$289,$W$110:$W$121,$T$110:$T$121)</f>
        <v>8.666666666666667E-2</v>
      </c>
      <c r="Y286" s="499">
        <f>_xlfn.FORECAST.LINEAR($T$289,$AC$110:$AC$121,$Z$110:$Z$121)</f>
        <v>0.35013691514674461</v>
      </c>
      <c r="Z286" s="499">
        <f>_xlfn.FORECAST.LINEAR($T$289,$AI$110:$AI$121,$AF$110:$AF$121)</f>
        <v>0.24347549564019483</v>
      </c>
      <c r="AA286" s="499">
        <f>_xlfn.FORECAST.LINEAR($T$289,$AO$110:$AO$121,$AL$110:$AL$121)</f>
        <v>8.3333333333333329E-2</v>
      </c>
      <c r="AB286" s="499">
        <f>_xlfn.FORECAST.LINEAR($T$289,$AU$110:$AU$121,$AR$110:$AR$121)</f>
        <v>8.3333333333333329E-2</v>
      </c>
      <c r="AC286" s="499">
        <f>_xlfn.FORECAST.LINEAR($T$289,$BA$110:$BA$121,$AX$110:$AX$121)</f>
        <v>0.26333333333333331</v>
      </c>
      <c r="AD286" s="499">
        <f>_xlfn.FORECAST.LINEAR($T$289,$BG$110:$BG$121,$BD$110:$BD$121)</f>
        <v>8.9999999999999983E-2</v>
      </c>
      <c r="AE286" s="499">
        <f>_xlfn.FORECAST.LINEAR($T$289,$BM$110:$BM$121,$BJ$110:$BJ$121)</f>
        <v>0.26333333333333331</v>
      </c>
      <c r="AF286" s="499">
        <f>_xlfn.FORECAST.LINEAR($T$289,$BS$110:$BS$121,$BP$110:$BP$121)</f>
        <v>8.666666666666667E-2</v>
      </c>
      <c r="AG286" s="650">
        <f>BV167</f>
        <v>9.3333333333333338E-2</v>
      </c>
      <c r="AH286" s="499">
        <f>_xlfn.FORECAST.LINEAR($T$289,$CE$110:$CE$121,$CB$110:$CB$121)</f>
        <v>0.38713666903488658</v>
      </c>
      <c r="AI286" s="499">
        <f>_xlfn.FORECAST.LINEAR($T$289,$CK$110:$CK$121,$CH$110:$CH$121)</f>
        <v>9.4943691839121616E-2</v>
      </c>
      <c r="AJ286" s="499">
        <f>_xlfn.FORECAST.LINEAR($T$289,$CQ$110:$CQ$121,$CN$110:$CN$121)</f>
        <v>0.63739397295580158</v>
      </c>
      <c r="AL286" s="498" t="s">
        <v>338</v>
      </c>
      <c r="AM286" s="499">
        <f>_xlfn.FORECAST.LINEAR($AL$289,$E$110:$E$121,$B$110:$B$121)</f>
        <v>0.15272186872327018</v>
      </c>
      <c r="AN286" s="499">
        <f>_xlfn.FORECAST.LINEAR($AL$289,$K$110:$K$121,$H$110:$H$121)</f>
        <v>0.17003145517223353</v>
      </c>
      <c r="AO286" s="499">
        <f>_xlfn.FORECAST.LINEAR($AL$289,$Q$110:$Q$121,$N$110:$N$121)</f>
        <v>0.11072435704561945</v>
      </c>
      <c r="AP286" s="499">
        <f>_xlfn.FORECAST.LINEAR($AL$289,$W$110:$W$121,$T$110:$T$121)</f>
        <v>8.666666666666667E-2</v>
      </c>
      <c r="AQ286" s="499">
        <f>_xlfn.FORECAST.LINEAR($AL$289,$AC$110:$AC$121,$Z$110:$Z$121)</f>
        <v>0.35255475681814247</v>
      </c>
      <c r="AR286" s="499">
        <f>_xlfn.FORECAST.LINEAR($AL$289,$AI$110:$AI$121,$AF$110:$AF$121)</f>
        <v>0.25167483545244512</v>
      </c>
      <c r="AS286" s="499">
        <f>_xlfn.FORECAST.LINEAR($AL$289,$AO$110:$AO$121,$AL$110:$AL$121)</f>
        <v>8.3333333333333329E-2</v>
      </c>
      <c r="AT286" s="499">
        <f>_xlfn.FORECAST.LINEAR($AL$289,$AU$110:$AU$121,$AR$110:$AR$121)</f>
        <v>8.3333333333333329E-2</v>
      </c>
      <c r="AU286" s="499">
        <f>_xlfn.FORECAST.LINEAR($AL$289,$BA$110:$BA$121,$AX$110:$AX$121)</f>
        <v>0.26333333333333331</v>
      </c>
      <c r="AV286" s="499">
        <f>_xlfn.FORECAST.LINEAR($AL$289,$BG$110:$BG$121,$BD$110:$BD$121)</f>
        <v>8.9999999999999983E-2</v>
      </c>
      <c r="AW286" s="499">
        <f>_xlfn.FORECAST.LINEAR($AL$289,$BM$110:$BM$121,$BJ$110:$BJ$121)</f>
        <v>0.26333333333333331</v>
      </c>
      <c r="AX286" s="499">
        <f>_xlfn.FORECAST.LINEAR($AL$289,$BS$110:$BS$121,$BP$110:$BP$121)</f>
        <v>8.666666666666667E-2</v>
      </c>
      <c r="AY286" s="650">
        <f>BH167</f>
        <v>9.3333333333333338E-2</v>
      </c>
      <c r="AZ286" s="499">
        <f>_xlfn.FORECAST.LINEAR($AL$289,$CE$110:$CE$121,$CB$110:$CB$121)</f>
        <v>0.39117592811041096</v>
      </c>
      <c r="BA286" s="499">
        <f>_xlfn.FORECAST.LINEAR($AL$289,$CK$110:$CK$121,$CH$110:$CH$121)</f>
        <v>9.4700949234254053E-2</v>
      </c>
      <c r="BB286" s="499">
        <f>_xlfn.FORECAST.LINEAR($AL$289,$CQ$110:$CQ$121,$CN$110:$CN$121)</f>
        <v>0.63480923422365321</v>
      </c>
      <c r="BF286" s="443"/>
      <c r="BH286" s="500"/>
      <c r="BL286" s="443"/>
      <c r="BN286" s="500"/>
      <c r="BR286" s="443"/>
      <c r="BT286" s="500"/>
      <c r="BX286" s="443"/>
      <c r="BZ286" s="500"/>
      <c r="CB286" s="443"/>
      <c r="CD286" s="500"/>
      <c r="CG286" s="392"/>
      <c r="CH286" s="443"/>
      <c r="CM286" s="392"/>
      <c r="CS286" s="392"/>
    </row>
    <row r="287" spans="1:97" s="442" customFormat="1" ht="13.95" customHeight="1">
      <c r="A287" s="392"/>
      <c r="B287" s="442" t="s">
        <v>339</v>
      </c>
      <c r="C287" s="499">
        <f>_xlfn.FORECAST.LINEAR($B$289,$E$125:$E$136,$B$125:$B$136)</f>
        <v>1.0000000000000002E-6</v>
      </c>
      <c r="D287" s="499">
        <f>_xlfn.FORECAST.LINEAR($B$289,$K$125:$K$136,$H$125:$H$136)</f>
        <v>1.0000000000000002E-6</v>
      </c>
      <c r="E287" s="499">
        <f>_xlfn.FORECAST.LINEAR($B$289,$Q$125:$Q$136,$N$125:$N$136)</f>
        <v>0.23103230686987125</v>
      </c>
      <c r="F287" s="499">
        <f>_xlfn.FORECAST.LINEAR($B$289,$W$125:$W$136,$T$125:$T$136)</f>
        <v>8.3333333333333329E-2</v>
      </c>
      <c r="G287" s="499">
        <f>_xlfn.FORECAST.LINEAR($B$289,$AC$125:$AC$136,$Z$125:$Z$136)</f>
        <v>8.666666666666667E-2</v>
      </c>
      <c r="H287" s="499">
        <f>_xlfn.FORECAST.LINEAR($B$289,$AI$125:$AI$136,$AF$125:$AF$136)</f>
        <v>8.9999999999999983E-2</v>
      </c>
      <c r="I287" s="499">
        <f>_xlfn.FORECAST.LINEAR($B$289,$AO$125:$AO$136,$AL$125:$AL$136)</f>
        <v>8.3333333333333329E-2</v>
      </c>
      <c r="J287" s="499">
        <f>_xlfn.FORECAST.LINEAR($B$289,$AU$125:$AU$136,$AR$125:$AR$136)</f>
        <v>8.3333333333333329E-2</v>
      </c>
      <c r="K287" s="499">
        <f>_xlfn.FORECAST.LINEAR($B$289,$BA$125:$BA$136,$AX$125:$AX$136)</f>
        <v>0.26333333333333331</v>
      </c>
      <c r="L287" s="650">
        <f>$BH$133</f>
        <v>9.3333333333333338E-2</v>
      </c>
      <c r="M287" s="499">
        <f>_xlfn.FORECAST.LINEAR($B$289,$BM$125:$BM$136,$BJ$125:$BJ$136)</f>
        <v>0.26333333333333331</v>
      </c>
      <c r="N287" s="499">
        <f>_xlfn.FORECAST.LINEAR($B$289,$BS$125:$BS$136,$BP$125:$BP$136)</f>
        <v>8.3333333333333329E-2</v>
      </c>
      <c r="O287" s="499">
        <f>_xlfn.FORECAST.LINEAR($B$289,$BY$125:$BY$136,$BV$125:$BV$136)</f>
        <v>8.9999999999999983E-2</v>
      </c>
      <c r="P287" s="499">
        <f>_xlfn.FORECAST.LINEAR($B$289,$CE$125:$CE$136,$CB$125:$CB$136)</f>
        <v>0.38296276799017814</v>
      </c>
      <c r="Q287" s="499">
        <f>_xlfn.FORECAST.LINEAR($B$289,$CK$125:$CK$136,$CH$125:$CH$136)</f>
        <v>9.5194525864151433E-2</v>
      </c>
      <c r="R287" s="499">
        <f>_xlfn.FORECAST.LINEAR($B$289,$CQ$125:$CQ$136,$CN$125:$CN$136)</f>
        <v>0.64006486964568821</v>
      </c>
      <c r="S287" s="392"/>
      <c r="T287" s="442" t="s">
        <v>339</v>
      </c>
      <c r="U287" s="499">
        <f>_xlfn.FORECAST.LINEAR($T$289,$E$125:$E$136,$B$125:$B$136)</f>
        <v>1.0000000000000002E-6</v>
      </c>
      <c r="V287" s="499">
        <f>_xlfn.FORECAST.LINEAR($T$289,$K$125:$K$136,$H$125:$H$136)</f>
        <v>1.0000000000000002E-6</v>
      </c>
      <c r="W287" s="499">
        <f>_xlfn.FORECAST.LINEAR($T$289,$Q$125:$Q$136,$N$125:$N$136)</f>
        <v>0.22866794452304112</v>
      </c>
      <c r="X287" s="499">
        <f>_xlfn.FORECAST.LINEAR($T$289,$W$125:$W$136,$T$125:$T$136)</f>
        <v>8.3333333333333329E-2</v>
      </c>
      <c r="Y287" s="499">
        <f>_xlfn.FORECAST.LINEAR($T$289,$AC$125:$AC$136,$Z$125:$Z$136)</f>
        <v>8.666666666666667E-2</v>
      </c>
      <c r="Z287" s="499">
        <f>_xlfn.FORECAST.LINEAR($T$289,$AI$125:$AI$136,$AF$125:$AF$136)</f>
        <v>8.9999999999999983E-2</v>
      </c>
      <c r="AA287" s="499">
        <f>_xlfn.FORECAST.LINEAR($T$289,$AO$125:$AO$136,$AL$125:$AL$136)</f>
        <v>8.3333333333333329E-2</v>
      </c>
      <c r="AB287" s="499">
        <f>_xlfn.FORECAST.LINEAR($T$289,$AU$125:$AU$136,$AR$125:$AR$136)</f>
        <v>8.3333333333333329E-2</v>
      </c>
      <c r="AC287" s="499">
        <f>_xlfn.FORECAST.LINEAR($T$289,$BA$125:$BA$136,$AX$125:$AX$136)</f>
        <v>0.26333333333333331</v>
      </c>
      <c r="AD287" s="650">
        <f>BG167</f>
        <v>9.3333333333333338E-2</v>
      </c>
      <c r="AE287" s="499">
        <f>_xlfn.FORECAST.LINEAR($T$289,$BM$125:$BM$136,$BJ$125:$BJ$136)</f>
        <v>0.26333333333333331</v>
      </c>
      <c r="AF287" s="499">
        <f>_xlfn.FORECAST.LINEAR($T$289,$BS$125:$BS$136,$BP$125:$BP$136)</f>
        <v>8.3333333333333329E-2</v>
      </c>
      <c r="AG287" s="499">
        <f>_xlfn.FORECAST.LINEAR($T$289,$BY$125:$BY$136,$BV$125:$BV$136)</f>
        <v>8.9999999999999983E-2</v>
      </c>
      <c r="AH287" s="499">
        <f>_xlfn.FORECAST.LINEAR($T$289,$CE$125:$CE$136,$CB$125:$CB$136)</f>
        <v>0.38713666903488658</v>
      </c>
      <c r="AI287" s="499">
        <f>_xlfn.FORECAST.LINEAR($T$289,$CK$125:$CK$136,$CH$125:$CH$136)</f>
        <v>9.4943691839121616E-2</v>
      </c>
      <c r="AJ287" s="499">
        <f>_xlfn.FORECAST.LINEAR($T$289,$CQ$125:$CQ$136,$CN$125:$CN$136)</f>
        <v>0.63739397295580158</v>
      </c>
      <c r="AL287" s="442" t="s">
        <v>339</v>
      </c>
      <c r="AM287" s="499">
        <f>_xlfn.FORECAST.LINEAR($AL$289,$E$125:$E$136,$B$125:$B$136)</f>
        <v>1.0000000000000002E-6</v>
      </c>
      <c r="AN287" s="499">
        <f>_xlfn.FORECAST.LINEAR($AL$289,$K$125:$K$136,$H$125:$H$136)</f>
        <v>1.0000000000000002E-6</v>
      </c>
      <c r="AO287" s="499">
        <f>_xlfn.FORECAST.LINEAR($AL$289,$Q$125:$Q$136,$N$125:$N$136)</f>
        <v>0.22637985192933457</v>
      </c>
      <c r="AP287" s="499">
        <f>_xlfn.FORECAST.LINEAR($AL$289,$W$125:$W$136,$T$125:$T$136)</f>
        <v>8.3333333333333329E-2</v>
      </c>
      <c r="AQ287" s="499">
        <f>_xlfn.FORECAST.LINEAR($AL$289,$AC$125:$AC$136,$Z$125:$Z$136)</f>
        <v>8.666666666666667E-2</v>
      </c>
      <c r="AR287" s="499">
        <f>_xlfn.FORECAST.LINEAR($AL$289,$AI$125:$AI$136,$AF$125:$AF$136)</f>
        <v>8.9999999999999983E-2</v>
      </c>
      <c r="AS287" s="499">
        <f>_xlfn.FORECAST.LINEAR($AL$289,$AO$125:$AO$136,$AL$125:$AL$136)</f>
        <v>8.3333333333333329E-2</v>
      </c>
      <c r="AT287" s="499">
        <f>_xlfn.FORECAST.LINEAR($AL$289,$AU$125:$AU$136,$AR$125:$AR$136)</f>
        <v>8.3333333333333329E-2</v>
      </c>
      <c r="AU287" s="499">
        <f>_xlfn.FORECAST.LINEAR($AL$289,$BA$125:$BA$136,$AX$125:$AX$136)</f>
        <v>0.26333333333333331</v>
      </c>
      <c r="AV287" s="650">
        <f>BH167</f>
        <v>9.3333333333333338E-2</v>
      </c>
      <c r="AW287" s="499">
        <f>_xlfn.FORECAST.LINEAR($AL$289,$BM$125:$BM$136,$BJ$125:$BJ$136)</f>
        <v>0.26333333333333331</v>
      </c>
      <c r="AX287" s="499">
        <f>_xlfn.FORECAST.LINEAR($AL$289,$BS$125:$BS$136,$BP$125:$BP$136)</f>
        <v>8.3333333333333329E-2</v>
      </c>
      <c r="AY287" s="499">
        <f>_xlfn.FORECAST.LINEAR($AL$289,$BY$125:$BY$136,$BV$125:$BV$136)</f>
        <v>8.9999999999999983E-2</v>
      </c>
      <c r="AZ287" s="499">
        <f>_xlfn.FORECAST.LINEAR($AL$289,$CE$125:$CE$136,$CB$125:$CB$136)</f>
        <v>0.39117592811041096</v>
      </c>
      <c r="BA287" s="499">
        <f>_xlfn.FORECAST.LINEAR($AL$289,$CK$125:$CK$136,$CH$125:$CH$136)</f>
        <v>9.4700949234254053E-2</v>
      </c>
      <c r="BB287" s="499">
        <f>_xlfn.FORECAST.LINEAR($AL$289,$CQ$125:$CQ$136,$CN$125:$CN$136)</f>
        <v>0.63480923422365321</v>
      </c>
      <c r="BF287" s="443"/>
      <c r="BL287" s="443"/>
      <c r="BR287" s="443"/>
      <c r="BX287" s="443"/>
      <c r="CB287" s="443"/>
      <c r="CG287" s="392"/>
      <c r="CH287" s="443"/>
      <c r="CM287" s="392"/>
      <c r="CS287" s="392"/>
    </row>
    <row r="288" spans="1:97" s="442" customFormat="1" ht="13.95" customHeight="1">
      <c r="A288" s="392"/>
      <c r="B288" s="442" t="s">
        <v>340</v>
      </c>
      <c r="C288" s="499">
        <f>_xlfn.FORECAST.LINEAR($B$289,$E$140:$E$151,$B$140:$B$151)</f>
        <v>1.0000000000000002E-6</v>
      </c>
      <c r="D288" s="499">
        <f>_xlfn.FORECAST.LINEAR($B$289,$K$140:$K$151,$H$140:$H$151)</f>
        <v>1.0000000000000002E-6</v>
      </c>
      <c r="E288" s="499">
        <f>_xlfn.FORECAST.LINEAR($B$289,$Q$140:$Q$151,$N$140:$N$151)</f>
        <v>0.23197093925163631</v>
      </c>
      <c r="F288" s="499">
        <f>_xlfn.FORECAST.LINEAR($B$289,$W$140:$W$151,$T$140:$T$151)</f>
        <v>8.666666666666667E-2</v>
      </c>
      <c r="G288" s="499">
        <f>_xlfn.FORECAST.LINEAR($B$289,$AC$140:$AC$151,$Z$140:$Z$151)</f>
        <v>8.666666666666667E-2</v>
      </c>
      <c r="H288" s="650">
        <f>$AJ$148</f>
        <v>9.3333333333333338E-2</v>
      </c>
      <c r="I288" s="499">
        <f>_xlfn.FORECAST.LINEAR($B$289,$AO$140:$AO$151,$AL$140:$AL$151)</f>
        <v>7.9999999999999988E-2</v>
      </c>
      <c r="J288" s="499">
        <f>_xlfn.FORECAST.LINEAR($B$289,$AU$140:$AU$151,$AR$140:$AR$151)</f>
        <v>8.3333333333333329E-2</v>
      </c>
      <c r="K288" s="499">
        <f>_xlfn.FORECAST.LINEAR($B$289,$BA$140:$BA$151,$AX$140:$AX$151)</f>
        <v>0.26333333333333331</v>
      </c>
      <c r="L288" s="499">
        <f>_xlfn.FORECAST.LINEAR($B$289,$BG$140:$BG$151,$BD$140:$BD$151)</f>
        <v>8.9999999999999983E-2</v>
      </c>
      <c r="M288" s="499">
        <f>_xlfn.FORECAST.LINEAR($B$289,$BM$140:$BM$151,$BJ$140:$BJ$151)</f>
        <v>0.26333333333333331</v>
      </c>
      <c r="N288" s="499">
        <f>_xlfn.FORECAST.LINEAR($B$289,$BS$140:$BS$151,$BP$140:$BP$151)</f>
        <v>8.3333333333333329E-2</v>
      </c>
      <c r="O288" s="499">
        <f>_xlfn.FORECAST.LINEAR($B$289,$BY$140:$BY$151,$BV$140:$BV$151)</f>
        <v>8.9999999999999983E-2</v>
      </c>
      <c r="P288" s="499">
        <f>_xlfn.FORECAST.LINEAR($B$289,$CE$140:$CE$151,$CB$140:$CB$151)</f>
        <v>0.38296276799017814</v>
      </c>
      <c r="Q288" s="499">
        <f>_xlfn.FORECAST.LINEAR($B$289,$CK$140:$CK$151,$CH$140:$CH$151)</f>
        <v>9.5194525864151433E-2</v>
      </c>
      <c r="R288" s="499">
        <f>_xlfn.FORECAST.LINEAR($B$289,$CQ$140:$CQ$151,$CN$140:$CN$151)</f>
        <v>0.64006486964568821</v>
      </c>
      <c r="S288" s="392"/>
      <c r="T288" s="442" t="s">
        <v>340</v>
      </c>
      <c r="U288" s="499">
        <f>_xlfn.FORECAST.LINEAR($T$289,$E$140:$E$151,$B$140:$B$151)</f>
        <v>1.0000000000000002E-6</v>
      </c>
      <c r="V288" s="499">
        <f>_xlfn.FORECAST.LINEAR($T$289,$K$140:$K$151,$H$140:$H$151)</f>
        <v>1.0000000000000002E-6</v>
      </c>
      <c r="W288" s="499">
        <f>_xlfn.FORECAST.LINEAR($T$289,$Q$140:$Q$151,$N$140:$N$151)</f>
        <v>0.22948058851704689</v>
      </c>
      <c r="X288" s="499">
        <f>_xlfn.FORECAST.LINEAR($T$289,$W$140:$W$151,$T$140:$T$151)</f>
        <v>8.666666666666667E-2</v>
      </c>
      <c r="Y288" s="499">
        <f>_xlfn.FORECAST.LINEAR($T$289,$AC$140:$AC$151,$Z$140:$Z$151)</f>
        <v>8.666666666666667E-2</v>
      </c>
      <c r="Z288" s="650">
        <f>AL168</f>
        <v>9.3333333333333338E-2</v>
      </c>
      <c r="AA288" s="499">
        <f>_xlfn.FORECAST.LINEAR($T$289,$AO$140:$AO$151,$AL$140:$AL$151)</f>
        <v>7.9999999999999988E-2</v>
      </c>
      <c r="AB288" s="499">
        <f>_xlfn.FORECAST.LINEAR($T$289,$AU$140:$AU$151,$AR$140:$AR$151)</f>
        <v>8.3333333333333329E-2</v>
      </c>
      <c r="AC288" s="499">
        <f>_xlfn.FORECAST.LINEAR($T$289,$BA$140:$BA$151,$AX$140:$AX$151)</f>
        <v>0.26333333333333331</v>
      </c>
      <c r="AD288" s="499">
        <f>_xlfn.FORECAST.LINEAR($T$289,$BG$140:$BG$151,$BD$140:$BD$151)</f>
        <v>8.9999999999999983E-2</v>
      </c>
      <c r="AE288" s="499">
        <f>_xlfn.FORECAST.LINEAR($T$289,$BM$140:$BM$151,$BJ$140:$BJ$151)</f>
        <v>0.26333333333333331</v>
      </c>
      <c r="AF288" s="499">
        <f>_xlfn.FORECAST.LINEAR($T$289,$BS$140:$BS$151,$BP$140:$BP$151)</f>
        <v>8.3333333333333329E-2</v>
      </c>
      <c r="AG288" s="499">
        <f>_xlfn.FORECAST.LINEAR($T$289,$BY$140:$BY$151,$BV$140:$BV$151)</f>
        <v>8.9999999999999983E-2</v>
      </c>
      <c r="AH288" s="499">
        <f>_xlfn.FORECAST.LINEAR($T$289,$CE$140:$CE$151,$CB$140:$CB$151)</f>
        <v>0.38713666903488658</v>
      </c>
      <c r="AI288" s="499">
        <f>_xlfn.FORECAST.LINEAR($T$289,$CK$140:$CK$151,$CH$140:$CH$151)</f>
        <v>9.4943691839121616E-2</v>
      </c>
      <c r="AJ288" s="499">
        <f>_xlfn.FORECAST.LINEAR($T$289,$CQ$140:$CQ$151,$CN$140:$CN$151)</f>
        <v>0.63739397295580158</v>
      </c>
      <c r="AK288" s="466"/>
      <c r="AL288" s="442" t="s">
        <v>340</v>
      </c>
      <c r="AM288" s="499">
        <f>_xlfn.FORECAST.LINEAR($AL$289,$E$140:$E$151,$B$140:$B$151)</f>
        <v>1.0000000000000002E-6</v>
      </c>
      <c r="AN288" s="499">
        <f>_xlfn.FORECAST.LINEAR($AL$289,$K$140:$K$151,$H$140:$H$151)</f>
        <v>1.0000000000000002E-6</v>
      </c>
      <c r="AO288" s="499">
        <f>_xlfn.FORECAST.LINEAR($AL$289,$Q$140:$Q$151,$N$140:$N$151)</f>
        <v>0.22707057167712164</v>
      </c>
      <c r="AP288" s="499">
        <f>_xlfn.FORECAST.LINEAR($AL$289,$W$140:$W$151,$T$140:$T$151)</f>
        <v>8.666666666666667E-2</v>
      </c>
      <c r="AQ288" s="499">
        <f>_xlfn.FORECAST.LINEAR($AL$289,$AC$140:$AC$151,$Z$140:$Z$151)</f>
        <v>8.666666666666667E-2</v>
      </c>
      <c r="AR288" s="650">
        <f>AM168</f>
        <v>9.3333333333333338E-2</v>
      </c>
      <c r="AS288" s="499">
        <f>_xlfn.FORECAST.LINEAR($AL$289,$AO$140:$AO$151,$AL$140:$AL$151)</f>
        <v>7.9999999999999988E-2</v>
      </c>
      <c r="AT288" s="499">
        <f>_xlfn.FORECAST.LINEAR($AL$289,$AU$140:$AU$151,$AR$140:$AR$151)</f>
        <v>8.3333333333333329E-2</v>
      </c>
      <c r="AU288" s="499">
        <f>_xlfn.FORECAST.LINEAR($AL$289,$BA$140:$BA$151,$AX$140:$AX$151)</f>
        <v>0.26333333333333331</v>
      </c>
      <c r="AV288" s="499">
        <f>_xlfn.FORECAST.LINEAR($AL$289,$BG$140:$BG$151,$BD$140:$BD$151)</f>
        <v>8.9999999999999983E-2</v>
      </c>
      <c r="AW288" s="499">
        <f>_xlfn.FORECAST.LINEAR($AL$289,$BM$140:$BM$151,$BJ$140:$BJ$151)</f>
        <v>0.26333333333333331</v>
      </c>
      <c r="AX288" s="499">
        <f>_xlfn.FORECAST.LINEAR($AL$289,$BS$140:$BS$151,$BP$140:$BP$151)</f>
        <v>8.3333333333333329E-2</v>
      </c>
      <c r="AY288" s="499">
        <f>_xlfn.FORECAST.LINEAR($AL$289,$BY$140:$BY$151,$BV$140:$BV$151)</f>
        <v>8.9999999999999983E-2</v>
      </c>
      <c r="AZ288" s="499">
        <f>_xlfn.FORECAST.LINEAR($AL$289,$CE$140:$CE$151,$CB$140:$CB$151)</f>
        <v>0.39117592811041096</v>
      </c>
      <c r="BA288" s="499">
        <f>_xlfn.FORECAST.LINEAR($AL$289,$CK$140:$CK$151,$CH$140:$CH$151)</f>
        <v>9.4700949234254053E-2</v>
      </c>
      <c r="BB288" s="499">
        <f>_xlfn.FORECAST.LINEAR($AL$289,$CQ$140:$CQ$151,$CN$140:$CN$151)</f>
        <v>0.63480923422365321</v>
      </c>
      <c r="BD288" s="501"/>
      <c r="BF288" s="443"/>
      <c r="BH288" s="497"/>
      <c r="BJ288" s="501"/>
      <c r="BL288" s="443"/>
      <c r="BN288" s="497"/>
      <c r="BP288" s="501"/>
      <c r="BR288" s="443"/>
      <c r="BT288" s="497"/>
      <c r="BV288" s="501"/>
      <c r="BX288" s="443"/>
      <c r="BZ288" s="497"/>
      <c r="CB288" s="443"/>
      <c r="CD288" s="497"/>
      <c r="CE288" s="466"/>
      <c r="CF288" s="501"/>
      <c r="CG288" s="392"/>
      <c r="CH288" s="443"/>
      <c r="CM288" s="392"/>
      <c r="CS288" s="392"/>
    </row>
    <row r="289" spans="2:97">
      <c r="B289" s="502">
        <f>ID!J28</f>
        <v>1.9000000000000001</v>
      </c>
      <c r="C289" s="391"/>
      <c r="D289" s="391"/>
      <c r="E289" s="391"/>
      <c r="F289" s="391"/>
      <c r="G289" s="391"/>
      <c r="H289" s="391"/>
      <c r="I289" s="391"/>
      <c r="J289" s="391"/>
      <c r="K289" s="391"/>
      <c r="L289" s="391"/>
      <c r="M289" s="391"/>
      <c r="N289" s="391"/>
      <c r="O289" s="391"/>
      <c r="P289" s="391"/>
      <c r="Q289" s="391"/>
      <c r="R289" s="391"/>
      <c r="S289" s="391"/>
      <c r="T289" s="502">
        <f>ID!J34</f>
        <v>5</v>
      </c>
      <c r="U289" s="391"/>
      <c r="V289" s="391"/>
      <c r="W289" s="391"/>
      <c r="X289" s="391"/>
      <c r="Y289" s="391"/>
      <c r="Z289" s="391"/>
      <c r="AA289" s="391"/>
      <c r="AB289" s="391"/>
      <c r="AC289" s="391"/>
      <c r="AD289" s="391"/>
      <c r="AE289" s="391"/>
      <c r="AF289" s="391"/>
      <c r="AG289" s="391"/>
      <c r="AH289" s="391"/>
      <c r="AI289" s="391"/>
      <c r="AJ289" s="391"/>
      <c r="AK289" s="442"/>
      <c r="AL289" s="502">
        <f>ID!J39</f>
        <v>8</v>
      </c>
      <c r="AM289" s="391"/>
      <c r="AN289" s="391"/>
      <c r="AO289" s="391"/>
      <c r="AP289" s="391"/>
      <c r="AQ289" s="391"/>
      <c r="AR289" s="391"/>
      <c r="AS289" s="391"/>
      <c r="AT289" s="391"/>
      <c r="AU289" s="391"/>
      <c r="AV289" s="391"/>
      <c r="AW289" s="391"/>
      <c r="AX289" s="391"/>
      <c r="AY289" s="391"/>
      <c r="AZ289" s="391"/>
      <c r="BA289" s="391"/>
      <c r="BB289" s="391"/>
      <c r="BC289" s="442"/>
      <c r="BD289" s="442"/>
      <c r="BE289" s="442"/>
      <c r="BF289" s="443"/>
      <c r="BH289" s="461"/>
      <c r="BI289" s="442"/>
      <c r="BJ289" s="442"/>
      <c r="BK289" s="442"/>
      <c r="BL289" s="443"/>
      <c r="BN289" s="461"/>
      <c r="BO289" s="442"/>
      <c r="BP289" s="442"/>
      <c r="BQ289" s="442"/>
      <c r="BR289" s="443"/>
      <c r="BT289" s="461"/>
      <c r="BU289" s="442"/>
      <c r="BV289" s="442"/>
      <c r="BW289" s="442"/>
      <c r="BX289" s="443"/>
      <c r="BZ289" s="461"/>
      <c r="CA289" s="442"/>
      <c r="CB289" s="443"/>
      <c r="CD289" s="461"/>
      <c r="CE289" s="442"/>
      <c r="CF289" s="442"/>
      <c r="CG289" s="392"/>
      <c r="CH289" s="443"/>
    </row>
    <row r="290" spans="2:97">
      <c r="B290" s="503" t="s">
        <v>351</v>
      </c>
      <c r="C290" s="651">
        <f>MAX(C273:L273)</f>
        <v>0.29509789789724122</v>
      </c>
      <c r="D290" s="391"/>
      <c r="E290" s="391"/>
      <c r="F290" s="391"/>
      <c r="G290" s="391"/>
      <c r="H290" s="391"/>
      <c r="I290" s="391"/>
      <c r="J290" s="391"/>
      <c r="K290" s="391"/>
      <c r="L290" s="391"/>
      <c r="M290" s="391"/>
      <c r="N290" s="391"/>
      <c r="O290" s="391"/>
      <c r="P290" s="391"/>
      <c r="Q290" s="391"/>
      <c r="R290" s="391"/>
      <c r="S290" s="391"/>
      <c r="AE290" s="442"/>
      <c r="AF290" s="442"/>
      <c r="AG290" s="442"/>
      <c r="AH290" s="443"/>
      <c r="AJ290" s="461"/>
      <c r="AK290" s="442"/>
      <c r="AL290" s="442"/>
      <c r="AM290" s="442"/>
      <c r="AN290" s="443"/>
      <c r="AP290" s="461"/>
      <c r="AQ290" s="442"/>
      <c r="AR290" s="442"/>
      <c r="AS290" s="442"/>
      <c r="AT290" s="443"/>
      <c r="AV290" s="461"/>
      <c r="AW290" s="442"/>
      <c r="AX290" s="442"/>
      <c r="AY290" s="442"/>
      <c r="AZ290" s="443"/>
      <c r="BB290" s="461"/>
      <c r="BC290" s="442"/>
      <c r="BD290" s="442"/>
      <c r="BE290" s="442"/>
      <c r="BF290" s="443"/>
      <c r="BH290" s="461"/>
      <c r="BI290" s="442"/>
      <c r="BJ290" s="442"/>
      <c r="BK290" s="442"/>
      <c r="BL290" s="443"/>
      <c r="BN290" s="461"/>
      <c r="BO290" s="442"/>
      <c r="BP290" s="442"/>
      <c r="BQ290" s="442"/>
      <c r="BR290" s="443"/>
      <c r="BT290" s="461"/>
      <c r="BU290" s="442"/>
      <c r="BV290" s="442"/>
      <c r="BW290" s="442"/>
      <c r="BX290" s="443"/>
      <c r="BZ290" s="461"/>
      <c r="CA290" s="442"/>
      <c r="CB290" s="443"/>
      <c r="CD290" s="461"/>
      <c r="CE290" s="442"/>
      <c r="CF290" s="442"/>
      <c r="CG290" s="392"/>
      <c r="CH290" s="443"/>
    </row>
    <row r="291" spans="2:97">
      <c r="B291" s="503" t="s">
        <v>352</v>
      </c>
      <c r="C291" s="503">
        <f>MAX(C272:L272)</f>
        <v>0.56000000000000005</v>
      </c>
      <c r="D291" s="391"/>
      <c r="E291" s="391"/>
      <c r="F291" s="391"/>
      <c r="G291" s="391"/>
      <c r="H291" s="391"/>
      <c r="I291" s="391"/>
      <c r="J291" s="391"/>
      <c r="K291" s="391"/>
      <c r="L291" s="391"/>
      <c r="M291" s="391"/>
      <c r="N291" s="391"/>
      <c r="O291" s="391"/>
      <c r="P291" s="391"/>
      <c r="Q291" s="391"/>
      <c r="R291" s="391"/>
      <c r="S291" s="391"/>
      <c r="AE291" s="442"/>
      <c r="AF291" s="442"/>
      <c r="AG291" s="442"/>
      <c r="AH291" s="443"/>
      <c r="AJ291" s="461"/>
      <c r="AK291" s="442"/>
      <c r="AL291" s="442"/>
      <c r="AM291" s="442"/>
      <c r="AN291" s="443"/>
      <c r="AP291" s="461"/>
      <c r="AQ291" s="442"/>
      <c r="AR291" s="442"/>
      <c r="AS291" s="442"/>
      <c r="AT291" s="443"/>
      <c r="AV291" s="461"/>
      <c r="AW291" s="442"/>
      <c r="AX291" s="442"/>
      <c r="AY291" s="442"/>
      <c r="AZ291" s="443"/>
      <c r="BB291" s="461"/>
      <c r="BC291" s="442"/>
      <c r="BD291" s="442"/>
      <c r="BE291" s="442"/>
      <c r="BF291" s="443"/>
      <c r="BH291" s="461"/>
      <c r="BI291" s="442"/>
      <c r="BJ291" s="442"/>
      <c r="BK291" s="442"/>
      <c r="BL291" s="443"/>
      <c r="BN291" s="461"/>
      <c r="BO291" s="442"/>
      <c r="BP291" s="442"/>
      <c r="BQ291" s="442"/>
      <c r="BR291" s="443"/>
      <c r="BT291" s="461"/>
      <c r="BU291" s="442"/>
      <c r="BV291" s="442"/>
      <c r="BW291" s="442"/>
      <c r="BX291" s="443"/>
      <c r="BZ291" s="461"/>
      <c r="CA291" s="442"/>
      <c r="CB291" s="443"/>
      <c r="CD291" s="461"/>
      <c r="CE291" s="442"/>
      <c r="CF291" s="442"/>
      <c r="CG291" s="392"/>
      <c r="CH291" s="443"/>
    </row>
    <row r="292" spans="2:97">
      <c r="B292" s="391"/>
      <c r="C292" s="391"/>
      <c r="D292" s="391" t="s">
        <v>416</v>
      </c>
      <c r="E292" s="391"/>
      <c r="F292" s="391"/>
      <c r="G292" s="391"/>
      <c r="H292" s="391"/>
      <c r="I292" s="391"/>
      <c r="J292" s="391"/>
      <c r="K292" s="391"/>
      <c r="L292" s="391"/>
      <c r="M292" s="391"/>
      <c r="N292" s="391"/>
      <c r="O292" s="391"/>
      <c r="P292" s="391"/>
      <c r="Q292" s="391"/>
      <c r="R292" s="391"/>
      <c r="S292" s="391"/>
      <c r="AE292" s="442"/>
      <c r="AF292" s="442"/>
      <c r="AG292" s="442"/>
      <c r="AH292" s="443"/>
      <c r="AJ292" s="461"/>
      <c r="AK292" s="442"/>
      <c r="AL292" s="442"/>
      <c r="AM292" s="442"/>
      <c r="AN292" s="443"/>
      <c r="AP292" s="461"/>
      <c r="AQ292" s="442"/>
      <c r="AR292" s="442"/>
      <c r="AS292" s="442"/>
      <c r="AT292" s="443"/>
      <c r="AV292" s="461"/>
      <c r="AW292" s="442"/>
      <c r="AX292" s="442"/>
      <c r="AY292" s="442"/>
      <c r="AZ292" s="443"/>
      <c r="BB292" s="461"/>
      <c r="BC292" s="442"/>
      <c r="BD292" s="442"/>
      <c r="BE292" s="442"/>
      <c r="BF292" s="443"/>
      <c r="BH292" s="461"/>
      <c r="BI292" s="442"/>
      <c r="BJ292" s="442"/>
      <c r="BK292" s="442"/>
      <c r="BL292" s="443"/>
      <c r="BN292" s="461"/>
      <c r="BO292" s="442"/>
      <c r="BP292" s="442"/>
      <c r="BQ292" s="442"/>
      <c r="BR292" s="443"/>
      <c r="BT292" s="461"/>
      <c r="BU292" s="442"/>
      <c r="BV292" s="442"/>
      <c r="BW292" s="442"/>
      <c r="BX292" s="443"/>
      <c r="BZ292" s="461"/>
      <c r="CA292" s="442"/>
      <c r="CB292" s="443"/>
      <c r="CD292" s="461"/>
      <c r="CE292" s="442"/>
      <c r="CF292" s="442"/>
      <c r="CG292" s="392"/>
      <c r="CH292" s="443"/>
    </row>
    <row r="293" spans="2:97" s="391" customFormat="1">
      <c r="T293" s="392"/>
      <c r="U293" s="392"/>
      <c r="V293" s="392"/>
      <c r="W293" s="392"/>
      <c r="X293" s="392"/>
      <c r="Y293" s="392"/>
      <c r="Z293" s="392"/>
      <c r="AA293" s="392"/>
      <c r="AB293" s="392"/>
      <c r="AE293" s="392"/>
      <c r="AF293" s="392"/>
      <c r="AG293" s="392"/>
      <c r="AH293" s="393"/>
      <c r="AJ293" s="414"/>
      <c r="AK293" s="392"/>
      <c r="AL293" s="392"/>
      <c r="AM293" s="392"/>
      <c r="AN293" s="393"/>
      <c r="AP293" s="414"/>
      <c r="AQ293" s="392"/>
      <c r="AR293" s="392"/>
      <c r="AS293" s="392"/>
      <c r="AT293" s="393"/>
      <c r="AV293" s="414"/>
      <c r="AW293" s="392"/>
      <c r="AX293" s="392"/>
      <c r="AY293" s="392"/>
      <c r="AZ293" s="393"/>
      <c r="BB293" s="414"/>
      <c r="BC293" s="392"/>
      <c r="BD293" s="392"/>
      <c r="BE293" s="392"/>
      <c r="BF293" s="393"/>
      <c r="BH293" s="414"/>
      <c r="BI293" s="392"/>
      <c r="BJ293" s="392"/>
      <c r="BK293" s="392"/>
      <c r="BL293" s="393"/>
      <c r="BN293" s="414"/>
      <c r="BO293" s="392"/>
      <c r="BP293" s="392"/>
      <c r="BQ293" s="392"/>
      <c r="BR293" s="393"/>
      <c r="BT293" s="414"/>
      <c r="BU293" s="392"/>
      <c r="BV293" s="392"/>
      <c r="BW293" s="392"/>
      <c r="BX293" s="393"/>
      <c r="BZ293" s="414"/>
      <c r="CA293" s="392"/>
      <c r="CB293" s="393"/>
      <c r="CD293" s="414"/>
      <c r="CE293" s="392"/>
      <c r="CF293" s="392"/>
      <c r="CG293" s="392"/>
      <c r="CH293" s="393"/>
    </row>
    <row r="294" spans="2:97" s="391" customFormat="1">
      <c r="T294" s="392"/>
      <c r="U294" s="392"/>
      <c r="V294" s="392"/>
      <c r="W294" s="392"/>
      <c r="X294" s="392"/>
      <c r="Y294" s="392"/>
      <c r="Z294" s="392"/>
      <c r="AA294" s="392"/>
      <c r="AB294" s="392"/>
      <c r="AE294" s="392"/>
      <c r="AF294" s="392"/>
      <c r="AG294" s="392"/>
      <c r="AH294" s="393"/>
      <c r="AJ294" s="414"/>
      <c r="AK294" s="392"/>
      <c r="AL294" s="392"/>
      <c r="AM294" s="392"/>
      <c r="AN294" s="393"/>
      <c r="AP294" s="414"/>
      <c r="AQ294" s="392"/>
      <c r="AR294" s="392"/>
      <c r="AS294" s="392"/>
      <c r="AT294" s="393"/>
      <c r="AV294" s="414"/>
      <c r="AW294" s="392"/>
      <c r="AX294" s="392"/>
      <c r="AY294" s="392"/>
      <c r="AZ294" s="393"/>
      <c r="BB294" s="414"/>
      <c r="BC294" s="392"/>
      <c r="BD294" s="392"/>
      <c r="BE294" s="392"/>
      <c r="BF294" s="393"/>
      <c r="BH294" s="414"/>
      <c r="BI294" s="392"/>
      <c r="BJ294" s="392"/>
      <c r="BK294" s="392"/>
      <c r="BL294" s="393"/>
      <c r="BN294" s="414"/>
      <c r="BO294" s="392"/>
      <c r="BP294" s="392"/>
      <c r="BQ294" s="392"/>
      <c r="BR294" s="393"/>
      <c r="BT294" s="414"/>
      <c r="BU294" s="392"/>
      <c r="BV294" s="392"/>
      <c r="BW294" s="392"/>
      <c r="BX294" s="393"/>
      <c r="BZ294" s="414"/>
      <c r="CA294" s="392"/>
      <c r="CB294" s="393"/>
      <c r="CD294" s="414"/>
      <c r="CE294" s="392"/>
      <c r="CF294" s="392"/>
      <c r="CG294" s="392"/>
      <c r="CH294" s="393"/>
    </row>
    <row r="295" spans="2:97" s="391" customFormat="1" ht="21">
      <c r="B295" s="516" t="s">
        <v>368</v>
      </c>
      <c r="T295" s="392"/>
      <c r="U295" s="392"/>
      <c r="V295" s="392"/>
      <c r="W295" s="392"/>
      <c r="X295" s="392"/>
      <c r="Y295" s="392"/>
      <c r="Z295" s="392"/>
      <c r="AA295" s="392"/>
      <c r="AB295" s="392"/>
      <c r="AE295" s="392"/>
      <c r="AF295" s="392"/>
      <c r="AG295" s="392"/>
      <c r="AH295" s="393"/>
      <c r="AJ295" s="414"/>
      <c r="AK295" s="392"/>
      <c r="AL295" s="392"/>
      <c r="AM295" s="392"/>
      <c r="AN295" s="393"/>
      <c r="AP295" s="414"/>
      <c r="AQ295" s="392"/>
      <c r="AR295" s="392"/>
      <c r="AS295" s="392"/>
      <c r="AT295" s="393"/>
      <c r="AV295" s="414"/>
      <c r="AW295" s="392"/>
      <c r="AX295" s="392"/>
      <c r="AY295" s="392"/>
      <c r="AZ295" s="393"/>
      <c r="BB295" s="414"/>
      <c r="BC295" s="392"/>
      <c r="BD295" s="392"/>
      <c r="BE295" s="392"/>
      <c r="BF295" s="393"/>
      <c r="BH295" s="414"/>
      <c r="BI295" s="392"/>
      <c r="BJ295" s="392"/>
      <c r="BK295" s="392"/>
      <c r="BL295" s="393"/>
      <c r="BN295" s="414"/>
      <c r="BO295" s="392"/>
      <c r="BP295" s="392"/>
      <c r="BQ295" s="392"/>
      <c r="BR295" s="393"/>
      <c r="BT295" s="414"/>
      <c r="BU295" s="392"/>
      <c r="BV295" s="392"/>
      <c r="BW295" s="392"/>
      <c r="BX295" s="393"/>
      <c r="BZ295" s="414"/>
      <c r="CA295" s="392"/>
      <c r="CB295" s="393"/>
      <c r="CD295" s="414"/>
      <c r="CE295" s="392"/>
      <c r="CF295" s="392"/>
      <c r="CG295" s="392"/>
      <c r="CH295" s="393"/>
    </row>
    <row r="296" spans="2:97" ht="27" customHeight="1">
      <c r="B296" s="504" t="s">
        <v>353</v>
      </c>
      <c r="C296" s="458" t="s">
        <v>354</v>
      </c>
      <c r="D296" s="504" t="s">
        <v>355</v>
      </c>
      <c r="E296" s="505" t="s">
        <v>356</v>
      </c>
      <c r="F296" s="506" t="s">
        <v>357</v>
      </c>
      <c r="G296" s="391"/>
      <c r="H296" s="391"/>
      <c r="O296" s="442"/>
      <c r="P296" s="442"/>
      <c r="Q296" s="442"/>
      <c r="R296" s="442"/>
      <c r="S296" s="442"/>
      <c r="X296" s="396"/>
      <c r="Y296" s="396"/>
      <c r="AC296" s="443"/>
      <c r="AE296" s="461"/>
      <c r="AF296" s="442"/>
      <c r="AG296" s="442"/>
      <c r="AI296" s="443"/>
      <c r="AJ296" s="396"/>
      <c r="AK296" s="461"/>
      <c r="AL296" s="442"/>
      <c r="AM296" s="442"/>
      <c r="AO296" s="443"/>
      <c r="AP296" s="396"/>
      <c r="AQ296" s="461"/>
      <c r="AR296" s="442"/>
      <c r="AS296" s="442"/>
      <c r="AU296" s="443"/>
      <c r="AV296" s="396"/>
      <c r="AW296" s="461"/>
      <c r="AX296" s="442"/>
      <c r="AY296" s="442"/>
      <c r="BA296" s="443"/>
      <c r="BB296" s="396"/>
      <c r="BC296" s="461"/>
      <c r="BD296" s="442"/>
      <c r="BE296" s="442"/>
      <c r="BG296" s="443"/>
      <c r="BH296" s="396"/>
      <c r="BI296" s="461"/>
      <c r="BJ296" s="442"/>
      <c r="BK296" s="442"/>
      <c r="BM296" s="443"/>
      <c r="BN296" s="396"/>
      <c r="BO296" s="461"/>
      <c r="BP296" s="442"/>
      <c r="BQ296" s="442"/>
      <c r="BS296" s="443"/>
      <c r="BT296" s="396"/>
      <c r="BU296" s="461"/>
      <c r="BV296" s="442"/>
      <c r="BW296" s="443"/>
      <c r="BX296" s="396"/>
      <c r="BY296" s="461"/>
      <c r="BZ296" s="442"/>
      <c r="CA296" s="442"/>
      <c r="CB296" s="392"/>
      <c r="CC296" s="443"/>
      <c r="CG296" s="396"/>
      <c r="CH296" s="391"/>
      <c r="CM296" s="396"/>
      <c r="CN296" s="391"/>
      <c r="CS296" s="396"/>
    </row>
    <row r="297" spans="2:97" ht="50.25" customHeight="1">
      <c r="B297" s="507" t="s">
        <v>358</v>
      </c>
      <c r="C297" s="505">
        <f>ID!J28</f>
        <v>1.9000000000000001</v>
      </c>
      <c r="D297" s="505">
        <f ca="1">(FORECAST(C297,OFFSET($C$260:$C$271,MATCH($C$297,$B$260:$B$271,1)-1,0,2),OFFSET($B$260:$B$271,MATCH(C297,$B$260:$B$271,1)-1,0,2)))+C297</f>
        <v>1.6684999992499998</v>
      </c>
      <c r="E297" s="505">
        <f t="shared" ref="E297:E304" ca="1" si="346">D297-C297</f>
        <v>-0.23150000075000032</v>
      </c>
      <c r="F297" s="506">
        <f>AQ391</f>
        <v>0</v>
      </c>
      <c r="G297" s="391"/>
      <c r="H297" s="391"/>
      <c r="O297" s="442"/>
      <c r="P297" s="442"/>
      <c r="Q297" s="442"/>
      <c r="R297" s="442"/>
      <c r="S297" s="442"/>
      <c r="X297" s="396"/>
      <c r="Y297" s="396"/>
      <c r="AC297" s="443"/>
      <c r="AE297" s="461"/>
      <c r="AF297" s="442"/>
      <c r="AG297" s="442"/>
      <c r="AI297" s="443"/>
      <c r="AJ297" s="396"/>
      <c r="AK297" s="461"/>
      <c r="AL297" s="442"/>
      <c r="AM297" s="442"/>
      <c r="AO297" s="443"/>
      <c r="AP297" s="396"/>
      <c r="AQ297" s="461"/>
      <c r="AR297" s="442"/>
      <c r="AS297" s="442"/>
      <c r="AU297" s="443"/>
      <c r="AV297" s="396"/>
      <c r="AW297" s="461"/>
      <c r="AX297" s="442"/>
      <c r="AY297" s="442"/>
      <c r="BA297" s="443"/>
      <c r="BB297" s="396"/>
      <c r="BC297" s="461"/>
      <c r="BD297" s="442"/>
      <c r="BE297" s="442"/>
      <c r="BG297" s="443"/>
      <c r="BH297" s="396"/>
      <c r="BI297" s="461"/>
      <c r="BJ297" s="442"/>
      <c r="BK297" s="442"/>
      <c r="BM297" s="443"/>
      <c r="BN297" s="396"/>
      <c r="BO297" s="461"/>
      <c r="BP297" s="442"/>
      <c r="BQ297" s="442"/>
      <c r="BS297" s="443"/>
      <c r="BT297" s="396"/>
      <c r="BU297" s="461"/>
      <c r="BV297" s="442"/>
      <c r="BW297" s="443"/>
      <c r="BX297" s="396"/>
      <c r="BY297" s="461"/>
      <c r="BZ297" s="442"/>
      <c r="CA297" s="442"/>
      <c r="CB297" s="392"/>
      <c r="CC297" s="443"/>
      <c r="CG297" s="396"/>
      <c r="CH297" s="391"/>
      <c r="CM297" s="396"/>
      <c r="CN297" s="391"/>
      <c r="CS297" s="396"/>
    </row>
    <row r="298" spans="2:97" ht="54" customHeight="1">
      <c r="B298" s="507" t="s">
        <v>359</v>
      </c>
      <c r="C298" s="505">
        <f t="shared" ref="C298:C306" si="347">C297</f>
        <v>1.9000000000000001</v>
      </c>
      <c r="D298" s="505">
        <f ca="1">(FORECAST(C298,OFFSET($D$260:$D$271,MATCH($C$298,$B$260:$B$271,1)-1,0,2),OFFSET($B$260:$B$271,MATCH(C298,$B$260:$B$271,1)-1,0,2)))+C298</f>
        <v>1.6684999992499998</v>
      </c>
      <c r="E298" s="505">
        <f t="shared" ca="1" si="346"/>
        <v>-0.23150000075000032</v>
      </c>
      <c r="F298" s="506">
        <f t="shared" ref="F298:F306" si="348">AQ392</f>
        <v>0</v>
      </c>
      <c r="G298" s="391"/>
      <c r="H298" s="391"/>
      <c r="O298" s="442"/>
      <c r="P298" s="442"/>
      <c r="Q298" s="442"/>
      <c r="R298" s="442"/>
      <c r="S298" s="442"/>
      <c r="X298" s="396"/>
      <c r="Y298" s="396"/>
      <c r="Z298" s="466"/>
      <c r="AA298" s="497"/>
      <c r="AC298" s="443"/>
      <c r="AE298" s="497"/>
      <c r="AF298" s="466"/>
      <c r="AG298" s="497"/>
      <c r="AI298" s="443"/>
      <c r="AJ298" s="396"/>
      <c r="AK298" s="497"/>
      <c r="AL298" s="466"/>
      <c r="AM298" s="497"/>
      <c r="AO298" s="443"/>
      <c r="AP298" s="396"/>
      <c r="AQ298" s="497"/>
      <c r="AR298" s="497"/>
      <c r="AS298" s="497"/>
      <c r="AU298" s="443"/>
      <c r="AV298" s="396"/>
      <c r="AW298" s="497"/>
      <c r="AX298" s="442"/>
      <c r="AY298" s="497"/>
      <c r="BA298" s="443"/>
      <c r="BB298" s="396"/>
      <c r="BC298" s="497"/>
      <c r="BD298" s="442"/>
      <c r="BE298" s="497"/>
      <c r="BG298" s="443"/>
      <c r="BH298" s="396"/>
      <c r="BI298" s="497"/>
      <c r="BJ298" s="442"/>
      <c r="BK298" s="497"/>
      <c r="BM298" s="443"/>
      <c r="BN298" s="396"/>
      <c r="BO298" s="497"/>
      <c r="BP298" s="442"/>
      <c r="BQ298" s="497"/>
      <c r="BS298" s="443"/>
      <c r="BT298" s="396"/>
      <c r="BU298" s="497"/>
      <c r="BV298" s="442"/>
      <c r="BW298" s="443"/>
      <c r="BX298" s="396"/>
      <c r="BY298" s="497"/>
      <c r="BZ298" s="466"/>
      <c r="CA298" s="497"/>
      <c r="CB298" s="392"/>
      <c r="CC298" s="443"/>
      <c r="CG298" s="396"/>
      <c r="CH298" s="391"/>
      <c r="CM298" s="396"/>
      <c r="CN298" s="391"/>
      <c r="CS298" s="396"/>
    </row>
    <row r="299" spans="2:97" ht="49.5" customHeight="1">
      <c r="B299" s="507" t="s">
        <v>360</v>
      </c>
      <c r="C299" s="505">
        <f t="shared" si="347"/>
        <v>1.9000000000000001</v>
      </c>
      <c r="D299" s="505">
        <f ca="1">(FORECAST(C299,OFFSET($E$260:$E$271,MATCH(C299,$B$260:$B$271,1)-1,0,2),OFFSET($B$260:$B$271,MATCH(C299,$B$260:$B$271,1)-1,0,2)))+C299</f>
        <v>1.6984999992499996</v>
      </c>
      <c r="E299" s="505">
        <f t="shared" ca="1" si="346"/>
        <v>-0.20150000075000052</v>
      </c>
      <c r="F299" s="506">
        <f t="shared" si="348"/>
        <v>0</v>
      </c>
      <c r="G299" s="391"/>
      <c r="H299" s="391"/>
      <c r="O299" s="442"/>
      <c r="P299" s="442"/>
      <c r="Q299" s="442"/>
      <c r="R299" s="442"/>
      <c r="S299" s="442"/>
      <c r="X299" s="396"/>
      <c r="Y299" s="396"/>
      <c r="AC299" s="443"/>
      <c r="AE299" s="461"/>
      <c r="AF299" s="442"/>
      <c r="AG299" s="442"/>
      <c r="AI299" s="443"/>
      <c r="AJ299" s="396"/>
      <c r="AK299" s="461"/>
      <c r="AL299" s="442"/>
      <c r="AM299" s="442"/>
      <c r="AO299" s="443"/>
      <c r="AP299" s="396"/>
      <c r="AQ299" s="461"/>
      <c r="AR299" s="442"/>
      <c r="AS299" s="442"/>
      <c r="AU299" s="443"/>
      <c r="AV299" s="396"/>
      <c r="AW299" s="461"/>
      <c r="AX299" s="442"/>
      <c r="AY299" s="442"/>
      <c r="BA299" s="443"/>
      <c r="BB299" s="396"/>
      <c r="BC299" s="461"/>
      <c r="BD299" s="442"/>
      <c r="BE299" s="442"/>
      <c r="BG299" s="443"/>
      <c r="BH299" s="396"/>
      <c r="BI299" s="461"/>
      <c r="BJ299" s="442"/>
      <c r="BK299" s="442"/>
      <c r="BM299" s="443"/>
      <c r="BN299" s="396"/>
      <c r="BO299" s="461"/>
      <c r="BP299" s="442"/>
      <c r="BQ299" s="442"/>
      <c r="BS299" s="443"/>
      <c r="BT299" s="396"/>
      <c r="BU299" s="461"/>
      <c r="BV299" s="442"/>
      <c r="BW299" s="443"/>
      <c r="BX299" s="396"/>
      <c r="BY299" s="461"/>
      <c r="BZ299" s="442"/>
      <c r="CA299" s="442"/>
      <c r="CB299" s="392"/>
      <c r="CC299" s="443"/>
      <c r="CG299" s="396"/>
      <c r="CH299" s="391"/>
      <c r="CM299" s="396"/>
      <c r="CN299" s="391"/>
      <c r="CS299" s="396"/>
    </row>
    <row r="300" spans="2:97" ht="48" customHeight="1">
      <c r="B300" s="507" t="s">
        <v>361</v>
      </c>
      <c r="C300" s="505">
        <f t="shared" si="347"/>
        <v>1.9000000000000001</v>
      </c>
      <c r="D300" s="505">
        <f ca="1">(FORECAST(C300,OFFSET($F$260:$F$271,MATCH(C300,$B$260:$B$271,1)-1,0,2),OFFSET($B$260:$B$271,MATCH(C300,$B$260:$B$271,1)-1,0,2)))+C300</f>
        <v>1.7189999994999998</v>
      </c>
      <c r="E300" s="505">
        <f t="shared" ca="1" si="346"/>
        <v>-0.18100000050000031</v>
      </c>
      <c r="F300" s="506">
        <f t="shared" si="348"/>
        <v>0</v>
      </c>
      <c r="G300" s="391"/>
      <c r="H300" s="391"/>
      <c r="O300" s="442"/>
      <c r="P300" s="442"/>
      <c r="Q300" s="442"/>
      <c r="R300" s="442"/>
      <c r="S300" s="442"/>
      <c r="X300" s="396"/>
      <c r="Y300" s="396"/>
      <c r="AC300" s="443"/>
      <c r="AE300" s="461"/>
      <c r="AF300" s="442"/>
      <c r="AG300" s="442"/>
      <c r="AI300" s="443"/>
      <c r="AJ300" s="396"/>
      <c r="AK300" s="461"/>
      <c r="AL300" s="442"/>
      <c r="AM300" s="442"/>
      <c r="AO300" s="443"/>
      <c r="AP300" s="396"/>
      <c r="AQ300" s="461"/>
      <c r="AR300" s="442"/>
      <c r="AS300" s="442"/>
      <c r="AU300" s="443"/>
      <c r="AV300" s="396"/>
      <c r="AW300" s="461"/>
      <c r="AX300" s="442"/>
      <c r="AY300" s="442"/>
      <c r="BA300" s="443"/>
      <c r="BB300" s="396"/>
      <c r="BC300" s="461"/>
      <c r="BD300" s="442"/>
      <c r="BE300" s="442"/>
      <c r="BG300" s="443"/>
      <c r="BH300" s="396"/>
      <c r="BI300" s="461"/>
      <c r="BJ300" s="442"/>
      <c r="BK300" s="442"/>
      <c r="BM300" s="443"/>
      <c r="BN300" s="396"/>
      <c r="BO300" s="461"/>
      <c r="BP300" s="442"/>
      <c r="BQ300" s="442"/>
      <c r="BS300" s="443"/>
      <c r="BT300" s="396"/>
      <c r="BU300" s="461"/>
      <c r="BV300" s="442"/>
      <c r="BW300" s="443"/>
      <c r="BX300" s="396"/>
      <c r="BY300" s="461"/>
      <c r="BZ300" s="442"/>
      <c r="CA300" s="442"/>
      <c r="CB300" s="392"/>
      <c r="CC300" s="443"/>
      <c r="CG300" s="396"/>
      <c r="CH300" s="391"/>
      <c r="CM300" s="396"/>
      <c r="CN300" s="391"/>
      <c r="CS300" s="396"/>
    </row>
    <row r="301" spans="2:97" ht="49.5" customHeight="1">
      <c r="B301" s="507" t="s">
        <v>362</v>
      </c>
      <c r="C301" s="505">
        <f t="shared" si="347"/>
        <v>1.9000000000000001</v>
      </c>
      <c r="D301" s="505">
        <f ca="1">(FORECAST(C301,OFFSET($G$260:$G$271,MATCH(C301,$B$260:$B$271,1)-1,0,2),OFFSET($B$260:$B$271,MATCH(C301,$B$260:$B$271,1)-1,0,2)))+C301</f>
        <v>1.7084999992499998</v>
      </c>
      <c r="E301" s="505">
        <f t="shared" ca="1" si="346"/>
        <v>-0.19150000075000029</v>
      </c>
      <c r="F301" s="506">
        <f t="shared" si="348"/>
        <v>0</v>
      </c>
      <c r="G301" s="391"/>
      <c r="H301" s="391"/>
      <c r="O301" s="442"/>
      <c r="P301" s="442"/>
      <c r="Q301" s="442"/>
      <c r="R301" s="442"/>
      <c r="S301" s="442"/>
      <c r="X301" s="396"/>
      <c r="Y301" s="396"/>
      <c r="AC301" s="443"/>
      <c r="AE301" s="461"/>
      <c r="AF301" s="442"/>
      <c r="AG301" s="442"/>
      <c r="AI301" s="443"/>
      <c r="AJ301" s="396"/>
      <c r="AK301" s="461"/>
      <c r="AL301" s="442"/>
      <c r="AM301" s="442"/>
      <c r="AO301" s="443"/>
      <c r="AP301" s="396"/>
      <c r="AQ301" s="461"/>
      <c r="AR301" s="442"/>
      <c r="AS301" s="442"/>
      <c r="AU301" s="443"/>
      <c r="AV301" s="396"/>
      <c r="AW301" s="461"/>
      <c r="AX301" s="442"/>
      <c r="AY301" s="442"/>
      <c r="BA301" s="443"/>
      <c r="BB301" s="396"/>
      <c r="BC301" s="461"/>
      <c r="BD301" s="442"/>
      <c r="BE301" s="442"/>
      <c r="BG301" s="443"/>
      <c r="BH301" s="396"/>
      <c r="BI301" s="461"/>
      <c r="BJ301" s="442"/>
      <c r="BK301" s="442"/>
      <c r="BM301" s="443"/>
      <c r="BN301" s="396"/>
      <c r="BO301" s="461"/>
      <c r="BP301" s="442"/>
      <c r="BQ301" s="442"/>
      <c r="BS301" s="443"/>
      <c r="BT301" s="396"/>
      <c r="BU301" s="461"/>
      <c r="BV301" s="442"/>
      <c r="BW301" s="443"/>
      <c r="BX301" s="396"/>
      <c r="BY301" s="461"/>
      <c r="BZ301" s="442"/>
      <c r="CA301" s="442"/>
      <c r="CB301" s="392"/>
      <c r="CC301" s="443"/>
      <c r="CG301" s="396"/>
      <c r="CH301" s="391"/>
      <c r="CM301" s="396"/>
      <c r="CN301" s="391"/>
      <c r="CS301" s="396"/>
    </row>
    <row r="302" spans="2:97" ht="40.5" customHeight="1">
      <c r="B302" s="507" t="s">
        <v>363</v>
      </c>
      <c r="C302" s="505">
        <f t="shared" si="347"/>
        <v>1.9000000000000001</v>
      </c>
      <c r="D302" s="505">
        <f ca="1">(FORECAST(C302,OFFSET($H$260:$H$271,MATCH(C302,$B$260:$B$271,1)-1,0,2),OFFSET($B$260:$B$271,MATCH(C302,$B$260:$B$271,1)-1,0,2)))+C302</f>
        <v>1.7289999994999998</v>
      </c>
      <c r="E302" s="505">
        <f t="shared" ca="1" si="346"/>
        <v>-0.1710000005000003</v>
      </c>
      <c r="F302" s="506">
        <f t="shared" si="348"/>
        <v>0</v>
      </c>
      <c r="G302" s="391"/>
      <c r="H302" s="391"/>
      <c r="O302" s="442"/>
      <c r="P302" s="442"/>
      <c r="Q302" s="442"/>
      <c r="R302" s="442"/>
      <c r="S302" s="442"/>
      <c r="X302" s="396"/>
      <c r="Y302" s="396"/>
      <c r="AC302" s="443"/>
      <c r="AE302" s="461"/>
      <c r="AF302" s="442"/>
      <c r="AG302" s="442"/>
      <c r="AI302" s="443"/>
      <c r="AJ302" s="396"/>
      <c r="AK302" s="461"/>
      <c r="AL302" s="442"/>
      <c r="AM302" s="442"/>
      <c r="AO302" s="443"/>
      <c r="AP302" s="396"/>
      <c r="AQ302" s="461"/>
      <c r="AR302" s="442"/>
      <c r="AS302" s="442"/>
      <c r="AU302" s="443"/>
      <c r="AV302" s="396"/>
      <c r="AW302" s="461"/>
      <c r="AX302" s="442"/>
      <c r="AY302" s="442"/>
      <c r="BA302" s="443"/>
      <c r="BB302" s="396"/>
      <c r="BC302" s="461"/>
      <c r="BD302" s="442"/>
      <c r="BE302" s="442"/>
      <c r="BG302" s="443"/>
      <c r="BH302" s="396"/>
      <c r="BI302" s="461"/>
      <c r="BJ302" s="442"/>
      <c r="BK302" s="442"/>
      <c r="BM302" s="443"/>
      <c r="BN302" s="396"/>
      <c r="BO302" s="461"/>
      <c r="BP302" s="442"/>
      <c r="BQ302" s="442"/>
      <c r="BS302" s="443"/>
      <c r="BT302" s="396"/>
      <c r="BU302" s="461"/>
      <c r="BV302" s="442"/>
      <c r="BW302" s="443"/>
      <c r="BX302" s="396"/>
      <c r="BY302" s="461"/>
      <c r="BZ302" s="442"/>
      <c r="CA302" s="442"/>
      <c r="CB302" s="392"/>
      <c r="CC302" s="443"/>
      <c r="CG302" s="396"/>
      <c r="CH302" s="391"/>
      <c r="CM302" s="396"/>
      <c r="CN302" s="391"/>
      <c r="CS302" s="396"/>
    </row>
    <row r="303" spans="2:97" ht="45.75" customHeight="1">
      <c r="B303" s="507" t="s">
        <v>364</v>
      </c>
      <c r="C303" s="505">
        <f t="shared" si="347"/>
        <v>1.9000000000000001</v>
      </c>
      <c r="D303" s="505">
        <f ca="1">(FORECAST(C303,OFFSET($I$260:$I$271,MATCH(C303,$B$260:$B$271,1)-1,0,2),OFFSET($B$260:$B$271,MATCH(C303,$B$260:$B$271,1)-1,0,2)))+C303</f>
        <v>1.7084999992499998</v>
      </c>
      <c r="E303" s="505">
        <f t="shared" ca="1" si="346"/>
        <v>-0.19150000075000029</v>
      </c>
      <c r="F303" s="506">
        <f t="shared" si="348"/>
        <v>0</v>
      </c>
      <c r="G303" s="391"/>
      <c r="N303" s="442"/>
      <c r="O303" s="442"/>
      <c r="P303" s="442"/>
      <c r="Q303" s="442"/>
      <c r="R303" s="442"/>
      <c r="S303" s="442"/>
      <c r="W303" s="396"/>
      <c r="X303" s="396"/>
      <c r="AB303" s="443"/>
      <c r="AD303" s="461"/>
      <c r="AE303" s="442"/>
      <c r="AF303" s="442"/>
      <c r="AG303" s="442"/>
      <c r="AH303" s="443"/>
      <c r="AJ303" s="461"/>
      <c r="AK303" s="442"/>
      <c r="AL303" s="442"/>
      <c r="AM303" s="442"/>
      <c r="AN303" s="443"/>
      <c r="AP303" s="461"/>
      <c r="AQ303" s="442"/>
      <c r="AR303" s="442"/>
      <c r="AS303" s="442"/>
      <c r="AT303" s="443"/>
      <c r="AV303" s="461"/>
      <c r="AW303" s="442"/>
      <c r="AX303" s="442"/>
      <c r="AY303" s="442"/>
      <c r="AZ303" s="443"/>
      <c r="BB303" s="461"/>
      <c r="BC303" s="442"/>
      <c r="BD303" s="442"/>
      <c r="BE303" s="442"/>
      <c r="BF303" s="443"/>
      <c r="BH303" s="461"/>
      <c r="BI303" s="442"/>
      <c r="BJ303" s="442"/>
      <c r="BK303" s="442"/>
      <c r="BL303" s="443"/>
      <c r="BN303" s="461"/>
      <c r="BO303" s="442"/>
      <c r="BP303" s="442"/>
      <c r="BQ303" s="442"/>
      <c r="BR303" s="443"/>
      <c r="BT303" s="461"/>
      <c r="BU303" s="442"/>
      <c r="BV303" s="443"/>
      <c r="BX303" s="461"/>
      <c r="BY303" s="442"/>
      <c r="BZ303" s="442"/>
      <c r="CA303" s="392"/>
      <c r="CB303" s="443"/>
      <c r="CS303" s="396"/>
    </row>
    <row r="304" spans="2:97" ht="39.75" customHeight="1">
      <c r="B304" s="507" t="s">
        <v>365</v>
      </c>
      <c r="C304" s="505">
        <f t="shared" si="347"/>
        <v>1.9000000000000001</v>
      </c>
      <c r="D304" s="505">
        <f ca="1">(FORECAST(C304,OFFSET($J$260:$J$271,MATCH(C304,$B$260:$B$271,1)-1,0,2),OFFSET($B$260:$B$271,MATCH(C304,$B$260:$B$271,1)-1,0,2)))+C304</f>
        <v>1.7089999994999998</v>
      </c>
      <c r="E304" s="505">
        <f t="shared" ca="1" si="346"/>
        <v>-0.19100000050000032</v>
      </c>
      <c r="F304" s="506">
        <f t="shared" si="348"/>
        <v>0</v>
      </c>
      <c r="G304" s="391"/>
      <c r="H304" s="391"/>
      <c r="O304" s="442"/>
      <c r="P304" s="442"/>
      <c r="Q304" s="442"/>
      <c r="R304" s="442"/>
      <c r="S304" s="442"/>
      <c r="X304" s="396"/>
      <c r="Y304" s="396"/>
      <c r="AC304" s="443"/>
      <c r="AE304" s="461"/>
      <c r="AF304" s="442"/>
      <c r="AG304" s="442"/>
      <c r="AI304" s="443"/>
      <c r="AJ304" s="396"/>
      <c r="AK304" s="461"/>
      <c r="AL304" s="442"/>
      <c r="AM304" s="442"/>
      <c r="AO304" s="443"/>
      <c r="AP304" s="396"/>
      <c r="AQ304" s="461"/>
      <c r="AR304" s="442"/>
      <c r="AS304" s="442"/>
      <c r="AU304" s="443"/>
      <c r="AV304" s="396"/>
      <c r="AW304" s="461"/>
      <c r="AX304" s="442"/>
      <c r="AY304" s="442"/>
      <c r="BA304" s="443"/>
      <c r="BB304" s="396"/>
      <c r="BC304" s="461"/>
      <c r="BD304" s="442"/>
      <c r="BE304" s="442"/>
      <c r="BG304" s="443"/>
      <c r="BH304" s="396"/>
      <c r="BI304" s="461"/>
      <c r="BJ304" s="442"/>
      <c r="BK304" s="442"/>
      <c r="BM304" s="443"/>
      <c r="BN304" s="396"/>
      <c r="BO304" s="461"/>
      <c r="BP304" s="442"/>
      <c r="BQ304" s="442"/>
      <c r="BS304" s="443"/>
      <c r="BT304" s="396"/>
      <c r="BU304" s="461"/>
      <c r="BV304" s="442"/>
      <c r="BW304" s="443"/>
      <c r="BX304" s="396"/>
      <c r="BY304" s="461"/>
      <c r="BZ304" s="442"/>
      <c r="CA304" s="442"/>
      <c r="CB304" s="392"/>
      <c r="CC304" s="443"/>
      <c r="CG304" s="396"/>
      <c r="CH304" s="391"/>
      <c r="CM304" s="396"/>
      <c r="CN304" s="391"/>
      <c r="CS304" s="396"/>
    </row>
    <row r="305" spans="2:97" ht="41.25" customHeight="1">
      <c r="B305" s="507" t="s">
        <v>366</v>
      </c>
      <c r="C305" s="505">
        <f t="shared" si="347"/>
        <v>1.9000000000000001</v>
      </c>
      <c r="D305" s="505">
        <f>_xlfn.FORECAST.LINEAR(C305,K260:K271,B260:B271)+C305</f>
        <v>1.9000010000000001</v>
      </c>
      <c r="E305" s="648">
        <f>D305-C305</f>
        <v>9.9999999991773336E-7</v>
      </c>
      <c r="F305" s="506">
        <f t="shared" si="348"/>
        <v>0</v>
      </c>
      <c r="G305" s="391"/>
      <c r="H305" s="391"/>
      <c r="O305" s="442"/>
      <c r="P305" s="442"/>
      <c r="Q305" s="442"/>
      <c r="R305" s="442"/>
      <c r="S305" s="442"/>
      <c r="X305" s="396"/>
      <c r="Y305" s="396"/>
      <c r="AC305" s="443"/>
      <c r="AE305" s="461"/>
      <c r="AF305" s="442"/>
      <c r="AG305" s="442"/>
      <c r="AI305" s="443"/>
      <c r="AJ305" s="396"/>
      <c r="AK305" s="461"/>
      <c r="AL305" s="442"/>
      <c r="AM305" s="442"/>
      <c r="AO305" s="443"/>
      <c r="AP305" s="396"/>
      <c r="AQ305" s="461"/>
      <c r="AR305" s="442"/>
      <c r="AS305" s="442"/>
      <c r="AU305" s="443"/>
      <c r="AV305" s="396"/>
      <c r="AW305" s="461"/>
      <c r="AX305" s="442"/>
      <c r="AY305" s="442"/>
      <c r="BA305" s="443"/>
      <c r="BB305" s="396"/>
      <c r="BC305" s="461"/>
      <c r="BD305" s="442"/>
      <c r="BE305" s="442"/>
      <c r="BG305" s="443"/>
      <c r="BH305" s="396"/>
      <c r="BI305" s="461"/>
      <c r="BJ305" s="442"/>
      <c r="BK305" s="442"/>
      <c r="BM305" s="443"/>
      <c r="BN305" s="396"/>
      <c r="BO305" s="461"/>
      <c r="BP305" s="442"/>
      <c r="BQ305" s="442"/>
      <c r="BS305" s="443"/>
      <c r="BT305" s="396"/>
      <c r="BU305" s="461"/>
      <c r="BV305" s="442"/>
      <c r="BW305" s="443"/>
      <c r="BX305" s="396"/>
      <c r="BY305" s="461"/>
      <c r="BZ305" s="442"/>
      <c r="CA305" s="442"/>
      <c r="CB305" s="392"/>
      <c r="CC305" s="443"/>
      <c r="CG305" s="396"/>
      <c r="CH305" s="391"/>
      <c r="CM305" s="396"/>
      <c r="CN305" s="391"/>
      <c r="CS305" s="396"/>
    </row>
    <row r="306" spans="2:97" ht="41.25" customHeight="1">
      <c r="B306" s="507" t="s">
        <v>367</v>
      </c>
      <c r="C306" s="505">
        <f t="shared" si="347"/>
        <v>1.9000000000000001</v>
      </c>
      <c r="D306" s="652">
        <f>_xlfn.FORECAST.LINEAR(C306,L260:L271,B260:B271)+C306</f>
        <v>1.9000010000000001</v>
      </c>
      <c r="E306" s="648">
        <f>D306-C306</f>
        <v>9.9999999991773336E-7</v>
      </c>
      <c r="F306" s="506">
        <f t="shared" si="348"/>
        <v>0</v>
      </c>
      <c r="G306" s="391"/>
      <c r="H306" s="391"/>
      <c r="O306" s="442"/>
      <c r="P306" s="442"/>
      <c r="Q306" s="442"/>
      <c r="R306" s="442"/>
      <c r="S306" s="442"/>
      <c r="X306" s="396"/>
      <c r="Y306" s="396"/>
      <c r="AC306" s="443"/>
      <c r="AE306" s="461"/>
      <c r="AF306" s="442"/>
      <c r="AG306" s="442"/>
      <c r="AI306" s="443"/>
      <c r="AJ306" s="396"/>
      <c r="AK306" s="461"/>
      <c r="AL306" s="442"/>
      <c r="AM306" s="442"/>
      <c r="AO306" s="443"/>
      <c r="AP306" s="396"/>
      <c r="AQ306" s="461"/>
      <c r="AR306" s="442"/>
      <c r="AS306" s="442"/>
      <c r="AU306" s="443"/>
      <c r="AV306" s="396"/>
      <c r="AW306" s="461"/>
      <c r="AX306" s="442"/>
      <c r="AY306" s="442"/>
      <c r="BA306" s="443"/>
      <c r="BB306" s="396"/>
      <c r="BC306" s="461"/>
      <c r="BD306" s="442"/>
      <c r="BE306" s="442"/>
      <c r="BG306" s="443"/>
      <c r="BH306" s="396"/>
      <c r="BI306" s="461"/>
      <c r="BJ306" s="442"/>
      <c r="BK306" s="442"/>
      <c r="BM306" s="443"/>
      <c r="BN306" s="396"/>
      <c r="BO306" s="461"/>
      <c r="BP306" s="442"/>
      <c r="BQ306" s="442"/>
      <c r="BS306" s="443"/>
      <c r="BT306" s="396"/>
      <c r="BU306" s="461"/>
      <c r="BV306" s="442"/>
      <c r="BW306" s="443"/>
      <c r="BX306" s="396"/>
      <c r="BY306" s="461"/>
      <c r="BZ306" s="442"/>
      <c r="CA306" s="442"/>
      <c r="CB306" s="392"/>
      <c r="CC306" s="443"/>
      <c r="CG306" s="396"/>
      <c r="CH306" s="391"/>
      <c r="CM306" s="396"/>
      <c r="CN306" s="391"/>
      <c r="CS306" s="396"/>
    </row>
    <row r="307" spans="2:97" s="391" customFormat="1" ht="13.95" customHeight="1">
      <c r="O307" s="392"/>
      <c r="P307" s="392"/>
      <c r="Q307" s="392"/>
      <c r="R307" s="392"/>
      <c r="S307" s="392"/>
      <c r="T307" s="392"/>
      <c r="U307" s="392"/>
      <c r="V307" s="392"/>
      <c r="W307" s="392"/>
      <c r="Z307" s="414"/>
      <c r="AA307" s="414"/>
      <c r="AB307" s="414"/>
      <c r="AC307" s="412"/>
      <c r="AG307" s="392"/>
      <c r="AI307" s="393"/>
      <c r="AM307" s="392"/>
      <c r="AO307" s="393"/>
      <c r="AR307" s="392"/>
      <c r="AS307" s="392"/>
      <c r="AU307" s="393"/>
      <c r="AY307" s="392"/>
      <c r="BA307" s="393"/>
      <c r="BE307" s="392"/>
      <c r="BG307" s="393"/>
      <c r="BK307" s="392"/>
      <c r="BM307" s="393"/>
      <c r="BQ307" s="392"/>
      <c r="BS307" s="393"/>
      <c r="BW307" s="393"/>
      <c r="CA307" s="392"/>
      <c r="CC307" s="393"/>
    </row>
    <row r="308" spans="2:97" s="391" customFormat="1" ht="13.95" customHeight="1">
      <c r="O308" s="392"/>
      <c r="P308" s="392"/>
      <c r="Q308" s="392"/>
      <c r="R308" s="392"/>
      <c r="S308" s="392"/>
      <c r="T308" s="392"/>
      <c r="U308" s="392"/>
      <c r="V308" s="392"/>
      <c r="W308" s="392"/>
      <c r="Z308" s="415"/>
      <c r="AA308" s="508"/>
      <c r="AB308" s="392"/>
      <c r="AC308" s="393"/>
      <c r="AE308" s="509"/>
      <c r="AF308" s="415"/>
      <c r="AG308" s="508"/>
      <c r="AH308" s="392"/>
      <c r="AI308" s="393"/>
      <c r="AK308" s="509"/>
      <c r="AL308" s="415"/>
      <c r="AM308" s="508"/>
      <c r="AN308" s="392"/>
      <c r="AO308" s="393"/>
      <c r="AQ308" s="509"/>
      <c r="AR308" s="508"/>
      <c r="AS308" s="508"/>
      <c r="AT308" s="392"/>
      <c r="AU308" s="393"/>
      <c r="AW308" s="509"/>
      <c r="AX308" s="392"/>
      <c r="AY308" s="508"/>
      <c r="AZ308" s="392"/>
      <c r="BA308" s="393"/>
      <c r="BC308" s="509"/>
      <c r="BD308" s="392"/>
      <c r="BE308" s="508"/>
      <c r="BF308" s="392"/>
      <c r="BG308" s="393"/>
      <c r="BI308" s="509"/>
      <c r="BJ308" s="392"/>
      <c r="BK308" s="508"/>
      <c r="BL308" s="392"/>
      <c r="BM308" s="393"/>
      <c r="BO308" s="509"/>
      <c r="BP308" s="392"/>
      <c r="BQ308" s="508"/>
      <c r="BR308" s="392"/>
      <c r="BS308" s="393"/>
      <c r="BU308" s="509"/>
      <c r="BV308" s="392"/>
      <c r="BW308" s="393"/>
      <c r="BY308" s="509"/>
      <c r="BZ308" s="415"/>
      <c r="CA308" s="508"/>
      <c r="CB308" s="392"/>
      <c r="CC308" s="393"/>
    </row>
    <row r="309" spans="2:97" ht="25.2" customHeight="1">
      <c r="B309" s="516" t="s">
        <v>369</v>
      </c>
      <c r="C309" s="391"/>
      <c r="J309" s="442"/>
      <c r="K309" s="442"/>
      <c r="L309" s="442"/>
      <c r="M309" s="442"/>
      <c r="N309" s="442"/>
      <c r="O309" s="442"/>
      <c r="P309" s="442"/>
      <c r="Q309" s="442"/>
      <c r="R309" s="442"/>
      <c r="T309" s="396"/>
      <c r="X309" s="443"/>
      <c r="Y309" s="396"/>
      <c r="Z309" s="461"/>
      <c r="AC309" s="442"/>
      <c r="AD309" s="443"/>
      <c r="AF309" s="461"/>
      <c r="AG309" s="442"/>
      <c r="AI309" s="442"/>
      <c r="AL309" s="461"/>
      <c r="AM309" s="442"/>
      <c r="AO309" s="442"/>
      <c r="AR309" s="461"/>
      <c r="AS309" s="442"/>
      <c r="AU309" s="442"/>
      <c r="AX309" s="461"/>
      <c r="AY309" s="442"/>
      <c r="BA309" s="442"/>
      <c r="BD309" s="461"/>
      <c r="BE309" s="442"/>
      <c r="BG309" s="442"/>
      <c r="BJ309" s="461"/>
      <c r="BK309" s="442"/>
      <c r="BM309" s="442"/>
      <c r="BP309" s="461"/>
      <c r="BQ309" s="442"/>
      <c r="BR309" s="443"/>
      <c r="BT309" s="461"/>
      <c r="BU309" s="442"/>
      <c r="BV309" s="442"/>
      <c r="BW309" s="392"/>
      <c r="BX309" s="443"/>
      <c r="BZ309" s="396"/>
      <c r="CC309" s="391"/>
      <c r="CG309" s="396"/>
      <c r="CI309" s="391"/>
      <c r="CM309" s="396"/>
      <c r="CS309" s="396"/>
    </row>
    <row r="310" spans="2:97" ht="27" customHeight="1">
      <c r="B310" s="504" t="s">
        <v>353</v>
      </c>
      <c r="C310" s="458" t="s">
        <v>354</v>
      </c>
      <c r="D310" s="504" t="s">
        <v>355</v>
      </c>
      <c r="E310" s="505" t="s">
        <v>356</v>
      </c>
      <c r="F310" s="506" t="s">
        <v>357</v>
      </c>
      <c r="G310" s="391"/>
      <c r="H310" s="391"/>
      <c r="O310" s="442"/>
      <c r="P310" s="442"/>
      <c r="Q310" s="442"/>
      <c r="R310" s="442"/>
      <c r="S310" s="442"/>
      <c r="X310" s="396"/>
      <c r="Y310" s="396"/>
      <c r="AC310" s="443"/>
      <c r="AE310" s="461"/>
      <c r="AF310" s="442"/>
      <c r="AG310" s="442"/>
      <c r="AI310" s="443"/>
      <c r="AJ310" s="396"/>
      <c r="AK310" s="461"/>
      <c r="AL310" s="442"/>
      <c r="AM310" s="442"/>
      <c r="AO310" s="443"/>
      <c r="AP310" s="396"/>
      <c r="AQ310" s="461"/>
      <c r="AR310" s="442"/>
      <c r="AS310" s="442"/>
      <c r="AU310" s="443"/>
      <c r="AV310" s="396"/>
      <c r="AW310" s="461"/>
      <c r="AX310" s="442"/>
      <c r="AY310" s="442"/>
      <c r="BA310" s="443"/>
      <c r="BB310" s="396"/>
      <c r="BC310" s="461"/>
      <c r="BD310" s="442"/>
      <c r="BE310" s="442"/>
      <c r="BG310" s="443"/>
      <c r="BH310" s="396"/>
      <c r="BI310" s="461"/>
      <c r="BJ310" s="442"/>
      <c r="BK310" s="442"/>
      <c r="BM310" s="443"/>
      <c r="BN310" s="396"/>
      <c r="BO310" s="461"/>
      <c r="BP310" s="442"/>
      <c r="BQ310" s="442"/>
      <c r="BS310" s="443"/>
      <c r="BT310" s="396"/>
      <c r="BU310" s="461"/>
      <c r="BV310" s="442"/>
      <c r="BW310" s="443"/>
      <c r="BX310" s="396"/>
      <c r="BY310" s="461"/>
      <c r="BZ310" s="442"/>
      <c r="CA310" s="442"/>
      <c r="CB310" s="392"/>
      <c r="CC310" s="443"/>
      <c r="CG310" s="396"/>
      <c r="CH310" s="391"/>
      <c r="CM310" s="396"/>
      <c r="CN310" s="391"/>
      <c r="CS310" s="396"/>
    </row>
    <row r="311" spans="2:97" ht="50.25" customHeight="1">
      <c r="B311" s="507" t="s">
        <v>358</v>
      </c>
      <c r="C311" s="505">
        <f>ID!J34</f>
        <v>5</v>
      </c>
      <c r="D311" s="505">
        <f ca="1">(FORECAST(C311,OFFSET($C$260:$C$271,MATCH($C$297,$B$260:$B$271,1)-1,0,2),OFFSET($B$260:$B$271,MATCH(C311,$B$260:$B$271,1)-1,0,2)))+C311</f>
        <v>4.7549999999999999</v>
      </c>
      <c r="E311" s="505">
        <f t="shared" ref="E311:E319" ca="1" si="349">D311-C311</f>
        <v>-0.24500000000000011</v>
      </c>
      <c r="F311" s="506">
        <f>AQ405</f>
        <v>0</v>
      </c>
      <c r="G311" s="391"/>
      <c r="H311" s="391"/>
      <c r="O311" s="442"/>
      <c r="P311" s="442"/>
      <c r="Q311" s="442"/>
      <c r="R311" s="442"/>
      <c r="S311" s="442"/>
      <c r="X311" s="396"/>
      <c r="Y311" s="396"/>
      <c r="AC311" s="443"/>
      <c r="AE311" s="461"/>
      <c r="AF311" s="442"/>
      <c r="AG311" s="442"/>
      <c r="AI311" s="443"/>
      <c r="AJ311" s="396"/>
      <c r="AK311" s="461"/>
      <c r="AL311" s="442"/>
      <c r="AM311" s="442"/>
      <c r="AO311" s="443"/>
      <c r="AP311" s="396"/>
      <c r="AQ311" s="461"/>
      <c r="AR311" s="442"/>
      <c r="AS311" s="442"/>
      <c r="AU311" s="443"/>
      <c r="AV311" s="396"/>
      <c r="AW311" s="461"/>
      <c r="AX311" s="442"/>
      <c r="AY311" s="442"/>
      <c r="BA311" s="443"/>
      <c r="BB311" s="396"/>
      <c r="BC311" s="461"/>
      <c r="BD311" s="442"/>
      <c r="BE311" s="442"/>
      <c r="BG311" s="443"/>
      <c r="BH311" s="396"/>
      <c r="BI311" s="461"/>
      <c r="BJ311" s="442"/>
      <c r="BK311" s="442"/>
      <c r="BM311" s="443"/>
      <c r="BN311" s="396"/>
      <c r="BO311" s="461"/>
      <c r="BP311" s="442"/>
      <c r="BQ311" s="442"/>
      <c r="BS311" s="443"/>
      <c r="BT311" s="396"/>
      <c r="BU311" s="461"/>
      <c r="BV311" s="442"/>
      <c r="BW311" s="443"/>
      <c r="BX311" s="396"/>
      <c r="BY311" s="461"/>
      <c r="BZ311" s="442"/>
      <c r="CA311" s="442"/>
      <c r="CB311" s="392"/>
      <c r="CC311" s="443"/>
      <c r="CG311" s="396"/>
      <c r="CH311" s="391"/>
      <c r="CM311" s="396"/>
      <c r="CN311" s="391"/>
      <c r="CS311" s="396"/>
    </row>
    <row r="312" spans="2:97" ht="54" customHeight="1">
      <c r="B312" s="507" t="s">
        <v>359</v>
      </c>
      <c r="C312" s="505">
        <f t="shared" ref="C312:C320" si="350">C311</f>
        <v>5</v>
      </c>
      <c r="D312" s="505">
        <f ca="1">(FORECAST(C312,OFFSET($D$260:$D$271,MATCH($C$298,$B$260:$B$271,1)-1,0,2),OFFSET($B$260:$B$271,MATCH(C312,$B$260:$B$271,1)-1,0,2)))+C312</f>
        <v>4.7549999999999999</v>
      </c>
      <c r="E312" s="505">
        <f t="shared" ca="1" si="349"/>
        <v>-0.24500000000000011</v>
      </c>
      <c r="F312" s="506">
        <f t="shared" ref="F312:F320" si="351">AQ406</f>
        <v>0</v>
      </c>
      <c r="G312" s="391"/>
      <c r="H312" s="391"/>
      <c r="O312" s="442"/>
      <c r="P312" s="442"/>
      <c r="Q312" s="442"/>
      <c r="R312" s="442"/>
      <c r="S312" s="442"/>
      <c r="X312" s="396"/>
      <c r="Y312" s="396"/>
      <c r="Z312" s="466"/>
      <c r="AA312" s="497"/>
      <c r="AC312" s="443"/>
      <c r="AE312" s="497"/>
      <c r="AF312" s="466"/>
      <c r="AG312" s="497"/>
      <c r="AI312" s="443"/>
      <c r="AJ312" s="396"/>
      <c r="AK312" s="497"/>
      <c r="AL312" s="466"/>
      <c r="AM312" s="497"/>
      <c r="AO312" s="443"/>
      <c r="AP312" s="396"/>
      <c r="AQ312" s="497"/>
      <c r="AR312" s="497"/>
      <c r="AS312" s="497"/>
      <c r="AU312" s="443"/>
      <c r="AV312" s="396"/>
      <c r="AW312" s="497"/>
      <c r="AX312" s="442"/>
      <c r="AY312" s="497"/>
      <c r="BA312" s="443"/>
      <c r="BB312" s="396"/>
      <c r="BC312" s="497"/>
      <c r="BD312" s="442"/>
      <c r="BE312" s="497"/>
      <c r="BG312" s="443"/>
      <c r="BH312" s="396"/>
      <c r="BI312" s="497"/>
      <c r="BJ312" s="442"/>
      <c r="BK312" s="497"/>
      <c r="BM312" s="443"/>
      <c r="BN312" s="396"/>
      <c r="BO312" s="497"/>
      <c r="BP312" s="442"/>
      <c r="BQ312" s="497"/>
      <c r="BS312" s="443"/>
      <c r="BT312" s="396"/>
      <c r="BU312" s="497"/>
      <c r="BV312" s="442"/>
      <c r="BW312" s="443"/>
      <c r="BX312" s="396"/>
      <c r="BY312" s="497"/>
      <c r="BZ312" s="466"/>
      <c r="CA312" s="497"/>
      <c r="CB312" s="392"/>
      <c r="CC312" s="443"/>
      <c r="CG312" s="396"/>
      <c r="CH312" s="391"/>
      <c r="CM312" s="396"/>
      <c r="CN312" s="391"/>
      <c r="CS312" s="396"/>
    </row>
    <row r="313" spans="2:97" ht="49.5" customHeight="1">
      <c r="B313" s="507" t="s">
        <v>360</v>
      </c>
      <c r="C313" s="505">
        <f t="shared" si="350"/>
        <v>5</v>
      </c>
      <c r="D313" s="505">
        <f ca="1">(FORECAST(C313,OFFSET($E$260:$E$271,MATCH(C313,$B$260:$B$271,1)-1,0,2),OFFSET($B$260:$B$271,MATCH(C313,$B$260:$B$271,1)-1,0,2)))+C313</f>
        <v>4.835</v>
      </c>
      <c r="E313" s="505">
        <f t="shared" ca="1" si="349"/>
        <v>-0.16500000000000004</v>
      </c>
      <c r="F313" s="506">
        <f t="shared" si="351"/>
        <v>0</v>
      </c>
      <c r="G313" s="391"/>
      <c r="H313" s="391"/>
      <c r="O313" s="442"/>
      <c r="P313" s="442"/>
      <c r="Q313" s="442"/>
      <c r="R313" s="442"/>
      <c r="S313" s="442"/>
      <c r="X313" s="396"/>
      <c r="Y313" s="396"/>
      <c r="AC313" s="443"/>
      <c r="AE313" s="461"/>
      <c r="AF313" s="442"/>
      <c r="AG313" s="442"/>
      <c r="AI313" s="443"/>
      <c r="AJ313" s="396"/>
      <c r="AK313" s="461"/>
      <c r="AL313" s="442"/>
      <c r="AM313" s="442"/>
      <c r="AO313" s="443"/>
      <c r="AP313" s="396"/>
      <c r="AQ313" s="461"/>
      <c r="AR313" s="442"/>
      <c r="AS313" s="442"/>
      <c r="AU313" s="443"/>
      <c r="AV313" s="396"/>
      <c r="AW313" s="461"/>
      <c r="AX313" s="442"/>
      <c r="AY313" s="442"/>
      <c r="BA313" s="443"/>
      <c r="BB313" s="396"/>
      <c r="BC313" s="461"/>
      <c r="BD313" s="442"/>
      <c r="BE313" s="442"/>
      <c r="BG313" s="443"/>
      <c r="BH313" s="396"/>
      <c r="BI313" s="461"/>
      <c r="BJ313" s="442"/>
      <c r="BK313" s="442"/>
      <c r="BM313" s="443"/>
      <c r="BN313" s="396"/>
      <c r="BO313" s="461"/>
      <c r="BP313" s="442"/>
      <c r="BQ313" s="442"/>
      <c r="BS313" s="443"/>
      <c r="BT313" s="396"/>
      <c r="BU313" s="461"/>
      <c r="BV313" s="442"/>
      <c r="BW313" s="443"/>
      <c r="BX313" s="396"/>
      <c r="BY313" s="461"/>
      <c r="BZ313" s="442"/>
      <c r="CA313" s="442"/>
      <c r="CB313" s="392"/>
      <c r="CC313" s="443"/>
      <c r="CG313" s="396"/>
      <c r="CH313" s="391"/>
      <c r="CM313" s="396"/>
      <c r="CN313" s="391"/>
      <c r="CS313" s="396"/>
    </row>
    <row r="314" spans="2:97" ht="48" customHeight="1">
      <c r="B314" s="507" t="s">
        <v>361</v>
      </c>
      <c r="C314" s="505">
        <f t="shared" si="350"/>
        <v>5</v>
      </c>
      <c r="D314" s="505">
        <f ca="1">(FORECAST(C314,OFFSET($F$260:$F$271,MATCH(C314,$B$260:$B$271,1)-1,0,2),OFFSET($B$260:$B$271,MATCH(C314,$B$260:$B$271,1)-1,0,2)))+C314</f>
        <v>4.8499999999999996</v>
      </c>
      <c r="E314" s="505">
        <f t="shared" ca="1" si="349"/>
        <v>-0.15000000000000036</v>
      </c>
      <c r="F314" s="506">
        <f t="shared" si="351"/>
        <v>0</v>
      </c>
      <c r="G314" s="391"/>
      <c r="H314" s="391"/>
      <c r="O314" s="442"/>
      <c r="P314" s="442"/>
      <c r="Q314" s="442"/>
      <c r="R314" s="442"/>
      <c r="S314" s="442"/>
      <c r="X314" s="396"/>
      <c r="Y314" s="396"/>
      <c r="AC314" s="443"/>
      <c r="AE314" s="461"/>
      <c r="AF314" s="442"/>
      <c r="AG314" s="442"/>
      <c r="AI314" s="443"/>
      <c r="AJ314" s="396"/>
      <c r="AK314" s="461"/>
      <c r="AL314" s="442"/>
      <c r="AM314" s="442"/>
      <c r="AO314" s="443"/>
      <c r="AP314" s="396"/>
      <c r="AQ314" s="461"/>
      <c r="AR314" s="442"/>
      <c r="AS314" s="442"/>
      <c r="AU314" s="443"/>
      <c r="AV314" s="396"/>
      <c r="AW314" s="461"/>
      <c r="AX314" s="442"/>
      <c r="AY314" s="442"/>
      <c r="BA314" s="443"/>
      <c r="BB314" s="396"/>
      <c r="BC314" s="461"/>
      <c r="BD314" s="442"/>
      <c r="BE314" s="442"/>
      <c r="BG314" s="443"/>
      <c r="BH314" s="396"/>
      <c r="BI314" s="461"/>
      <c r="BJ314" s="442"/>
      <c r="BK314" s="442"/>
      <c r="BM314" s="443"/>
      <c r="BN314" s="396"/>
      <c r="BO314" s="461"/>
      <c r="BP314" s="442"/>
      <c r="BQ314" s="442"/>
      <c r="BS314" s="443"/>
      <c r="BT314" s="396"/>
      <c r="BU314" s="461"/>
      <c r="BV314" s="442"/>
      <c r="BW314" s="443"/>
      <c r="BX314" s="396"/>
      <c r="BY314" s="461"/>
      <c r="BZ314" s="442"/>
      <c r="CA314" s="442"/>
      <c r="CB314" s="392"/>
      <c r="CC314" s="443"/>
      <c r="CG314" s="396"/>
      <c r="CH314" s="391"/>
      <c r="CM314" s="396"/>
      <c r="CN314" s="391"/>
      <c r="CS314" s="396"/>
    </row>
    <row r="315" spans="2:97" ht="49.5" customHeight="1">
      <c r="B315" s="507" t="s">
        <v>362</v>
      </c>
      <c r="C315" s="505">
        <f t="shared" si="350"/>
        <v>5</v>
      </c>
      <c r="D315" s="505">
        <f ca="1">(FORECAST(C315,OFFSET($G$260:$G$271,MATCH(C315,$B$260:$B$271,1)-1,0,2),OFFSET($B$260:$B$271,MATCH(C315,$B$260:$B$271,1)-1,0,2)))+C315</f>
        <v>4.8449999999999998</v>
      </c>
      <c r="E315" s="505">
        <f t="shared" ca="1" si="349"/>
        <v>-0.15500000000000025</v>
      </c>
      <c r="F315" s="506">
        <f t="shared" si="351"/>
        <v>0</v>
      </c>
      <c r="G315" s="391"/>
      <c r="H315" s="391"/>
      <c r="O315" s="442"/>
      <c r="P315" s="442"/>
      <c r="Q315" s="442"/>
      <c r="R315" s="442"/>
      <c r="S315" s="442"/>
      <c r="X315" s="396"/>
      <c r="Y315" s="396"/>
      <c r="AC315" s="443"/>
      <c r="AE315" s="461"/>
      <c r="AF315" s="442"/>
      <c r="AG315" s="442"/>
      <c r="AI315" s="443"/>
      <c r="AJ315" s="396"/>
      <c r="AK315" s="461"/>
      <c r="AL315" s="442"/>
      <c r="AM315" s="442"/>
      <c r="AO315" s="443"/>
      <c r="AP315" s="396"/>
      <c r="AQ315" s="461"/>
      <c r="AR315" s="442"/>
      <c r="AS315" s="442"/>
      <c r="AU315" s="443"/>
      <c r="AV315" s="396"/>
      <c r="AW315" s="461"/>
      <c r="AX315" s="442"/>
      <c r="AY315" s="442"/>
      <c r="BA315" s="443"/>
      <c r="BB315" s="396"/>
      <c r="BC315" s="461"/>
      <c r="BD315" s="442"/>
      <c r="BE315" s="442"/>
      <c r="BG315" s="443"/>
      <c r="BH315" s="396"/>
      <c r="BI315" s="461"/>
      <c r="BJ315" s="442"/>
      <c r="BK315" s="442"/>
      <c r="BM315" s="443"/>
      <c r="BN315" s="396"/>
      <c r="BO315" s="461"/>
      <c r="BP315" s="442"/>
      <c r="BQ315" s="442"/>
      <c r="BS315" s="443"/>
      <c r="BT315" s="396"/>
      <c r="BU315" s="461"/>
      <c r="BV315" s="442"/>
      <c r="BW315" s="443"/>
      <c r="BX315" s="396"/>
      <c r="BY315" s="461"/>
      <c r="BZ315" s="442"/>
      <c r="CA315" s="442"/>
      <c r="CB315" s="392"/>
      <c r="CC315" s="443"/>
      <c r="CG315" s="396"/>
      <c r="CH315" s="391"/>
      <c r="CM315" s="396"/>
      <c r="CN315" s="391"/>
      <c r="CS315" s="396"/>
    </row>
    <row r="316" spans="2:97" ht="40.5" customHeight="1">
      <c r="B316" s="507" t="s">
        <v>363</v>
      </c>
      <c r="C316" s="505">
        <f t="shared" si="350"/>
        <v>5</v>
      </c>
      <c r="D316" s="505">
        <f ca="1">(FORECAST(C316,OFFSET($H$260:$H$271,MATCH(C316,$B$260:$B$271,1)-1,0,2),OFFSET($B$260:$B$271,MATCH(C316,$B$260:$B$271,1)-1,0,2)))+C316</f>
        <v>4.8650000000000002</v>
      </c>
      <c r="E316" s="505">
        <f t="shared" ca="1" si="349"/>
        <v>-0.13499999999999979</v>
      </c>
      <c r="F316" s="506">
        <f t="shared" si="351"/>
        <v>0</v>
      </c>
      <c r="G316" s="391"/>
      <c r="H316" s="391"/>
      <c r="O316" s="442"/>
      <c r="P316" s="442"/>
      <c r="Q316" s="442"/>
      <c r="R316" s="442"/>
      <c r="S316" s="442"/>
      <c r="X316" s="396"/>
      <c r="Y316" s="396"/>
      <c r="AC316" s="443"/>
      <c r="AE316" s="461"/>
      <c r="AF316" s="442"/>
      <c r="AG316" s="442"/>
      <c r="AI316" s="443"/>
      <c r="AJ316" s="396"/>
      <c r="AK316" s="461"/>
      <c r="AL316" s="442"/>
      <c r="AM316" s="442"/>
      <c r="AO316" s="443"/>
      <c r="AP316" s="396"/>
      <c r="AQ316" s="461"/>
      <c r="AR316" s="442"/>
      <c r="AS316" s="442"/>
      <c r="AU316" s="443"/>
      <c r="AV316" s="396"/>
      <c r="AW316" s="461"/>
      <c r="AX316" s="442"/>
      <c r="AY316" s="442"/>
      <c r="BA316" s="443"/>
      <c r="BB316" s="396"/>
      <c r="BC316" s="461"/>
      <c r="BD316" s="442"/>
      <c r="BE316" s="442"/>
      <c r="BG316" s="443"/>
      <c r="BH316" s="396"/>
      <c r="BI316" s="461"/>
      <c r="BJ316" s="442"/>
      <c r="BK316" s="442"/>
      <c r="BM316" s="443"/>
      <c r="BN316" s="396"/>
      <c r="BO316" s="461"/>
      <c r="BP316" s="442"/>
      <c r="BQ316" s="442"/>
      <c r="BS316" s="443"/>
      <c r="BT316" s="396"/>
      <c r="BU316" s="461"/>
      <c r="BV316" s="442"/>
      <c r="BW316" s="443"/>
      <c r="BX316" s="396"/>
      <c r="BY316" s="461"/>
      <c r="BZ316" s="442"/>
      <c r="CA316" s="442"/>
      <c r="CB316" s="392"/>
      <c r="CC316" s="443"/>
      <c r="CG316" s="396"/>
      <c r="CH316" s="391"/>
      <c r="CM316" s="396"/>
      <c r="CN316" s="391"/>
      <c r="CS316" s="396"/>
    </row>
    <row r="317" spans="2:97" ht="45.75" customHeight="1">
      <c r="B317" s="507" t="s">
        <v>364</v>
      </c>
      <c r="C317" s="505">
        <f t="shared" si="350"/>
        <v>5</v>
      </c>
      <c r="D317" s="505">
        <f ca="1">(FORECAST(C317,OFFSET($I$260:$I$271,MATCH(C317,$B$260:$B$271,1)-1,0,2),OFFSET($B$260:$B$271,MATCH(C317,$B$260:$B$271,1)-1,0,2)))+C317</f>
        <v>4.8449999999999998</v>
      </c>
      <c r="E317" s="505">
        <f t="shared" ca="1" si="349"/>
        <v>-0.15500000000000025</v>
      </c>
      <c r="F317" s="506">
        <f t="shared" si="351"/>
        <v>0</v>
      </c>
      <c r="G317" s="391"/>
      <c r="N317" s="442"/>
      <c r="O317" s="442"/>
      <c r="P317" s="442"/>
      <c r="Q317" s="442"/>
      <c r="R317" s="442"/>
      <c r="S317" s="442"/>
      <c r="W317" s="396"/>
      <c r="X317" s="396"/>
      <c r="AB317" s="443"/>
      <c r="AD317" s="461"/>
      <c r="AE317" s="442"/>
      <c r="AF317" s="442"/>
      <c r="AG317" s="442"/>
      <c r="AH317" s="443"/>
      <c r="AJ317" s="461"/>
      <c r="AK317" s="442"/>
      <c r="AL317" s="442"/>
      <c r="AM317" s="442"/>
      <c r="AN317" s="443"/>
      <c r="AP317" s="461"/>
      <c r="AQ317" s="442"/>
      <c r="AR317" s="442"/>
      <c r="AS317" s="442"/>
      <c r="AT317" s="443"/>
      <c r="AV317" s="461"/>
      <c r="AW317" s="442"/>
      <c r="AX317" s="442"/>
      <c r="AY317" s="442"/>
      <c r="AZ317" s="443"/>
      <c r="BB317" s="461"/>
      <c r="BC317" s="442"/>
      <c r="BD317" s="442"/>
      <c r="BE317" s="442"/>
      <c r="BF317" s="443"/>
      <c r="BH317" s="461"/>
      <c r="BI317" s="442"/>
      <c r="BJ317" s="442"/>
      <c r="BK317" s="442"/>
      <c r="BL317" s="443"/>
      <c r="BN317" s="461"/>
      <c r="BO317" s="442"/>
      <c r="BP317" s="442"/>
      <c r="BQ317" s="442"/>
      <c r="BR317" s="443"/>
      <c r="BT317" s="461"/>
      <c r="BU317" s="442"/>
      <c r="BV317" s="443"/>
      <c r="BX317" s="461"/>
      <c r="BY317" s="442"/>
      <c r="BZ317" s="442"/>
      <c r="CA317" s="392"/>
      <c r="CB317" s="443"/>
      <c r="CS317" s="396"/>
    </row>
    <row r="318" spans="2:97" ht="39.75" customHeight="1">
      <c r="B318" s="507" t="s">
        <v>365</v>
      </c>
      <c r="C318" s="505">
        <f t="shared" si="350"/>
        <v>5</v>
      </c>
      <c r="D318" s="505">
        <f ca="1">(FORECAST(C318,OFFSET($J$260:$J$271,MATCH(C318,$B$260:$B$271,1)-1,0,2),OFFSET($B$260:$B$271,MATCH(C318,$B$260:$B$271,1)-1,0,2)))+C318</f>
        <v>4.8449999999999998</v>
      </c>
      <c r="E318" s="505">
        <f t="shared" ca="1" si="349"/>
        <v>-0.15500000000000025</v>
      </c>
      <c r="F318" s="506">
        <f t="shared" si="351"/>
        <v>0</v>
      </c>
      <c r="G318" s="391"/>
      <c r="H318" s="391"/>
      <c r="O318" s="442"/>
      <c r="P318" s="442"/>
      <c r="Q318" s="442"/>
      <c r="R318" s="442"/>
      <c r="S318" s="442"/>
      <c r="X318" s="396"/>
      <c r="Y318" s="396"/>
      <c r="AC318" s="443"/>
      <c r="AE318" s="461"/>
      <c r="AF318" s="442"/>
      <c r="AG318" s="442"/>
      <c r="AI318" s="443"/>
      <c r="AJ318" s="396"/>
      <c r="AK318" s="461"/>
      <c r="AL318" s="442"/>
      <c r="AM318" s="442"/>
      <c r="AO318" s="443"/>
      <c r="AP318" s="396"/>
      <c r="AQ318" s="461"/>
      <c r="AR318" s="442"/>
      <c r="AS318" s="442"/>
      <c r="AU318" s="443"/>
      <c r="AV318" s="396"/>
      <c r="AW318" s="461"/>
      <c r="AX318" s="442"/>
      <c r="AY318" s="442"/>
      <c r="BA318" s="443"/>
      <c r="BB318" s="396"/>
      <c r="BC318" s="461"/>
      <c r="BD318" s="442"/>
      <c r="BE318" s="442"/>
      <c r="BG318" s="443"/>
      <c r="BH318" s="396"/>
      <c r="BI318" s="461"/>
      <c r="BJ318" s="442"/>
      <c r="BK318" s="442"/>
      <c r="BM318" s="443"/>
      <c r="BN318" s="396"/>
      <c r="BO318" s="461"/>
      <c r="BP318" s="442"/>
      <c r="BQ318" s="442"/>
      <c r="BS318" s="443"/>
      <c r="BT318" s="396"/>
      <c r="BU318" s="461"/>
      <c r="BV318" s="442"/>
      <c r="BW318" s="443"/>
      <c r="BX318" s="396"/>
      <c r="BY318" s="461"/>
      <c r="BZ318" s="442"/>
      <c r="CA318" s="442"/>
      <c r="CB318" s="392"/>
      <c r="CC318" s="443"/>
      <c r="CG318" s="396"/>
      <c r="CH318" s="391"/>
      <c r="CM318" s="396"/>
      <c r="CN318" s="391"/>
      <c r="CS318" s="396"/>
    </row>
    <row r="319" spans="2:97" ht="41.25" customHeight="1">
      <c r="B319" s="507" t="s">
        <v>366</v>
      </c>
      <c r="C319" s="505">
        <f t="shared" si="350"/>
        <v>5</v>
      </c>
      <c r="D319" s="505">
        <f>_xlfn.FORECAST.LINEAR(C319,K260:K271,B260:B271)+C319</f>
        <v>5.0000010000000001</v>
      </c>
      <c r="E319" s="505">
        <f t="shared" si="349"/>
        <v>1.000000000139778E-6</v>
      </c>
      <c r="F319" s="506">
        <f t="shared" si="351"/>
        <v>0</v>
      </c>
      <c r="G319" s="391"/>
      <c r="H319" s="391"/>
      <c r="O319" s="442"/>
      <c r="P319" s="442"/>
      <c r="Q319" s="442"/>
      <c r="R319" s="442"/>
      <c r="S319" s="442"/>
      <c r="X319" s="396"/>
      <c r="Y319" s="396"/>
      <c r="AC319" s="443"/>
      <c r="AE319" s="461"/>
      <c r="AF319" s="442"/>
      <c r="AG319" s="442"/>
      <c r="AI319" s="443"/>
      <c r="AJ319" s="396"/>
      <c r="AK319" s="461"/>
      <c r="AL319" s="442"/>
      <c r="AM319" s="442"/>
      <c r="AO319" s="443"/>
      <c r="AP319" s="396"/>
      <c r="AQ319" s="461"/>
      <c r="AR319" s="442"/>
      <c r="AS319" s="442"/>
      <c r="AU319" s="443"/>
      <c r="AV319" s="396"/>
      <c r="AW319" s="461"/>
      <c r="AX319" s="442"/>
      <c r="AY319" s="442"/>
      <c r="BA319" s="443"/>
      <c r="BB319" s="396"/>
      <c r="BC319" s="461"/>
      <c r="BD319" s="442"/>
      <c r="BE319" s="442"/>
      <c r="BG319" s="443"/>
      <c r="BH319" s="396"/>
      <c r="BI319" s="461"/>
      <c r="BJ319" s="442"/>
      <c r="BK319" s="442"/>
      <c r="BM319" s="443"/>
      <c r="BN319" s="396"/>
      <c r="BO319" s="461"/>
      <c r="BP319" s="442"/>
      <c r="BQ319" s="442"/>
      <c r="BS319" s="443"/>
      <c r="BT319" s="396"/>
      <c r="BU319" s="461"/>
      <c r="BV319" s="442"/>
      <c r="BW319" s="443"/>
      <c r="BX319" s="396"/>
      <c r="BY319" s="461"/>
      <c r="BZ319" s="442"/>
      <c r="CA319" s="442"/>
      <c r="CB319" s="392"/>
      <c r="CC319" s="443"/>
      <c r="CG319" s="396"/>
      <c r="CH319" s="391"/>
      <c r="CM319" s="396"/>
      <c r="CN319" s="391"/>
      <c r="CS319" s="396"/>
    </row>
    <row r="320" spans="2:97" ht="41.25" customHeight="1">
      <c r="B320" s="507" t="s">
        <v>367</v>
      </c>
      <c r="C320" s="505">
        <f t="shared" si="350"/>
        <v>5</v>
      </c>
      <c r="D320" s="505">
        <f>_xlfn.FORECAST.LINEAR(C320,L260:L271,B260:B271)+C320</f>
        <v>5.0000010000000001</v>
      </c>
      <c r="E320" s="505">
        <f>D320-C320</f>
        <v>1.000000000139778E-6</v>
      </c>
      <c r="F320" s="506">
        <f t="shared" si="351"/>
        <v>0</v>
      </c>
      <c r="G320" s="391"/>
      <c r="H320" s="391"/>
      <c r="O320" s="442"/>
      <c r="P320" s="442"/>
      <c r="Q320" s="442"/>
      <c r="R320" s="442"/>
      <c r="S320" s="442"/>
      <c r="X320" s="396"/>
      <c r="Y320" s="396"/>
      <c r="AC320" s="443"/>
      <c r="AE320" s="461"/>
      <c r="AF320" s="442"/>
      <c r="AG320" s="442"/>
      <c r="AI320" s="443"/>
      <c r="AJ320" s="396"/>
      <c r="AK320" s="461"/>
      <c r="AL320" s="442"/>
      <c r="AM320" s="442"/>
      <c r="AO320" s="443"/>
      <c r="AP320" s="396"/>
      <c r="AQ320" s="461"/>
      <c r="AR320" s="442"/>
      <c r="AS320" s="442"/>
      <c r="AU320" s="443"/>
      <c r="AV320" s="396"/>
      <c r="AW320" s="461"/>
      <c r="AX320" s="442"/>
      <c r="AY320" s="442"/>
      <c r="BA320" s="443"/>
      <c r="BB320" s="396"/>
      <c r="BC320" s="461"/>
      <c r="BD320" s="442"/>
      <c r="BE320" s="442"/>
      <c r="BG320" s="443"/>
      <c r="BH320" s="396"/>
      <c r="BI320" s="461"/>
      <c r="BJ320" s="442"/>
      <c r="BK320" s="442"/>
      <c r="BM320" s="443"/>
      <c r="BN320" s="396"/>
      <c r="BO320" s="461"/>
      <c r="BP320" s="442"/>
      <c r="BQ320" s="442"/>
      <c r="BS320" s="443"/>
      <c r="BT320" s="396"/>
      <c r="BU320" s="461"/>
      <c r="BV320" s="442"/>
      <c r="BW320" s="443"/>
      <c r="BX320" s="396"/>
      <c r="BY320" s="461"/>
      <c r="BZ320" s="442"/>
      <c r="CA320" s="442"/>
      <c r="CB320" s="392"/>
      <c r="CC320" s="443"/>
      <c r="CG320" s="396"/>
      <c r="CH320" s="391"/>
      <c r="CM320" s="396"/>
      <c r="CN320" s="391"/>
      <c r="CS320" s="396"/>
    </row>
    <row r="321" spans="2:97" ht="13.95" customHeight="1">
      <c r="B321" s="391"/>
      <c r="C321" s="391"/>
      <c r="J321" s="442"/>
      <c r="K321" s="442"/>
      <c r="L321" s="442"/>
      <c r="M321" s="442"/>
      <c r="N321" s="442"/>
      <c r="O321" s="442"/>
      <c r="P321" s="442"/>
      <c r="Q321" s="442"/>
      <c r="R321" s="442"/>
      <c r="T321" s="396"/>
      <c r="X321" s="443"/>
      <c r="Y321" s="396"/>
      <c r="Z321" s="461"/>
      <c r="AC321" s="442"/>
      <c r="AD321" s="443"/>
      <c r="AF321" s="461"/>
      <c r="AG321" s="442"/>
      <c r="AI321" s="442"/>
      <c r="AL321" s="461"/>
      <c r="AM321" s="442"/>
      <c r="AO321" s="442"/>
      <c r="AR321" s="461"/>
      <c r="AS321" s="442"/>
      <c r="AU321" s="442"/>
      <c r="AX321" s="461"/>
      <c r="AY321" s="442"/>
      <c r="BA321" s="442"/>
      <c r="BD321" s="461"/>
      <c r="BE321" s="442"/>
      <c r="BG321" s="442"/>
      <c r="BJ321" s="461"/>
      <c r="BK321" s="442"/>
      <c r="BM321" s="442"/>
      <c r="BP321" s="461"/>
      <c r="BQ321" s="442"/>
      <c r="BR321" s="443"/>
      <c r="BT321" s="461"/>
      <c r="BU321" s="442"/>
      <c r="BV321" s="442"/>
      <c r="BW321" s="392"/>
      <c r="BX321" s="443"/>
      <c r="BZ321" s="396"/>
      <c r="CC321" s="391"/>
      <c r="CG321" s="396"/>
      <c r="CI321" s="391"/>
      <c r="CM321" s="396"/>
      <c r="CS321" s="396"/>
    </row>
    <row r="322" spans="2:97" ht="13.95" customHeight="1">
      <c r="B322" s="391"/>
      <c r="C322" s="391"/>
      <c r="J322" s="442"/>
      <c r="K322" s="442"/>
      <c r="L322" s="442"/>
      <c r="M322" s="442"/>
      <c r="N322" s="442"/>
      <c r="O322" s="442"/>
      <c r="P322" s="442"/>
      <c r="Q322" s="442"/>
      <c r="R322" s="442"/>
      <c r="T322" s="396"/>
      <c r="X322" s="443"/>
      <c r="Y322" s="396"/>
      <c r="Z322" s="461"/>
      <c r="AC322" s="442"/>
      <c r="AD322" s="443"/>
      <c r="AF322" s="461"/>
      <c r="AG322" s="442"/>
      <c r="AI322" s="442"/>
      <c r="AL322" s="461"/>
      <c r="AM322" s="442"/>
      <c r="AO322" s="442"/>
      <c r="AR322" s="461"/>
      <c r="AS322" s="442"/>
      <c r="AU322" s="442"/>
      <c r="AX322" s="461"/>
      <c r="AY322" s="442"/>
      <c r="BA322" s="442"/>
      <c r="BD322" s="461"/>
      <c r="BE322" s="442"/>
      <c r="BG322" s="442"/>
      <c r="BJ322" s="461"/>
      <c r="BK322" s="442"/>
      <c r="BM322" s="442"/>
      <c r="BP322" s="461"/>
      <c r="BQ322" s="442"/>
      <c r="BR322" s="443"/>
      <c r="BT322" s="461"/>
      <c r="BU322" s="442"/>
      <c r="BV322" s="442"/>
      <c r="BW322" s="392"/>
      <c r="BX322" s="443"/>
      <c r="BZ322" s="396"/>
      <c r="CC322" s="391"/>
      <c r="CG322" s="396"/>
      <c r="CI322" s="391"/>
      <c r="CM322" s="396"/>
      <c r="CS322" s="396"/>
    </row>
    <row r="323" spans="2:97" ht="25.2" customHeight="1">
      <c r="B323" s="516" t="s">
        <v>370</v>
      </c>
      <c r="C323" s="391"/>
      <c r="J323" s="442"/>
      <c r="K323" s="442"/>
      <c r="L323" s="442"/>
      <c r="M323" s="442"/>
      <c r="N323" s="442"/>
      <c r="O323" s="442"/>
      <c r="P323" s="442"/>
      <c r="Q323" s="442"/>
      <c r="R323" s="442"/>
      <c r="T323" s="396"/>
      <c r="X323" s="443"/>
      <c r="Y323" s="396"/>
      <c r="Z323" s="461"/>
      <c r="AC323" s="442"/>
      <c r="AD323" s="443"/>
      <c r="AF323" s="461"/>
      <c r="AG323" s="442"/>
      <c r="AI323" s="442"/>
      <c r="AL323" s="461"/>
      <c r="AM323" s="442"/>
      <c r="AO323" s="442"/>
      <c r="AR323" s="461"/>
      <c r="AS323" s="442"/>
      <c r="AU323" s="442"/>
      <c r="AX323" s="461"/>
      <c r="AY323" s="442"/>
      <c r="BA323" s="442"/>
      <c r="BD323" s="461"/>
      <c r="BE323" s="442"/>
      <c r="BG323" s="442"/>
      <c r="BJ323" s="461"/>
      <c r="BK323" s="442"/>
      <c r="BM323" s="442"/>
      <c r="BP323" s="461"/>
      <c r="BQ323" s="442"/>
      <c r="BR323" s="443"/>
      <c r="BT323" s="461"/>
      <c r="BU323" s="442"/>
      <c r="BV323" s="442"/>
      <c r="BW323" s="392"/>
      <c r="BX323" s="443"/>
      <c r="BZ323" s="396"/>
      <c r="CC323" s="391"/>
      <c r="CG323" s="396"/>
      <c r="CI323" s="391"/>
      <c r="CM323" s="396"/>
      <c r="CS323" s="396"/>
    </row>
    <row r="324" spans="2:97" ht="27" customHeight="1">
      <c r="B324" s="504" t="s">
        <v>353</v>
      </c>
      <c r="C324" s="458" t="s">
        <v>354</v>
      </c>
      <c r="D324" s="504" t="s">
        <v>355</v>
      </c>
      <c r="E324" s="505" t="s">
        <v>356</v>
      </c>
      <c r="F324" s="506" t="s">
        <v>357</v>
      </c>
      <c r="G324" s="391"/>
      <c r="H324" s="391"/>
      <c r="O324" s="442"/>
      <c r="P324" s="442"/>
      <c r="Q324" s="442"/>
      <c r="R324" s="442"/>
      <c r="S324" s="442"/>
      <c r="X324" s="396"/>
      <c r="Y324" s="396"/>
      <c r="AC324" s="443"/>
      <c r="AE324" s="461"/>
      <c r="AF324" s="442"/>
      <c r="AG324" s="442"/>
      <c r="AI324" s="443"/>
      <c r="AJ324" s="396"/>
      <c r="AK324" s="461"/>
      <c r="AL324" s="442"/>
      <c r="AM324" s="442"/>
      <c r="AO324" s="443"/>
      <c r="AP324" s="396"/>
      <c r="AQ324" s="461"/>
      <c r="AR324" s="442"/>
      <c r="AS324" s="442"/>
      <c r="AU324" s="443"/>
      <c r="AV324" s="396"/>
      <c r="AW324" s="461"/>
      <c r="AX324" s="442"/>
      <c r="AY324" s="442"/>
      <c r="BA324" s="443"/>
      <c r="BB324" s="396"/>
      <c r="BC324" s="461"/>
      <c r="BD324" s="442"/>
      <c r="BE324" s="442"/>
      <c r="BG324" s="443"/>
      <c r="BH324" s="396"/>
      <c r="BI324" s="461"/>
      <c r="BJ324" s="442"/>
      <c r="BK324" s="442"/>
      <c r="BM324" s="443"/>
      <c r="BN324" s="396"/>
      <c r="BO324" s="461"/>
      <c r="BP324" s="442"/>
      <c r="BQ324" s="442"/>
      <c r="BS324" s="443"/>
      <c r="BT324" s="396"/>
      <c r="BU324" s="461"/>
      <c r="BV324" s="442"/>
      <c r="BW324" s="443"/>
      <c r="BX324" s="396"/>
      <c r="BY324" s="461"/>
      <c r="BZ324" s="442"/>
      <c r="CA324" s="442"/>
      <c r="CB324" s="392"/>
      <c r="CC324" s="443"/>
      <c r="CG324" s="396"/>
      <c r="CH324" s="391"/>
      <c r="CM324" s="396"/>
      <c r="CN324" s="391"/>
      <c r="CS324" s="396"/>
    </row>
    <row r="325" spans="2:97" ht="50.25" customHeight="1">
      <c r="B325" s="507" t="s">
        <v>358</v>
      </c>
      <c r="C325" s="505">
        <f>ID!J39</f>
        <v>8</v>
      </c>
      <c r="D325" s="505">
        <f ca="1">(FORECAST(C325,OFFSET($C$260:$C$271,MATCH($C$297,$B$260:$B$271,1)-1,0,2),OFFSET($B$260:$B$271,MATCH(C325,$B$260:$B$271,1)-1,0,2)))+C325</f>
        <v>7.74</v>
      </c>
      <c r="E325" s="505">
        <f t="shared" ref="E325:E333" ca="1" si="352">D325-C325</f>
        <v>-0.25999999999999979</v>
      </c>
      <c r="F325" s="506">
        <f>AQ419</f>
        <v>0</v>
      </c>
      <c r="G325" s="391"/>
      <c r="H325" s="391"/>
      <c r="O325" s="442"/>
      <c r="P325" s="442"/>
      <c r="Q325" s="442"/>
      <c r="R325" s="442"/>
      <c r="S325" s="442"/>
      <c r="X325" s="396"/>
      <c r="Y325" s="396"/>
      <c r="AC325" s="443"/>
      <c r="AE325" s="461"/>
      <c r="AF325" s="442"/>
      <c r="AG325" s="442"/>
      <c r="AI325" s="443"/>
      <c r="AJ325" s="396"/>
      <c r="AK325" s="461"/>
      <c r="AL325" s="442"/>
      <c r="AM325" s="442"/>
      <c r="AO325" s="443"/>
      <c r="AP325" s="396"/>
      <c r="AQ325" s="461"/>
      <c r="AR325" s="442"/>
      <c r="AS325" s="442"/>
      <c r="AU325" s="443"/>
      <c r="AV325" s="396"/>
      <c r="AW325" s="461"/>
      <c r="AX325" s="442"/>
      <c r="AY325" s="442"/>
      <c r="BA325" s="443"/>
      <c r="BB325" s="396"/>
      <c r="BC325" s="461"/>
      <c r="BD325" s="442"/>
      <c r="BE325" s="442"/>
      <c r="BG325" s="443"/>
      <c r="BH325" s="396"/>
      <c r="BI325" s="461"/>
      <c r="BJ325" s="442"/>
      <c r="BK325" s="442"/>
      <c r="BM325" s="443"/>
      <c r="BN325" s="396"/>
      <c r="BO325" s="461"/>
      <c r="BP325" s="442"/>
      <c r="BQ325" s="442"/>
      <c r="BS325" s="443"/>
      <c r="BT325" s="396"/>
      <c r="BU325" s="461"/>
      <c r="BV325" s="442"/>
      <c r="BW325" s="443"/>
      <c r="BX325" s="396"/>
      <c r="BY325" s="461"/>
      <c r="BZ325" s="442"/>
      <c r="CA325" s="442"/>
      <c r="CB325" s="392"/>
      <c r="CC325" s="443"/>
      <c r="CG325" s="396"/>
      <c r="CH325" s="391"/>
      <c r="CM325" s="396"/>
      <c r="CN325" s="391"/>
      <c r="CS325" s="396"/>
    </row>
    <row r="326" spans="2:97" ht="54" customHeight="1">
      <c r="B326" s="507" t="s">
        <v>359</v>
      </c>
      <c r="C326" s="505">
        <f t="shared" ref="C326:C334" si="353">C325</f>
        <v>8</v>
      </c>
      <c r="D326" s="505">
        <f ca="1">(FORECAST(C326,OFFSET($D$260:$D$271,MATCH($C$298,$B$260:$B$271,1)-1,0,2),OFFSET($B$260:$B$271,MATCH(C326,$B$260:$B$271,1)-1,0,2)))+C326</f>
        <v>7.74</v>
      </c>
      <c r="E326" s="505">
        <f t="shared" ca="1" si="352"/>
        <v>-0.25999999999999979</v>
      </c>
      <c r="F326" s="506">
        <f t="shared" ref="F326:F334" si="354">AQ420</f>
        <v>0</v>
      </c>
      <c r="G326" s="391"/>
      <c r="H326" s="391"/>
      <c r="O326" s="442"/>
      <c r="P326" s="442"/>
      <c r="Q326" s="442"/>
      <c r="R326" s="442"/>
      <c r="S326" s="442"/>
      <c r="X326" s="396"/>
      <c r="Y326" s="396"/>
      <c r="Z326" s="466"/>
      <c r="AA326" s="497"/>
      <c r="AC326" s="443"/>
      <c r="AE326" s="497"/>
      <c r="AF326" s="466"/>
      <c r="AG326" s="497"/>
      <c r="AI326" s="443"/>
      <c r="AJ326" s="396"/>
      <c r="AK326" s="497"/>
      <c r="AL326" s="466"/>
      <c r="AM326" s="497"/>
      <c r="AO326" s="443"/>
      <c r="AP326" s="396"/>
      <c r="AQ326" s="497"/>
      <c r="AR326" s="497"/>
      <c r="AS326" s="497"/>
      <c r="AU326" s="443"/>
      <c r="AV326" s="396"/>
      <c r="AW326" s="497"/>
      <c r="AX326" s="442"/>
      <c r="AY326" s="497"/>
      <c r="BA326" s="443"/>
      <c r="BB326" s="396"/>
      <c r="BC326" s="497"/>
      <c r="BD326" s="442"/>
      <c r="BE326" s="497"/>
      <c r="BG326" s="443"/>
      <c r="BH326" s="396"/>
      <c r="BI326" s="497"/>
      <c r="BJ326" s="442"/>
      <c r="BK326" s="497"/>
      <c r="BM326" s="443"/>
      <c r="BN326" s="396"/>
      <c r="BO326" s="497"/>
      <c r="BP326" s="442"/>
      <c r="BQ326" s="497"/>
      <c r="BS326" s="443"/>
      <c r="BT326" s="396"/>
      <c r="BU326" s="497"/>
      <c r="BV326" s="442"/>
      <c r="BW326" s="443"/>
      <c r="BX326" s="396"/>
      <c r="BY326" s="497"/>
      <c r="BZ326" s="466"/>
      <c r="CA326" s="497"/>
      <c r="CB326" s="392"/>
      <c r="CC326" s="443"/>
      <c r="CG326" s="396"/>
      <c r="CH326" s="391"/>
      <c r="CM326" s="396"/>
      <c r="CN326" s="391"/>
      <c r="CS326" s="396"/>
    </row>
    <row r="327" spans="2:97" ht="49.5" customHeight="1">
      <c r="B327" s="507" t="s">
        <v>360</v>
      </c>
      <c r="C327" s="505">
        <f t="shared" si="353"/>
        <v>8</v>
      </c>
      <c r="D327" s="505">
        <f ca="1">(FORECAST(C327,OFFSET($E$260:$E$271,MATCH(C327,$B$260:$B$271,1)-1,0,2),OFFSET($B$260:$B$271,MATCH(C327,$B$260:$B$271,1)-1,0,2)))+C327</f>
        <v>7.87</v>
      </c>
      <c r="E327" s="505">
        <f t="shared" ca="1" si="352"/>
        <v>-0.12999999999999989</v>
      </c>
      <c r="F327" s="506">
        <f t="shared" si="354"/>
        <v>0</v>
      </c>
      <c r="G327" s="391"/>
      <c r="H327" s="391"/>
      <c r="O327" s="442"/>
      <c r="P327" s="442"/>
      <c r="Q327" s="442"/>
      <c r="R327" s="442"/>
      <c r="S327" s="442"/>
      <c r="X327" s="396"/>
      <c r="Y327" s="396"/>
      <c r="AC327" s="443"/>
      <c r="AE327" s="461"/>
      <c r="AF327" s="442"/>
      <c r="AG327" s="442"/>
      <c r="AI327" s="443"/>
      <c r="AJ327" s="396"/>
      <c r="AK327" s="461"/>
      <c r="AL327" s="442"/>
      <c r="AM327" s="442"/>
      <c r="AO327" s="443"/>
      <c r="AP327" s="396"/>
      <c r="AQ327" s="461"/>
      <c r="AR327" s="442"/>
      <c r="AS327" s="442"/>
      <c r="AU327" s="443"/>
      <c r="AV327" s="396"/>
      <c r="AW327" s="461"/>
      <c r="AX327" s="442"/>
      <c r="AY327" s="442"/>
      <c r="BA327" s="443"/>
      <c r="BB327" s="396"/>
      <c r="BC327" s="461"/>
      <c r="BD327" s="442"/>
      <c r="BE327" s="442"/>
      <c r="BG327" s="443"/>
      <c r="BH327" s="396"/>
      <c r="BI327" s="461"/>
      <c r="BJ327" s="442"/>
      <c r="BK327" s="442"/>
      <c r="BM327" s="443"/>
      <c r="BN327" s="396"/>
      <c r="BO327" s="461"/>
      <c r="BP327" s="442"/>
      <c r="BQ327" s="442"/>
      <c r="BS327" s="443"/>
      <c r="BT327" s="396"/>
      <c r="BU327" s="461"/>
      <c r="BV327" s="442"/>
      <c r="BW327" s="443"/>
      <c r="BX327" s="396"/>
      <c r="BY327" s="461"/>
      <c r="BZ327" s="442"/>
      <c r="CA327" s="442"/>
      <c r="CB327" s="392"/>
      <c r="CC327" s="443"/>
      <c r="CG327" s="396"/>
      <c r="CH327" s="391"/>
      <c r="CM327" s="396"/>
      <c r="CN327" s="391"/>
      <c r="CS327" s="396"/>
    </row>
    <row r="328" spans="2:97" ht="48" customHeight="1">
      <c r="B328" s="507" t="s">
        <v>361</v>
      </c>
      <c r="C328" s="505">
        <f t="shared" si="353"/>
        <v>8</v>
      </c>
      <c r="D328" s="505">
        <f ca="1">(FORECAST(C328,OFFSET($F$260:$F$271,MATCH(C328,$B$260:$B$271,1)-1,0,2),OFFSET($B$260:$B$271,MATCH(C328,$B$260:$B$271,1)-1,0,2)))+C328</f>
        <v>7.88</v>
      </c>
      <c r="E328" s="505">
        <f t="shared" ca="1" si="352"/>
        <v>-0.12000000000000011</v>
      </c>
      <c r="F328" s="506">
        <f t="shared" si="354"/>
        <v>0</v>
      </c>
      <c r="G328" s="391"/>
      <c r="H328" s="391"/>
      <c r="O328" s="442"/>
      <c r="P328" s="442"/>
      <c r="Q328" s="442"/>
      <c r="R328" s="442"/>
      <c r="S328" s="442"/>
      <c r="X328" s="396"/>
      <c r="Y328" s="396"/>
      <c r="AC328" s="443"/>
      <c r="AE328" s="461"/>
      <c r="AF328" s="442"/>
      <c r="AG328" s="442"/>
      <c r="AI328" s="443"/>
      <c r="AJ328" s="396"/>
      <c r="AK328" s="461"/>
      <c r="AL328" s="442"/>
      <c r="AM328" s="442"/>
      <c r="AO328" s="443"/>
      <c r="AP328" s="396"/>
      <c r="AQ328" s="461"/>
      <c r="AR328" s="442"/>
      <c r="AS328" s="442"/>
      <c r="AU328" s="443"/>
      <c r="AV328" s="396"/>
      <c r="AW328" s="461"/>
      <c r="AX328" s="442"/>
      <c r="AY328" s="442"/>
      <c r="BA328" s="443"/>
      <c r="BB328" s="396"/>
      <c r="BC328" s="461"/>
      <c r="BD328" s="442"/>
      <c r="BE328" s="442"/>
      <c r="BG328" s="443"/>
      <c r="BH328" s="396"/>
      <c r="BI328" s="461"/>
      <c r="BJ328" s="442"/>
      <c r="BK328" s="442"/>
      <c r="BM328" s="443"/>
      <c r="BN328" s="396"/>
      <c r="BO328" s="461"/>
      <c r="BP328" s="442"/>
      <c r="BQ328" s="442"/>
      <c r="BS328" s="443"/>
      <c r="BT328" s="396"/>
      <c r="BU328" s="461"/>
      <c r="BV328" s="442"/>
      <c r="BW328" s="443"/>
      <c r="BX328" s="396"/>
      <c r="BY328" s="461"/>
      <c r="BZ328" s="442"/>
      <c r="CA328" s="442"/>
      <c r="CB328" s="392"/>
      <c r="CC328" s="443"/>
      <c r="CG328" s="396"/>
      <c r="CH328" s="391"/>
      <c r="CM328" s="396"/>
      <c r="CN328" s="391"/>
      <c r="CS328" s="396"/>
    </row>
    <row r="329" spans="2:97" ht="49.5" customHeight="1">
      <c r="B329" s="507" t="s">
        <v>362</v>
      </c>
      <c r="C329" s="505">
        <f t="shared" si="353"/>
        <v>8</v>
      </c>
      <c r="D329" s="505">
        <f ca="1">(FORECAST(C329,OFFSET($G$260:$G$271,MATCH(C329,$B$260:$B$271,1)-1,0,2),OFFSET($B$260:$B$271,MATCH(C329,$B$260:$B$271,1)-1,0,2)))+C329</f>
        <v>7.88</v>
      </c>
      <c r="E329" s="505">
        <f t="shared" ca="1" si="352"/>
        <v>-0.12000000000000011</v>
      </c>
      <c r="F329" s="506">
        <f t="shared" si="354"/>
        <v>0</v>
      </c>
      <c r="G329" s="391"/>
      <c r="H329" s="391"/>
      <c r="O329" s="442"/>
      <c r="P329" s="442"/>
      <c r="Q329" s="442"/>
      <c r="R329" s="442"/>
      <c r="S329" s="442"/>
      <c r="X329" s="396"/>
      <c r="Y329" s="396"/>
      <c r="AC329" s="443"/>
      <c r="AE329" s="461"/>
      <c r="AF329" s="442"/>
      <c r="AG329" s="442"/>
      <c r="AI329" s="443"/>
      <c r="AJ329" s="396"/>
      <c r="AK329" s="461"/>
      <c r="AL329" s="442"/>
      <c r="AM329" s="442"/>
      <c r="AO329" s="443"/>
      <c r="AP329" s="396"/>
      <c r="AQ329" s="461"/>
      <c r="AR329" s="442"/>
      <c r="AS329" s="442"/>
      <c r="AU329" s="443"/>
      <c r="AV329" s="396"/>
      <c r="AW329" s="461"/>
      <c r="AX329" s="442"/>
      <c r="AY329" s="442"/>
      <c r="BA329" s="443"/>
      <c r="BB329" s="396"/>
      <c r="BC329" s="461"/>
      <c r="BD329" s="442"/>
      <c r="BE329" s="442"/>
      <c r="BG329" s="443"/>
      <c r="BH329" s="396"/>
      <c r="BI329" s="461"/>
      <c r="BJ329" s="442"/>
      <c r="BK329" s="442"/>
      <c r="BM329" s="443"/>
      <c r="BN329" s="396"/>
      <c r="BO329" s="461"/>
      <c r="BP329" s="442"/>
      <c r="BQ329" s="442"/>
      <c r="BS329" s="443"/>
      <c r="BT329" s="396"/>
      <c r="BU329" s="461"/>
      <c r="BV329" s="442"/>
      <c r="BW329" s="443"/>
      <c r="BX329" s="396"/>
      <c r="BY329" s="461"/>
      <c r="BZ329" s="442"/>
      <c r="CA329" s="442"/>
      <c r="CB329" s="392"/>
      <c r="CC329" s="443"/>
      <c r="CG329" s="396"/>
      <c r="CH329" s="391"/>
      <c r="CM329" s="396"/>
      <c r="CN329" s="391"/>
      <c r="CS329" s="396"/>
    </row>
    <row r="330" spans="2:97" ht="40.5" customHeight="1">
      <c r="B330" s="507" t="s">
        <v>363</v>
      </c>
      <c r="C330" s="505">
        <f t="shared" si="353"/>
        <v>8</v>
      </c>
      <c r="D330" s="505">
        <f ca="1">(FORECAST(C330,OFFSET($H$260:$H$271,MATCH(C330,$B$260:$B$271,1)-1,0,2),OFFSET($B$260:$B$271,MATCH(C330,$B$260:$B$271,1)-1,0,2)))+C330</f>
        <v>7.9</v>
      </c>
      <c r="E330" s="505">
        <f t="shared" ca="1" si="352"/>
        <v>-9.9999999999999645E-2</v>
      </c>
      <c r="F330" s="506">
        <f t="shared" si="354"/>
        <v>0</v>
      </c>
      <c r="G330" s="391"/>
      <c r="H330" s="391"/>
      <c r="O330" s="442"/>
      <c r="P330" s="442"/>
      <c r="Q330" s="442"/>
      <c r="R330" s="442"/>
      <c r="S330" s="442"/>
      <c r="X330" s="396"/>
      <c r="Y330" s="396"/>
      <c r="AC330" s="443"/>
      <c r="AE330" s="461"/>
      <c r="AF330" s="442"/>
      <c r="AG330" s="442"/>
      <c r="AI330" s="443"/>
      <c r="AJ330" s="396"/>
      <c r="AK330" s="461"/>
      <c r="AL330" s="442"/>
      <c r="AM330" s="442"/>
      <c r="AO330" s="443"/>
      <c r="AP330" s="396"/>
      <c r="AQ330" s="461"/>
      <c r="AR330" s="442"/>
      <c r="AS330" s="442"/>
      <c r="AU330" s="443"/>
      <c r="AV330" s="396"/>
      <c r="AW330" s="461"/>
      <c r="AX330" s="442"/>
      <c r="AY330" s="442"/>
      <c r="BA330" s="443"/>
      <c r="BB330" s="396"/>
      <c r="BC330" s="461"/>
      <c r="BD330" s="442"/>
      <c r="BE330" s="442"/>
      <c r="BG330" s="443"/>
      <c r="BH330" s="396"/>
      <c r="BI330" s="461"/>
      <c r="BJ330" s="442"/>
      <c r="BK330" s="442"/>
      <c r="BM330" s="443"/>
      <c r="BN330" s="396"/>
      <c r="BO330" s="461"/>
      <c r="BP330" s="442"/>
      <c r="BQ330" s="442"/>
      <c r="BS330" s="443"/>
      <c r="BT330" s="396"/>
      <c r="BU330" s="461"/>
      <c r="BV330" s="442"/>
      <c r="BW330" s="443"/>
      <c r="BX330" s="396"/>
      <c r="BY330" s="461"/>
      <c r="BZ330" s="442"/>
      <c r="CA330" s="442"/>
      <c r="CB330" s="392"/>
      <c r="CC330" s="443"/>
      <c r="CG330" s="396"/>
      <c r="CH330" s="391"/>
      <c r="CM330" s="396"/>
      <c r="CN330" s="391"/>
      <c r="CS330" s="396"/>
    </row>
    <row r="331" spans="2:97" ht="45.75" customHeight="1">
      <c r="B331" s="507" t="s">
        <v>364</v>
      </c>
      <c r="C331" s="505">
        <f t="shared" si="353"/>
        <v>8</v>
      </c>
      <c r="D331" s="505">
        <f ca="1">(FORECAST(C331,OFFSET($I$260:$I$271,MATCH(C331,$B$260:$B$271,1)-1,0,2),OFFSET($B$260:$B$271,MATCH(C331,$B$260:$B$271,1)-1,0,2)))+C331</f>
        <v>7.88</v>
      </c>
      <c r="E331" s="505">
        <f t="shared" ca="1" si="352"/>
        <v>-0.12000000000000011</v>
      </c>
      <c r="F331" s="506">
        <f t="shared" si="354"/>
        <v>0</v>
      </c>
      <c r="G331" s="391"/>
      <c r="N331" s="442"/>
      <c r="O331" s="442"/>
      <c r="P331" s="442"/>
      <c r="Q331" s="442"/>
      <c r="R331" s="442"/>
      <c r="S331" s="442"/>
      <c r="W331" s="396"/>
      <c r="X331" s="396"/>
      <c r="AB331" s="443"/>
      <c r="AD331" s="461"/>
      <c r="AE331" s="442"/>
      <c r="AF331" s="442"/>
      <c r="AG331" s="442"/>
      <c r="AH331" s="443"/>
      <c r="AJ331" s="461"/>
      <c r="AK331" s="442"/>
      <c r="AL331" s="442"/>
      <c r="AM331" s="442"/>
      <c r="AN331" s="443"/>
      <c r="AP331" s="461"/>
      <c r="AQ331" s="442"/>
      <c r="AR331" s="442"/>
      <c r="AS331" s="442"/>
      <c r="AT331" s="443"/>
      <c r="AV331" s="461"/>
      <c r="AW331" s="442"/>
      <c r="AX331" s="442"/>
      <c r="AY331" s="442"/>
      <c r="AZ331" s="443"/>
      <c r="BB331" s="461"/>
      <c r="BC331" s="442"/>
      <c r="BD331" s="442"/>
      <c r="BE331" s="442"/>
      <c r="BF331" s="443"/>
      <c r="BH331" s="461"/>
      <c r="BI331" s="442"/>
      <c r="BJ331" s="442"/>
      <c r="BK331" s="442"/>
      <c r="BL331" s="443"/>
      <c r="BN331" s="461"/>
      <c r="BO331" s="442"/>
      <c r="BP331" s="442"/>
      <c r="BQ331" s="442"/>
      <c r="BR331" s="443"/>
      <c r="BT331" s="461"/>
      <c r="BU331" s="442"/>
      <c r="BV331" s="443"/>
      <c r="BX331" s="461"/>
      <c r="BY331" s="442"/>
      <c r="BZ331" s="442"/>
      <c r="CA331" s="392"/>
      <c r="CB331" s="443"/>
      <c r="CS331" s="396"/>
    </row>
    <row r="332" spans="2:97" ht="39.75" customHeight="1">
      <c r="B332" s="507" t="s">
        <v>365</v>
      </c>
      <c r="C332" s="505">
        <f t="shared" si="353"/>
        <v>8</v>
      </c>
      <c r="D332" s="505">
        <f ca="1">(FORECAST(C332,OFFSET($J$260:$J$271,MATCH(C332,$B$260:$B$271,1)-1,0,2),OFFSET($B$260:$B$271,MATCH(C332,$B$260:$B$271,1)-1,0,2)))+C332</f>
        <v>7.88</v>
      </c>
      <c r="E332" s="505">
        <f t="shared" ca="1" si="352"/>
        <v>-0.12000000000000011</v>
      </c>
      <c r="F332" s="506">
        <f t="shared" si="354"/>
        <v>0</v>
      </c>
      <c r="G332" s="391"/>
      <c r="H332" s="391"/>
      <c r="O332" s="442"/>
      <c r="P332" s="442"/>
      <c r="Q332" s="442"/>
      <c r="R332" s="442"/>
      <c r="S332" s="442"/>
      <c r="X332" s="396"/>
      <c r="Y332" s="396"/>
      <c r="AC332" s="443"/>
      <c r="AE332" s="461"/>
      <c r="AF332" s="442"/>
      <c r="AG332" s="442"/>
      <c r="AI332" s="443"/>
      <c r="AJ332" s="396"/>
      <c r="AK332" s="461"/>
      <c r="AL332" s="442"/>
      <c r="AM332" s="442"/>
      <c r="AO332" s="443"/>
      <c r="AP332" s="396"/>
      <c r="AQ332" s="461"/>
      <c r="AR332" s="442"/>
      <c r="AS332" s="442"/>
      <c r="AU332" s="443"/>
      <c r="AV332" s="396"/>
      <c r="AW332" s="461"/>
      <c r="AX332" s="442"/>
      <c r="AY332" s="442"/>
      <c r="BA332" s="443"/>
      <c r="BB332" s="396"/>
      <c r="BC332" s="461"/>
      <c r="BD332" s="442"/>
      <c r="BE332" s="442"/>
      <c r="BG332" s="443"/>
      <c r="BH332" s="396"/>
      <c r="BI332" s="461"/>
      <c r="BJ332" s="442"/>
      <c r="BK332" s="442"/>
      <c r="BM332" s="443"/>
      <c r="BN332" s="396"/>
      <c r="BO332" s="461"/>
      <c r="BP332" s="442"/>
      <c r="BQ332" s="442"/>
      <c r="BS332" s="443"/>
      <c r="BT332" s="396"/>
      <c r="BU332" s="461"/>
      <c r="BV332" s="442"/>
      <c r="BW332" s="443"/>
      <c r="BX332" s="396"/>
      <c r="BY332" s="461"/>
      <c r="BZ332" s="442"/>
      <c r="CA332" s="442"/>
      <c r="CB332" s="392"/>
      <c r="CC332" s="443"/>
      <c r="CG332" s="396"/>
      <c r="CH332" s="391"/>
      <c r="CM332" s="396"/>
      <c r="CN332" s="391"/>
      <c r="CS332" s="396"/>
    </row>
    <row r="333" spans="2:97" ht="41.25" customHeight="1">
      <c r="B333" s="507" t="s">
        <v>366</v>
      </c>
      <c r="C333" s="505">
        <f t="shared" si="353"/>
        <v>8</v>
      </c>
      <c r="D333" s="505">
        <f>_xlfn.FORECAST.LINEAR(C333,K260:K271,B260:B271)+C333</f>
        <v>8.0000009999999993</v>
      </c>
      <c r="E333" s="505">
        <f t="shared" si="352"/>
        <v>9.9999999925159955E-7</v>
      </c>
      <c r="F333" s="506">
        <f t="shared" si="354"/>
        <v>0</v>
      </c>
      <c r="G333" s="391"/>
      <c r="H333" s="391"/>
      <c r="O333" s="442"/>
      <c r="P333" s="442"/>
      <c r="Q333" s="442"/>
      <c r="R333" s="442"/>
      <c r="S333" s="442"/>
      <c r="X333" s="396"/>
      <c r="Y333" s="396"/>
      <c r="AC333" s="443"/>
      <c r="AE333" s="461"/>
      <c r="AF333" s="442"/>
      <c r="AG333" s="442"/>
      <c r="AI333" s="443"/>
      <c r="AJ333" s="396"/>
      <c r="AK333" s="461"/>
      <c r="AL333" s="442"/>
      <c r="AM333" s="442"/>
      <c r="AO333" s="443"/>
      <c r="AP333" s="396"/>
      <c r="AQ333" s="461"/>
      <c r="AR333" s="442"/>
      <c r="AS333" s="442"/>
      <c r="AU333" s="443"/>
      <c r="AV333" s="396"/>
      <c r="AW333" s="461"/>
      <c r="AX333" s="442"/>
      <c r="AY333" s="442"/>
      <c r="BA333" s="443"/>
      <c r="BB333" s="396"/>
      <c r="BC333" s="461"/>
      <c r="BD333" s="442"/>
      <c r="BE333" s="442"/>
      <c r="BG333" s="443"/>
      <c r="BH333" s="396"/>
      <c r="BI333" s="461"/>
      <c r="BJ333" s="442"/>
      <c r="BK333" s="442"/>
      <c r="BM333" s="443"/>
      <c r="BN333" s="396"/>
      <c r="BO333" s="461"/>
      <c r="BP333" s="442"/>
      <c r="BQ333" s="442"/>
      <c r="BS333" s="443"/>
      <c r="BT333" s="396"/>
      <c r="BU333" s="461"/>
      <c r="BV333" s="442"/>
      <c r="BW333" s="443"/>
      <c r="BX333" s="396"/>
      <c r="BY333" s="461"/>
      <c r="BZ333" s="442"/>
      <c r="CA333" s="442"/>
      <c r="CB333" s="392"/>
      <c r="CC333" s="443"/>
      <c r="CG333" s="396"/>
      <c r="CH333" s="391"/>
      <c r="CM333" s="396"/>
      <c r="CN333" s="391"/>
      <c r="CS333" s="396"/>
    </row>
    <row r="334" spans="2:97" ht="41.25" customHeight="1">
      <c r="B334" s="507" t="s">
        <v>367</v>
      </c>
      <c r="C334" s="505">
        <f t="shared" si="353"/>
        <v>8</v>
      </c>
      <c r="D334" s="505">
        <f>_xlfn.FORECAST.LINEAR(C334,L260:L271,B260:B271)+C334</f>
        <v>8.0000009999999993</v>
      </c>
      <c r="E334" s="505">
        <f>D334-C334</f>
        <v>9.9999999925159955E-7</v>
      </c>
      <c r="F334" s="506">
        <f t="shared" si="354"/>
        <v>0</v>
      </c>
      <c r="G334" s="391"/>
      <c r="H334" s="391"/>
      <c r="O334" s="442"/>
      <c r="P334" s="442"/>
      <c r="Q334" s="442"/>
      <c r="R334" s="442"/>
      <c r="S334" s="442"/>
      <c r="X334" s="396"/>
      <c r="Y334" s="396"/>
      <c r="AC334" s="443"/>
      <c r="AE334" s="461"/>
      <c r="AF334" s="442"/>
      <c r="AG334" s="442"/>
      <c r="AI334" s="443"/>
      <c r="AJ334" s="396"/>
      <c r="AK334" s="461"/>
      <c r="AL334" s="442"/>
      <c r="AM334" s="442"/>
      <c r="AO334" s="443"/>
      <c r="AP334" s="396"/>
      <c r="AQ334" s="461"/>
      <c r="AR334" s="442"/>
      <c r="AS334" s="442"/>
      <c r="AU334" s="443"/>
      <c r="AV334" s="396"/>
      <c r="AW334" s="461"/>
      <c r="AX334" s="442"/>
      <c r="AY334" s="442"/>
      <c r="BA334" s="443"/>
      <c r="BB334" s="396"/>
      <c r="BC334" s="461"/>
      <c r="BD334" s="442"/>
      <c r="BE334" s="442"/>
      <c r="BG334" s="443"/>
      <c r="BH334" s="396"/>
      <c r="BI334" s="461"/>
      <c r="BJ334" s="442"/>
      <c r="BK334" s="442"/>
      <c r="BM334" s="443"/>
      <c r="BN334" s="396"/>
      <c r="BO334" s="461"/>
      <c r="BP334" s="442"/>
      <c r="BQ334" s="442"/>
      <c r="BS334" s="443"/>
      <c r="BT334" s="396"/>
      <c r="BU334" s="461"/>
      <c r="BV334" s="442"/>
      <c r="BW334" s="443"/>
      <c r="BX334" s="396"/>
      <c r="BY334" s="461"/>
      <c r="BZ334" s="442"/>
      <c r="CA334" s="442"/>
      <c r="CB334" s="392"/>
      <c r="CC334" s="443"/>
      <c r="CG334" s="396"/>
      <c r="CH334" s="391"/>
      <c r="CM334" s="396"/>
      <c r="CN334" s="391"/>
      <c r="CS334" s="396"/>
    </row>
    <row r="335" spans="2:97" ht="13.95" customHeight="1">
      <c r="B335" s="391"/>
      <c r="C335" s="391"/>
      <c r="J335" s="442"/>
      <c r="K335" s="442"/>
      <c r="L335" s="442"/>
      <c r="M335" s="442"/>
      <c r="N335" s="442"/>
      <c r="O335" s="442"/>
      <c r="P335" s="442"/>
      <c r="Q335" s="442"/>
      <c r="R335" s="442"/>
      <c r="T335" s="396"/>
      <c r="X335" s="443"/>
      <c r="Y335" s="396"/>
      <c r="Z335" s="461"/>
      <c r="AC335" s="442"/>
      <c r="AD335" s="443"/>
      <c r="AF335" s="461"/>
      <c r="AG335" s="442"/>
      <c r="AI335" s="442"/>
      <c r="AL335" s="461"/>
      <c r="AM335" s="442"/>
      <c r="AO335" s="442"/>
      <c r="AR335" s="461"/>
      <c r="AS335" s="442"/>
      <c r="AU335" s="442"/>
      <c r="AX335" s="461"/>
      <c r="AY335" s="442"/>
      <c r="BA335" s="442"/>
      <c r="BD335" s="461"/>
      <c r="BE335" s="442"/>
      <c r="BG335" s="442"/>
      <c r="BJ335" s="461"/>
      <c r="BK335" s="442"/>
      <c r="BM335" s="442"/>
      <c r="BP335" s="461"/>
      <c r="BQ335" s="442"/>
      <c r="BR335" s="443"/>
      <c r="BT335" s="461"/>
      <c r="BU335" s="442"/>
      <c r="BV335" s="442"/>
      <c r="BW335" s="392"/>
      <c r="BX335" s="443"/>
      <c r="BZ335" s="396"/>
      <c r="CC335" s="391"/>
      <c r="CG335" s="396"/>
      <c r="CI335" s="391"/>
      <c r="CM335" s="396"/>
      <c r="CS335" s="396"/>
    </row>
    <row r="336" spans="2:97" ht="13.95" customHeight="1">
      <c r="B336" s="391"/>
      <c r="C336" s="391"/>
      <c r="J336" s="442"/>
      <c r="K336" s="442"/>
      <c r="L336" s="442"/>
      <c r="M336" s="442"/>
      <c r="N336" s="442"/>
      <c r="O336" s="442"/>
      <c r="P336" s="442"/>
      <c r="Q336" s="442"/>
      <c r="R336" s="442"/>
      <c r="T336" s="396"/>
      <c r="X336" s="443"/>
      <c r="Y336" s="396"/>
      <c r="Z336" s="461"/>
      <c r="AC336" s="442"/>
      <c r="AD336" s="443"/>
      <c r="AF336" s="461"/>
      <c r="AG336" s="442"/>
      <c r="AI336" s="442"/>
      <c r="AL336" s="461"/>
      <c r="AM336" s="442"/>
      <c r="AO336" s="442"/>
      <c r="AR336" s="461"/>
      <c r="AS336" s="442"/>
      <c r="AU336" s="442"/>
      <c r="AX336" s="461"/>
      <c r="AY336" s="442"/>
      <c r="BA336" s="442"/>
      <c r="BD336" s="461"/>
      <c r="BE336" s="442"/>
      <c r="BG336" s="442"/>
      <c r="BJ336" s="461"/>
      <c r="BK336" s="442"/>
      <c r="BM336" s="442"/>
      <c r="BP336" s="461"/>
      <c r="BQ336" s="442"/>
      <c r="BR336" s="443"/>
      <c r="BT336" s="461"/>
      <c r="BU336" s="442"/>
      <c r="BV336" s="442"/>
      <c r="BW336" s="392"/>
      <c r="BX336" s="443"/>
      <c r="BZ336" s="396"/>
      <c r="CC336" s="391"/>
      <c r="CG336" s="396"/>
      <c r="CI336" s="391"/>
      <c r="CM336" s="396"/>
      <c r="CS336" s="396"/>
    </row>
    <row r="337" spans="2:97" ht="13.95" customHeight="1">
      <c r="B337" s="391"/>
      <c r="C337" s="391"/>
      <c r="J337" s="442"/>
      <c r="K337" s="442"/>
      <c r="L337" s="442"/>
      <c r="M337" s="442"/>
      <c r="N337" s="442"/>
      <c r="O337" s="442"/>
      <c r="P337" s="442"/>
      <c r="Q337" s="442"/>
      <c r="R337" s="442"/>
      <c r="T337" s="396"/>
      <c r="X337" s="443"/>
      <c r="Y337" s="396"/>
      <c r="Z337" s="461"/>
      <c r="AC337" s="442"/>
      <c r="AD337" s="443"/>
      <c r="AF337" s="461"/>
      <c r="AG337" s="442"/>
      <c r="AI337" s="442"/>
      <c r="AL337" s="461"/>
      <c r="AM337" s="442"/>
      <c r="AO337" s="442"/>
      <c r="AR337" s="461"/>
      <c r="AS337" s="442"/>
      <c r="AU337" s="442"/>
      <c r="AX337" s="461"/>
      <c r="AY337" s="442"/>
      <c r="BA337" s="442"/>
      <c r="BD337" s="461"/>
      <c r="BE337" s="442"/>
      <c r="BG337" s="442"/>
      <c r="BJ337" s="461"/>
      <c r="BK337" s="442"/>
      <c r="BM337" s="442"/>
      <c r="BP337" s="461"/>
      <c r="BQ337" s="442"/>
      <c r="BR337" s="443"/>
      <c r="BT337" s="461"/>
      <c r="BU337" s="442"/>
      <c r="BV337" s="442"/>
      <c r="BW337" s="392"/>
      <c r="BX337" s="443"/>
      <c r="BZ337" s="396"/>
      <c r="CC337" s="391"/>
      <c r="CG337" s="396"/>
      <c r="CI337" s="391"/>
      <c r="CM337" s="396"/>
      <c r="CS337" s="396"/>
    </row>
    <row r="338" spans="2:97" ht="13.95" customHeight="1">
      <c r="B338" s="391"/>
      <c r="C338" s="391"/>
      <c r="J338" s="442"/>
      <c r="K338" s="442"/>
      <c r="L338" s="442"/>
      <c r="M338" s="442"/>
      <c r="N338" s="442"/>
      <c r="O338" s="442"/>
      <c r="P338" s="442"/>
      <c r="Q338" s="442"/>
      <c r="R338" s="442"/>
      <c r="T338" s="396"/>
      <c r="X338" s="443"/>
      <c r="Y338" s="396"/>
      <c r="Z338" s="461"/>
      <c r="AC338" s="442"/>
      <c r="AD338" s="443"/>
      <c r="AF338" s="461"/>
      <c r="AG338" s="442"/>
      <c r="AI338" s="442"/>
      <c r="AL338" s="461"/>
      <c r="AM338" s="442"/>
      <c r="AO338" s="442"/>
      <c r="AR338" s="461"/>
      <c r="AS338" s="442"/>
      <c r="AU338" s="442"/>
      <c r="AX338" s="461"/>
      <c r="AY338" s="442"/>
      <c r="BA338" s="442"/>
      <c r="BD338" s="461"/>
      <c r="BE338" s="442"/>
      <c r="BG338" s="442"/>
      <c r="BJ338" s="461"/>
      <c r="BK338" s="442"/>
      <c r="BM338" s="442"/>
      <c r="BP338" s="461"/>
      <c r="BQ338" s="442"/>
      <c r="BR338" s="443"/>
      <c r="BT338" s="461"/>
      <c r="BU338" s="442"/>
      <c r="BV338" s="442"/>
      <c r="BW338" s="392"/>
      <c r="BX338" s="443"/>
      <c r="BZ338" s="396"/>
      <c r="CC338" s="391"/>
      <c r="CG338" s="396"/>
      <c r="CI338" s="391"/>
      <c r="CM338" s="396"/>
      <c r="CS338" s="396"/>
    </row>
    <row r="339" spans="2:97" ht="13.95" customHeight="1">
      <c r="B339" s="391"/>
      <c r="C339" s="391"/>
      <c r="J339" s="442"/>
      <c r="K339" s="442"/>
      <c r="L339" s="442"/>
      <c r="M339" s="442"/>
      <c r="N339" s="442"/>
      <c r="O339" s="442"/>
      <c r="P339" s="442"/>
      <c r="Q339" s="442"/>
      <c r="R339" s="442"/>
      <c r="T339" s="396"/>
      <c r="X339" s="443"/>
      <c r="Y339" s="396"/>
      <c r="Z339" s="461"/>
      <c r="AC339" s="442"/>
      <c r="AD339" s="443"/>
      <c r="AF339" s="461"/>
      <c r="AG339" s="442"/>
      <c r="AI339" s="442"/>
      <c r="AL339" s="461"/>
      <c r="AM339" s="442"/>
      <c r="AO339" s="442"/>
      <c r="AR339" s="461"/>
      <c r="AS339" s="442"/>
      <c r="AU339" s="442"/>
      <c r="AX339" s="461"/>
      <c r="AY339" s="442"/>
      <c r="BA339" s="442"/>
      <c r="BD339" s="461"/>
      <c r="BE339" s="442"/>
      <c r="BG339" s="442"/>
      <c r="BJ339" s="461"/>
      <c r="BK339" s="442"/>
      <c r="BM339" s="442"/>
      <c r="BP339" s="461"/>
      <c r="BQ339" s="442"/>
      <c r="BR339" s="443"/>
      <c r="BT339" s="461"/>
      <c r="BU339" s="442"/>
      <c r="BV339" s="442"/>
      <c r="BW339" s="392"/>
      <c r="BX339" s="443"/>
      <c r="BZ339" s="396"/>
      <c r="CC339" s="391"/>
      <c r="CG339" s="396"/>
      <c r="CI339" s="391"/>
      <c r="CM339" s="396"/>
      <c r="CS339" s="396"/>
    </row>
    <row r="340" spans="2:97" ht="13.95" customHeight="1">
      <c r="B340" s="391"/>
      <c r="C340" s="391"/>
      <c r="J340" s="442"/>
      <c r="K340" s="442"/>
      <c r="L340" s="442"/>
      <c r="M340" s="442"/>
      <c r="N340" s="442"/>
      <c r="O340" s="442"/>
      <c r="P340" s="442"/>
      <c r="Q340" s="442"/>
      <c r="R340" s="442"/>
      <c r="T340" s="396"/>
      <c r="X340" s="443"/>
      <c r="Y340" s="396"/>
      <c r="Z340" s="461"/>
      <c r="AC340" s="442"/>
      <c r="AD340" s="443"/>
      <c r="AF340" s="461"/>
      <c r="AG340" s="442"/>
      <c r="AI340" s="442"/>
      <c r="AL340" s="461"/>
      <c r="AM340" s="442"/>
      <c r="AO340" s="442"/>
      <c r="AR340" s="461"/>
      <c r="AS340" s="442"/>
      <c r="AU340" s="442"/>
      <c r="AX340" s="461"/>
      <c r="AY340" s="442"/>
      <c r="BA340" s="442"/>
      <c r="BD340" s="461"/>
      <c r="BE340" s="442"/>
      <c r="BG340" s="442"/>
      <c r="BJ340" s="461"/>
      <c r="BK340" s="442"/>
      <c r="BM340" s="442"/>
      <c r="BP340" s="461"/>
      <c r="BQ340" s="442"/>
      <c r="BR340" s="443"/>
      <c r="BT340" s="461"/>
      <c r="BU340" s="442"/>
      <c r="BV340" s="442"/>
      <c r="BW340" s="392"/>
      <c r="BX340" s="443"/>
      <c r="BZ340" s="396"/>
      <c r="CC340" s="391"/>
      <c r="CG340" s="396"/>
      <c r="CI340" s="391"/>
      <c r="CM340" s="396"/>
      <c r="CS340" s="396"/>
    </row>
    <row r="341" spans="2:97" ht="13.95" customHeight="1">
      <c r="B341" s="391"/>
      <c r="C341" s="391"/>
      <c r="J341" s="442"/>
      <c r="K341" s="442"/>
      <c r="L341" s="442"/>
      <c r="M341" s="442"/>
      <c r="N341" s="442"/>
      <c r="O341" s="442"/>
      <c r="P341" s="442"/>
      <c r="Q341" s="442"/>
      <c r="R341" s="442"/>
      <c r="T341" s="396"/>
      <c r="U341" s="466"/>
      <c r="V341" s="501"/>
      <c r="X341" s="443"/>
      <c r="Y341" s="396"/>
      <c r="Z341" s="497"/>
      <c r="AA341" s="466"/>
      <c r="AB341" s="501"/>
      <c r="AC341" s="442"/>
      <c r="AD341" s="443"/>
      <c r="AF341" s="497"/>
      <c r="AG341" s="466"/>
      <c r="AH341" s="501"/>
      <c r="AI341" s="442"/>
      <c r="AL341" s="497"/>
      <c r="AM341" s="501"/>
      <c r="AN341" s="501"/>
      <c r="AO341" s="442"/>
      <c r="AR341" s="497"/>
      <c r="AS341" s="442"/>
      <c r="AT341" s="501"/>
      <c r="AU341" s="442"/>
      <c r="AX341" s="497"/>
      <c r="AY341" s="442"/>
      <c r="AZ341" s="501"/>
      <c r="BA341" s="442"/>
      <c r="BD341" s="497"/>
      <c r="BE341" s="442"/>
      <c r="BF341" s="501"/>
      <c r="BG341" s="442"/>
      <c r="BJ341" s="497"/>
      <c r="BK341" s="442"/>
      <c r="BL341" s="501"/>
      <c r="BM341" s="442"/>
      <c r="BP341" s="497"/>
      <c r="BQ341" s="442"/>
      <c r="BR341" s="443"/>
      <c r="BT341" s="497"/>
      <c r="BU341" s="466"/>
      <c r="BV341" s="501"/>
      <c r="BW341" s="392"/>
      <c r="BX341" s="443"/>
      <c r="BZ341" s="396"/>
      <c r="CC341" s="391"/>
      <c r="CG341" s="396"/>
      <c r="CI341" s="391"/>
      <c r="CM341" s="396"/>
      <c r="CS341" s="396"/>
    </row>
    <row r="342" spans="2:97" ht="13.95" customHeight="1">
      <c r="B342" s="391"/>
      <c r="C342" s="391"/>
      <c r="J342" s="442"/>
      <c r="K342" s="442"/>
      <c r="L342" s="442"/>
      <c r="M342" s="442"/>
      <c r="N342" s="442"/>
      <c r="O342" s="442"/>
      <c r="P342" s="442"/>
      <c r="Q342" s="442"/>
      <c r="R342" s="442"/>
      <c r="T342" s="396"/>
      <c r="X342" s="443"/>
      <c r="Y342" s="396"/>
      <c r="Z342" s="461"/>
      <c r="AC342" s="442"/>
      <c r="AD342" s="443"/>
      <c r="AF342" s="461"/>
      <c r="AG342" s="442"/>
      <c r="AI342" s="442"/>
      <c r="AL342" s="461"/>
      <c r="AM342" s="442"/>
      <c r="AO342" s="442"/>
      <c r="AR342" s="461"/>
      <c r="AS342" s="442"/>
      <c r="AU342" s="442"/>
      <c r="AX342" s="461"/>
      <c r="AY342" s="442"/>
      <c r="BA342" s="442"/>
      <c r="BD342" s="461"/>
      <c r="BE342" s="442"/>
      <c r="BG342" s="442"/>
      <c r="BJ342" s="461"/>
      <c r="BK342" s="442"/>
      <c r="BM342" s="442"/>
      <c r="BP342" s="461"/>
      <c r="BQ342" s="442"/>
      <c r="BR342" s="443"/>
      <c r="BT342" s="461"/>
      <c r="BU342" s="442"/>
      <c r="BV342" s="442"/>
      <c r="BW342" s="392"/>
      <c r="BX342" s="443"/>
      <c r="BZ342" s="396"/>
      <c r="CC342" s="391"/>
      <c r="CG342" s="396"/>
      <c r="CI342" s="391"/>
      <c r="CM342" s="396"/>
      <c r="CS342" s="396"/>
    </row>
    <row r="343" spans="2:97" s="391" customFormat="1" ht="13.95" customHeight="1">
      <c r="J343" s="392"/>
      <c r="K343" s="392"/>
      <c r="L343" s="392"/>
      <c r="M343" s="392"/>
      <c r="N343" s="392"/>
      <c r="O343" s="392"/>
      <c r="P343" s="392"/>
      <c r="Q343" s="392"/>
      <c r="R343" s="392"/>
      <c r="U343" s="392"/>
      <c r="V343" s="392"/>
      <c r="W343" s="392"/>
      <c r="X343" s="393"/>
      <c r="Z343" s="414"/>
      <c r="AA343" s="392"/>
      <c r="AB343" s="392"/>
      <c r="AC343" s="392"/>
      <c r="AD343" s="393"/>
      <c r="AF343" s="414"/>
      <c r="AG343" s="392"/>
      <c r="AH343" s="392"/>
      <c r="AI343" s="392"/>
      <c r="AJ343" s="393"/>
      <c r="AL343" s="414"/>
      <c r="AM343" s="392"/>
      <c r="AN343" s="392"/>
      <c r="AO343" s="392"/>
      <c r="AP343" s="393"/>
      <c r="AR343" s="414"/>
      <c r="AS343" s="392"/>
      <c r="AT343" s="392"/>
      <c r="AU343" s="392"/>
      <c r="AV343" s="393"/>
      <c r="AX343" s="414"/>
      <c r="AY343" s="392"/>
      <c r="AZ343" s="392"/>
      <c r="BA343" s="392"/>
      <c r="BB343" s="393"/>
      <c r="BD343" s="414"/>
      <c r="BE343" s="392"/>
      <c r="BF343" s="392"/>
      <c r="BG343" s="392"/>
      <c r="BH343" s="393"/>
      <c r="BJ343" s="414"/>
      <c r="BK343" s="392"/>
      <c r="BL343" s="392"/>
      <c r="BM343" s="392"/>
      <c r="BN343" s="393"/>
      <c r="BP343" s="414"/>
      <c r="BQ343" s="392"/>
      <c r="BR343" s="393"/>
      <c r="BT343" s="414"/>
      <c r="BU343" s="392"/>
      <c r="BV343" s="392"/>
      <c r="BW343" s="392"/>
      <c r="BX343" s="393"/>
    </row>
    <row r="344" spans="2:97" s="391" customFormat="1" ht="13.95" customHeight="1">
      <c r="J344" s="392"/>
      <c r="K344" s="392"/>
      <c r="L344" s="392"/>
      <c r="M344" s="392"/>
      <c r="N344" s="392"/>
      <c r="O344" s="392"/>
      <c r="P344" s="392"/>
      <c r="Q344" s="392"/>
      <c r="R344" s="392"/>
      <c r="U344" s="392"/>
      <c r="V344" s="392"/>
      <c r="W344" s="392"/>
      <c r="X344" s="393"/>
      <c r="Z344" s="414"/>
      <c r="AA344" s="392"/>
      <c r="AB344" s="392"/>
      <c r="AC344" s="392"/>
      <c r="AD344" s="393"/>
      <c r="AF344" s="414"/>
      <c r="AG344" s="392"/>
      <c r="AH344" s="392"/>
      <c r="AI344" s="392"/>
      <c r="AJ344" s="393"/>
      <c r="AL344" s="414"/>
      <c r="AM344" s="392"/>
      <c r="AN344" s="392"/>
      <c r="AO344" s="392"/>
      <c r="AP344" s="393"/>
      <c r="AR344" s="414"/>
      <c r="AS344" s="392"/>
      <c r="AT344" s="392"/>
      <c r="AU344" s="392"/>
      <c r="AV344" s="393"/>
      <c r="AX344" s="414"/>
      <c r="AY344" s="392"/>
      <c r="AZ344" s="392"/>
      <c r="BA344" s="392"/>
      <c r="BB344" s="393"/>
      <c r="BD344" s="414"/>
      <c r="BE344" s="392"/>
      <c r="BF344" s="392"/>
      <c r="BG344" s="392"/>
      <c r="BH344" s="393"/>
      <c r="BJ344" s="414"/>
      <c r="BK344" s="392"/>
      <c r="BL344" s="392"/>
      <c r="BM344" s="392"/>
      <c r="BN344" s="393"/>
      <c r="BP344" s="414"/>
      <c r="BQ344" s="392"/>
      <c r="BR344" s="393"/>
      <c r="BT344" s="414"/>
      <c r="BU344" s="392"/>
      <c r="BV344" s="392"/>
      <c r="BW344" s="392"/>
      <c r="BX344" s="393"/>
    </row>
    <row r="345" spans="2:97" ht="26.55" customHeight="1">
      <c r="B345" s="391"/>
      <c r="C345" s="391"/>
      <c r="J345" s="442"/>
      <c r="K345" s="442"/>
      <c r="L345" s="442"/>
      <c r="M345" s="442"/>
      <c r="N345" s="442"/>
      <c r="O345" s="442"/>
      <c r="P345" s="442"/>
      <c r="Q345" s="442"/>
      <c r="R345" s="442"/>
      <c r="T345" s="396"/>
      <c r="X345" s="443"/>
      <c r="Y345" s="396"/>
      <c r="Z345" s="461"/>
      <c r="AC345" s="442"/>
      <c r="AD345" s="443"/>
      <c r="AF345" s="461"/>
      <c r="AG345" s="442"/>
      <c r="AI345" s="442"/>
      <c r="AL345" s="461"/>
      <c r="AM345" s="442"/>
      <c r="AO345" s="442"/>
      <c r="AR345" s="461"/>
      <c r="AS345" s="442"/>
      <c r="AU345" s="442"/>
      <c r="AX345" s="461"/>
      <c r="AY345" s="442"/>
      <c r="BA345" s="442"/>
      <c r="BD345" s="461"/>
      <c r="BE345" s="442"/>
      <c r="BG345" s="442"/>
      <c r="BJ345" s="461"/>
      <c r="BK345" s="442"/>
      <c r="BM345" s="442"/>
      <c r="BP345" s="461"/>
      <c r="BQ345" s="442"/>
      <c r="BR345" s="443"/>
      <c r="BT345" s="461"/>
      <c r="BU345" s="442"/>
      <c r="BV345" s="442"/>
      <c r="BW345" s="392"/>
      <c r="BX345" s="443"/>
      <c r="BZ345" s="396"/>
      <c r="CC345" s="391"/>
      <c r="CG345" s="396"/>
      <c r="CI345" s="391"/>
      <c r="CM345" s="396"/>
      <c r="CS345" s="396"/>
    </row>
    <row r="346" spans="2:97">
      <c r="B346" s="391"/>
      <c r="C346" s="391"/>
      <c r="J346" s="442"/>
      <c r="K346" s="442"/>
      <c r="L346" s="442"/>
      <c r="M346" s="442"/>
      <c r="N346" s="442"/>
      <c r="O346" s="442"/>
      <c r="P346" s="442"/>
      <c r="Q346" s="442"/>
      <c r="R346" s="442"/>
      <c r="T346" s="396"/>
      <c r="X346" s="443"/>
      <c r="Y346" s="396"/>
      <c r="Z346" s="461"/>
      <c r="AC346" s="442"/>
      <c r="AD346" s="443"/>
      <c r="AF346" s="461"/>
      <c r="AG346" s="442"/>
      <c r="AI346" s="442"/>
      <c r="AL346" s="461"/>
      <c r="AM346" s="442"/>
      <c r="AO346" s="442"/>
      <c r="AR346" s="461"/>
      <c r="AS346" s="442"/>
      <c r="AU346" s="442"/>
      <c r="AX346" s="461"/>
      <c r="AY346" s="442"/>
      <c r="BA346" s="442"/>
      <c r="BD346" s="461"/>
      <c r="BE346" s="442"/>
      <c r="BG346" s="442"/>
      <c r="BJ346" s="461"/>
      <c r="BK346" s="442"/>
      <c r="BM346" s="442"/>
      <c r="BP346" s="461"/>
      <c r="BQ346" s="442"/>
      <c r="BR346" s="443"/>
      <c r="BT346" s="461"/>
      <c r="BU346" s="442"/>
      <c r="BV346" s="442"/>
      <c r="BW346" s="392"/>
      <c r="BX346" s="443"/>
      <c r="BZ346" s="396"/>
      <c r="CC346" s="391"/>
      <c r="CG346" s="396"/>
      <c r="CI346" s="391"/>
      <c r="CM346" s="396"/>
      <c r="CS346" s="396"/>
    </row>
    <row r="347" spans="2:97">
      <c r="B347" s="391"/>
      <c r="C347" s="391"/>
      <c r="J347" s="442"/>
      <c r="K347" s="442"/>
      <c r="L347" s="442"/>
      <c r="M347" s="442"/>
      <c r="N347" s="442"/>
      <c r="O347" s="442"/>
      <c r="P347" s="442"/>
      <c r="Q347" s="442"/>
      <c r="R347" s="442"/>
      <c r="T347" s="396"/>
      <c r="X347" s="443"/>
      <c r="Y347" s="396"/>
      <c r="Z347" s="461"/>
      <c r="AC347" s="442"/>
      <c r="AD347" s="443"/>
      <c r="AF347" s="461"/>
      <c r="AG347" s="442"/>
      <c r="AI347" s="442"/>
      <c r="AL347" s="461"/>
      <c r="AM347" s="442"/>
      <c r="AO347" s="442"/>
      <c r="AR347" s="461"/>
      <c r="AS347" s="442"/>
      <c r="AU347" s="442"/>
      <c r="AX347" s="461"/>
      <c r="AY347" s="442"/>
      <c r="BA347" s="442"/>
      <c r="BD347" s="461"/>
      <c r="BE347" s="442"/>
      <c r="BG347" s="442"/>
      <c r="BJ347" s="461"/>
      <c r="BK347" s="442"/>
      <c r="BM347" s="442"/>
      <c r="BP347" s="461"/>
      <c r="BQ347" s="442"/>
      <c r="BR347" s="443"/>
      <c r="BT347" s="461"/>
      <c r="BU347" s="442"/>
      <c r="BV347" s="442"/>
      <c r="BW347" s="392"/>
      <c r="BX347" s="443"/>
      <c r="BZ347" s="396"/>
      <c r="CC347" s="391"/>
      <c r="CG347" s="396"/>
      <c r="CI347" s="391"/>
      <c r="CM347" s="396"/>
      <c r="CS347" s="396"/>
    </row>
    <row r="348" spans="2:97">
      <c r="B348" s="391"/>
      <c r="C348" s="391"/>
      <c r="J348" s="442"/>
      <c r="K348" s="442"/>
      <c r="L348" s="442"/>
      <c r="M348" s="442"/>
      <c r="N348" s="442"/>
      <c r="O348" s="442"/>
      <c r="P348" s="442"/>
      <c r="Q348" s="442"/>
      <c r="R348" s="442"/>
      <c r="T348" s="396"/>
      <c r="X348" s="443"/>
      <c r="Y348" s="396"/>
      <c r="Z348" s="461"/>
      <c r="AC348" s="442"/>
      <c r="AD348" s="443"/>
      <c r="AF348" s="461"/>
      <c r="AG348" s="442"/>
      <c r="AI348" s="442"/>
      <c r="AL348" s="461"/>
      <c r="AM348" s="442"/>
      <c r="AO348" s="442"/>
      <c r="AR348" s="461"/>
      <c r="AS348" s="442"/>
      <c r="AU348" s="442"/>
      <c r="AX348" s="461"/>
      <c r="AY348" s="442"/>
      <c r="BA348" s="442"/>
      <c r="BD348" s="461"/>
      <c r="BE348" s="442"/>
      <c r="BG348" s="442"/>
      <c r="BJ348" s="461"/>
      <c r="BK348" s="442"/>
      <c r="BM348" s="442"/>
      <c r="BP348" s="461"/>
      <c r="BQ348" s="442"/>
      <c r="BR348" s="443"/>
      <c r="BT348" s="461"/>
      <c r="BU348" s="442"/>
      <c r="BV348" s="442"/>
      <c r="BW348" s="392"/>
      <c r="BX348" s="443"/>
      <c r="BZ348" s="396"/>
      <c r="CC348" s="391"/>
      <c r="CG348" s="396"/>
      <c r="CI348" s="391"/>
      <c r="CM348" s="396"/>
      <c r="CS348" s="396"/>
    </row>
    <row r="349" spans="2:97">
      <c r="B349" s="391"/>
      <c r="C349" s="391"/>
      <c r="J349" s="442"/>
      <c r="K349" s="442"/>
      <c r="L349" s="442"/>
      <c r="M349" s="442"/>
      <c r="N349" s="442"/>
      <c r="O349" s="442"/>
      <c r="P349" s="442"/>
      <c r="Q349" s="442"/>
      <c r="R349" s="442"/>
      <c r="T349" s="396"/>
      <c r="X349" s="443"/>
      <c r="Y349" s="396"/>
      <c r="Z349" s="461"/>
      <c r="AC349" s="442"/>
      <c r="AD349" s="443"/>
      <c r="AF349" s="461"/>
      <c r="AG349" s="442"/>
      <c r="AI349" s="442"/>
      <c r="AL349" s="461"/>
      <c r="AM349" s="442"/>
      <c r="AO349" s="442"/>
      <c r="AR349" s="461"/>
      <c r="AS349" s="442"/>
      <c r="AU349" s="442"/>
      <c r="AX349" s="461"/>
      <c r="AY349" s="442"/>
      <c r="BA349" s="442"/>
      <c r="BD349" s="461"/>
      <c r="BE349" s="442"/>
      <c r="BG349" s="442"/>
      <c r="BJ349" s="461"/>
      <c r="BK349" s="442"/>
      <c r="BM349" s="442"/>
      <c r="BP349" s="461"/>
      <c r="BQ349" s="442"/>
      <c r="BR349" s="443"/>
      <c r="BT349" s="461"/>
      <c r="BU349" s="442"/>
      <c r="BV349" s="442"/>
      <c r="BW349" s="392"/>
      <c r="BX349" s="443"/>
      <c r="BZ349" s="396"/>
      <c r="CC349" s="391"/>
      <c r="CG349" s="396"/>
      <c r="CI349" s="391"/>
      <c r="CM349" s="396"/>
      <c r="CS349" s="396"/>
    </row>
    <row r="350" spans="2:97">
      <c r="B350" s="391"/>
      <c r="C350" s="391"/>
      <c r="F350" s="461"/>
      <c r="G350" s="442"/>
      <c r="H350" s="442"/>
      <c r="I350" s="442"/>
      <c r="J350" s="510"/>
      <c r="K350" s="510"/>
      <c r="L350" s="510"/>
      <c r="M350" s="510"/>
      <c r="N350" s="510"/>
      <c r="O350" s="510"/>
      <c r="P350" s="510"/>
      <c r="Q350" s="510"/>
      <c r="R350" s="510"/>
      <c r="T350" s="461"/>
      <c r="U350" s="396"/>
      <c r="V350" s="396"/>
      <c r="W350" s="396"/>
      <c r="X350" s="396"/>
      <c r="Y350" s="396"/>
      <c r="Z350" s="396"/>
      <c r="AA350" s="396"/>
      <c r="AB350" s="396"/>
      <c r="AH350" s="396"/>
      <c r="AJ350" s="396"/>
      <c r="AN350" s="396"/>
      <c r="AP350" s="396"/>
      <c r="AT350" s="396"/>
      <c r="AV350" s="396"/>
      <c r="AZ350" s="396"/>
      <c r="BB350" s="396"/>
      <c r="BF350" s="396"/>
      <c r="BH350" s="396"/>
      <c r="BL350" s="396"/>
      <c r="BN350" s="396"/>
      <c r="BR350" s="396"/>
      <c r="BT350" s="396"/>
      <c r="BW350" s="391"/>
      <c r="BX350" s="396"/>
      <c r="BZ350" s="396"/>
      <c r="CC350" s="391"/>
      <c r="CG350" s="396"/>
      <c r="CI350" s="391"/>
      <c r="CM350" s="396"/>
      <c r="CS350" s="396"/>
    </row>
    <row r="351" spans="2:97">
      <c r="B351" s="391"/>
      <c r="C351" s="391"/>
      <c r="F351" s="461"/>
      <c r="G351" s="442"/>
      <c r="H351" s="442"/>
      <c r="I351" s="442"/>
      <c r="J351" s="510"/>
      <c r="K351" s="510"/>
      <c r="L351" s="510"/>
      <c r="M351" s="510"/>
      <c r="N351" s="510"/>
      <c r="O351" s="510"/>
      <c r="P351" s="510"/>
      <c r="Q351" s="510"/>
      <c r="R351" s="510"/>
      <c r="T351" s="461"/>
      <c r="U351" s="396"/>
      <c r="V351" s="461"/>
      <c r="Z351" s="443"/>
      <c r="AA351" s="396"/>
      <c r="AB351" s="461"/>
      <c r="AC351" s="442"/>
      <c r="AD351" s="442"/>
      <c r="AE351" s="442"/>
      <c r="AF351" s="443"/>
      <c r="AH351" s="461"/>
      <c r="AI351" s="442"/>
      <c r="AJ351" s="442"/>
      <c r="AK351" s="442"/>
      <c r="AL351" s="443"/>
      <c r="AN351" s="461"/>
      <c r="AO351" s="442"/>
      <c r="AP351" s="442"/>
      <c r="AQ351" s="442"/>
      <c r="AR351" s="443"/>
      <c r="AT351" s="461"/>
      <c r="AU351" s="442"/>
      <c r="AV351" s="442"/>
      <c r="AW351" s="442"/>
      <c r="AX351" s="443"/>
      <c r="AZ351" s="461"/>
      <c r="BA351" s="442"/>
      <c r="BB351" s="442"/>
      <c r="BC351" s="442"/>
      <c r="BD351" s="443"/>
      <c r="BF351" s="461"/>
      <c r="BG351" s="442"/>
      <c r="BH351" s="442"/>
      <c r="BI351" s="442"/>
      <c r="BJ351" s="443"/>
      <c r="BL351" s="461"/>
      <c r="BM351" s="442"/>
      <c r="BN351" s="442"/>
      <c r="BO351" s="442"/>
      <c r="BP351" s="443"/>
      <c r="BR351" s="396"/>
      <c r="BT351" s="396"/>
      <c r="BW351" s="391"/>
      <c r="BX351" s="396"/>
      <c r="BZ351" s="396"/>
      <c r="CC351" s="391"/>
      <c r="CG351" s="396"/>
      <c r="CI351" s="391"/>
      <c r="CM351" s="396"/>
      <c r="CS351" s="396"/>
    </row>
    <row r="352" spans="2:97">
      <c r="B352" s="391"/>
      <c r="C352" s="391"/>
      <c r="F352" s="461"/>
      <c r="G352" s="442"/>
      <c r="H352" s="442"/>
      <c r="I352" s="442"/>
      <c r="J352" s="510"/>
      <c r="K352" s="510"/>
      <c r="L352" s="510"/>
      <c r="M352" s="510"/>
      <c r="N352" s="510"/>
      <c r="O352" s="510"/>
      <c r="P352" s="510"/>
      <c r="Q352" s="510"/>
      <c r="R352" s="510"/>
      <c r="T352" s="461"/>
      <c r="U352" s="396"/>
      <c r="V352" s="461"/>
      <c r="Z352" s="443"/>
      <c r="AA352" s="396"/>
      <c r="AB352" s="461"/>
      <c r="AC352" s="442"/>
      <c r="AD352" s="442"/>
      <c r="AE352" s="442"/>
      <c r="AF352" s="443"/>
      <c r="AH352" s="461"/>
      <c r="AI352" s="442"/>
      <c r="AJ352" s="442"/>
      <c r="AK352" s="442"/>
      <c r="AL352" s="443"/>
      <c r="AN352" s="461"/>
      <c r="AO352" s="442"/>
      <c r="AP352" s="442"/>
      <c r="AQ352" s="442"/>
      <c r="AR352" s="443"/>
      <c r="AT352" s="461"/>
      <c r="AU352" s="442"/>
      <c r="AV352" s="442"/>
      <c r="AW352" s="442"/>
      <c r="AX352" s="443"/>
      <c r="AZ352" s="461"/>
      <c r="BA352" s="442"/>
      <c r="BB352" s="442"/>
      <c r="BC352" s="442"/>
      <c r="BD352" s="443"/>
      <c r="BF352" s="461"/>
      <c r="BG352" s="442"/>
      <c r="BH352" s="442"/>
      <c r="BI352" s="442"/>
      <c r="BJ352" s="443"/>
      <c r="BL352" s="461"/>
      <c r="BM352" s="442"/>
      <c r="BN352" s="442"/>
      <c r="BO352" s="442"/>
      <c r="BP352" s="443"/>
      <c r="BR352" s="396"/>
      <c r="BT352" s="396"/>
      <c r="BW352" s="391"/>
      <c r="BX352" s="396"/>
      <c r="BZ352" s="396"/>
      <c r="CC352" s="391"/>
      <c r="CG352" s="396"/>
      <c r="CI352" s="391"/>
      <c r="CM352" s="396"/>
      <c r="CS352" s="396"/>
    </row>
    <row r="353" spans="2:97">
      <c r="B353" s="391"/>
      <c r="C353" s="391"/>
      <c r="F353" s="461"/>
      <c r="G353" s="442"/>
      <c r="H353" s="442"/>
      <c r="I353" s="442"/>
      <c r="J353" s="510"/>
      <c r="K353" s="510"/>
      <c r="L353" s="510"/>
      <c r="M353" s="510"/>
      <c r="N353" s="510"/>
      <c r="O353" s="510"/>
      <c r="P353" s="510"/>
      <c r="Q353" s="510"/>
      <c r="R353" s="510"/>
      <c r="T353" s="461"/>
      <c r="U353" s="396"/>
      <c r="V353" s="461"/>
      <c r="Z353" s="443"/>
      <c r="AA353" s="396"/>
      <c r="AB353" s="461"/>
      <c r="AC353" s="442"/>
      <c r="AD353" s="442"/>
      <c r="AE353" s="442"/>
      <c r="AF353" s="443"/>
      <c r="AH353" s="461"/>
      <c r="AI353" s="442"/>
      <c r="AJ353" s="442"/>
      <c r="AK353" s="442"/>
      <c r="AL353" s="443"/>
      <c r="AN353" s="461"/>
      <c r="AO353" s="442"/>
      <c r="AP353" s="442"/>
      <c r="AQ353" s="442"/>
      <c r="AR353" s="443"/>
      <c r="AT353" s="461"/>
      <c r="AU353" s="442"/>
      <c r="AV353" s="442"/>
      <c r="AW353" s="442"/>
      <c r="AX353" s="443"/>
      <c r="AZ353" s="461"/>
      <c r="BA353" s="442"/>
      <c r="BB353" s="442"/>
      <c r="BC353" s="442"/>
      <c r="BD353" s="443"/>
      <c r="BF353" s="461"/>
      <c r="BG353" s="442"/>
      <c r="BH353" s="442"/>
      <c r="BI353" s="442"/>
      <c r="BJ353" s="443"/>
      <c r="BL353" s="461"/>
      <c r="BM353" s="442"/>
      <c r="BN353" s="442"/>
      <c r="BO353" s="442"/>
      <c r="BP353" s="443"/>
      <c r="BR353" s="396"/>
      <c r="BT353" s="396"/>
      <c r="BW353" s="391"/>
      <c r="BX353" s="396"/>
      <c r="BZ353" s="396"/>
      <c r="CC353" s="391"/>
      <c r="CG353" s="396"/>
      <c r="CI353" s="391"/>
      <c r="CM353" s="396"/>
      <c r="CS353" s="396"/>
    </row>
    <row r="354" spans="2:97">
      <c r="B354" s="391"/>
      <c r="C354" s="391"/>
      <c r="F354" s="461"/>
      <c r="G354" s="442"/>
      <c r="H354" s="442"/>
      <c r="I354" s="442"/>
      <c r="J354" s="510"/>
      <c r="K354" s="510"/>
      <c r="L354" s="510"/>
      <c r="M354" s="510"/>
      <c r="N354" s="510"/>
      <c r="O354" s="510"/>
      <c r="P354" s="510"/>
      <c r="Q354" s="510"/>
      <c r="R354" s="510"/>
      <c r="T354" s="461"/>
      <c r="U354" s="396"/>
      <c r="V354" s="461"/>
      <c r="Z354" s="443"/>
      <c r="AA354" s="396"/>
      <c r="AB354" s="461"/>
      <c r="AC354" s="442"/>
      <c r="AD354" s="442"/>
      <c r="AE354" s="442"/>
      <c r="AF354" s="443"/>
      <c r="AH354" s="461"/>
      <c r="AI354" s="442"/>
      <c r="AJ354" s="442"/>
      <c r="AK354" s="442"/>
      <c r="AL354" s="443"/>
      <c r="AN354" s="461"/>
      <c r="AO354" s="442"/>
      <c r="AP354" s="442"/>
      <c r="AQ354" s="442"/>
      <c r="AR354" s="443"/>
      <c r="AT354" s="461"/>
      <c r="AU354" s="442"/>
      <c r="AV354" s="442"/>
      <c r="AW354" s="442"/>
      <c r="AX354" s="443"/>
      <c r="AZ354" s="461"/>
      <c r="BA354" s="442"/>
      <c r="BB354" s="442"/>
      <c r="BC354" s="442"/>
      <c r="BD354" s="443"/>
      <c r="BF354" s="461"/>
      <c r="BG354" s="442"/>
      <c r="BH354" s="442"/>
      <c r="BI354" s="442"/>
      <c r="BJ354" s="443"/>
      <c r="BL354" s="461"/>
      <c r="BM354" s="442"/>
      <c r="BN354" s="442"/>
      <c r="BO354" s="442"/>
      <c r="BP354" s="443"/>
      <c r="BR354" s="396"/>
      <c r="BT354" s="396"/>
      <c r="BW354" s="391"/>
      <c r="BX354" s="396"/>
      <c r="BZ354" s="396"/>
      <c r="CC354" s="391"/>
      <c r="CG354" s="396"/>
      <c r="CI354" s="391"/>
      <c r="CM354" s="396"/>
      <c r="CS354" s="396"/>
    </row>
    <row r="355" spans="2:97">
      <c r="B355" s="391"/>
      <c r="C355" s="391"/>
      <c r="F355" s="461"/>
      <c r="G355" s="442"/>
      <c r="H355" s="442"/>
      <c r="I355" s="442"/>
      <c r="J355" s="510"/>
      <c r="K355" s="510"/>
      <c r="L355" s="510"/>
      <c r="M355" s="510"/>
      <c r="N355" s="510"/>
      <c r="O355" s="510"/>
      <c r="P355" s="510"/>
      <c r="Q355" s="510"/>
      <c r="R355" s="510"/>
      <c r="T355" s="461"/>
      <c r="U355" s="396"/>
      <c r="V355" s="461"/>
      <c r="Z355" s="443"/>
      <c r="AA355" s="396"/>
      <c r="AB355" s="461"/>
      <c r="AC355" s="442"/>
      <c r="AD355" s="442"/>
      <c r="AE355" s="442"/>
      <c r="AF355" s="443"/>
      <c r="AH355" s="461"/>
      <c r="AI355" s="442"/>
      <c r="AJ355" s="442"/>
      <c r="AK355" s="442"/>
      <c r="AL355" s="443"/>
      <c r="AN355" s="461"/>
      <c r="AO355" s="442"/>
      <c r="AP355" s="442"/>
      <c r="AQ355" s="442"/>
      <c r="AR355" s="443"/>
      <c r="AT355" s="461"/>
      <c r="AU355" s="442"/>
      <c r="AV355" s="442"/>
      <c r="AW355" s="442"/>
      <c r="AX355" s="443"/>
      <c r="AZ355" s="461"/>
      <c r="BA355" s="442"/>
      <c r="BB355" s="442"/>
      <c r="BC355" s="442"/>
      <c r="BD355" s="443"/>
      <c r="BF355" s="461"/>
      <c r="BG355" s="442"/>
      <c r="BH355" s="442"/>
      <c r="BI355" s="442"/>
      <c r="BJ355" s="443"/>
      <c r="BL355" s="461"/>
      <c r="BM355" s="442"/>
      <c r="BN355" s="442"/>
      <c r="BO355" s="442"/>
      <c r="BP355" s="443"/>
      <c r="BR355" s="396"/>
      <c r="BT355" s="396"/>
      <c r="BW355" s="391"/>
      <c r="BX355" s="396"/>
      <c r="BZ355" s="396"/>
      <c r="CC355" s="391"/>
      <c r="CG355" s="396"/>
      <c r="CI355" s="391"/>
      <c r="CM355" s="396"/>
      <c r="CS355" s="396"/>
    </row>
    <row r="356" spans="2:97" s="391" customFormat="1">
      <c r="F356" s="414"/>
      <c r="G356" s="392"/>
      <c r="H356" s="392"/>
      <c r="I356" s="392"/>
      <c r="J356" s="393"/>
      <c r="K356" s="393"/>
      <c r="L356" s="393"/>
      <c r="M356" s="393"/>
      <c r="N356" s="393"/>
      <c r="O356" s="393"/>
      <c r="P356" s="393"/>
      <c r="Q356" s="393"/>
      <c r="R356" s="393"/>
      <c r="T356" s="414"/>
      <c r="V356" s="414"/>
      <c r="W356" s="392"/>
      <c r="X356" s="392"/>
      <c r="Y356" s="392"/>
      <c r="Z356" s="393"/>
      <c r="AB356" s="414"/>
      <c r="AC356" s="392"/>
      <c r="AD356" s="392"/>
      <c r="AE356" s="392"/>
      <c r="AF356" s="393"/>
      <c r="AH356" s="414"/>
      <c r="AI356" s="392"/>
      <c r="AJ356" s="392"/>
      <c r="AK356" s="392"/>
      <c r="AL356" s="393"/>
      <c r="AN356" s="414"/>
      <c r="AO356" s="392"/>
      <c r="AP356" s="392"/>
      <c r="AQ356" s="392"/>
      <c r="AR356" s="393"/>
      <c r="AT356" s="414"/>
      <c r="AU356" s="392"/>
      <c r="AV356" s="392"/>
      <c r="AW356" s="392"/>
      <c r="AX356" s="393"/>
      <c r="AZ356" s="414"/>
      <c r="BA356" s="392"/>
      <c r="BB356" s="392"/>
      <c r="BC356" s="392"/>
      <c r="BD356" s="393"/>
      <c r="BF356" s="414"/>
      <c r="BG356" s="392"/>
      <c r="BH356" s="392"/>
      <c r="BI356" s="392"/>
      <c r="BJ356" s="393"/>
      <c r="BL356" s="414"/>
      <c r="BM356" s="392"/>
      <c r="BN356" s="392"/>
      <c r="BO356" s="392"/>
      <c r="BP356" s="393"/>
    </row>
    <row r="357" spans="2:97" s="391" customFormat="1">
      <c r="F357" s="414"/>
      <c r="G357" s="392"/>
      <c r="H357" s="392"/>
      <c r="I357" s="392"/>
      <c r="J357" s="393"/>
      <c r="K357" s="393"/>
      <c r="L357" s="393"/>
      <c r="M357" s="393"/>
      <c r="N357" s="393"/>
      <c r="O357" s="393"/>
      <c r="P357" s="393"/>
      <c r="Q357" s="393"/>
      <c r="R357" s="393"/>
      <c r="T357" s="414"/>
      <c r="V357" s="414"/>
      <c r="W357" s="392"/>
      <c r="X357" s="392"/>
      <c r="Y357" s="392"/>
      <c r="Z357" s="393"/>
      <c r="AB357" s="414"/>
      <c r="AC357" s="392"/>
      <c r="AD357" s="392"/>
      <c r="AE357" s="392"/>
      <c r="AF357" s="393"/>
      <c r="AH357" s="414"/>
      <c r="AI357" s="392"/>
      <c r="AJ357" s="392"/>
      <c r="AK357" s="392"/>
      <c r="AL357" s="393"/>
      <c r="AN357" s="414"/>
      <c r="AO357" s="392"/>
      <c r="AP357" s="392"/>
      <c r="AQ357" s="392"/>
      <c r="AR357" s="393"/>
      <c r="AT357" s="414"/>
      <c r="AU357" s="392"/>
      <c r="AV357" s="392"/>
      <c r="AW357" s="392"/>
      <c r="AX357" s="393"/>
      <c r="AZ357" s="414"/>
      <c r="BA357" s="392"/>
      <c r="BB357" s="392"/>
      <c r="BC357" s="392"/>
      <c r="BD357" s="393"/>
      <c r="BF357" s="414"/>
      <c r="BG357" s="392"/>
      <c r="BH357" s="392"/>
      <c r="BI357" s="392"/>
      <c r="BJ357" s="393"/>
      <c r="BL357" s="414"/>
      <c r="BM357" s="392"/>
      <c r="BN357" s="392"/>
      <c r="BO357" s="392"/>
      <c r="BP357" s="393"/>
    </row>
    <row r="358" spans="2:97" ht="26.55" customHeight="1">
      <c r="B358" s="391"/>
      <c r="C358" s="391"/>
      <c r="J358" s="442"/>
      <c r="K358" s="442"/>
      <c r="L358" s="442"/>
      <c r="M358" s="442"/>
      <c r="N358" s="442"/>
      <c r="O358" s="442"/>
      <c r="P358" s="442"/>
      <c r="Q358" s="442"/>
      <c r="R358" s="442"/>
      <c r="T358" s="396"/>
      <c r="X358" s="443"/>
      <c r="Y358" s="396"/>
      <c r="Z358" s="461"/>
      <c r="AC358" s="442"/>
      <c r="AD358" s="443"/>
      <c r="AF358" s="461"/>
      <c r="AG358" s="442"/>
      <c r="AI358" s="442"/>
      <c r="AL358" s="461"/>
      <c r="AM358" s="442"/>
      <c r="AO358" s="442"/>
      <c r="AR358" s="461"/>
      <c r="AS358" s="442"/>
      <c r="AU358" s="442"/>
      <c r="AX358" s="461"/>
      <c r="AY358" s="442"/>
      <c r="BA358" s="442"/>
      <c r="BD358" s="461"/>
      <c r="BE358" s="442"/>
      <c r="BG358" s="442"/>
      <c r="BJ358" s="461"/>
      <c r="BK358" s="442"/>
      <c r="BM358" s="442"/>
      <c r="BP358" s="461"/>
      <c r="BQ358" s="442"/>
      <c r="BR358" s="443"/>
      <c r="BT358" s="461"/>
      <c r="BU358" s="442"/>
      <c r="BV358" s="442"/>
      <c r="BW358" s="392"/>
      <c r="BX358" s="443"/>
      <c r="BZ358" s="396"/>
      <c r="CC358" s="391"/>
      <c r="CG358" s="396"/>
      <c r="CI358" s="391"/>
      <c r="CM358" s="396"/>
      <c r="CS358" s="396"/>
    </row>
    <row r="359" spans="2:97">
      <c r="B359" s="391"/>
      <c r="C359" s="391"/>
      <c r="J359" s="442"/>
      <c r="K359" s="442"/>
      <c r="L359" s="442"/>
      <c r="M359" s="442"/>
      <c r="N359" s="442"/>
      <c r="O359" s="442"/>
      <c r="P359" s="442"/>
      <c r="Q359" s="442"/>
      <c r="R359" s="442"/>
      <c r="T359" s="396"/>
      <c r="X359" s="443"/>
      <c r="Y359" s="396"/>
      <c r="Z359" s="461"/>
      <c r="AC359" s="442"/>
      <c r="AD359" s="443"/>
      <c r="AF359" s="461"/>
      <c r="AG359" s="442"/>
      <c r="AI359" s="442"/>
      <c r="AL359" s="461"/>
      <c r="AM359" s="442"/>
      <c r="AO359" s="442"/>
      <c r="AR359" s="461"/>
      <c r="AS359" s="442"/>
      <c r="AU359" s="442"/>
      <c r="AX359" s="461"/>
      <c r="AY359" s="442"/>
      <c r="BA359" s="442"/>
      <c r="BD359" s="461"/>
      <c r="BE359" s="442"/>
      <c r="BG359" s="442"/>
      <c r="BJ359" s="461"/>
      <c r="BK359" s="442"/>
      <c r="BM359" s="442"/>
      <c r="BP359" s="461"/>
      <c r="BQ359" s="442"/>
      <c r="BR359" s="443"/>
      <c r="BT359" s="461"/>
      <c r="BU359" s="442"/>
      <c r="BV359" s="442"/>
      <c r="BW359" s="392"/>
      <c r="BX359" s="443"/>
      <c r="BZ359" s="396"/>
      <c r="CC359" s="391"/>
      <c r="CG359" s="396"/>
      <c r="CI359" s="391"/>
      <c r="CM359" s="396"/>
      <c r="CS359" s="396"/>
    </row>
    <row r="360" spans="2:97">
      <c r="B360" s="391"/>
      <c r="C360" s="391"/>
      <c r="J360" s="442"/>
      <c r="K360" s="442"/>
      <c r="L360" s="442"/>
      <c r="M360" s="442"/>
      <c r="N360" s="442"/>
      <c r="O360" s="442"/>
      <c r="P360" s="442"/>
      <c r="Q360" s="442"/>
      <c r="R360" s="442"/>
      <c r="T360" s="396"/>
      <c r="X360" s="443"/>
      <c r="Y360" s="396"/>
      <c r="Z360" s="461"/>
      <c r="AC360" s="442"/>
      <c r="AD360" s="443"/>
      <c r="AF360" s="461"/>
      <c r="AG360" s="442"/>
      <c r="AI360" s="442"/>
      <c r="AL360" s="461"/>
      <c r="AM360" s="442"/>
      <c r="AO360" s="442"/>
      <c r="AR360" s="461"/>
      <c r="AS360" s="442"/>
      <c r="AU360" s="442"/>
      <c r="AX360" s="461"/>
      <c r="AY360" s="442"/>
      <c r="BA360" s="442"/>
      <c r="BD360" s="461"/>
      <c r="BE360" s="442"/>
      <c r="BG360" s="442"/>
      <c r="BJ360" s="461"/>
      <c r="BK360" s="442"/>
      <c r="BM360" s="442"/>
      <c r="BP360" s="461"/>
      <c r="BQ360" s="442"/>
      <c r="BR360" s="443"/>
      <c r="BT360" s="461"/>
      <c r="BU360" s="442"/>
      <c r="BV360" s="442"/>
      <c r="BW360" s="392"/>
      <c r="BX360" s="443"/>
      <c r="BZ360" s="396"/>
      <c r="CC360" s="391"/>
      <c r="CG360" s="396"/>
      <c r="CI360" s="391"/>
      <c r="CM360" s="396"/>
      <c r="CS360" s="396"/>
    </row>
    <row r="361" spans="2:97">
      <c r="B361" s="391"/>
      <c r="C361" s="391"/>
      <c r="J361" s="442"/>
      <c r="K361" s="442"/>
      <c r="L361" s="442"/>
      <c r="M361" s="442"/>
      <c r="N361" s="442"/>
      <c r="O361" s="442"/>
      <c r="P361" s="442"/>
      <c r="Q361" s="442"/>
      <c r="R361" s="442"/>
      <c r="T361" s="396"/>
      <c r="X361" s="443"/>
      <c r="Y361" s="396"/>
      <c r="Z361" s="461"/>
      <c r="AC361" s="442"/>
      <c r="AD361" s="443"/>
      <c r="AF361" s="461"/>
      <c r="AG361" s="442"/>
      <c r="AI361" s="442"/>
      <c r="AL361" s="461"/>
      <c r="AM361" s="442"/>
      <c r="AO361" s="442"/>
      <c r="AR361" s="461"/>
      <c r="AS361" s="442"/>
      <c r="AU361" s="442"/>
      <c r="AX361" s="461"/>
      <c r="AY361" s="442"/>
      <c r="BA361" s="442"/>
      <c r="BD361" s="461"/>
      <c r="BE361" s="442"/>
      <c r="BG361" s="442"/>
      <c r="BJ361" s="461"/>
      <c r="BK361" s="442"/>
      <c r="BM361" s="442"/>
      <c r="BP361" s="461"/>
      <c r="BQ361" s="442"/>
      <c r="BR361" s="443"/>
      <c r="BT361" s="461"/>
      <c r="BU361" s="442"/>
      <c r="BV361" s="442"/>
      <c r="BW361" s="392"/>
      <c r="BX361" s="443"/>
      <c r="BZ361" s="396"/>
      <c r="CC361" s="391"/>
      <c r="CG361" s="396"/>
      <c r="CI361" s="391"/>
      <c r="CM361" s="396"/>
      <c r="CS361" s="396"/>
    </row>
    <row r="362" spans="2:97">
      <c r="B362" s="391"/>
      <c r="C362" s="391"/>
      <c r="J362" s="442"/>
      <c r="K362" s="442"/>
      <c r="L362" s="442"/>
      <c r="M362" s="442"/>
      <c r="N362" s="442"/>
      <c r="O362" s="442"/>
      <c r="P362" s="442"/>
      <c r="Q362" s="442"/>
      <c r="R362" s="442"/>
      <c r="T362" s="396"/>
      <c r="X362" s="443"/>
      <c r="Y362" s="396"/>
      <c r="Z362" s="461"/>
      <c r="AC362" s="442"/>
      <c r="AD362" s="443"/>
      <c r="AF362" s="461"/>
      <c r="AG362" s="442"/>
      <c r="AI362" s="442"/>
      <c r="AL362" s="461"/>
      <c r="AM362" s="442"/>
      <c r="AO362" s="442"/>
      <c r="AR362" s="461"/>
      <c r="AS362" s="442"/>
      <c r="AU362" s="442"/>
      <c r="AX362" s="461"/>
      <c r="AY362" s="442"/>
      <c r="BA362" s="442"/>
      <c r="BD362" s="461"/>
      <c r="BE362" s="442"/>
      <c r="BG362" s="442"/>
      <c r="BJ362" s="461"/>
      <c r="BK362" s="442"/>
      <c r="BM362" s="442"/>
      <c r="BP362" s="461"/>
      <c r="BQ362" s="442"/>
      <c r="BR362" s="443"/>
      <c r="BT362" s="461"/>
      <c r="BU362" s="442"/>
      <c r="BV362" s="442"/>
      <c r="BW362" s="392"/>
      <c r="BX362" s="443"/>
      <c r="BZ362" s="396"/>
      <c r="CC362" s="391"/>
      <c r="CG362" s="396"/>
      <c r="CI362" s="391"/>
      <c r="CM362" s="396"/>
      <c r="CS362" s="396"/>
    </row>
    <row r="363" spans="2:97">
      <c r="B363" s="391"/>
      <c r="C363" s="391"/>
      <c r="F363" s="461"/>
      <c r="G363" s="442"/>
      <c r="H363" s="442"/>
      <c r="I363" s="442"/>
      <c r="J363" s="510"/>
      <c r="K363" s="510"/>
      <c r="L363" s="510"/>
      <c r="M363" s="510"/>
      <c r="N363" s="510"/>
      <c r="O363" s="510"/>
      <c r="P363" s="510"/>
      <c r="Q363" s="510"/>
      <c r="R363" s="510"/>
      <c r="T363" s="461"/>
      <c r="U363" s="396"/>
      <c r="V363" s="396"/>
      <c r="W363" s="396"/>
      <c r="X363" s="396"/>
      <c r="Y363" s="396"/>
      <c r="Z363" s="396"/>
      <c r="AA363" s="396"/>
      <c r="AB363" s="396"/>
      <c r="AH363" s="396"/>
      <c r="AJ363" s="396"/>
      <c r="AN363" s="396"/>
      <c r="AP363" s="396"/>
      <c r="AT363" s="396"/>
      <c r="AV363" s="396"/>
      <c r="AZ363" s="396"/>
      <c r="BB363" s="396"/>
      <c r="BF363" s="396"/>
      <c r="BH363" s="396"/>
      <c r="BL363" s="396"/>
      <c r="BN363" s="396"/>
      <c r="BR363" s="396"/>
      <c r="BT363" s="396"/>
      <c r="BW363" s="391"/>
      <c r="BX363" s="396"/>
      <c r="BZ363" s="396"/>
      <c r="CC363" s="391"/>
      <c r="CG363" s="396"/>
      <c r="CI363" s="391"/>
      <c r="CM363" s="396"/>
      <c r="CS363" s="396"/>
    </row>
    <row r="364" spans="2:97">
      <c r="B364" s="391"/>
      <c r="C364" s="391"/>
      <c r="F364" s="461"/>
      <c r="G364" s="442"/>
      <c r="H364" s="442"/>
      <c r="I364" s="442"/>
      <c r="J364" s="510"/>
      <c r="K364" s="510"/>
      <c r="L364" s="510"/>
      <c r="M364" s="510"/>
      <c r="N364" s="510"/>
      <c r="O364" s="510"/>
      <c r="P364" s="510"/>
      <c r="Q364" s="510"/>
      <c r="R364" s="510"/>
      <c r="T364" s="461"/>
      <c r="U364" s="396"/>
      <c r="V364" s="461"/>
      <c r="Z364" s="443"/>
      <c r="AA364" s="396"/>
      <c r="AB364" s="461"/>
      <c r="AC364" s="442"/>
      <c r="AD364" s="442"/>
      <c r="AE364" s="442"/>
      <c r="AF364" s="443"/>
      <c r="AH364" s="461"/>
      <c r="AI364" s="442"/>
      <c r="AJ364" s="442"/>
      <c r="AK364" s="442"/>
      <c r="AL364" s="443"/>
      <c r="AN364" s="461"/>
      <c r="AO364" s="442"/>
      <c r="AP364" s="442"/>
      <c r="AQ364" s="442"/>
      <c r="AR364" s="443"/>
      <c r="AT364" s="461"/>
      <c r="AU364" s="442"/>
      <c r="AV364" s="442"/>
      <c r="AW364" s="442"/>
      <c r="AX364" s="443"/>
      <c r="AZ364" s="461"/>
      <c r="BA364" s="442"/>
      <c r="BB364" s="442"/>
      <c r="BC364" s="442"/>
      <c r="BD364" s="443"/>
      <c r="BF364" s="461"/>
      <c r="BG364" s="442"/>
      <c r="BH364" s="442"/>
      <c r="BI364" s="442"/>
      <c r="BJ364" s="443"/>
      <c r="BL364" s="461"/>
      <c r="BM364" s="442"/>
      <c r="BN364" s="442"/>
      <c r="BO364" s="442"/>
      <c r="BP364" s="443"/>
      <c r="BR364" s="396"/>
      <c r="BT364" s="396"/>
      <c r="BW364" s="391"/>
      <c r="BX364" s="396"/>
      <c r="BZ364" s="396"/>
      <c r="CC364" s="391"/>
      <c r="CG364" s="396"/>
      <c r="CI364" s="391"/>
      <c r="CM364" s="396"/>
      <c r="CS364" s="396"/>
    </row>
    <row r="365" spans="2:97">
      <c r="B365" s="391"/>
      <c r="C365" s="391"/>
      <c r="F365" s="461"/>
      <c r="G365" s="442"/>
      <c r="H365" s="442"/>
      <c r="I365" s="442"/>
      <c r="J365" s="510"/>
      <c r="K365" s="510"/>
      <c r="L365" s="510"/>
      <c r="M365" s="510"/>
      <c r="N365" s="510"/>
      <c r="O365" s="510"/>
      <c r="P365" s="510"/>
      <c r="Q365" s="510"/>
      <c r="R365" s="510"/>
      <c r="T365" s="461"/>
      <c r="U365" s="396"/>
      <c r="V365" s="461"/>
      <c r="Z365" s="443"/>
      <c r="AA365" s="396"/>
      <c r="AB365" s="461"/>
      <c r="AC365" s="442"/>
      <c r="AD365" s="442"/>
      <c r="AE365" s="442"/>
      <c r="AF365" s="443"/>
      <c r="AH365" s="461"/>
      <c r="AI365" s="442"/>
      <c r="AJ365" s="442"/>
      <c r="AK365" s="442"/>
      <c r="AL365" s="443"/>
      <c r="AN365" s="461"/>
      <c r="AO365" s="442"/>
      <c r="AP365" s="442"/>
      <c r="AQ365" s="442"/>
      <c r="AR365" s="443"/>
      <c r="AT365" s="461"/>
      <c r="AU365" s="442"/>
      <c r="AV365" s="442"/>
      <c r="AW365" s="442"/>
      <c r="AX365" s="443"/>
      <c r="AZ365" s="461"/>
      <c r="BA365" s="442"/>
      <c r="BB365" s="442"/>
      <c r="BC365" s="442"/>
      <c r="BD365" s="443"/>
      <c r="BF365" s="461"/>
      <c r="BG365" s="442"/>
      <c r="BH365" s="442"/>
      <c r="BI365" s="442"/>
      <c r="BJ365" s="443"/>
      <c r="BL365" s="461"/>
      <c r="BM365" s="442"/>
      <c r="BN365" s="442"/>
      <c r="BO365" s="442"/>
      <c r="BP365" s="443"/>
      <c r="BR365" s="396"/>
      <c r="BT365" s="396"/>
      <c r="BW365" s="391"/>
      <c r="BX365" s="396"/>
      <c r="BZ365" s="396"/>
      <c r="CC365" s="391"/>
      <c r="CG365" s="396"/>
      <c r="CI365" s="391"/>
      <c r="CM365" s="396"/>
      <c r="CS365" s="396"/>
    </row>
    <row r="366" spans="2:97">
      <c r="B366" s="391"/>
      <c r="C366" s="391"/>
      <c r="F366" s="461"/>
      <c r="G366" s="442"/>
      <c r="H366" s="442"/>
      <c r="I366" s="442"/>
      <c r="J366" s="510"/>
      <c r="K366" s="510"/>
      <c r="L366" s="510"/>
      <c r="M366" s="510"/>
      <c r="N366" s="510"/>
      <c r="O366" s="510"/>
      <c r="P366" s="510"/>
      <c r="Q366" s="510"/>
      <c r="R366" s="510"/>
      <c r="T366" s="461"/>
      <c r="U366" s="396"/>
      <c r="V366" s="461"/>
      <c r="Z366" s="443"/>
      <c r="AA366" s="396"/>
      <c r="AB366" s="461"/>
      <c r="AC366" s="442"/>
      <c r="AD366" s="442"/>
      <c r="AE366" s="442"/>
      <c r="AF366" s="443"/>
      <c r="AH366" s="461"/>
      <c r="AI366" s="442"/>
      <c r="AJ366" s="442"/>
      <c r="AK366" s="442"/>
      <c r="AL366" s="443"/>
      <c r="AN366" s="461"/>
      <c r="AO366" s="442"/>
      <c r="AP366" s="442"/>
      <c r="AQ366" s="442"/>
      <c r="AR366" s="443"/>
      <c r="AT366" s="461"/>
      <c r="AU366" s="442"/>
      <c r="AV366" s="442"/>
      <c r="AW366" s="442"/>
      <c r="AX366" s="443"/>
      <c r="AZ366" s="461"/>
      <c r="BA366" s="442"/>
      <c r="BB366" s="442"/>
      <c r="BC366" s="442"/>
      <c r="BD366" s="443"/>
      <c r="BF366" s="461"/>
      <c r="BG366" s="442"/>
      <c r="BH366" s="442"/>
      <c r="BI366" s="442"/>
      <c r="BJ366" s="443"/>
      <c r="BL366" s="461"/>
      <c r="BM366" s="442"/>
      <c r="BN366" s="442"/>
      <c r="BO366" s="442"/>
      <c r="BP366" s="443"/>
      <c r="BR366" s="396"/>
      <c r="BT366" s="396"/>
      <c r="BW366" s="391"/>
      <c r="BX366" s="396"/>
      <c r="BZ366" s="396"/>
      <c r="CC366" s="391"/>
      <c r="CG366" s="396"/>
      <c r="CI366" s="391"/>
      <c r="CM366" s="396"/>
      <c r="CS366" s="396"/>
    </row>
    <row r="367" spans="2:97">
      <c r="B367" s="391"/>
      <c r="C367" s="391"/>
      <c r="F367" s="461"/>
      <c r="G367" s="442"/>
      <c r="H367" s="442"/>
      <c r="I367" s="442"/>
      <c r="J367" s="510"/>
      <c r="K367" s="510"/>
      <c r="L367" s="510"/>
      <c r="M367" s="510"/>
      <c r="N367" s="510"/>
      <c r="O367" s="510"/>
      <c r="P367" s="510"/>
      <c r="Q367" s="510"/>
      <c r="R367" s="510"/>
      <c r="T367" s="461"/>
      <c r="U367" s="396"/>
      <c r="V367" s="461"/>
      <c r="Z367" s="443"/>
      <c r="AA367" s="396"/>
      <c r="AB367" s="461"/>
      <c r="AC367" s="442"/>
      <c r="AD367" s="442"/>
      <c r="AE367" s="442"/>
      <c r="AF367" s="443"/>
      <c r="AH367" s="461"/>
      <c r="AI367" s="442"/>
      <c r="AJ367" s="442"/>
      <c r="AK367" s="442"/>
      <c r="AL367" s="443"/>
      <c r="AN367" s="461"/>
      <c r="AO367" s="442"/>
      <c r="AP367" s="442"/>
      <c r="AQ367" s="442"/>
      <c r="AR367" s="443"/>
      <c r="AT367" s="461"/>
      <c r="AU367" s="442"/>
      <c r="AV367" s="442"/>
      <c r="AW367" s="442"/>
      <c r="AX367" s="443"/>
      <c r="AZ367" s="461"/>
      <c r="BA367" s="442"/>
      <c r="BB367" s="442"/>
      <c r="BC367" s="442"/>
      <c r="BD367" s="443"/>
      <c r="BF367" s="461"/>
      <c r="BG367" s="442"/>
      <c r="BH367" s="442"/>
      <c r="BI367" s="442"/>
      <c r="BJ367" s="443"/>
      <c r="BL367" s="461"/>
      <c r="BM367" s="442"/>
      <c r="BN367" s="442"/>
      <c r="BO367" s="442"/>
      <c r="BP367" s="443"/>
      <c r="BR367" s="396"/>
      <c r="BT367" s="396"/>
      <c r="BW367" s="391"/>
      <c r="BX367" s="396"/>
      <c r="BZ367" s="396"/>
      <c r="CC367" s="391"/>
      <c r="CG367" s="396"/>
      <c r="CI367" s="391"/>
      <c r="CM367" s="396"/>
      <c r="CS367" s="396"/>
    </row>
    <row r="368" spans="2:97">
      <c r="B368" s="391"/>
      <c r="C368" s="391"/>
      <c r="F368" s="461"/>
      <c r="G368" s="442"/>
      <c r="H368" s="442"/>
      <c r="I368" s="442"/>
      <c r="J368" s="510"/>
      <c r="K368" s="510"/>
      <c r="L368" s="510"/>
      <c r="M368" s="510"/>
      <c r="N368" s="510"/>
      <c r="O368" s="510"/>
      <c r="P368" s="510"/>
      <c r="Q368" s="510"/>
      <c r="R368" s="510"/>
      <c r="T368" s="461"/>
      <c r="U368" s="396"/>
      <c r="V368" s="461"/>
      <c r="Z368" s="443"/>
      <c r="AA368" s="396"/>
      <c r="AB368" s="461"/>
      <c r="AC368" s="442"/>
      <c r="AD368" s="442"/>
      <c r="AE368" s="442"/>
      <c r="AF368" s="443"/>
      <c r="AH368" s="461"/>
      <c r="AI368" s="442"/>
      <c r="AJ368" s="442"/>
      <c r="AK368" s="442"/>
      <c r="AL368" s="443"/>
      <c r="AN368" s="461"/>
      <c r="AO368" s="442"/>
      <c r="AP368" s="442"/>
      <c r="AQ368" s="442"/>
      <c r="AR368" s="443"/>
      <c r="AT368" s="461"/>
      <c r="AU368" s="442"/>
      <c r="AV368" s="442"/>
      <c r="AW368" s="442"/>
      <c r="AX368" s="443"/>
      <c r="AZ368" s="461"/>
      <c r="BA368" s="442"/>
      <c r="BB368" s="442"/>
      <c r="BC368" s="442"/>
      <c r="BD368" s="443"/>
      <c r="BF368" s="461"/>
      <c r="BG368" s="442"/>
      <c r="BH368" s="442"/>
      <c r="BI368" s="442"/>
      <c r="BJ368" s="443"/>
      <c r="BL368" s="461"/>
      <c r="BM368" s="442"/>
      <c r="BN368" s="442"/>
      <c r="BO368" s="442"/>
      <c r="BP368" s="443"/>
      <c r="BR368" s="396"/>
      <c r="BT368" s="396"/>
      <c r="BW368" s="391"/>
      <c r="BX368" s="396"/>
      <c r="BZ368" s="396"/>
      <c r="CC368" s="391"/>
      <c r="CG368" s="396"/>
      <c r="CI368" s="391"/>
      <c r="CM368" s="396"/>
      <c r="CS368" s="396"/>
    </row>
    <row r="369" spans="2:97" s="391" customFormat="1">
      <c r="F369" s="414"/>
      <c r="G369" s="392"/>
      <c r="H369" s="392"/>
      <c r="I369" s="392"/>
      <c r="J369" s="393"/>
      <c r="K369" s="393"/>
      <c r="L369" s="393"/>
      <c r="M369" s="393"/>
      <c r="N369" s="393"/>
      <c r="O369" s="393"/>
      <c r="P369" s="393"/>
      <c r="Q369" s="393"/>
      <c r="R369" s="393"/>
      <c r="T369" s="414"/>
      <c r="V369" s="414"/>
      <c r="W369" s="392"/>
      <c r="X369" s="392"/>
      <c r="Y369" s="392"/>
      <c r="Z369" s="393"/>
      <c r="AB369" s="414"/>
      <c r="AC369" s="392"/>
      <c r="AD369" s="392"/>
      <c r="AE369" s="392"/>
      <c r="AF369" s="393"/>
      <c r="AH369" s="414"/>
      <c r="AI369" s="392"/>
      <c r="AJ369" s="392"/>
      <c r="AK369" s="392"/>
      <c r="AL369" s="393"/>
      <c r="AN369" s="414"/>
      <c r="AO369" s="392"/>
      <c r="AP369" s="392"/>
      <c r="AQ369" s="392"/>
      <c r="AR369" s="393"/>
      <c r="AT369" s="414"/>
      <c r="AU369" s="392"/>
      <c r="AV369" s="392"/>
      <c r="AW369" s="392"/>
      <c r="AX369" s="393"/>
      <c r="AZ369" s="414"/>
      <c r="BA369" s="392"/>
      <c r="BB369" s="392"/>
      <c r="BC369" s="392"/>
      <c r="BD369" s="393"/>
      <c r="BF369" s="414"/>
      <c r="BG369" s="392"/>
      <c r="BH369" s="392"/>
      <c r="BI369" s="392"/>
      <c r="BJ369" s="393"/>
      <c r="BL369" s="414"/>
      <c r="BM369" s="392"/>
      <c r="BN369" s="392"/>
      <c r="BO369" s="392"/>
      <c r="BP369" s="393"/>
    </row>
    <row r="370" spans="2:97" s="391" customFormat="1">
      <c r="F370" s="414"/>
      <c r="G370" s="392"/>
      <c r="H370" s="392"/>
      <c r="I370" s="392"/>
      <c r="J370" s="393"/>
      <c r="K370" s="393"/>
      <c r="L370" s="393"/>
      <c r="M370" s="393"/>
      <c r="N370" s="393"/>
      <c r="O370" s="393"/>
      <c r="P370" s="393"/>
      <c r="Q370" s="393"/>
      <c r="R370" s="393"/>
      <c r="T370" s="414"/>
      <c r="V370" s="414"/>
      <c r="W370" s="392"/>
      <c r="X370" s="392"/>
      <c r="Y370" s="392"/>
      <c r="Z370" s="393"/>
      <c r="AB370" s="414"/>
      <c r="AC370" s="392"/>
      <c r="AD370" s="392"/>
      <c r="AE370" s="392"/>
      <c r="AF370" s="393"/>
      <c r="AH370" s="414"/>
      <c r="AI370" s="392"/>
      <c r="AJ370" s="392"/>
      <c r="AK370" s="392"/>
      <c r="AL370" s="393"/>
      <c r="AN370" s="414"/>
      <c r="AO370" s="392"/>
      <c r="AP370" s="392"/>
      <c r="AQ370" s="392"/>
      <c r="AR370" s="393"/>
      <c r="AT370" s="414"/>
      <c r="AU370" s="392"/>
      <c r="AV370" s="392"/>
      <c r="AW370" s="392"/>
      <c r="AX370" s="393"/>
      <c r="AZ370" s="414"/>
      <c r="BA370" s="392"/>
      <c r="BB370" s="392"/>
      <c r="BC370" s="392"/>
      <c r="BD370" s="393"/>
      <c r="BF370" s="414"/>
      <c r="BG370" s="392"/>
      <c r="BH370" s="392"/>
      <c r="BI370" s="392"/>
      <c r="BJ370" s="393"/>
      <c r="BL370" s="414"/>
      <c r="BM370" s="392"/>
      <c r="BN370" s="392"/>
      <c r="BO370" s="392"/>
      <c r="BP370" s="393"/>
    </row>
    <row r="371" spans="2:97" ht="26.55" customHeight="1">
      <c r="B371" s="391"/>
      <c r="C371" s="391"/>
      <c r="J371" s="442"/>
      <c r="K371" s="442"/>
      <c r="L371" s="442"/>
      <c r="M371" s="442"/>
      <c r="N371" s="442"/>
      <c r="O371" s="442"/>
      <c r="P371" s="442"/>
      <c r="Q371" s="442"/>
      <c r="R371" s="442"/>
      <c r="T371" s="396"/>
      <c r="X371" s="443"/>
      <c r="Y371" s="396"/>
      <c r="Z371" s="461"/>
      <c r="AC371" s="442"/>
      <c r="AD371" s="443"/>
      <c r="AF371" s="461"/>
      <c r="AG371" s="442"/>
      <c r="AI371" s="442"/>
      <c r="AL371" s="461"/>
      <c r="AM371" s="442"/>
      <c r="AO371" s="442"/>
      <c r="AR371" s="461"/>
      <c r="AS371" s="442"/>
      <c r="AU371" s="442"/>
      <c r="AX371" s="461"/>
      <c r="AY371" s="442"/>
      <c r="BA371" s="442"/>
      <c r="BD371" s="461"/>
      <c r="BE371" s="442"/>
      <c r="BG371" s="442"/>
      <c r="BJ371" s="461"/>
      <c r="BK371" s="442"/>
      <c r="BM371" s="442"/>
      <c r="BP371" s="461"/>
      <c r="BQ371" s="442"/>
      <c r="BR371" s="443"/>
      <c r="BT371" s="461"/>
      <c r="BU371" s="442"/>
      <c r="BV371" s="442"/>
      <c r="BW371" s="392"/>
      <c r="BX371" s="443"/>
      <c r="BZ371" s="396"/>
      <c r="CC371" s="391"/>
      <c r="CG371" s="396"/>
      <c r="CI371" s="391"/>
      <c r="CM371" s="396"/>
      <c r="CS371" s="396"/>
    </row>
    <row r="372" spans="2:97">
      <c r="B372" s="391"/>
      <c r="C372" s="391"/>
      <c r="J372" s="442"/>
      <c r="K372" s="442"/>
      <c r="L372" s="442"/>
      <c r="M372" s="442"/>
      <c r="N372" s="442"/>
      <c r="O372" s="442"/>
      <c r="P372" s="442"/>
      <c r="Q372" s="442"/>
      <c r="R372" s="442"/>
      <c r="T372" s="396"/>
      <c r="X372" s="443"/>
      <c r="Y372" s="396"/>
      <c r="Z372" s="461"/>
      <c r="AC372" s="442"/>
      <c r="AD372" s="443"/>
      <c r="AF372" s="461"/>
      <c r="AG372" s="442"/>
      <c r="AI372" s="442"/>
      <c r="AL372" s="461"/>
      <c r="AM372" s="442"/>
      <c r="AO372" s="442"/>
      <c r="AR372" s="461"/>
      <c r="AS372" s="442"/>
      <c r="AU372" s="442"/>
      <c r="AX372" s="461"/>
      <c r="AY372" s="442"/>
      <c r="BA372" s="442"/>
      <c r="BD372" s="461"/>
      <c r="BE372" s="442"/>
      <c r="BG372" s="442"/>
      <c r="BJ372" s="461"/>
      <c r="BK372" s="442"/>
      <c r="BM372" s="442"/>
      <c r="BP372" s="461"/>
      <c r="BQ372" s="442"/>
      <c r="BR372" s="443"/>
      <c r="BT372" s="461"/>
      <c r="BU372" s="442"/>
      <c r="BV372" s="442"/>
      <c r="BW372" s="392"/>
      <c r="BX372" s="443"/>
      <c r="BZ372" s="396"/>
      <c r="CC372" s="391"/>
      <c r="CG372" s="396"/>
      <c r="CI372" s="391"/>
      <c r="CM372" s="396"/>
      <c r="CS372" s="396"/>
    </row>
    <row r="373" spans="2:97">
      <c r="B373" s="391"/>
      <c r="C373" s="391"/>
      <c r="J373" s="442"/>
      <c r="K373" s="442"/>
      <c r="L373" s="442"/>
      <c r="M373" s="442"/>
      <c r="N373" s="442"/>
      <c r="O373" s="442"/>
      <c r="P373" s="442"/>
      <c r="Q373" s="442"/>
      <c r="R373" s="442"/>
      <c r="T373" s="396"/>
      <c r="X373" s="443"/>
      <c r="Y373" s="396"/>
      <c r="Z373" s="461"/>
      <c r="AC373" s="442"/>
      <c r="AD373" s="443"/>
      <c r="AF373" s="461"/>
      <c r="AG373" s="442"/>
      <c r="AI373" s="442"/>
      <c r="AL373" s="461"/>
      <c r="AM373" s="442"/>
      <c r="AO373" s="442"/>
      <c r="AR373" s="461"/>
      <c r="AS373" s="442"/>
      <c r="AU373" s="442"/>
      <c r="AX373" s="461"/>
      <c r="AY373" s="442"/>
      <c r="BA373" s="442"/>
      <c r="BD373" s="461"/>
      <c r="BE373" s="442"/>
      <c r="BG373" s="442"/>
      <c r="BJ373" s="461"/>
      <c r="BK373" s="442"/>
      <c r="BM373" s="442"/>
      <c r="BP373" s="461"/>
      <c r="BQ373" s="442"/>
      <c r="BR373" s="443"/>
      <c r="BT373" s="461"/>
      <c r="BU373" s="442"/>
      <c r="BV373" s="442"/>
      <c r="BW373" s="392"/>
      <c r="BX373" s="443"/>
      <c r="BZ373" s="396"/>
      <c r="CC373" s="391"/>
      <c r="CG373" s="396"/>
      <c r="CI373" s="391"/>
      <c r="CM373" s="396"/>
      <c r="CS373" s="396"/>
    </row>
    <row r="374" spans="2:97">
      <c r="B374" s="391"/>
      <c r="C374" s="391"/>
      <c r="J374" s="442"/>
      <c r="K374" s="442"/>
      <c r="L374" s="442"/>
      <c r="M374" s="442"/>
      <c r="N374" s="442"/>
      <c r="O374" s="442"/>
      <c r="P374" s="442"/>
      <c r="Q374" s="442"/>
      <c r="R374" s="442"/>
      <c r="T374" s="396"/>
      <c r="X374" s="443"/>
      <c r="Y374" s="396"/>
      <c r="Z374" s="461"/>
      <c r="AC374" s="442"/>
      <c r="AD374" s="443"/>
      <c r="AF374" s="461"/>
      <c r="AG374" s="442"/>
      <c r="AI374" s="442"/>
      <c r="AL374" s="461"/>
      <c r="AM374" s="442"/>
      <c r="AO374" s="442"/>
      <c r="AR374" s="461"/>
      <c r="AS374" s="442"/>
      <c r="AU374" s="442"/>
      <c r="AX374" s="461"/>
      <c r="AY374" s="442"/>
      <c r="BA374" s="442"/>
      <c r="BD374" s="461"/>
      <c r="BE374" s="442"/>
      <c r="BG374" s="442"/>
      <c r="BJ374" s="461"/>
      <c r="BK374" s="442"/>
      <c r="BM374" s="442"/>
      <c r="BP374" s="461"/>
      <c r="BQ374" s="442"/>
      <c r="BR374" s="443"/>
      <c r="BT374" s="461"/>
      <c r="BU374" s="442"/>
      <c r="BV374" s="442"/>
      <c r="BW374" s="392"/>
      <c r="BX374" s="443"/>
      <c r="BZ374" s="396"/>
      <c r="CC374" s="391"/>
      <c r="CG374" s="396"/>
      <c r="CI374" s="391"/>
      <c r="CM374" s="396"/>
      <c r="CS374" s="396"/>
    </row>
    <row r="375" spans="2:97">
      <c r="B375" s="391"/>
      <c r="C375" s="391"/>
      <c r="J375" s="442"/>
      <c r="K375" s="442"/>
      <c r="L375" s="442"/>
      <c r="M375" s="442"/>
      <c r="N375" s="442"/>
      <c r="O375" s="442"/>
      <c r="P375" s="442"/>
      <c r="Q375" s="442"/>
      <c r="R375" s="442"/>
      <c r="T375" s="396"/>
      <c r="X375" s="443"/>
      <c r="Y375" s="396"/>
      <c r="Z375" s="461"/>
      <c r="AC375" s="442"/>
      <c r="AD375" s="443"/>
      <c r="AF375" s="461"/>
      <c r="AG375" s="442"/>
      <c r="AI375" s="442"/>
      <c r="AL375" s="461"/>
      <c r="AM375" s="442"/>
      <c r="AO375" s="442"/>
      <c r="AR375" s="461"/>
      <c r="AS375" s="442"/>
      <c r="AU375" s="442"/>
      <c r="AX375" s="461"/>
      <c r="AY375" s="442"/>
      <c r="BA375" s="442"/>
      <c r="BD375" s="461"/>
      <c r="BE375" s="442"/>
      <c r="BG375" s="442"/>
      <c r="BJ375" s="461"/>
      <c r="BK375" s="442"/>
      <c r="BM375" s="442"/>
      <c r="BP375" s="461"/>
      <c r="BQ375" s="442"/>
      <c r="BR375" s="443"/>
      <c r="BT375" s="461"/>
      <c r="BU375" s="442"/>
      <c r="BV375" s="442"/>
      <c r="BW375" s="392"/>
      <c r="BX375" s="443"/>
      <c r="BZ375" s="396"/>
      <c r="CC375" s="391"/>
      <c r="CG375" s="396"/>
      <c r="CI375" s="391"/>
      <c r="CM375" s="396"/>
      <c r="CS375" s="396"/>
    </row>
    <row r="376" spans="2:97">
      <c r="B376" s="391"/>
      <c r="C376" s="391"/>
      <c r="F376" s="461"/>
      <c r="G376" s="442"/>
      <c r="H376" s="442"/>
      <c r="I376" s="442"/>
      <c r="J376" s="510"/>
      <c r="K376" s="510"/>
      <c r="L376" s="510"/>
      <c r="M376" s="510"/>
      <c r="N376" s="510"/>
      <c r="O376" s="510"/>
      <c r="P376" s="510"/>
      <c r="Q376" s="510"/>
      <c r="R376" s="510"/>
      <c r="T376" s="461"/>
      <c r="U376" s="396"/>
      <c r="V376" s="396"/>
      <c r="W376" s="396"/>
      <c r="X376" s="396"/>
      <c r="Y376" s="396"/>
      <c r="Z376" s="396"/>
      <c r="AA376" s="396"/>
      <c r="AB376" s="396"/>
      <c r="AH376" s="396"/>
      <c r="AJ376" s="396"/>
      <c r="AN376" s="396"/>
      <c r="AP376" s="396"/>
      <c r="AT376" s="396"/>
      <c r="AV376" s="396"/>
      <c r="AZ376" s="396"/>
      <c r="BB376" s="396"/>
      <c r="BF376" s="396"/>
      <c r="BH376" s="396"/>
      <c r="BL376" s="396"/>
      <c r="BN376" s="396"/>
      <c r="BR376" s="396"/>
      <c r="BT376" s="396"/>
      <c r="BW376" s="391"/>
      <c r="BX376" s="396"/>
      <c r="BZ376" s="396"/>
      <c r="CC376" s="391"/>
      <c r="CG376" s="396"/>
      <c r="CI376" s="391"/>
      <c r="CM376" s="396"/>
      <c r="CS376" s="396"/>
    </row>
    <row r="377" spans="2:97">
      <c r="B377" s="391"/>
      <c r="C377" s="391"/>
      <c r="F377" s="461"/>
      <c r="G377" s="442"/>
      <c r="H377" s="442"/>
      <c r="I377" s="442"/>
      <c r="J377" s="510"/>
      <c r="K377" s="510"/>
      <c r="L377" s="510"/>
      <c r="M377" s="510"/>
      <c r="N377" s="510"/>
      <c r="O377" s="510"/>
      <c r="P377" s="510"/>
      <c r="Q377" s="510"/>
      <c r="R377" s="510"/>
      <c r="T377" s="461"/>
      <c r="U377" s="396"/>
      <c r="V377" s="461"/>
      <c r="Z377" s="443"/>
      <c r="AA377" s="396"/>
      <c r="AB377" s="461"/>
      <c r="AC377" s="442"/>
      <c r="AD377" s="442"/>
      <c r="AE377" s="442"/>
      <c r="AF377" s="443"/>
      <c r="AH377" s="461"/>
      <c r="AI377" s="442"/>
      <c r="AJ377" s="442"/>
      <c r="AK377" s="442"/>
      <c r="AL377" s="443"/>
      <c r="AN377" s="461"/>
      <c r="AO377" s="442"/>
      <c r="AP377" s="442"/>
      <c r="AQ377" s="442"/>
      <c r="AR377" s="443"/>
      <c r="AT377" s="461"/>
      <c r="AU377" s="442"/>
      <c r="AV377" s="442"/>
      <c r="AW377" s="442"/>
      <c r="AX377" s="443"/>
      <c r="AZ377" s="461"/>
      <c r="BA377" s="442"/>
      <c r="BB377" s="442"/>
      <c r="BC377" s="442"/>
      <c r="BD377" s="443"/>
      <c r="BF377" s="461"/>
      <c r="BG377" s="442"/>
      <c r="BH377" s="442"/>
      <c r="BI377" s="442"/>
      <c r="BJ377" s="443"/>
      <c r="BL377" s="461"/>
      <c r="BM377" s="442"/>
      <c r="BN377" s="442"/>
      <c r="BO377" s="442"/>
      <c r="BP377" s="443"/>
      <c r="BR377" s="396"/>
      <c r="BT377" s="396"/>
      <c r="BW377" s="391"/>
      <c r="BX377" s="396"/>
      <c r="BZ377" s="396"/>
      <c r="CC377" s="391"/>
      <c r="CG377" s="396"/>
      <c r="CI377" s="391"/>
      <c r="CM377" s="396"/>
      <c r="CS377" s="396"/>
    </row>
    <row r="378" spans="2:97">
      <c r="B378" s="391"/>
      <c r="C378" s="391"/>
      <c r="F378" s="461"/>
      <c r="G378" s="442"/>
      <c r="H378" s="442"/>
      <c r="I378" s="442"/>
      <c r="J378" s="510"/>
      <c r="K378" s="510"/>
      <c r="L378" s="510"/>
      <c r="M378" s="510"/>
      <c r="N378" s="510"/>
      <c r="O378" s="510"/>
      <c r="P378" s="510"/>
      <c r="Q378" s="510"/>
      <c r="R378" s="510"/>
      <c r="T378" s="461"/>
      <c r="U378" s="396"/>
      <c r="V378" s="461"/>
      <c r="Z378" s="443"/>
      <c r="AA378" s="396"/>
      <c r="AB378" s="461"/>
      <c r="AC378" s="442"/>
      <c r="AD378" s="442"/>
      <c r="AE378" s="442"/>
      <c r="AF378" s="443"/>
      <c r="AH378" s="461"/>
      <c r="AI378" s="442"/>
      <c r="AJ378" s="442"/>
      <c r="AK378" s="442"/>
      <c r="AL378" s="443"/>
      <c r="AN378" s="461"/>
      <c r="AO378" s="442"/>
      <c r="AP378" s="442"/>
      <c r="AQ378" s="442"/>
      <c r="AR378" s="443"/>
      <c r="AT378" s="461"/>
      <c r="AU378" s="442"/>
      <c r="AV378" s="442"/>
      <c r="AW378" s="442"/>
      <c r="AX378" s="443"/>
      <c r="AZ378" s="461"/>
      <c r="BA378" s="442"/>
      <c r="BB378" s="442"/>
      <c r="BC378" s="442"/>
      <c r="BD378" s="443"/>
      <c r="BF378" s="461"/>
      <c r="BG378" s="442"/>
      <c r="BH378" s="442"/>
      <c r="BI378" s="442"/>
      <c r="BJ378" s="443"/>
      <c r="BL378" s="461"/>
      <c r="BM378" s="442"/>
      <c r="BN378" s="442"/>
      <c r="BO378" s="442"/>
      <c r="BP378" s="443"/>
      <c r="BR378" s="396"/>
      <c r="BT378" s="396"/>
      <c r="BW378" s="391"/>
      <c r="BX378" s="396"/>
      <c r="BZ378" s="396"/>
      <c r="CC378" s="391"/>
      <c r="CG378" s="396"/>
      <c r="CI378" s="391"/>
      <c r="CM378" s="396"/>
      <c r="CS378" s="396"/>
    </row>
    <row r="379" spans="2:97">
      <c r="B379" s="391"/>
      <c r="C379" s="391"/>
      <c r="F379" s="461"/>
      <c r="G379" s="442"/>
      <c r="H379" s="442"/>
      <c r="I379" s="442"/>
      <c r="J379" s="510"/>
      <c r="K379" s="510"/>
      <c r="L379" s="510"/>
      <c r="M379" s="510"/>
      <c r="N379" s="510"/>
      <c r="O379" s="510"/>
      <c r="P379" s="510"/>
      <c r="Q379" s="510"/>
      <c r="R379" s="510"/>
      <c r="T379" s="461"/>
      <c r="U379" s="396"/>
      <c r="V379" s="461"/>
      <c r="Z379" s="443"/>
      <c r="AA379" s="396"/>
      <c r="AB379" s="461"/>
      <c r="AC379" s="442"/>
      <c r="AD379" s="442"/>
      <c r="AE379" s="442"/>
      <c r="AF379" s="443"/>
      <c r="AH379" s="461"/>
      <c r="AI379" s="442"/>
      <c r="AJ379" s="442"/>
      <c r="AK379" s="442"/>
      <c r="AL379" s="443"/>
      <c r="AN379" s="461"/>
      <c r="AO379" s="442"/>
      <c r="AP379" s="442"/>
      <c r="AQ379" s="442"/>
      <c r="AR379" s="443"/>
      <c r="AT379" s="461"/>
      <c r="AU379" s="442"/>
      <c r="AV379" s="442"/>
      <c r="AW379" s="442"/>
      <c r="AX379" s="443"/>
      <c r="AZ379" s="461"/>
      <c r="BA379" s="442"/>
      <c r="BB379" s="442"/>
      <c r="BC379" s="442"/>
      <c r="BD379" s="443"/>
      <c r="BF379" s="461"/>
      <c r="BG379" s="442"/>
      <c r="BH379" s="442"/>
      <c r="BI379" s="442"/>
      <c r="BJ379" s="443"/>
      <c r="BL379" s="461"/>
      <c r="BM379" s="442"/>
      <c r="BN379" s="442"/>
      <c r="BO379" s="442"/>
      <c r="BP379" s="443"/>
      <c r="BR379" s="396"/>
      <c r="BT379" s="396"/>
      <c r="BW379" s="391"/>
      <c r="BX379" s="396"/>
      <c r="BZ379" s="396"/>
      <c r="CC379" s="391"/>
      <c r="CG379" s="396"/>
      <c r="CI379" s="391"/>
      <c r="CM379" s="396"/>
      <c r="CS379" s="396"/>
    </row>
    <row r="380" spans="2:97">
      <c r="B380" s="391"/>
      <c r="C380" s="391"/>
      <c r="F380" s="461"/>
      <c r="G380" s="442"/>
      <c r="H380" s="442"/>
      <c r="I380" s="442"/>
      <c r="J380" s="510"/>
      <c r="K380" s="510"/>
      <c r="L380" s="510"/>
      <c r="M380" s="510"/>
      <c r="N380" s="510"/>
      <c r="O380" s="510"/>
      <c r="P380" s="510"/>
      <c r="Q380" s="510"/>
      <c r="R380" s="510"/>
      <c r="T380" s="461"/>
      <c r="U380" s="396"/>
      <c r="V380" s="461"/>
      <c r="Z380" s="443"/>
      <c r="AA380" s="396"/>
      <c r="AB380" s="461"/>
      <c r="AC380" s="442"/>
      <c r="AD380" s="442"/>
      <c r="AE380" s="442"/>
      <c r="AF380" s="443"/>
      <c r="AH380" s="461"/>
      <c r="AI380" s="442"/>
      <c r="AJ380" s="442"/>
      <c r="AK380" s="442"/>
      <c r="AL380" s="443"/>
      <c r="AN380" s="461"/>
      <c r="AO380" s="442"/>
      <c r="AP380" s="442"/>
      <c r="AQ380" s="442"/>
      <c r="AR380" s="443"/>
      <c r="AT380" s="461"/>
      <c r="AU380" s="442"/>
      <c r="AV380" s="442"/>
      <c r="AW380" s="442"/>
      <c r="AX380" s="443"/>
      <c r="AZ380" s="461"/>
      <c r="BA380" s="442"/>
      <c r="BB380" s="442"/>
      <c r="BC380" s="442"/>
      <c r="BD380" s="443"/>
      <c r="BF380" s="461"/>
      <c r="BG380" s="442"/>
      <c r="BH380" s="442"/>
      <c r="BI380" s="442"/>
      <c r="BJ380" s="443"/>
      <c r="BL380" s="461"/>
      <c r="BM380" s="442"/>
      <c r="BN380" s="442"/>
      <c r="BO380" s="442"/>
      <c r="BP380" s="443"/>
      <c r="BR380" s="396"/>
      <c r="BT380" s="396"/>
      <c r="BW380" s="391"/>
      <c r="BX380" s="396"/>
      <c r="BZ380" s="396"/>
      <c r="CC380" s="391"/>
      <c r="CG380" s="396"/>
      <c r="CI380" s="391"/>
      <c r="CM380" s="396"/>
      <c r="CS380" s="396"/>
    </row>
    <row r="381" spans="2:97">
      <c r="B381" s="391"/>
      <c r="C381" s="391"/>
      <c r="F381" s="461"/>
      <c r="G381" s="442"/>
      <c r="H381" s="442"/>
      <c r="I381" s="442"/>
      <c r="J381" s="510"/>
      <c r="K381" s="510"/>
      <c r="L381" s="510"/>
      <c r="M381" s="510"/>
      <c r="N381" s="510"/>
      <c r="O381" s="510"/>
      <c r="P381" s="510"/>
      <c r="Q381" s="510"/>
      <c r="R381" s="510"/>
      <c r="T381" s="461"/>
      <c r="U381" s="396"/>
      <c r="V381" s="461"/>
      <c r="Z381" s="443"/>
      <c r="AA381" s="396"/>
      <c r="AB381" s="461"/>
      <c r="AC381" s="442"/>
      <c r="AD381" s="442"/>
      <c r="AE381" s="442"/>
      <c r="AF381" s="443"/>
      <c r="AH381" s="461"/>
      <c r="AI381" s="442"/>
      <c r="AJ381" s="442"/>
      <c r="AK381" s="442"/>
      <c r="AL381" s="443"/>
      <c r="AN381" s="461"/>
      <c r="AO381" s="442"/>
      <c r="AP381" s="442"/>
      <c r="AQ381" s="442"/>
      <c r="AR381" s="443"/>
      <c r="AT381" s="461"/>
      <c r="AU381" s="442"/>
      <c r="AV381" s="442"/>
      <c r="AW381" s="442"/>
      <c r="AX381" s="443"/>
      <c r="AZ381" s="461"/>
      <c r="BA381" s="442"/>
      <c r="BB381" s="442"/>
      <c r="BC381" s="442"/>
      <c r="BD381" s="443"/>
      <c r="BF381" s="461"/>
      <c r="BG381" s="442"/>
      <c r="BH381" s="442"/>
      <c r="BI381" s="442"/>
      <c r="BJ381" s="443"/>
      <c r="BL381" s="461"/>
      <c r="BM381" s="442"/>
      <c r="BN381" s="442"/>
      <c r="BO381" s="442"/>
      <c r="BP381" s="443"/>
      <c r="BR381" s="396"/>
      <c r="BT381" s="396"/>
      <c r="BW381" s="391"/>
      <c r="BX381" s="396"/>
      <c r="BZ381" s="396"/>
      <c r="CC381" s="391"/>
      <c r="CG381" s="396"/>
      <c r="CI381" s="391"/>
      <c r="CM381" s="396"/>
      <c r="CS381" s="396"/>
    </row>
    <row r="382" spans="2:97" s="391" customFormat="1">
      <c r="K382" s="414"/>
      <c r="L382" s="392"/>
      <c r="M382" s="392"/>
      <c r="N382" s="392"/>
      <c r="O382" s="393"/>
      <c r="P382" s="393"/>
      <c r="Q382" s="393"/>
      <c r="R382" s="393"/>
      <c r="S382" s="393"/>
      <c r="T382" s="393"/>
      <c r="U382" s="393"/>
      <c r="V382" s="393"/>
      <c r="W382" s="393"/>
      <c r="Y382" s="414"/>
      <c r="AA382" s="414"/>
      <c r="AB382" s="392"/>
      <c r="AC382" s="392"/>
      <c r="AD382" s="392"/>
      <c r="AE382" s="393"/>
      <c r="AG382" s="414"/>
      <c r="AH382" s="392"/>
      <c r="AI382" s="392"/>
      <c r="AJ382" s="392"/>
      <c r="AK382" s="393"/>
      <c r="AM382" s="414"/>
      <c r="AN382" s="392"/>
      <c r="AO382" s="392"/>
      <c r="AP382" s="392"/>
      <c r="AQ382" s="393"/>
      <c r="AS382" s="414"/>
      <c r="AT382" s="392"/>
      <c r="AU382" s="392"/>
      <c r="AV382" s="392"/>
      <c r="AW382" s="393"/>
      <c r="AY382" s="414"/>
      <c r="AZ382" s="392"/>
      <c r="BA382" s="392"/>
      <c r="BB382" s="392"/>
      <c r="BC382" s="393"/>
      <c r="BE382" s="414"/>
      <c r="BF382" s="392"/>
      <c r="BG382" s="392"/>
      <c r="BH382" s="392"/>
      <c r="BI382" s="393"/>
      <c r="BK382" s="414"/>
      <c r="BL382" s="392"/>
      <c r="BM382" s="392"/>
      <c r="BN382" s="392"/>
      <c r="BO382" s="393"/>
      <c r="BQ382" s="414"/>
      <c r="BR382" s="392"/>
      <c r="BS382" s="392"/>
      <c r="BT382" s="392"/>
      <c r="BU382" s="393"/>
    </row>
    <row r="383" spans="2:97" s="391" customFormat="1">
      <c r="K383" s="414"/>
      <c r="L383" s="392"/>
      <c r="M383" s="392"/>
      <c r="N383" s="392"/>
      <c r="O383" s="393"/>
      <c r="P383" s="393"/>
      <c r="Q383" s="393"/>
      <c r="R383" s="393"/>
      <c r="S383" s="393"/>
      <c r="T383" s="393"/>
      <c r="U383" s="393"/>
      <c r="V383" s="393"/>
      <c r="W383" s="393"/>
      <c r="Y383" s="414"/>
      <c r="AA383" s="414"/>
      <c r="AB383" s="392"/>
      <c r="AC383" s="392"/>
      <c r="AD383" s="392"/>
      <c r="AE383" s="393"/>
      <c r="AG383" s="414"/>
      <c r="AH383" s="392"/>
      <c r="AI383" s="392"/>
      <c r="AJ383" s="392"/>
      <c r="AK383" s="393"/>
      <c r="AM383" s="414"/>
      <c r="AN383" s="392"/>
      <c r="AO383" s="392"/>
      <c r="AP383" s="392"/>
      <c r="AQ383" s="393"/>
      <c r="AS383" s="414"/>
      <c r="AT383" s="392"/>
      <c r="AU383" s="392"/>
      <c r="AV383" s="392"/>
      <c r="AW383" s="393"/>
      <c r="AY383" s="414"/>
      <c r="AZ383" s="392"/>
      <c r="BA383" s="392"/>
      <c r="BB383" s="392"/>
      <c r="BC383" s="393"/>
      <c r="BE383" s="414"/>
      <c r="BF383" s="392"/>
      <c r="BG383" s="392"/>
      <c r="BH383" s="392"/>
      <c r="BI383" s="393"/>
      <c r="BK383" s="414"/>
      <c r="BL383" s="392"/>
      <c r="BM383" s="392"/>
      <c r="BN383" s="392"/>
      <c r="BO383" s="393"/>
      <c r="BQ383" s="414"/>
      <c r="BR383" s="392"/>
      <c r="BS383" s="392"/>
      <c r="BT383" s="392"/>
      <c r="BU383" s="393"/>
    </row>
    <row r="384" spans="2:97">
      <c r="P384" s="461"/>
      <c r="Q384" s="442"/>
      <c r="R384" s="442"/>
      <c r="S384" s="442"/>
      <c r="T384" s="510"/>
      <c r="U384" s="510"/>
      <c r="V384" s="510"/>
      <c r="W384" s="510"/>
      <c r="X384" s="510"/>
      <c r="Y384" s="510"/>
      <c r="Z384" s="510"/>
      <c r="AA384" s="510"/>
      <c r="AB384" s="510"/>
      <c r="AD384" s="461"/>
      <c r="AF384" s="461"/>
      <c r="AG384" s="442"/>
      <c r="AI384" s="442"/>
      <c r="AL384" s="461"/>
      <c r="AM384" s="442"/>
      <c r="AO384" s="442"/>
      <c r="AR384" s="461"/>
      <c r="AS384" s="442"/>
      <c r="AU384" s="442"/>
      <c r="AX384" s="461"/>
      <c r="AY384" s="442"/>
      <c r="BA384" s="442"/>
      <c r="BD384" s="461"/>
      <c r="BE384" s="442"/>
      <c r="BG384" s="442"/>
      <c r="BJ384" s="461"/>
      <c r="BK384" s="442"/>
      <c r="BM384" s="442"/>
      <c r="BP384" s="461"/>
      <c r="BQ384" s="442"/>
      <c r="BS384" s="442"/>
      <c r="BV384" s="461"/>
      <c r="BW384" s="442"/>
      <c r="BY384" s="442"/>
    </row>
    <row r="385" spans="16:80">
      <c r="P385" s="461"/>
      <c r="Q385" s="442"/>
      <c r="R385" s="442"/>
      <c r="S385" s="442"/>
      <c r="T385" s="510"/>
      <c r="U385" s="510"/>
      <c r="V385" s="510"/>
      <c r="W385" s="510"/>
      <c r="X385" s="510"/>
      <c r="Y385" s="510"/>
      <c r="Z385" s="510"/>
      <c r="AA385" s="510"/>
      <c r="AB385" s="510"/>
      <c r="AD385" s="461"/>
      <c r="AF385" s="461"/>
      <c r="AG385" s="442"/>
      <c r="AI385" s="442"/>
      <c r="AJ385" s="510"/>
      <c r="AL385" s="461"/>
      <c r="AM385" s="442"/>
      <c r="AO385" s="442"/>
      <c r="AP385" s="510"/>
      <c r="AR385" s="461"/>
      <c r="AS385" s="442"/>
      <c r="AU385" s="442"/>
      <c r="AV385" s="510"/>
      <c r="AX385" s="461"/>
      <c r="AY385" s="442"/>
      <c r="BA385" s="442"/>
      <c r="BB385" s="510"/>
      <c r="BD385" s="461"/>
      <c r="BE385" s="442"/>
      <c r="BG385" s="442"/>
      <c r="BH385" s="510"/>
      <c r="BJ385" s="461"/>
      <c r="BK385" s="442"/>
      <c r="BM385" s="442"/>
      <c r="BN385" s="510"/>
      <c r="BP385" s="461"/>
      <c r="BQ385" s="442"/>
      <c r="BS385" s="442"/>
      <c r="BT385" s="510"/>
      <c r="BV385" s="461"/>
      <c r="BW385" s="442"/>
      <c r="BY385" s="442"/>
      <c r="BZ385" s="510"/>
    </row>
    <row r="386" spans="16:80">
      <c r="P386" s="461"/>
      <c r="Q386" s="442"/>
      <c r="R386" s="442"/>
      <c r="S386" s="442"/>
      <c r="T386" s="510"/>
      <c r="U386" s="510"/>
      <c r="V386" s="510"/>
      <c r="W386" s="510"/>
      <c r="X386" s="510"/>
      <c r="Y386" s="510"/>
      <c r="Z386" s="510"/>
      <c r="AA386" s="510"/>
      <c r="AB386" s="510"/>
      <c r="AD386" s="461"/>
      <c r="AF386" s="461"/>
      <c r="AG386" s="442"/>
      <c r="AI386" s="442"/>
      <c r="AJ386" s="510"/>
      <c r="AL386" s="461"/>
      <c r="AM386" s="442"/>
      <c r="AO386" s="442"/>
      <c r="AP386" s="510"/>
      <c r="AR386" s="461"/>
      <c r="AS386" s="442"/>
      <c r="AU386" s="442"/>
      <c r="AV386" s="510"/>
      <c r="AX386" s="461"/>
      <c r="AY386" s="442"/>
      <c r="BA386" s="442"/>
      <c r="BB386" s="510"/>
      <c r="BD386" s="461"/>
      <c r="BE386" s="442"/>
      <c r="BG386" s="442"/>
      <c r="BH386" s="510"/>
      <c r="BJ386" s="461"/>
      <c r="BK386" s="442"/>
      <c r="BM386" s="442"/>
      <c r="BN386" s="510"/>
      <c r="BP386" s="461"/>
      <c r="BQ386" s="442"/>
      <c r="BS386" s="442"/>
      <c r="BT386" s="510"/>
      <c r="BV386" s="461"/>
      <c r="BW386" s="442"/>
      <c r="BY386" s="442"/>
      <c r="BZ386" s="510"/>
    </row>
    <row r="387" spans="16:80">
      <c r="P387" s="461"/>
      <c r="Q387" s="442"/>
      <c r="R387" s="442"/>
      <c r="S387" s="442"/>
      <c r="T387" s="510"/>
      <c r="U387" s="510"/>
      <c r="V387" s="510"/>
      <c r="W387" s="510"/>
      <c r="X387" s="510"/>
      <c r="Y387" s="510"/>
      <c r="Z387" s="510"/>
      <c r="AA387" s="510"/>
      <c r="AB387" s="510"/>
      <c r="AD387" s="461"/>
      <c r="AF387" s="461"/>
      <c r="AG387" s="442"/>
      <c r="AI387" s="442"/>
      <c r="AJ387" s="510"/>
      <c r="AL387" s="461"/>
      <c r="AM387" s="442"/>
      <c r="AO387" s="442"/>
      <c r="AP387" s="510"/>
      <c r="AR387" s="461"/>
      <c r="AS387" s="442"/>
      <c r="AU387" s="442"/>
      <c r="AV387" s="510"/>
      <c r="AX387" s="461"/>
      <c r="AY387" s="442"/>
      <c r="BA387" s="442"/>
      <c r="BB387" s="510"/>
      <c r="BD387" s="461"/>
      <c r="BE387" s="442"/>
      <c r="BG387" s="442"/>
      <c r="BH387" s="510"/>
      <c r="BJ387" s="461"/>
      <c r="BK387" s="442"/>
      <c r="BM387" s="442"/>
      <c r="BN387" s="510"/>
      <c r="BP387" s="461"/>
      <c r="BQ387" s="442"/>
      <c r="BS387" s="442"/>
      <c r="BT387" s="510"/>
      <c r="BV387" s="461"/>
      <c r="BW387" s="442"/>
      <c r="BY387" s="442"/>
      <c r="BZ387" s="510"/>
    </row>
    <row r="390" spans="16:80" ht="26.1" customHeight="1">
      <c r="Q390" s="511"/>
      <c r="R390" s="511"/>
      <c r="S390" s="511"/>
      <c r="T390" s="511"/>
      <c r="U390" s="511"/>
      <c r="V390" s="511"/>
      <c r="W390" s="511"/>
      <c r="X390" s="511"/>
      <c r="Y390" s="511"/>
      <c r="Z390" s="511"/>
      <c r="AA390" s="511"/>
      <c r="AB390" s="511"/>
      <c r="AC390" s="511"/>
      <c r="AD390" s="511"/>
      <c r="AE390" s="511"/>
      <c r="AF390" s="511"/>
      <c r="AG390" s="511"/>
      <c r="AH390" s="511"/>
      <c r="AI390" s="511"/>
      <c r="AJ390" s="511"/>
      <c r="AK390" s="511"/>
      <c r="AL390" s="511"/>
      <c r="AM390" s="511"/>
      <c r="AN390" s="511"/>
      <c r="AO390" s="511"/>
      <c r="AP390" s="511"/>
      <c r="AQ390" s="511"/>
      <c r="AR390" s="512"/>
      <c r="AS390" s="512"/>
      <c r="AT390" s="512"/>
      <c r="AU390" s="512"/>
      <c r="AV390" s="512"/>
      <c r="AX390" s="512"/>
      <c r="AY390" s="512"/>
      <c r="AZ390" s="512"/>
      <c r="BA390" s="512"/>
      <c r="BB390" s="512"/>
      <c r="BC390" s="513"/>
      <c r="BD390" s="512"/>
      <c r="BE390" s="512"/>
      <c r="BF390" s="512"/>
      <c r="BG390" s="512"/>
      <c r="BH390" s="512"/>
      <c r="BI390" s="513"/>
      <c r="BJ390" s="512"/>
      <c r="BK390" s="512"/>
      <c r="BL390" s="512"/>
      <c r="BM390" s="512"/>
      <c r="BN390" s="512"/>
      <c r="BO390" s="513"/>
      <c r="BP390" s="512"/>
      <c r="BQ390" s="512"/>
      <c r="BR390" s="512"/>
      <c r="BS390" s="512"/>
      <c r="BT390" s="512"/>
      <c r="BU390" s="513"/>
      <c r="BV390" s="512"/>
      <c r="BW390" s="512"/>
      <c r="BX390" s="512"/>
      <c r="BY390" s="512"/>
      <c r="BZ390" s="512"/>
      <c r="CA390" s="513"/>
      <c r="CB390" s="442"/>
    </row>
    <row r="391" spans="16:80" ht="26.1" customHeight="1">
      <c r="Q391" s="514"/>
      <c r="R391" s="443"/>
      <c r="S391" s="443"/>
      <c r="T391" s="443"/>
      <c r="U391" s="443"/>
      <c r="V391" s="443"/>
      <c r="W391" s="443"/>
      <c r="X391" s="443"/>
      <c r="Y391" s="443"/>
      <c r="Z391" s="443"/>
      <c r="AA391" s="443"/>
      <c r="AB391" s="443"/>
      <c r="AC391" s="443"/>
      <c r="AD391" s="443"/>
      <c r="AE391" s="443"/>
      <c r="AF391" s="443"/>
      <c r="AG391" s="514"/>
      <c r="AH391" s="443"/>
      <c r="AI391" s="443"/>
      <c r="AK391" s="443"/>
      <c r="AL391" s="443"/>
      <c r="AM391" s="514"/>
      <c r="AN391" s="443"/>
      <c r="AO391" s="443"/>
      <c r="AQ391" s="443"/>
      <c r="AR391" s="443"/>
      <c r="AS391" s="514"/>
      <c r="AT391" s="443"/>
      <c r="AU391" s="443"/>
      <c r="AX391" s="443"/>
      <c r="AY391" s="514"/>
      <c r="AZ391" s="443"/>
      <c r="BA391" s="443"/>
      <c r="BC391" s="513"/>
      <c r="BD391" s="443"/>
      <c r="BE391" s="514"/>
      <c r="BF391" s="443"/>
      <c r="BG391" s="443"/>
      <c r="BI391" s="513"/>
      <c r="BJ391" s="443"/>
      <c r="BK391" s="514"/>
      <c r="BL391" s="443"/>
      <c r="BM391" s="443"/>
      <c r="BO391" s="513"/>
      <c r="BP391" s="443"/>
      <c r="BQ391" s="514"/>
      <c r="BR391" s="443"/>
      <c r="BS391" s="443"/>
      <c r="BU391" s="513"/>
      <c r="BV391" s="443"/>
      <c r="BW391" s="514"/>
      <c r="BX391" s="443"/>
      <c r="BY391" s="443"/>
      <c r="CA391" s="513"/>
      <c r="CB391" s="442"/>
    </row>
    <row r="392" spans="16:80" ht="26.1" customHeight="1">
      <c r="Q392" s="514"/>
      <c r="R392" s="443"/>
      <c r="S392" s="443"/>
      <c r="T392" s="443"/>
      <c r="U392" s="443"/>
      <c r="V392" s="443"/>
      <c r="W392" s="443"/>
      <c r="X392" s="443"/>
      <c r="Y392" s="443"/>
      <c r="Z392" s="443"/>
      <c r="AA392" s="443"/>
      <c r="AB392" s="443"/>
      <c r="AC392" s="443"/>
      <c r="AD392" s="443"/>
      <c r="AE392" s="443"/>
      <c r="AF392" s="443"/>
      <c r="AG392" s="514"/>
      <c r="AH392" s="443"/>
      <c r="AI392" s="443"/>
      <c r="AK392" s="443"/>
      <c r="AL392" s="443"/>
      <c r="AM392" s="514"/>
      <c r="AN392" s="443"/>
      <c r="AO392" s="443"/>
      <c r="AQ392" s="443"/>
      <c r="AR392" s="443"/>
      <c r="AS392" s="514"/>
      <c r="AT392" s="443"/>
      <c r="AU392" s="443"/>
      <c r="AX392" s="443"/>
      <c r="AY392" s="514"/>
      <c r="AZ392" s="443"/>
      <c r="BA392" s="443"/>
      <c r="BC392" s="513"/>
      <c r="BD392" s="443"/>
      <c r="BE392" s="514"/>
      <c r="BF392" s="443"/>
      <c r="BG392" s="443"/>
      <c r="BI392" s="513"/>
      <c r="BJ392" s="443"/>
      <c r="BK392" s="514"/>
      <c r="BL392" s="443"/>
      <c r="BM392" s="443"/>
      <c r="BO392" s="513"/>
      <c r="BP392" s="443"/>
      <c r="BQ392" s="514"/>
      <c r="BR392" s="443"/>
      <c r="BS392" s="443"/>
      <c r="BU392" s="513"/>
      <c r="BV392" s="443"/>
      <c r="BW392" s="514"/>
      <c r="BX392" s="443"/>
      <c r="BY392" s="443"/>
      <c r="CA392" s="513"/>
      <c r="CB392" s="442"/>
    </row>
    <row r="393" spans="16:80" ht="26.1" customHeight="1">
      <c r="Q393" s="514"/>
      <c r="R393" s="443"/>
      <c r="S393" s="443"/>
      <c r="T393" s="443"/>
      <c r="U393" s="443"/>
      <c r="V393" s="443"/>
      <c r="W393" s="443"/>
      <c r="X393" s="443"/>
      <c r="Y393" s="443"/>
      <c r="Z393" s="443"/>
      <c r="AA393" s="443"/>
      <c r="AB393" s="443"/>
      <c r="AC393" s="443"/>
      <c r="AD393" s="443"/>
      <c r="AE393" s="443"/>
      <c r="AF393" s="443"/>
      <c r="AG393" s="514"/>
      <c r="AH393" s="443"/>
      <c r="AI393" s="443"/>
      <c r="AK393" s="443"/>
      <c r="AL393" s="443"/>
      <c r="AM393" s="514"/>
      <c r="AN393" s="443"/>
      <c r="AO393" s="443"/>
      <c r="AQ393" s="443"/>
      <c r="AR393" s="443"/>
      <c r="AS393" s="514"/>
      <c r="AT393" s="443"/>
      <c r="AU393" s="443"/>
      <c r="AX393" s="443"/>
      <c r="AY393" s="514"/>
      <c r="AZ393" s="443"/>
      <c r="BA393" s="443"/>
      <c r="BC393" s="513"/>
      <c r="BD393" s="443"/>
      <c r="BE393" s="514"/>
      <c r="BF393" s="443"/>
      <c r="BG393" s="443"/>
      <c r="BI393" s="513"/>
      <c r="BJ393" s="443"/>
      <c r="BK393" s="514"/>
      <c r="BL393" s="443"/>
      <c r="BM393" s="443"/>
      <c r="BO393" s="513"/>
      <c r="BP393" s="443"/>
      <c r="BQ393" s="514"/>
      <c r="BR393" s="443"/>
      <c r="BS393" s="443"/>
      <c r="BU393" s="513"/>
      <c r="BV393" s="443"/>
      <c r="BW393" s="514"/>
      <c r="BX393" s="443"/>
      <c r="BY393" s="443"/>
      <c r="CA393" s="513"/>
      <c r="CB393" s="442"/>
    </row>
    <row r="394" spans="16:80" ht="26.1" customHeight="1">
      <c r="Q394" s="514"/>
      <c r="R394" s="443"/>
      <c r="S394" s="443"/>
      <c r="T394" s="443"/>
      <c r="U394" s="443"/>
      <c r="V394" s="443"/>
      <c r="W394" s="443"/>
      <c r="X394" s="443"/>
      <c r="Y394" s="443"/>
      <c r="Z394" s="443"/>
      <c r="AA394" s="443"/>
      <c r="AB394" s="443"/>
      <c r="AC394" s="443"/>
      <c r="AD394" s="443"/>
      <c r="AE394" s="443"/>
      <c r="AF394" s="443"/>
      <c r="AG394" s="514"/>
      <c r="AH394" s="443"/>
      <c r="AI394" s="443"/>
      <c r="AK394" s="443"/>
      <c r="AL394" s="443"/>
      <c r="AM394" s="514"/>
      <c r="AN394" s="443"/>
      <c r="AO394" s="443"/>
      <c r="AQ394" s="443"/>
      <c r="AR394" s="443"/>
      <c r="AS394" s="514"/>
      <c r="AT394" s="443"/>
      <c r="AU394" s="443"/>
      <c r="AX394" s="443"/>
      <c r="AY394" s="514"/>
      <c r="AZ394" s="443"/>
      <c r="BA394" s="443"/>
      <c r="BC394" s="513"/>
      <c r="BD394" s="443"/>
      <c r="BE394" s="514"/>
      <c r="BF394" s="443"/>
      <c r="BG394" s="443"/>
      <c r="BI394" s="513"/>
      <c r="BJ394" s="443"/>
      <c r="BK394" s="514"/>
      <c r="BL394" s="443"/>
      <c r="BM394" s="443"/>
      <c r="BO394" s="513"/>
      <c r="BP394" s="443"/>
      <c r="BQ394" s="514"/>
      <c r="BR394" s="443"/>
      <c r="BS394" s="443"/>
      <c r="BU394" s="513"/>
      <c r="BV394" s="443"/>
      <c r="BW394" s="514"/>
      <c r="BX394" s="443"/>
      <c r="BY394" s="443"/>
      <c r="CA394" s="513"/>
      <c r="CB394" s="442"/>
    </row>
    <row r="395" spans="16:80" ht="26.1" customHeight="1">
      <c r="Q395" s="514"/>
      <c r="R395" s="443"/>
      <c r="S395" s="443"/>
      <c r="T395" s="443"/>
      <c r="U395" s="443"/>
      <c r="V395" s="443"/>
      <c r="W395" s="443"/>
      <c r="X395" s="443"/>
      <c r="Y395" s="443"/>
      <c r="Z395" s="443"/>
      <c r="AA395" s="443"/>
      <c r="AB395" s="443"/>
      <c r="AC395" s="443"/>
      <c r="AD395" s="443"/>
      <c r="AE395" s="443"/>
      <c r="AF395" s="443"/>
      <c r="AG395" s="514"/>
      <c r="AH395" s="443"/>
      <c r="AI395" s="443"/>
      <c r="AK395" s="443"/>
      <c r="AL395" s="443"/>
      <c r="AM395" s="514"/>
      <c r="AN395" s="443"/>
      <c r="AO395" s="443"/>
      <c r="AQ395" s="443"/>
      <c r="AR395" s="443"/>
      <c r="AS395" s="514"/>
      <c r="AT395" s="443"/>
      <c r="AU395" s="443"/>
      <c r="AX395" s="443"/>
      <c r="AY395" s="514"/>
      <c r="AZ395" s="443"/>
      <c r="BA395" s="443"/>
      <c r="BC395" s="513"/>
      <c r="BD395" s="443"/>
      <c r="BE395" s="514"/>
      <c r="BF395" s="443"/>
      <c r="BG395" s="443"/>
      <c r="BI395" s="513"/>
      <c r="BJ395" s="443"/>
      <c r="BK395" s="514"/>
      <c r="BL395" s="443"/>
      <c r="BM395" s="443"/>
      <c r="BO395" s="513"/>
      <c r="BP395" s="443"/>
      <c r="BQ395" s="514"/>
      <c r="BR395" s="443"/>
      <c r="BS395" s="443"/>
      <c r="BU395" s="513"/>
      <c r="BV395" s="443"/>
      <c r="BW395" s="514"/>
      <c r="BX395" s="443"/>
      <c r="BY395" s="443"/>
      <c r="CA395" s="513"/>
      <c r="CB395" s="442"/>
    </row>
    <row r="396" spans="16:80" ht="26.1" customHeight="1">
      <c r="Q396" s="514"/>
      <c r="R396" s="443"/>
      <c r="S396" s="443"/>
      <c r="T396" s="443"/>
      <c r="U396" s="443"/>
      <c r="V396" s="443"/>
      <c r="W396" s="443"/>
      <c r="X396" s="443"/>
      <c r="Y396" s="443"/>
      <c r="Z396" s="443"/>
      <c r="AA396" s="443"/>
      <c r="AB396" s="443"/>
      <c r="AC396" s="443"/>
      <c r="AD396" s="443"/>
      <c r="AE396" s="443"/>
      <c r="AF396" s="443"/>
      <c r="AG396" s="514"/>
      <c r="AH396" s="443"/>
      <c r="AI396" s="443"/>
      <c r="AK396" s="443"/>
      <c r="AL396" s="443"/>
      <c r="AM396" s="514"/>
      <c r="AN396" s="443"/>
      <c r="AO396" s="443"/>
      <c r="AQ396" s="443"/>
      <c r="AR396" s="443"/>
      <c r="AS396" s="514"/>
      <c r="AT396" s="443"/>
      <c r="AU396" s="443"/>
      <c r="AX396" s="443"/>
      <c r="AY396" s="514"/>
      <c r="AZ396" s="443"/>
      <c r="BA396" s="443"/>
      <c r="BC396" s="513"/>
      <c r="BD396" s="443"/>
      <c r="BE396" s="514"/>
      <c r="BF396" s="443"/>
      <c r="BG396" s="443"/>
      <c r="BI396" s="513"/>
      <c r="BJ396" s="443"/>
      <c r="BK396" s="514"/>
      <c r="BL396" s="443"/>
      <c r="BM396" s="443"/>
      <c r="BO396" s="513"/>
      <c r="BP396" s="443"/>
      <c r="BQ396" s="514"/>
      <c r="BR396" s="443"/>
      <c r="BS396" s="443"/>
      <c r="BU396" s="513"/>
      <c r="BV396" s="443"/>
      <c r="BW396" s="514"/>
      <c r="BX396" s="443"/>
      <c r="BY396" s="443"/>
      <c r="CA396" s="513"/>
      <c r="CB396" s="442"/>
    </row>
    <row r="397" spans="16:80" ht="26.1" customHeight="1">
      <c r="Q397" s="514"/>
      <c r="R397" s="443"/>
      <c r="S397" s="443"/>
      <c r="T397" s="443"/>
      <c r="U397" s="443"/>
      <c r="V397" s="443"/>
      <c r="W397" s="443"/>
      <c r="X397" s="443"/>
      <c r="Y397" s="443"/>
      <c r="Z397" s="443"/>
      <c r="AA397" s="443"/>
      <c r="AB397" s="443"/>
      <c r="AC397" s="443"/>
      <c r="AD397" s="443"/>
      <c r="AE397" s="443"/>
      <c r="AF397" s="443"/>
      <c r="AG397" s="514"/>
      <c r="AH397" s="443"/>
      <c r="AI397" s="443"/>
      <c r="AK397" s="443"/>
      <c r="AL397" s="443"/>
      <c r="AM397" s="514"/>
      <c r="AN397" s="443"/>
      <c r="AO397" s="443"/>
      <c r="AQ397" s="443"/>
      <c r="AR397" s="443"/>
      <c r="AS397" s="514"/>
      <c r="AT397" s="443"/>
      <c r="AU397" s="443"/>
      <c r="AX397" s="443"/>
      <c r="AY397" s="514"/>
      <c r="AZ397" s="443"/>
      <c r="BA397" s="443"/>
      <c r="BC397" s="513"/>
      <c r="BD397" s="443"/>
      <c r="BE397" s="514"/>
      <c r="BF397" s="443"/>
      <c r="BG397" s="443"/>
      <c r="BI397" s="513"/>
      <c r="BJ397" s="443"/>
      <c r="BK397" s="514"/>
      <c r="BL397" s="443"/>
      <c r="BM397" s="443"/>
      <c r="BO397" s="513"/>
      <c r="BP397" s="443"/>
      <c r="BQ397" s="514"/>
      <c r="BR397" s="443"/>
      <c r="BS397" s="443"/>
      <c r="BU397" s="513"/>
      <c r="BV397" s="443"/>
      <c r="BW397" s="514"/>
      <c r="BX397" s="443"/>
      <c r="BY397" s="443"/>
      <c r="CA397" s="513"/>
      <c r="CB397" s="442"/>
    </row>
    <row r="398" spans="16:80" ht="26.1" customHeight="1">
      <c r="Q398" s="514"/>
      <c r="R398" s="443"/>
      <c r="S398" s="443"/>
      <c r="T398" s="443"/>
      <c r="U398" s="443"/>
      <c r="V398" s="443"/>
      <c r="W398" s="443"/>
      <c r="X398" s="443"/>
      <c r="Y398" s="443"/>
      <c r="Z398" s="443"/>
      <c r="AA398" s="443"/>
      <c r="AB398" s="443"/>
      <c r="AC398" s="443"/>
      <c r="AD398" s="443"/>
      <c r="AE398" s="443"/>
      <c r="AF398" s="443"/>
      <c r="AG398" s="514"/>
      <c r="AH398" s="443"/>
      <c r="AI398" s="443"/>
      <c r="AK398" s="443"/>
      <c r="AL398" s="443"/>
      <c r="AM398" s="514"/>
      <c r="AN398" s="443"/>
      <c r="AO398" s="443"/>
      <c r="AQ398" s="443"/>
      <c r="AR398" s="443"/>
      <c r="AS398" s="514"/>
      <c r="AT398" s="443"/>
      <c r="AU398" s="443"/>
      <c r="AX398" s="443"/>
      <c r="AY398" s="514"/>
      <c r="AZ398" s="443"/>
      <c r="BA398" s="443"/>
      <c r="BC398" s="515"/>
      <c r="BD398" s="443"/>
      <c r="BE398" s="514"/>
      <c r="BF398" s="443"/>
      <c r="BG398" s="443"/>
      <c r="BI398" s="515"/>
      <c r="BJ398" s="443"/>
      <c r="BK398" s="514"/>
      <c r="BL398" s="443"/>
      <c r="BM398" s="443"/>
      <c r="BO398" s="515"/>
      <c r="BP398" s="443"/>
      <c r="BQ398" s="514"/>
      <c r="BR398" s="443"/>
      <c r="BS398" s="443"/>
      <c r="BU398" s="515"/>
      <c r="BV398" s="443"/>
      <c r="BW398" s="514"/>
      <c r="BX398" s="443"/>
      <c r="BY398" s="443"/>
      <c r="CA398" s="515"/>
    </row>
    <row r="399" spans="16:80" ht="26.1" customHeight="1">
      <c r="Q399" s="514"/>
      <c r="R399" s="443"/>
      <c r="S399" s="443"/>
      <c r="T399" s="443"/>
      <c r="U399" s="443"/>
      <c r="V399" s="443"/>
      <c r="W399" s="443"/>
      <c r="X399" s="443"/>
      <c r="Y399" s="443"/>
      <c r="Z399" s="443"/>
      <c r="AA399" s="443"/>
      <c r="AB399" s="443"/>
      <c r="AC399" s="443"/>
      <c r="AD399" s="443"/>
      <c r="AE399" s="443"/>
      <c r="AF399" s="443"/>
      <c r="AG399" s="514"/>
      <c r="AH399" s="443"/>
      <c r="AI399" s="443"/>
      <c r="AK399" s="443"/>
      <c r="AL399" s="443"/>
      <c r="AM399" s="514"/>
      <c r="AN399" s="443"/>
      <c r="AO399" s="443"/>
      <c r="AQ399" s="443"/>
      <c r="AR399" s="443"/>
      <c r="AS399" s="514"/>
      <c r="AT399" s="443"/>
      <c r="AU399" s="443"/>
      <c r="AX399" s="443"/>
      <c r="AY399" s="514"/>
      <c r="AZ399" s="443"/>
      <c r="BA399" s="443"/>
      <c r="BC399" s="515"/>
      <c r="BD399" s="443"/>
      <c r="BE399" s="514"/>
      <c r="BF399" s="443"/>
      <c r="BG399" s="443"/>
      <c r="BI399" s="515"/>
      <c r="BJ399" s="443"/>
      <c r="BK399" s="514"/>
      <c r="BL399" s="443"/>
      <c r="BM399" s="443"/>
      <c r="BO399" s="515"/>
      <c r="BP399" s="443"/>
      <c r="BQ399" s="514"/>
      <c r="BR399" s="443"/>
      <c r="BS399" s="443"/>
      <c r="BU399" s="515"/>
      <c r="BV399" s="443"/>
      <c r="BW399" s="514"/>
      <c r="BX399" s="443"/>
      <c r="BY399" s="443"/>
      <c r="CA399" s="515"/>
    </row>
    <row r="400" spans="16:80" ht="26.1" customHeight="1">
      <c r="Q400" s="514"/>
      <c r="R400" s="443"/>
      <c r="S400" s="443"/>
      <c r="T400" s="443"/>
      <c r="U400" s="443"/>
      <c r="V400" s="443"/>
      <c r="W400" s="443"/>
      <c r="X400" s="443"/>
      <c r="Y400" s="443"/>
      <c r="Z400" s="443"/>
      <c r="AA400" s="443"/>
      <c r="AB400" s="443"/>
      <c r="AC400" s="443"/>
      <c r="AD400" s="443"/>
      <c r="AE400" s="443"/>
      <c r="AF400" s="443"/>
      <c r="AG400" s="514"/>
      <c r="AH400" s="443"/>
      <c r="AI400" s="443"/>
      <c r="AK400" s="443"/>
      <c r="AL400" s="443"/>
      <c r="AM400" s="514"/>
      <c r="AN400" s="443"/>
      <c r="AO400" s="443"/>
      <c r="AQ400" s="443"/>
      <c r="AR400" s="443"/>
      <c r="AS400" s="514"/>
      <c r="AT400" s="443"/>
      <c r="AU400" s="443"/>
      <c r="AX400" s="443"/>
      <c r="AY400" s="514"/>
      <c r="AZ400" s="443"/>
      <c r="BA400" s="443"/>
      <c r="BD400" s="443"/>
      <c r="BE400" s="514"/>
      <c r="BF400" s="443"/>
      <c r="BG400" s="443"/>
      <c r="BJ400" s="443"/>
      <c r="BK400" s="514"/>
      <c r="BL400" s="443"/>
      <c r="BM400" s="443"/>
      <c r="BP400" s="443"/>
      <c r="BQ400" s="514"/>
      <c r="BR400" s="443"/>
      <c r="BS400" s="443"/>
      <c r="BV400" s="443"/>
      <c r="BW400" s="514"/>
      <c r="BX400" s="443"/>
      <c r="BY400" s="443"/>
    </row>
    <row r="401" spans="17:80" ht="26.1" customHeight="1">
      <c r="Q401" s="514"/>
      <c r="R401" s="443"/>
      <c r="S401" s="443"/>
      <c r="T401" s="443"/>
      <c r="U401" s="443"/>
      <c r="V401" s="443"/>
      <c r="W401" s="443"/>
      <c r="X401" s="443"/>
      <c r="Y401" s="443"/>
      <c r="Z401" s="443"/>
      <c r="AA401" s="443"/>
      <c r="AB401" s="443"/>
      <c r="AC401" s="443"/>
      <c r="AD401" s="443"/>
      <c r="AE401" s="443"/>
      <c r="AF401" s="443"/>
      <c r="AG401" s="514"/>
      <c r="AH401" s="443"/>
      <c r="AI401" s="443"/>
      <c r="AK401" s="443"/>
      <c r="AL401" s="443"/>
      <c r="AM401" s="514"/>
      <c r="AN401" s="443"/>
      <c r="AO401" s="443"/>
      <c r="AQ401" s="443"/>
      <c r="AR401" s="443"/>
      <c r="AS401" s="514"/>
      <c r="AT401" s="443"/>
      <c r="AU401" s="443"/>
      <c r="AX401" s="443"/>
      <c r="AY401" s="514"/>
      <c r="AZ401" s="443"/>
      <c r="BA401" s="443"/>
      <c r="BC401" s="497"/>
      <c r="BD401" s="443"/>
      <c r="BE401" s="514"/>
      <c r="BF401" s="443"/>
      <c r="BG401" s="443"/>
      <c r="BI401" s="497"/>
      <c r="BJ401" s="443"/>
      <c r="BK401" s="514"/>
      <c r="BL401" s="443"/>
      <c r="BM401" s="443"/>
      <c r="BO401" s="497"/>
      <c r="BP401" s="443"/>
      <c r="BQ401" s="514"/>
      <c r="BR401" s="443"/>
      <c r="BS401" s="443"/>
      <c r="BU401" s="497"/>
      <c r="BV401" s="443"/>
      <c r="BW401" s="514"/>
      <c r="BX401" s="443"/>
      <c r="BY401" s="443"/>
      <c r="CA401" s="497"/>
      <c r="CB401" s="497"/>
    </row>
    <row r="402" spans="17:80" ht="26.1" customHeight="1">
      <c r="Q402" s="514"/>
      <c r="R402" s="443"/>
      <c r="S402" s="443"/>
      <c r="T402" s="443"/>
      <c r="U402" s="443"/>
      <c r="V402" s="443"/>
      <c r="W402" s="443"/>
      <c r="X402" s="443"/>
      <c r="Y402" s="443"/>
      <c r="Z402" s="443"/>
      <c r="AA402" s="443"/>
      <c r="AB402" s="443"/>
      <c r="AC402" s="443"/>
      <c r="AD402" s="443"/>
      <c r="AE402" s="443"/>
      <c r="AF402" s="443"/>
      <c r="AG402" s="514"/>
      <c r="AH402" s="443"/>
      <c r="AI402" s="443"/>
      <c r="AK402" s="443"/>
      <c r="AL402" s="443"/>
      <c r="AM402" s="514"/>
      <c r="AN402" s="443"/>
      <c r="AO402" s="443"/>
      <c r="AQ402" s="443"/>
      <c r="AR402" s="443"/>
      <c r="AS402" s="514"/>
      <c r="AT402" s="443"/>
      <c r="AU402" s="443"/>
      <c r="AX402" s="443"/>
      <c r="AY402" s="514"/>
      <c r="AZ402" s="443"/>
      <c r="BA402" s="443"/>
      <c r="BC402" s="461"/>
      <c r="BD402" s="443"/>
      <c r="BE402" s="514"/>
      <c r="BF402" s="443"/>
      <c r="BG402" s="443"/>
      <c r="BI402" s="461"/>
      <c r="BJ402" s="443"/>
      <c r="BK402" s="514"/>
      <c r="BL402" s="443"/>
      <c r="BM402" s="443"/>
      <c r="BO402" s="461"/>
      <c r="BP402" s="443"/>
      <c r="BQ402" s="514"/>
      <c r="BR402" s="443"/>
      <c r="BS402" s="443"/>
      <c r="BU402" s="461"/>
      <c r="BV402" s="443"/>
      <c r="BW402" s="514"/>
      <c r="BX402" s="443"/>
      <c r="BY402" s="443"/>
      <c r="CA402" s="461"/>
      <c r="CB402" s="442"/>
    </row>
    <row r="403" spans="17:80" ht="26.1" customHeight="1">
      <c r="Q403" s="514"/>
      <c r="R403" s="443"/>
      <c r="S403" s="443"/>
      <c r="T403" s="443"/>
      <c r="U403" s="443"/>
      <c r="V403" s="443"/>
      <c r="W403" s="443"/>
      <c r="X403" s="443"/>
      <c r="Y403" s="443"/>
      <c r="Z403" s="443"/>
      <c r="AA403" s="443"/>
      <c r="AB403" s="443"/>
      <c r="AC403" s="443"/>
      <c r="AD403" s="443"/>
      <c r="AE403" s="443"/>
      <c r="AF403" s="443"/>
      <c r="AG403" s="514"/>
      <c r="AH403" s="443"/>
      <c r="AI403" s="443"/>
      <c r="AK403" s="443"/>
      <c r="AL403" s="443"/>
      <c r="AM403" s="514"/>
      <c r="AN403" s="443"/>
      <c r="AO403" s="443"/>
      <c r="AQ403" s="443"/>
      <c r="AR403" s="443"/>
      <c r="AS403" s="514"/>
      <c r="AT403" s="443"/>
      <c r="AU403" s="443"/>
      <c r="AX403" s="443"/>
      <c r="AY403" s="514"/>
      <c r="AZ403" s="443"/>
      <c r="BA403" s="443"/>
      <c r="BC403" s="461"/>
      <c r="BD403" s="443"/>
      <c r="BE403" s="514"/>
      <c r="BF403" s="443"/>
      <c r="BG403" s="443"/>
      <c r="BI403" s="461"/>
      <c r="BJ403" s="443"/>
      <c r="BK403" s="514"/>
      <c r="BL403" s="443"/>
      <c r="BM403" s="443"/>
      <c r="BO403" s="461"/>
      <c r="BP403" s="443"/>
      <c r="BQ403" s="514"/>
      <c r="BR403" s="443"/>
      <c r="BS403" s="443"/>
      <c r="BU403" s="461"/>
      <c r="BV403" s="443"/>
      <c r="BW403" s="514"/>
      <c r="BX403" s="443"/>
      <c r="BY403" s="443"/>
      <c r="CA403" s="461"/>
      <c r="CB403" s="442"/>
    </row>
    <row r="404" spans="17:80" ht="26.1" customHeight="1">
      <c r="Q404" s="514"/>
      <c r="R404" s="443"/>
      <c r="S404" s="443"/>
      <c r="T404" s="443"/>
      <c r="U404" s="443"/>
      <c r="V404" s="443"/>
      <c r="W404" s="443"/>
      <c r="X404" s="443"/>
      <c r="Y404" s="443"/>
      <c r="Z404" s="443"/>
      <c r="AA404" s="443"/>
      <c r="AB404" s="443"/>
      <c r="AC404" s="443"/>
      <c r="AD404" s="443"/>
      <c r="AE404" s="443"/>
      <c r="AF404" s="443"/>
      <c r="AG404" s="514"/>
      <c r="AH404" s="443"/>
      <c r="AI404" s="443"/>
      <c r="AK404" s="443"/>
      <c r="AL404" s="443"/>
      <c r="AM404" s="514"/>
      <c r="AN404" s="443"/>
      <c r="AO404" s="443"/>
      <c r="AQ404" s="443"/>
      <c r="AR404" s="443"/>
      <c r="AS404" s="514"/>
      <c r="AT404" s="443"/>
      <c r="AU404" s="443"/>
      <c r="AX404" s="443"/>
      <c r="AY404" s="514"/>
      <c r="AZ404" s="443"/>
      <c r="BA404" s="443"/>
      <c r="BC404" s="461"/>
      <c r="BD404" s="443"/>
      <c r="BE404" s="514"/>
      <c r="BF404" s="443"/>
      <c r="BG404" s="443"/>
      <c r="BI404" s="461"/>
      <c r="BJ404" s="443"/>
      <c r="BK404" s="514"/>
      <c r="BL404" s="443"/>
      <c r="BM404" s="443"/>
      <c r="BO404" s="461"/>
      <c r="BP404" s="443"/>
      <c r="BQ404" s="514"/>
      <c r="BR404" s="443"/>
      <c r="BS404" s="443"/>
      <c r="BU404" s="461"/>
      <c r="BV404" s="443"/>
      <c r="BW404" s="514"/>
      <c r="BX404" s="443"/>
      <c r="BY404" s="443"/>
      <c r="CA404" s="461"/>
      <c r="CB404" s="442"/>
    </row>
    <row r="405" spans="17:80" ht="26.1" customHeight="1">
      <c r="Q405" s="514"/>
      <c r="R405" s="443"/>
      <c r="S405" s="443"/>
      <c r="T405" s="443"/>
      <c r="U405" s="443"/>
      <c r="V405" s="443"/>
      <c r="W405" s="443"/>
      <c r="X405" s="443"/>
      <c r="Y405" s="443"/>
      <c r="Z405" s="443"/>
      <c r="AA405" s="443"/>
      <c r="AB405" s="443"/>
      <c r="AC405" s="443"/>
      <c r="AD405" s="443"/>
      <c r="AE405" s="443"/>
      <c r="AF405" s="443"/>
      <c r="AG405" s="514"/>
      <c r="AH405" s="443"/>
      <c r="AI405" s="443"/>
      <c r="AK405" s="443"/>
      <c r="AL405" s="443"/>
      <c r="AM405" s="514"/>
      <c r="AN405" s="443"/>
      <c r="AO405" s="443"/>
      <c r="AQ405" s="443"/>
      <c r="AR405" s="443"/>
      <c r="AS405" s="514"/>
      <c r="AT405" s="443"/>
      <c r="AU405" s="443"/>
      <c r="AX405" s="443"/>
      <c r="AY405" s="514"/>
      <c r="AZ405" s="443"/>
      <c r="BA405" s="443"/>
      <c r="BC405" s="461"/>
      <c r="BD405" s="443"/>
      <c r="BE405" s="514"/>
      <c r="BF405" s="443"/>
      <c r="BG405" s="443"/>
      <c r="BI405" s="461"/>
      <c r="BJ405" s="443"/>
      <c r="BK405" s="514"/>
      <c r="BL405" s="443"/>
      <c r="BM405" s="443"/>
      <c r="BO405" s="461"/>
      <c r="BP405" s="443"/>
      <c r="BQ405" s="514"/>
      <c r="BR405" s="443"/>
      <c r="BS405" s="443"/>
      <c r="BU405" s="461"/>
      <c r="BV405" s="443"/>
      <c r="BW405" s="514"/>
      <c r="BX405" s="443"/>
      <c r="BY405" s="443"/>
      <c r="CA405" s="461"/>
      <c r="CB405" s="442"/>
    </row>
    <row r="406" spans="17:80" ht="26.1" customHeight="1">
      <c r="Q406" s="514"/>
      <c r="R406" s="443"/>
      <c r="S406" s="443"/>
      <c r="T406" s="443"/>
      <c r="U406" s="443"/>
      <c r="V406" s="443"/>
      <c r="W406" s="443"/>
      <c r="X406" s="443"/>
      <c r="Y406" s="443"/>
      <c r="Z406" s="443"/>
      <c r="AA406" s="443"/>
      <c r="AB406" s="443"/>
      <c r="AC406" s="443"/>
      <c r="AD406" s="443"/>
      <c r="AE406" s="443"/>
      <c r="AF406" s="443"/>
      <c r="AG406" s="514"/>
      <c r="AH406" s="443"/>
      <c r="AI406" s="443"/>
      <c r="AK406" s="443"/>
      <c r="AL406" s="443"/>
      <c r="AM406" s="514"/>
      <c r="AN406" s="443"/>
      <c r="AO406" s="443"/>
      <c r="AQ406" s="443"/>
      <c r="AR406" s="443"/>
      <c r="AS406" s="514"/>
      <c r="AT406" s="443"/>
      <c r="AU406" s="443"/>
      <c r="AX406" s="443"/>
      <c r="AY406" s="514"/>
      <c r="AZ406" s="443"/>
      <c r="BA406" s="443"/>
      <c r="BC406" s="461"/>
      <c r="BD406" s="443"/>
      <c r="BE406" s="514"/>
      <c r="BF406" s="443"/>
      <c r="BG406" s="443"/>
      <c r="BI406" s="461"/>
      <c r="BJ406" s="443"/>
      <c r="BK406" s="514"/>
      <c r="BL406" s="443"/>
      <c r="BM406" s="443"/>
      <c r="BO406" s="461"/>
      <c r="BP406" s="443"/>
      <c r="BQ406" s="514"/>
      <c r="BR406" s="443"/>
      <c r="BS406" s="443"/>
      <c r="BU406" s="461"/>
      <c r="BV406" s="443"/>
      <c r="BW406" s="514"/>
      <c r="BX406" s="443"/>
      <c r="BY406" s="443"/>
      <c r="CA406" s="461"/>
      <c r="CB406" s="442"/>
    </row>
    <row r="407" spans="17:80">
      <c r="AH407" s="396"/>
      <c r="AN407" s="396"/>
      <c r="AT407" s="396"/>
      <c r="AZ407" s="396"/>
      <c r="BC407" s="461"/>
      <c r="BF407" s="396"/>
      <c r="BI407" s="461"/>
      <c r="BL407" s="396"/>
      <c r="BO407" s="461"/>
      <c r="BR407" s="396"/>
      <c r="BU407" s="461"/>
      <c r="BX407" s="396"/>
      <c r="CA407" s="461"/>
      <c r="CB407" s="442"/>
    </row>
    <row r="408" spans="17:80">
      <c r="AH408" s="396"/>
      <c r="AN408" s="396"/>
      <c r="AT408" s="396"/>
      <c r="AZ408" s="396"/>
      <c r="BC408" s="461"/>
      <c r="BF408" s="396"/>
      <c r="BI408" s="461"/>
      <c r="BL408" s="396"/>
      <c r="BO408" s="461"/>
      <c r="BR408" s="396"/>
      <c r="BU408" s="461"/>
      <c r="BX408" s="396"/>
      <c r="CA408" s="461"/>
      <c r="CB408" s="442"/>
    </row>
  </sheetData>
  <mergeCells count="345">
    <mergeCell ref="B154:R154"/>
    <mergeCell ref="T154:AJ154"/>
    <mergeCell ref="B257:L257"/>
    <mergeCell ref="B258:L258"/>
    <mergeCell ref="B277:R277"/>
    <mergeCell ref="CB138:CB139"/>
    <mergeCell ref="CC138:CE138"/>
    <mergeCell ref="CH138:CH139"/>
    <mergeCell ref="CI138:CK138"/>
    <mergeCell ref="Z138:Z139"/>
    <mergeCell ref="AA138:AC138"/>
    <mergeCell ref="AF138:AF139"/>
    <mergeCell ref="AG138:AI138"/>
    <mergeCell ref="AL138:AL139"/>
    <mergeCell ref="AM138:AO138"/>
    <mergeCell ref="B138:B139"/>
    <mergeCell ref="C138:E138"/>
    <mergeCell ref="H138:H139"/>
    <mergeCell ref="I138:K138"/>
    <mergeCell ref="N138:N139"/>
    <mergeCell ref="O138:Q138"/>
    <mergeCell ref="T138:T139"/>
    <mergeCell ref="U138:W138"/>
    <mergeCell ref="T277:AJ277"/>
    <mergeCell ref="CN138:CN139"/>
    <mergeCell ref="CO138:CQ138"/>
    <mergeCell ref="BJ138:BJ139"/>
    <mergeCell ref="BK138:BM138"/>
    <mergeCell ref="BP138:BP139"/>
    <mergeCell ref="BQ138:BS138"/>
    <mergeCell ref="BV138:BV139"/>
    <mergeCell ref="BW138:BY138"/>
    <mergeCell ref="AR138:AR139"/>
    <mergeCell ref="AS138:AU138"/>
    <mergeCell ref="AX138:AX139"/>
    <mergeCell ref="AY138:BA138"/>
    <mergeCell ref="BD138:BD139"/>
    <mergeCell ref="BE138:BG138"/>
    <mergeCell ref="T123:T124"/>
    <mergeCell ref="U123:W123"/>
    <mergeCell ref="Z123:Z124"/>
    <mergeCell ref="AA123:AC123"/>
    <mergeCell ref="AF123:AF124"/>
    <mergeCell ref="AG123:AI123"/>
    <mergeCell ref="CN123:CN124"/>
    <mergeCell ref="CO123:CQ123"/>
    <mergeCell ref="BW123:BY123"/>
    <mergeCell ref="CB123:CB124"/>
    <mergeCell ref="CC123:CE123"/>
    <mergeCell ref="CH123:CH124"/>
    <mergeCell ref="CI123:CK123"/>
    <mergeCell ref="BV123:BV124"/>
    <mergeCell ref="BD123:BD124"/>
    <mergeCell ref="BE123:BG123"/>
    <mergeCell ref="BJ123:BJ124"/>
    <mergeCell ref="BK123:BM123"/>
    <mergeCell ref="BP123:BP124"/>
    <mergeCell ref="BQ123:BS123"/>
    <mergeCell ref="AL123:AL124"/>
    <mergeCell ref="AM123:AO123"/>
    <mergeCell ref="AY123:BA123"/>
    <mergeCell ref="B123:B124"/>
    <mergeCell ref="C123:E123"/>
    <mergeCell ref="H123:H124"/>
    <mergeCell ref="I123:K123"/>
    <mergeCell ref="N123:N124"/>
    <mergeCell ref="O123:Q123"/>
    <mergeCell ref="CB108:CB109"/>
    <mergeCell ref="CC108:CE108"/>
    <mergeCell ref="CH108:CH109"/>
    <mergeCell ref="AR108:AR109"/>
    <mergeCell ref="AS108:AU108"/>
    <mergeCell ref="AX108:AX109"/>
    <mergeCell ref="AY108:BA108"/>
    <mergeCell ref="BD108:BD109"/>
    <mergeCell ref="BE108:BG108"/>
    <mergeCell ref="Z108:Z109"/>
    <mergeCell ref="AA108:AC108"/>
    <mergeCell ref="AF108:AF109"/>
    <mergeCell ref="AG108:AI108"/>
    <mergeCell ref="AL108:AL109"/>
    <mergeCell ref="AM108:AO108"/>
    <mergeCell ref="AR123:AR124"/>
    <mergeCell ref="AS123:AU123"/>
    <mergeCell ref="AX123:AX124"/>
    <mergeCell ref="CI108:CK108"/>
    <mergeCell ref="CN108:CN109"/>
    <mergeCell ref="CO108:CQ108"/>
    <mergeCell ref="BJ108:BJ109"/>
    <mergeCell ref="BK108:BM108"/>
    <mergeCell ref="BP108:BP109"/>
    <mergeCell ref="BQ108:BS108"/>
    <mergeCell ref="BV108:BV109"/>
    <mergeCell ref="BW108:BY108"/>
    <mergeCell ref="T108:T109"/>
    <mergeCell ref="U108:W108"/>
    <mergeCell ref="BV93:BV94"/>
    <mergeCell ref="BD93:BD94"/>
    <mergeCell ref="BE93:BG93"/>
    <mergeCell ref="BJ93:BJ94"/>
    <mergeCell ref="BK93:BM93"/>
    <mergeCell ref="BP93:BP94"/>
    <mergeCell ref="BQ93:BS93"/>
    <mergeCell ref="AL93:AL94"/>
    <mergeCell ref="AM93:AO93"/>
    <mergeCell ref="AY93:BA93"/>
    <mergeCell ref="T93:T94"/>
    <mergeCell ref="U93:W93"/>
    <mergeCell ref="Z93:Z94"/>
    <mergeCell ref="AA93:AC93"/>
    <mergeCell ref="AF93:AF94"/>
    <mergeCell ref="AG93:AI93"/>
    <mergeCell ref="B93:B94"/>
    <mergeCell ref="C93:E93"/>
    <mergeCell ref="H93:H94"/>
    <mergeCell ref="I93:K93"/>
    <mergeCell ref="N93:N94"/>
    <mergeCell ref="O93:Q93"/>
    <mergeCell ref="B108:B109"/>
    <mergeCell ref="C108:E108"/>
    <mergeCell ref="H108:H109"/>
    <mergeCell ref="I108:K108"/>
    <mergeCell ref="N108:N109"/>
    <mergeCell ref="O108:Q108"/>
    <mergeCell ref="AY78:BA78"/>
    <mergeCell ref="BD78:BD79"/>
    <mergeCell ref="BE78:BG78"/>
    <mergeCell ref="CN93:CN94"/>
    <mergeCell ref="CO93:CQ93"/>
    <mergeCell ref="BW93:BY93"/>
    <mergeCell ref="CB93:CB94"/>
    <mergeCell ref="CC93:CE93"/>
    <mergeCell ref="CH93:CH94"/>
    <mergeCell ref="CI93:CK93"/>
    <mergeCell ref="CI78:CK78"/>
    <mergeCell ref="CN78:CN79"/>
    <mergeCell ref="CO78:CQ78"/>
    <mergeCell ref="BJ78:BJ79"/>
    <mergeCell ref="BK78:BM78"/>
    <mergeCell ref="BP78:BP79"/>
    <mergeCell ref="BQ78:BS78"/>
    <mergeCell ref="BV78:BV79"/>
    <mergeCell ref="BW78:BY78"/>
    <mergeCell ref="CB78:CB79"/>
    <mergeCell ref="CC78:CE78"/>
    <mergeCell ref="CH78:CH79"/>
    <mergeCell ref="Z78:Z79"/>
    <mergeCell ref="AA78:AC78"/>
    <mergeCell ref="AF78:AF79"/>
    <mergeCell ref="AG78:AI78"/>
    <mergeCell ref="AL78:AL79"/>
    <mergeCell ref="AM78:AO78"/>
    <mergeCell ref="AR93:AR94"/>
    <mergeCell ref="AS93:AU93"/>
    <mergeCell ref="AX93:AX94"/>
    <mergeCell ref="AR78:AR79"/>
    <mergeCell ref="AS78:AU78"/>
    <mergeCell ref="AX78:AX79"/>
    <mergeCell ref="B78:B79"/>
    <mergeCell ref="C78:E78"/>
    <mergeCell ref="H78:H79"/>
    <mergeCell ref="I78:K78"/>
    <mergeCell ref="N78:N79"/>
    <mergeCell ref="O78:Q78"/>
    <mergeCell ref="T78:T79"/>
    <mergeCell ref="U78:W78"/>
    <mergeCell ref="BV63:BV64"/>
    <mergeCell ref="BD63:BD64"/>
    <mergeCell ref="BE63:BG63"/>
    <mergeCell ref="BJ63:BJ64"/>
    <mergeCell ref="BK63:BM63"/>
    <mergeCell ref="BP63:BP64"/>
    <mergeCell ref="BQ63:BS63"/>
    <mergeCell ref="AL63:AL64"/>
    <mergeCell ref="AM63:AO63"/>
    <mergeCell ref="AY63:BA63"/>
    <mergeCell ref="T63:T64"/>
    <mergeCell ref="U63:W63"/>
    <mergeCell ref="Z63:Z64"/>
    <mergeCell ref="AA63:AC63"/>
    <mergeCell ref="AF63:AF64"/>
    <mergeCell ref="AG63:AI63"/>
    <mergeCell ref="CO63:CQ63"/>
    <mergeCell ref="BW63:BY63"/>
    <mergeCell ref="CB63:CB64"/>
    <mergeCell ref="CC63:CE63"/>
    <mergeCell ref="CH63:CH64"/>
    <mergeCell ref="CI63:CK63"/>
    <mergeCell ref="B63:B64"/>
    <mergeCell ref="C63:E63"/>
    <mergeCell ref="H63:H64"/>
    <mergeCell ref="I63:K63"/>
    <mergeCell ref="N63:N64"/>
    <mergeCell ref="O63:Q63"/>
    <mergeCell ref="AL48:AL49"/>
    <mergeCell ref="AM48:AO48"/>
    <mergeCell ref="AR63:AR64"/>
    <mergeCell ref="AS63:AU63"/>
    <mergeCell ref="AX63:AX64"/>
    <mergeCell ref="AR48:AR49"/>
    <mergeCell ref="AS48:AU48"/>
    <mergeCell ref="AX48:AX49"/>
    <mergeCell ref="CN63:CN64"/>
    <mergeCell ref="CI48:CK48"/>
    <mergeCell ref="CN48:CN49"/>
    <mergeCell ref="CO48:CQ48"/>
    <mergeCell ref="BJ48:BJ49"/>
    <mergeCell ref="BK48:BM48"/>
    <mergeCell ref="BP48:BP49"/>
    <mergeCell ref="BQ48:BS48"/>
    <mergeCell ref="BV48:BV49"/>
    <mergeCell ref="BW48:BY48"/>
    <mergeCell ref="CB48:CB49"/>
    <mergeCell ref="CC48:CE48"/>
    <mergeCell ref="CH48:CH49"/>
    <mergeCell ref="B48:B49"/>
    <mergeCell ref="C48:E48"/>
    <mergeCell ref="H48:H49"/>
    <mergeCell ref="I48:K48"/>
    <mergeCell ref="N48:N49"/>
    <mergeCell ref="O48:Q48"/>
    <mergeCell ref="T48:T49"/>
    <mergeCell ref="U48:W48"/>
    <mergeCell ref="BV33:BV34"/>
    <mergeCell ref="BD33:BD34"/>
    <mergeCell ref="BE33:BG33"/>
    <mergeCell ref="BJ33:BJ34"/>
    <mergeCell ref="BK33:BM33"/>
    <mergeCell ref="BP33:BP34"/>
    <mergeCell ref="BQ33:BS33"/>
    <mergeCell ref="AL33:AL34"/>
    <mergeCell ref="AM33:AO33"/>
    <mergeCell ref="AY48:BA48"/>
    <mergeCell ref="BD48:BD49"/>
    <mergeCell ref="BE48:BG48"/>
    <mergeCell ref="Z48:Z49"/>
    <mergeCell ref="AA48:AC48"/>
    <mergeCell ref="AF48:AF49"/>
    <mergeCell ref="AG48:AI48"/>
    <mergeCell ref="AY33:BA33"/>
    <mergeCell ref="T33:T34"/>
    <mergeCell ref="U33:W33"/>
    <mergeCell ref="Z33:Z34"/>
    <mergeCell ref="AA33:AC33"/>
    <mergeCell ref="AF33:AF34"/>
    <mergeCell ref="AG33:AI33"/>
    <mergeCell ref="CN33:CN34"/>
    <mergeCell ref="CO33:CQ33"/>
    <mergeCell ref="BW33:BY33"/>
    <mergeCell ref="CB33:CB34"/>
    <mergeCell ref="CC33:CE33"/>
    <mergeCell ref="CH33:CH34"/>
    <mergeCell ref="CI33:CK33"/>
    <mergeCell ref="B33:B34"/>
    <mergeCell ref="C33:E33"/>
    <mergeCell ref="H33:H34"/>
    <mergeCell ref="I33:K33"/>
    <mergeCell ref="N33:N34"/>
    <mergeCell ref="O33:Q33"/>
    <mergeCell ref="CB18:CB19"/>
    <mergeCell ref="CC18:CE18"/>
    <mergeCell ref="CH18:CH19"/>
    <mergeCell ref="AR18:AR19"/>
    <mergeCell ref="AS18:AU18"/>
    <mergeCell ref="AX18:AX19"/>
    <mergeCell ref="AY18:BA18"/>
    <mergeCell ref="BD18:BD19"/>
    <mergeCell ref="BE18:BG18"/>
    <mergeCell ref="Z18:Z19"/>
    <mergeCell ref="AA18:AC18"/>
    <mergeCell ref="AF18:AF19"/>
    <mergeCell ref="AG18:AI18"/>
    <mergeCell ref="AL18:AL19"/>
    <mergeCell ref="AM18:AO18"/>
    <mergeCell ref="AR33:AR34"/>
    <mergeCell ref="AS33:AU33"/>
    <mergeCell ref="AX33:AX34"/>
    <mergeCell ref="CI18:CK18"/>
    <mergeCell ref="CN18:CN19"/>
    <mergeCell ref="CO18:CQ18"/>
    <mergeCell ref="BJ18:BJ19"/>
    <mergeCell ref="BK18:BM18"/>
    <mergeCell ref="BP18:BP19"/>
    <mergeCell ref="BQ18:BS18"/>
    <mergeCell ref="BV18:BV19"/>
    <mergeCell ref="BW18:BY18"/>
    <mergeCell ref="CN3:CN4"/>
    <mergeCell ref="CO3:CQ3"/>
    <mergeCell ref="B18:B19"/>
    <mergeCell ref="C18:E18"/>
    <mergeCell ref="H18:H19"/>
    <mergeCell ref="I18:K18"/>
    <mergeCell ref="N18:N19"/>
    <mergeCell ref="O18:Q18"/>
    <mergeCell ref="T18:T19"/>
    <mergeCell ref="U18:W18"/>
    <mergeCell ref="BV3:BV4"/>
    <mergeCell ref="BW3:BY3"/>
    <mergeCell ref="CB3:CB4"/>
    <mergeCell ref="CC3:CE3"/>
    <mergeCell ref="CH3:CH4"/>
    <mergeCell ref="CI3:CK3"/>
    <mergeCell ref="BD3:BD4"/>
    <mergeCell ref="BE3:BG3"/>
    <mergeCell ref="BJ3:BJ4"/>
    <mergeCell ref="BK3:BM3"/>
    <mergeCell ref="BP3:BP4"/>
    <mergeCell ref="BQ3:BS3"/>
    <mergeCell ref="AL3:AL4"/>
    <mergeCell ref="AM3:AO3"/>
    <mergeCell ref="AF1:AJ1"/>
    <mergeCell ref="AR3:AR4"/>
    <mergeCell ref="AS3:AU3"/>
    <mergeCell ref="AX3:AX4"/>
    <mergeCell ref="AY3:BA3"/>
    <mergeCell ref="T3:T4"/>
    <mergeCell ref="U3:W3"/>
    <mergeCell ref="Z3:Z4"/>
    <mergeCell ref="AA3:AC3"/>
    <mergeCell ref="AF3:AF4"/>
    <mergeCell ref="AG3:AI3"/>
    <mergeCell ref="AL277:BB277"/>
    <mergeCell ref="BD155:BE155"/>
    <mergeCell ref="BG155:BH155"/>
    <mergeCell ref="BV1:BZ1"/>
    <mergeCell ref="CB1:CF1"/>
    <mergeCell ref="CH1:CL1"/>
    <mergeCell ref="CN1:CR1"/>
    <mergeCell ref="B3:B4"/>
    <mergeCell ref="C3:E3"/>
    <mergeCell ref="H3:H4"/>
    <mergeCell ref="I3:K3"/>
    <mergeCell ref="N3:N4"/>
    <mergeCell ref="O3:Q3"/>
    <mergeCell ref="AL1:AP1"/>
    <mergeCell ref="AR1:AV1"/>
    <mergeCell ref="AX1:BB1"/>
    <mergeCell ref="BD1:BH1"/>
    <mergeCell ref="BJ1:BN1"/>
    <mergeCell ref="BP1:BT1"/>
    <mergeCell ref="B1:F1"/>
    <mergeCell ref="H1:L1"/>
    <mergeCell ref="N1:R1"/>
    <mergeCell ref="T1:X1"/>
    <mergeCell ref="Z1:A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7</vt:i4>
      </vt:variant>
    </vt:vector>
  </HeadingPairs>
  <TitlesOfParts>
    <vt:vector size="19" baseType="lpstr">
      <vt:lpstr>Lembar Kerja</vt:lpstr>
      <vt:lpstr>Riwayat Revisi</vt:lpstr>
      <vt:lpstr>ID</vt:lpstr>
      <vt:lpstr>Uncertainty Budget</vt:lpstr>
      <vt:lpstr>Lembar Penyelia</vt:lpstr>
      <vt:lpstr>Laporan.</vt:lpstr>
      <vt:lpstr>LH</vt:lpstr>
      <vt:lpstr>SERTIFIKAT</vt:lpstr>
      <vt:lpstr>DB Tipe K</vt:lpstr>
      <vt:lpstr>DB Standar</vt:lpstr>
      <vt:lpstr>List </vt:lpstr>
      <vt:lpstr>Db Thermohygro</vt:lpstr>
      <vt:lpstr>ID!Print_Area</vt:lpstr>
      <vt:lpstr>Laporan.!Print_Area</vt:lpstr>
      <vt:lpstr>'Lembar Kerja'!Print_Area</vt:lpstr>
      <vt:lpstr>'Lembar Penyelia'!Print_Area</vt:lpstr>
      <vt:lpstr>LH!Print_Area</vt:lpstr>
      <vt:lpstr>SERTIFIKAT!Print_Area</vt:lpstr>
      <vt:lpstr>'Uncertainty Budget'!Print_Area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Software Lab incu 2017</dc:title>
  <dc:subject/>
  <dc:creator>BPFK Banjarbaru 2017</dc:creator>
  <cp:keywords/>
  <dc:description/>
  <cp:lastModifiedBy>Developer</cp:lastModifiedBy>
  <cp:revision/>
  <cp:lastPrinted>2023-09-13T14:49:23Z</cp:lastPrinted>
  <dcterms:created xsi:type="dcterms:W3CDTF">2002-06-28T14:09:00Z</dcterms:created>
  <dcterms:modified xsi:type="dcterms:W3CDTF">2023-10-12T03:24:42Z</dcterms:modified>
  <cp:category>LAB SUHU</cp:category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