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yBook PRO K7\Desktop\TRAXELLLLLLL\100%\"/>
    </mc:Choice>
  </mc:AlternateContent>
  <xr:revisionPtr revIDLastSave="0" documentId="13_ncr:1_{96F27A73-E2F3-41F4-89BF-8418186CE198}" xr6:coauthVersionLast="45" xr6:coauthVersionMax="47" xr10:uidLastSave="{00000000-0000-0000-0000-000000000000}"/>
  <bookViews>
    <workbookView xWindow="-110" yWindow="-110" windowWidth="19420" windowHeight="10300" tabRatio="734" firstSheet="2" activeTab="10" xr2:uid="{00000000-000D-0000-FFFF-FFFF00000000}"/>
  </bookViews>
  <sheets>
    <sheet name="Lembar Kerja" sheetId="1" r:id="rId1"/>
    <sheet name="Riwayat Revisi" sheetId="21" state="hidden" r:id="rId2"/>
    <sheet name="ID" sheetId="2" r:id="rId3"/>
    <sheet name="Uncertainty Budget" sheetId="3" r:id="rId4"/>
    <sheet name="Lembar Penyelia" sheetId="4" r:id="rId5"/>
    <sheet name="LH" sheetId="5" r:id="rId6"/>
    <sheet name="ESA" sheetId="29" r:id="rId7"/>
    <sheet name="Data Standar" sheetId="27" state="hidden" r:id="rId8"/>
    <sheet name="Drift" sheetId="30" state="hidden" r:id="rId9"/>
    <sheet name="DB Thermo" sheetId="24" state="hidden" r:id="rId10"/>
    <sheet name="Data Alat" sheetId="28" r:id="rId11"/>
  </sheets>
  <externalReferences>
    <externalReference r:id="rId12"/>
  </externalReferences>
  <definedNames>
    <definedName name="_xlnm.Print_Area" localSheetId="2">ID!$A$1:$P$141</definedName>
    <definedName name="_xlnm.Print_Area" localSheetId="0">'Lembar Kerja'!$A$1:$O$140</definedName>
    <definedName name="_xlnm.Print_Area" localSheetId="4">'Lembar Penyelia'!$A$1:$L$68</definedName>
    <definedName name="_xlnm.Print_Area" localSheetId="5">LH!$A$1:$N$88</definedName>
    <definedName name="_xlnm.Print_Area" localSheetId="3">'Uncertainty Budget'!$A$1:$N$20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28" l="1"/>
  <c r="Q62" i="4"/>
  <c r="A67" i="28"/>
  <c r="A71" i="28"/>
  <c r="E33" i="28"/>
  <c r="E37" i="28" s="1"/>
  <c r="E39" i="28" s="1"/>
  <c r="S8" i="4"/>
  <c r="E15" i="5" l="1"/>
  <c r="E6" i="5" l="1"/>
  <c r="J77" i="5"/>
  <c r="I69" i="5" s="1"/>
  <c r="B56" i="5"/>
  <c r="S94" i="5"/>
  <c r="S97" i="5" s="1"/>
  <c r="J26" i="5"/>
  <c r="C27" i="5"/>
  <c r="H27" i="4"/>
  <c r="H26" i="4"/>
  <c r="H25" i="4"/>
  <c r="E17" i="4"/>
  <c r="N142" i="29"/>
  <c r="N140" i="29"/>
  <c r="N139" i="29"/>
  <c r="N138" i="29"/>
  <c r="N137" i="29"/>
  <c r="A165" i="29"/>
  <c r="K177" i="29"/>
  <c r="J177" i="29"/>
  <c r="I177" i="29"/>
  <c r="K176" i="29"/>
  <c r="J176" i="29"/>
  <c r="I176" i="29"/>
  <c r="K175" i="29"/>
  <c r="J175" i="29"/>
  <c r="I175" i="29"/>
  <c r="K174" i="29"/>
  <c r="J174" i="29"/>
  <c r="I174" i="29"/>
  <c r="K173" i="29"/>
  <c r="J173" i="29"/>
  <c r="I173" i="29"/>
  <c r="K172" i="29"/>
  <c r="J172" i="29"/>
  <c r="I172" i="29"/>
  <c r="K171" i="29"/>
  <c r="J171" i="29"/>
  <c r="I171" i="29"/>
  <c r="K170" i="29"/>
  <c r="J170" i="29"/>
  <c r="I170" i="29"/>
  <c r="K169" i="29"/>
  <c r="J169" i="29"/>
  <c r="I169" i="29"/>
  <c r="K168" i="29"/>
  <c r="J168" i="29"/>
  <c r="I168" i="29"/>
  <c r="K167" i="29"/>
  <c r="J167" i="29"/>
  <c r="I167" i="29"/>
  <c r="K166" i="29"/>
  <c r="J166" i="29"/>
  <c r="I166" i="29"/>
  <c r="E161" i="29"/>
  <c r="D161" i="29"/>
  <c r="C158" i="29"/>
  <c r="B158" i="29"/>
  <c r="T155" i="29"/>
  <c r="G155" i="29"/>
  <c r="G154" i="29"/>
  <c r="F154" i="29"/>
  <c r="C153" i="29"/>
  <c r="B153" i="29"/>
  <c r="F149" i="29"/>
  <c r="E148" i="29"/>
  <c r="D148" i="29"/>
  <c r="D147" i="29"/>
  <c r="C147" i="29"/>
  <c r="C146" i="29"/>
  <c r="B146" i="29"/>
  <c r="I145" i="29"/>
  <c r="N141" i="29"/>
  <c r="I143" i="29" s="1"/>
  <c r="T151" i="29" s="1"/>
  <c r="I141" i="29"/>
  <c r="T147" i="29" s="1"/>
  <c r="P140" i="29"/>
  <c r="O140" i="29"/>
  <c r="B139" i="29"/>
  <c r="D138" i="29"/>
  <c r="C138" i="29"/>
  <c r="I137" i="29"/>
  <c r="T139" i="29" s="1"/>
  <c r="V139" i="29" s="1"/>
  <c r="K137" i="29" s="1"/>
  <c r="D137" i="29"/>
  <c r="C137" i="29"/>
  <c r="B137" i="29"/>
  <c r="C136" i="29"/>
  <c r="B136" i="29"/>
  <c r="T135" i="29"/>
  <c r="I135" i="29"/>
  <c r="B135" i="29"/>
  <c r="A132" i="29"/>
  <c r="V124" i="29"/>
  <c r="N124" i="29"/>
  <c r="F124" i="29"/>
  <c r="V123" i="29"/>
  <c r="N123" i="29"/>
  <c r="F123" i="29"/>
  <c r="V122" i="29"/>
  <c r="N122" i="29"/>
  <c r="F122" i="29"/>
  <c r="V121" i="29"/>
  <c r="N121" i="29"/>
  <c r="F121" i="29"/>
  <c r="U120" i="29"/>
  <c r="T120" i="29"/>
  <c r="S120" i="29"/>
  <c r="M120" i="29"/>
  <c r="L120" i="29"/>
  <c r="K120" i="29"/>
  <c r="E120" i="29"/>
  <c r="D120" i="29"/>
  <c r="C120" i="29"/>
  <c r="R119" i="29"/>
  <c r="V118" i="29"/>
  <c r="N118" i="29"/>
  <c r="F118" i="29"/>
  <c r="V117" i="29"/>
  <c r="N117" i="29"/>
  <c r="F117" i="29"/>
  <c r="V116" i="29"/>
  <c r="N116" i="29"/>
  <c r="F116" i="29"/>
  <c r="V115" i="29"/>
  <c r="N115" i="29"/>
  <c r="F115" i="29"/>
  <c r="U114" i="29"/>
  <c r="T114" i="29"/>
  <c r="S114" i="29"/>
  <c r="M114" i="29"/>
  <c r="L114" i="29"/>
  <c r="K114" i="29"/>
  <c r="V112" i="29"/>
  <c r="N112" i="29"/>
  <c r="F112" i="29"/>
  <c r="V111" i="29"/>
  <c r="N111" i="29"/>
  <c r="F111" i="29"/>
  <c r="V110" i="29"/>
  <c r="N110" i="29"/>
  <c r="F110" i="29"/>
  <c r="V109" i="29"/>
  <c r="N109" i="29"/>
  <c r="F109" i="29"/>
  <c r="V108" i="29"/>
  <c r="N108" i="29"/>
  <c r="F108" i="29"/>
  <c r="V107" i="29"/>
  <c r="N107" i="29"/>
  <c r="F107" i="29"/>
  <c r="U106" i="29"/>
  <c r="T106" i="29"/>
  <c r="S106" i="29"/>
  <c r="M106" i="29"/>
  <c r="L106" i="29"/>
  <c r="K106" i="29"/>
  <c r="E106" i="29"/>
  <c r="D106" i="29"/>
  <c r="C106" i="29"/>
  <c r="V104" i="29"/>
  <c r="N104" i="29"/>
  <c r="F104" i="29"/>
  <c r="V103" i="29"/>
  <c r="N103" i="29"/>
  <c r="F103" i="29"/>
  <c r="V102" i="29"/>
  <c r="N102" i="29"/>
  <c r="F102" i="29"/>
  <c r="V101" i="29"/>
  <c r="N101" i="29"/>
  <c r="F101" i="29"/>
  <c r="V100" i="29"/>
  <c r="N100" i="29"/>
  <c r="F100" i="29"/>
  <c r="V99" i="29"/>
  <c r="N99" i="29"/>
  <c r="F99" i="29"/>
  <c r="R95" i="29"/>
  <c r="J95" i="29"/>
  <c r="B95" i="29"/>
  <c r="W93" i="29"/>
  <c r="V93" i="29"/>
  <c r="N93" i="29"/>
  <c r="F93" i="29"/>
  <c r="W92" i="29"/>
  <c r="V92" i="29"/>
  <c r="O92" i="29"/>
  <c r="N92" i="29"/>
  <c r="F92" i="29"/>
  <c r="W91" i="29"/>
  <c r="V91" i="29"/>
  <c r="O91" i="29"/>
  <c r="N91" i="29"/>
  <c r="G91" i="29"/>
  <c r="G159" i="29" s="1"/>
  <c r="F91" i="29"/>
  <c r="F159" i="29" s="1"/>
  <c r="X90" i="29"/>
  <c r="W90" i="29" s="1"/>
  <c r="V90" i="29"/>
  <c r="P90" i="29"/>
  <c r="O93" i="29" s="1"/>
  <c r="O90" i="29"/>
  <c r="N90" i="29"/>
  <c r="H90" i="29"/>
  <c r="G92" i="29" s="1"/>
  <c r="G90" i="29"/>
  <c r="F90" i="29"/>
  <c r="U89" i="29"/>
  <c r="T89" i="29"/>
  <c r="S89" i="29"/>
  <c r="M89" i="29"/>
  <c r="L89" i="29"/>
  <c r="K89" i="29"/>
  <c r="E89" i="29"/>
  <c r="D89" i="29"/>
  <c r="C89" i="29"/>
  <c r="R88" i="29"/>
  <c r="W87" i="29"/>
  <c r="V87" i="29"/>
  <c r="N87" i="29"/>
  <c r="G87" i="29"/>
  <c r="F87" i="29"/>
  <c r="W86" i="29"/>
  <c r="V86" i="29"/>
  <c r="N86" i="29"/>
  <c r="G86" i="29"/>
  <c r="F86" i="29"/>
  <c r="W85" i="29"/>
  <c r="V85" i="29"/>
  <c r="N85" i="29"/>
  <c r="G85" i="29"/>
  <c r="F85" i="29"/>
  <c r="W84" i="29"/>
  <c r="V84" i="29"/>
  <c r="P84" i="29"/>
  <c r="O85" i="29" s="1"/>
  <c r="O84" i="29"/>
  <c r="N84" i="29"/>
  <c r="H84" i="29"/>
  <c r="G84" i="29"/>
  <c r="F84" i="29"/>
  <c r="U83" i="29"/>
  <c r="T83" i="29"/>
  <c r="S83" i="29"/>
  <c r="M83" i="29"/>
  <c r="L83" i="29"/>
  <c r="K83" i="29"/>
  <c r="R82" i="29"/>
  <c r="V81" i="29"/>
  <c r="N81" i="29"/>
  <c r="F81" i="29"/>
  <c r="V80" i="29"/>
  <c r="O80" i="29"/>
  <c r="N80" i="29"/>
  <c r="F80" i="29"/>
  <c r="V79" i="29"/>
  <c r="N79" i="29"/>
  <c r="F79" i="29"/>
  <c r="V78" i="29"/>
  <c r="O78" i="29"/>
  <c r="N78" i="29"/>
  <c r="F78" i="29"/>
  <c r="V77" i="29"/>
  <c r="N77" i="29"/>
  <c r="G77" i="29"/>
  <c r="F77" i="29"/>
  <c r="X76" i="29"/>
  <c r="V76" i="29"/>
  <c r="P76" i="29"/>
  <c r="N76" i="29"/>
  <c r="H76" i="29"/>
  <c r="G80" i="29" s="1"/>
  <c r="G76" i="29"/>
  <c r="F76" i="29"/>
  <c r="U75" i="29"/>
  <c r="T75" i="29"/>
  <c r="S75" i="29"/>
  <c r="M75" i="29"/>
  <c r="L75" i="29"/>
  <c r="K75" i="29"/>
  <c r="E75" i="29"/>
  <c r="E83" i="29" s="1"/>
  <c r="E151" i="29" s="1"/>
  <c r="D75" i="29"/>
  <c r="D83" i="29" s="1"/>
  <c r="D151" i="29" s="1"/>
  <c r="C75" i="29"/>
  <c r="C83" i="29" s="1"/>
  <c r="V73" i="29"/>
  <c r="N73" i="29"/>
  <c r="F73" i="29"/>
  <c r="V72" i="29"/>
  <c r="N72" i="29"/>
  <c r="F72" i="29"/>
  <c r="V71" i="29"/>
  <c r="N71" i="29"/>
  <c r="F71" i="29"/>
  <c r="V70" i="29"/>
  <c r="N70" i="29"/>
  <c r="F70" i="29"/>
  <c r="V69" i="29"/>
  <c r="N69" i="29"/>
  <c r="F69" i="29"/>
  <c r="X68" i="29"/>
  <c r="V68" i="29"/>
  <c r="P68" i="29"/>
  <c r="N68" i="29"/>
  <c r="H68" i="29"/>
  <c r="G68" i="29"/>
  <c r="F68" i="29"/>
  <c r="R64" i="29"/>
  <c r="J64" i="29"/>
  <c r="B64" i="29"/>
  <c r="V62" i="29"/>
  <c r="N62" i="29"/>
  <c r="F62" i="29"/>
  <c r="V61" i="29"/>
  <c r="N61" i="29"/>
  <c r="G61" i="29"/>
  <c r="F61" i="29"/>
  <c r="V60" i="29"/>
  <c r="O60" i="29"/>
  <c r="N60" i="29"/>
  <c r="F60" i="29"/>
  <c r="X59" i="29"/>
  <c r="W60" i="29" s="1"/>
  <c r="W59" i="29"/>
  <c r="V59" i="29"/>
  <c r="P59" i="29"/>
  <c r="O61" i="29" s="1"/>
  <c r="O59" i="29"/>
  <c r="N59" i="29"/>
  <c r="H59" i="29"/>
  <c r="G62" i="29" s="1"/>
  <c r="G59" i="29"/>
  <c r="F59" i="29"/>
  <c r="U58" i="29"/>
  <c r="T58" i="29"/>
  <c r="S58" i="29"/>
  <c r="M58" i="29"/>
  <c r="L58" i="29"/>
  <c r="K58" i="29"/>
  <c r="E58" i="29"/>
  <c r="D58" i="29"/>
  <c r="C58" i="29"/>
  <c r="B57" i="29"/>
  <c r="J57" i="29" s="1"/>
  <c r="R57" i="29" s="1"/>
  <c r="W56" i="29"/>
  <c r="V56" i="29"/>
  <c r="O56" i="29"/>
  <c r="N56" i="29"/>
  <c r="F56" i="29"/>
  <c r="W55" i="29"/>
  <c r="V55" i="29"/>
  <c r="O55" i="29"/>
  <c r="N55" i="29"/>
  <c r="F55" i="29"/>
  <c r="W54" i="29"/>
  <c r="V54" i="29"/>
  <c r="O54" i="29"/>
  <c r="N54" i="29"/>
  <c r="F54" i="29"/>
  <c r="X53" i="29"/>
  <c r="W53" i="29"/>
  <c r="V53" i="29"/>
  <c r="P53" i="29"/>
  <c r="O53" i="29"/>
  <c r="N53" i="29"/>
  <c r="H53" i="29"/>
  <c r="F53" i="29"/>
  <c r="U52" i="29"/>
  <c r="T52" i="29"/>
  <c r="S52" i="29"/>
  <c r="M52" i="29"/>
  <c r="L52" i="29"/>
  <c r="K52" i="29"/>
  <c r="E52" i="29"/>
  <c r="D52" i="29"/>
  <c r="C52" i="29"/>
  <c r="B51" i="29"/>
  <c r="J51" i="29" s="1"/>
  <c r="R51" i="29" s="1"/>
  <c r="W50" i="29"/>
  <c r="V50" i="29"/>
  <c r="O50" i="29"/>
  <c r="N50" i="29"/>
  <c r="F50" i="29"/>
  <c r="V49" i="29"/>
  <c r="O49" i="29"/>
  <c r="N49" i="29"/>
  <c r="F49" i="29"/>
  <c r="W48" i="29"/>
  <c r="V48" i="29"/>
  <c r="N48" i="29"/>
  <c r="F48" i="29"/>
  <c r="W47" i="29"/>
  <c r="V47" i="29"/>
  <c r="O47" i="29"/>
  <c r="N47" i="29"/>
  <c r="F47" i="29"/>
  <c r="W46" i="29"/>
  <c r="V46" i="29"/>
  <c r="O46" i="29"/>
  <c r="N46" i="29"/>
  <c r="F46" i="29"/>
  <c r="X45" i="29"/>
  <c r="W49" i="29" s="1"/>
  <c r="W45" i="29"/>
  <c r="V45" i="29"/>
  <c r="P45" i="29"/>
  <c r="O48" i="29" s="1"/>
  <c r="O45" i="29"/>
  <c r="N45" i="29"/>
  <c r="H45" i="29"/>
  <c r="G47" i="29" s="1"/>
  <c r="G45" i="29"/>
  <c r="F45" i="29"/>
  <c r="U44" i="29"/>
  <c r="T44" i="29"/>
  <c r="S44" i="29"/>
  <c r="M44" i="29"/>
  <c r="L44" i="29"/>
  <c r="K44" i="29"/>
  <c r="E44" i="29"/>
  <c r="D44" i="29"/>
  <c r="C44" i="29"/>
  <c r="W42" i="29"/>
  <c r="V42" i="29"/>
  <c r="O42" i="29"/>
  <c r="N42" i="29"/>
  <c r="G42" i="29"/>
  <c r="F42" i="29"/>
  <c r="V41" i="29"/>
  <c r="O41" i="29"/>
  <c r="N41" i="29"/>
  <c r="F41" i="29"/>
  <c r="W40" i="29"/>
  <c r="V40" i="29"/>
  <c r="N40" i="29"/>
  <c r="F40" i="29"/>
  <c r="W39" i="29"/>
  <c r="V39" i="29"/>
  <c r="O39" i="29"/>
  <c r="N39" i="29"/>
  <c r="F39" i="29"/>
  <c r="W38" i="29"/>
  <c r="V38" i="29"/>
  <c r="O38" i="29"/>
  <c r="N38" i="29"/>
  <c r="G38" i="29"/>
  <c r="F38" i="29"/>
  <c r="X37" i="29"/>
  <c r="W41" i="29" s="1"/>
  <c r="W37" i="29"/>
  <c r="V37" i="29"/>
  <c r="P37" i="29"/>
  <c r="O40" i="29" s="1"/>
  <c r="O37" i="29"/>
  <c r="N37" i="29"/>
  <c r="H37" i="29"/>
  <c r="G39" i="29" s="1"/>
  <c r="G37" i="29"/>
  <c r="F37" i="29"/>
  <c r="R33" i="29"/>
  <c r="J33" i="29"/>
  <c r="B33" i="29"/>
  <c r="V31" i="29"/>
  <c r="N31" i="29"/>
  <c r="F31" i="29"/>
  <c r="W30" i="29"/>
  <c r="V30" i="29"/>
  <c r="N30" i="29"/>
  <c r="F30" i="29"/>
  <c r="V29" i="29"/>
  <c r="O29" i="29"/>
  <c r="N29" i="29"/>
  <c r="F29" i="29"/>
  <c r="X28" i="29"/>
  <c r="W29" i="29" s="1"/>
  <c r="W28" i="29"/>
  <c r="V28" i="29"/>
  <c r="P28" i="29"/>
  <c r="O30" i="29" s="1"/>
  <c r="O28" i="29"/>
  <c r="N28" i="29"/>
  <c r="H28" i="29"/>
  <c r="F28" i="29"/>
  <c r="U27" i="29"/>
  <c r="T27" i="29"/>
  <c r="S27" i="29"/>
  <c r="M27" i="29"/>
  <c r="L27" i="29"/>
  <c r="K27" i="29"/>
  <c r="E27" i="29"/>
  <c r="D27" i="29"/>
  <c r="C27" i="29"/>
  <c r="R26" i="29"/>
  <c r="J26" i="29"/>
  <c r="W25" i="29"/>
  <c r="V25" i="29"/>
  <c r="O25" i="29"/>
  <c r="N25" i="29"/>
  <c r="F25" i="29"/>
  <c r="V24" i="29"/>
  <c r="N24" i="29"/>
  <c r="F24" i="29"/>
  <c r="W23" i="29"/>
  <c r="V23" i="29"/>
  <c r="N23" i="29"/>
  <c r="F23" i="29"/>
  <c r="X22" i="29"/>
  <c r="W24" i="29" s="1"/>
  <c r="W22" i="29"/>
  <c r="V22" i="29"/>
  <c r="P22" i="29"/>
  <c r="N22" i="29"/>
  <c r="F22" i="29"/>
  <c r="U21" i="29"/>
  <c r="T21" i="29"/>
  <c r="S21" i="29"/>
  <c r="M21" i="29"/>
  <c r="L21" i="29"/>
  <c r="K21" i="29"/>
  <c r="R20" i="29"/>
  <c r="J20" i="29"/>
  <c r="V19" i="29"/>
  <c r="O19" i="29"/>
  <c r="N19" i="29"/>
  <c r="G19" i="29"/>
  <c r="F19" i="29"/>
  <c r="V18" i="29"/>
  <c r="N18" i="29"/>
  <c r="F18" i="29"/>
  <c r="V17" i="29"/>
  <c r="O17" i="29"/>
  <c r="N17" i="29"/>
  <c r="F17" i="29"/>
  <c r="V16" i="29"/>
  <c r="O16" i="29"/>
  <c r="N16" i="29"/>
  <c r="G16" i="29"/>
  <c r="F16" i="29"/>
  <c r="V15" i="29"/>
  <c r="O15" i="29"/>
  <c r="N15" i="29"/>
  <c r="F15" i="29"/>
  <c r="X14" i="29"/>
  <c r="W17" i="29" s="1"/>
  <c r="W14" i="29"/>
  <c r="V14" i="29"/>
  <c r="P14" i="29"/>
  <c r="O18" i="29" s="1"/>
  <c r="O14" i="29"/>
  <c r="N14" i="29"/>
  <c r="H14" i="29"/>
  <c r="G17" i="29" s="1"/>
  <c r="G14" i="29"/>
  <c r="F14" i="29"/>
  <c r="U13" i="29"/>
  <c r="T13" i="29"/>
  <c r="S13" i="29"/>
  <c r="M13" i="29"/>
  <c r="L13" i="29"/>
  <c r="K13" i="29"/>
  <c r="E13" i="29"/>
  <c r="D13" i="29"/>
  <c r="C13" i="29"/>
  <c r="V11" i="29"/>
  <c r="N11" i="29"/>
  <c r="F11" i="29"/>
  <c r="W10" i="29"/>
  <c r="V10" i="29"/>
  <c r="N10" i="29"/>
  <c r="F10" i="29"/>
  <c r="V9" i="29"/>
  <c r="N9" i="29"/>
  <c r="F9" i="29"/>
  <c r="W8" i="29"/>
  <c r="V8" i="29"/>
  <c r="N8" i="29"/>
  <c r="F8" i="29"/>
  <c r="V7" i="29"/>
  <c r="O7" i="29"/>
  <c r="N7" i="29"/>
  <c r="F7" i="29"/>
  <c r="X6" i="29"/>
  <c r="W6" i="29"/>
  <c r="V6" i="29"/>
  <c r="P6" i="29"/>
  <c r="O10" i="29" s="1"/>
  <c r="O6" i="29"/>
  <c r="N6" i="29"/>
  <c r="H6" i="29"/>
  <c r="F6" i="29"/>
  <c r="R2" i="29"/>
  <c r="J2" i="29"/>
  <c r="B2" i="29"/>
  <c r="D320" i="27"/>
  <c r="D333" i="27"/>
  <c r="D346" i="27"/>
  <c r="D359" i="27"/>
  <c r="G352" i="27"/>
  <c r="G356" i="27" s="1"/>
  <c r="G358" i="27" s="1"/>
  <c r="G350" i="27"/>
  <c r="G354" i="27" s="1"/>
  <c r="G349" i="27"/>
  <c r="G339" i="27"/>
  <c r="G343" i="27" s="1"/>
  <c r="G345" i="27" s="1"/>
  <c r="G337" i="27"/>
  <c r="G341" i="27" s="1"/>
  <c r="G336" i="27"/>
  <c r="G326" i="27"/>
  <c r="G330" i="27" s="1"/>
  <c r="G324" i="27"/>
  <c r="G328" i="27" s="1"/>
  <c r="G323" i="27"/>
  <c r="G317" i="27"/>
  <c r="G313" i="27"/>
  <c r="G311" i="27"/>
  <c r="G315" i="27" s="1"/>
  <c r="G310" i="27"/>
  <c r="D307" i="27"/>
  <c r="G300" i="27"/>
  <c r="G304" i="27" s="1"/>
  <c r="G298" i="27"/>
  <c r="G302" i="27" s="1"/>
  <c r="G297" i="27"/>
  <c r="M349" i="27"/>
  <c r="M336" i="27"/>
  <c r="M323" i="27"/>
  <c r="M310" i="27"/>
  <c r="M297" i="27"/>
  <c r="BE110" i="30"/>
  <c r="BG110" i="30"/>
  <c r="BE111" i="30"/>
  <c r="BG111" i="30" s="1"/>
  <c r="BE112" i="30"/>
  <c r="BG112" i="30"/>
  <c r="BE113" i="30"/>
  <c r="BG113" i="30" s="1"/>
  <c r="BE114" i="30"/>
  <c r="BG114" i="30" s="1"/>
  <c r="BE115" i="30"/>
  <c r="BG115" i="30"/>
  <c r="BE116" i="30"/>
  <c r="BG116" i="30" s="1"/>
  <c r="BE117" i="30"/>
  <c r="BG117" i="30" s="1"/>
  <c r="D4" i="30"/>
  <c r="D19" i="30" s="1"/>
  <c r="J4" i="30"/>
  <c r="J19" i="30" s="1"/>
  <c r="J34" i="30" s="1"/>
  <c r="J49" i="30" s="1"/>
  <c r="J64" i="30" s="1"/>
  <c r="J79" i="30" s="1"/>
  <c r="J94" i="30" s="1"/>
  <c r="J109" i="30" s="1"/>
  <c r="U4" i="30"/>
  <c r="U19" i="30" s="1"/>
  <c r="U34" i="30" s="1"/>
  <c r="U49" i="30" s="1"/>
  <c r="U64" i="30" s="1"/>
  <c r="U79" i="30" s="1"/>
  <c r="AM4" i="30"/>
  <c r="AM19" i="30" s="1"/>
  <c r="AM34" i="30" s="1"/>
  <c r="AM49" i="30" s="1"/>
  <c r="AM64" i="30" s="1"/>
  <c r="AM79" i="30" s="1"/>
  <c r="AM94" i="30" s="1"/>
  <c r="AM109" i="30" s="1"/>
  <c r="AM124" i="30" s="1"/>
  <c r="AM139" i="30" s="1"/>
  <c r="AS4" i="30"/>
  <c r="AS19" i="30" s="1"/>
  <c r="AS34" i="30" s="1"/>
  <c r="AS49" i="30" s="1"/>
  <c r="AS64" i="30" s="1"/>
  <c r="AS79" i="30" s="1"/>
  <c r="AS94" i="30" s="1"/>
  <c r="AS109" i="30" s="1"/>
  <c r="AS124" i="30" s="1"/>
  <c r="AS139" i="30" s="1"/>
  <c r="AY4" i="30"/>
  <c r="AY19" i="30" s="1"/>
  <c r="AY34" i="30" s="1"/>
  <c r="AY49" i="30" s="1"/>
  <c r="AY64" i="30" s="1"/>
  <c r="AY79" i="30" s="1"/>
  <c r="AY94" i="30" s="1"/>
  <c r="AY109" i="30" s="1"/>
  <c r="AY124" i="30" s="1"/>
  <c r="AY139" i="30" s="1"/>
  <c r="BE4" i="30"/>
  <c r="BE19" i="30" s="1"/>
  <c r="BE34" i="30" s="1"/>
  <c r="BE49" i="30" s="1"/>
  <c r="BE64" i="30" s="1"/>
  <c r="BE79" i="30" s="1"/>
  <c r="BE94" i="30" s="1"/>
  <c r="BE109" i="30" s="1"/>
  <c r="BK4" i="30"/>
  <c r="BK19" i="30" s="1"/>
  <c r="BK34" i="30" s="1"/>
  <c r="BK49" i="30" s="1"/>
  <c r="BK64" i="30" s="1"/>
  <c r="BK79" i="30" s="1"/>
  <c r="BK94" i="30" s="1"/>
  <c r="BK109" i="30" s="1"/>
  <c r="BK124" i="30" s="1"/>
  <c r="BK139" i="30" s="1"/>
  <c r="BQ4" i="30"/>
  <c r="BQ19" i="30" s="1"/>
  <c r="BQ34" i="30" s="1"/>
  <c r="BQ49" i="30" s="1"/>
  <c r="BQ64" i="30" s="1"/>
  <c r="BQ79" i="30" s="1"/>
  <c r="BQ94" i="30" s="1"/>
  <c r="BQ109" i="30" s="1"/>
  <c r="BQ124" i="30" s="1"/>
  <c r="BQ139" i="30" s="1"/>
  <c r="BW4" i="30"/>
  <c r="BW19" i="30" s="1"/>
  <c r="BW34" i="30" s="1"/>
  <c r="BW49" i="30" s="1"/>
  <c r="BW64" i="30" s="1"/>
  <c r="BW79" i="30" s="1"/>
  <c r="BW94" i="30" s="1"/>
  <c r="BW109" i="30" s="1"/>
  <c r="BW124" i="30" s="1"/>
  <c r="BW139" i="30" s="1"/>
  <c r="CC4" i="30"/>
  <c r="CC19" i="30" s="1"/>
  <c r="CC34" i="30" s="1"/>
  <c r="CC49" i="30" s="1"/>
  <c r="CC64" i="30" s="1"/>
  <c r="CC79" i="30" s="1"/>
  <c r="CC94" i="30" s="1"/>
  <c r="CC109" i="30" s="1"/>
  <c r="CC124" i="30" s="1"/>
  <c r="CC139" i="30" s="1"/>
  <c r="CI4" i="30"/>
  <c r="CI19" i="30" s="1"/>
  <c r="CO4" i="30"/>
  <c r="CO19" i="30" s="1"/>
  <c r="CO34" i="30" s="1"/>
  <c r="CO49" i="30" s="1"/>
  <c r="CO64" i="30" s="1"/>
  <c r="CO79" i="30" s="1"/>
  <c r="CO94" i="30" s="1"/>
  <c r="CO109" i="30" s="1"/>
  <c r="CO124" i="30" s="1"/>
  <c r="CO139" i="30" s="1"/>
  <c r="D5" i="30"/>
  <c r="E5" i="30" s="1"/>
  <c r="J5" i="30"/>
  <c r="K5" i="30" s="1"/>
  <c r="P5" i="30"/>
  <c r="Q5" i="30" s="1"/>
  <c r="U5" i="30"/>
  <c r="W5" i="30" s="1"/>
  <c r="AA5" i="30"/>
  <c r="AC5" i="30" s="1"/>
  <c r="AG5" i="30"/>
  <c r="AI5" i="30" s="1"/>
  <c r="AM5" i="30"/>
  <c r="AO5" i="30" s="1"/>
  <c r="AS5" i="30"/>
  <c r="AU5" i="30" s="1"/>
  <c r="AY5" i="30"/>
  <c r="BA5" i="30"/>
  <c r="BE5" i="30"/>
  <c r="BG5" i="30"/>
  <c r="BK5" i="30"/>
  <c r="BM5" i="30" s="1"/>
  <c r="BQ5" i="30"/>
  <c r="BS5" i="30" s="1"/>
  <c r="BW5" i="30"/>
  <c r="BY5" i="30"/>
  <c r="CC5" i="30"/>
  <c r="CC35" i="30" s="1"/>
  <c r="CC50" i="30" s="1"/>
  <c r="CC65" i="30" s="1"/>
  <c r="CI5" i="30"/>
  <c r="CO5" i="30"/>
  <c r="CO20" i="30" s="1"/>
  <c r="CO35" i="30" s="1"/>
  <c r="CO50" i="30" s="1"/>
  <c r="CQ5" i="30"/>
  <c r="CQ20" i="30" s="1"/>
  <c r="CQ35" i="30" s="1"/>
  <c r="CQ50" i="30" s="1"/>
  <c r="D6" i="30"/>
  <c r="E6" i="30" s="1"/>
  <c r="F6" i="30"/>
  <c r="J6" i="30"/>
  <c r="K6" i="30"/>
  <c r="L6" i="30"/>
  <c r="P6" i="30"/>
  <c r="Q6" i="30" s="1"/>
  <c r="R6" i="30"/>
  <c r="U6" i="30"/>
  <c r="W6" i="30" s="1"/>
  <c r="X6" i="30"/>
  <c r="AA6" i="30"/>
  <c r="AC6" i="30" s="1"/>
  <c r="AD6" i="30"/>
  <c r="AG6" i="30"/>
  <c r="AI6" i="30" s="1"/>
  <c r="AJ6" i="30"/>
  <c r="AM6" i="30"/>
  <c r="AO6" i="30" s="1"/>
  <c r="AP6" i="30"/>
  <c r="AS6" i="30"/>
  <c r="AU6" i="30" s="1"/>
  <c r="AV6" i="30"/>
  <c r="AY6" i="30"/>
  <c r="BA6" i="30" s="1"/>
  <c r="BB6" i="30"/>
  <c r="BE6" i="30"/>
  <c r="BG6" i="30" s="1"/>
  <c r="BH6" i="30"/>
  <c r="BK6" i="30"/>
  <c r="BM6" i="30" s="1"/>
  <c r="BN6" i="30"/>
  <c r="BQ6" i="30"/>
  <c r="BS6" i="30" s="1"/>
  <c r="BT6" i="30"/>
  <c r="BW6" i="30"/>
  <c r="BY6" i="30" s="1"/>
  <c r="BZ6" i="30"/>
  <c r="CC6" i="30"/>
  <c r="CC36" i="30" s="1"/>
  <c r="CC51" i="30" s="1"/>
  <c r="CC66" i="30" s="1"/>
  <c r="CC80" i="30" s="1"/>
  <c r="CC95" i="30" s="1"/>
  <c r="CC110" i="30" s="1"/>
  <c r="CC125" i="30" s="1"/>
  <c r="CC140" i="30" s="1"/>
  <c r="CF6" i="30"/>
  <c r="CI6" i="30"/>
  <c r="CI21" i="30" s="1"/>
  <c r="CI36" i="30" s="1"/>
  <c r="CI51" i="30" s="1"/>
  <c r="CI66" i="30" s="1"/>
  <c r="CI81" i="30" s="1"/>
  <c r="CI96" i="30" s="1"/>
  <c r="CI111" i="30" s="1"/>
  <c r="CI126" i="30" s="1"/>
  <c r="CI141" i="30" s="1"/>
  <c r="CL6" i="30"/>
  <c r="CO6" i="30"/>
  <c r="CR6" i="30"/>
  <c r="D7" i="30"/>
  <c r="E7" i="30" s="1"/>
  <c r="F7" i="30"/>
  <c r="J7" i="30"/>
  <c r="K7" i="30"/>
  <c r="L7" i="30"/>
  <c r="P7" i="30"/>
  <c r="Q7" i="30" s="1"/>
  <c r="R7" i="30"/>
  <c r="U7" i="30"/>
  <c r="W7" i="30" s="1"/>
  <c r="X7" i="30"/>
  <c r="AA7" i="30"/>
  <c r="AC7" i="30" s="1"/>
  <c r="AD7" i="30"/>
  <c r="AG7" i="30"/>
  <c r="AI7" i="30" s="1"/>
  <c r="AJ7" i="30"/>
  <c r="AM7" i="30"/>
  <c r="AO7" i="30" s="1"/>
  <c r="AP7" i="30"/>
  <c r="AS7" i="30"/>
  <c r="AU7" i="30" s="1"/>
  <c r="AV7" i="30"/>
  <c r="AY7" i="30"/>
  <c r="BA7" i="30"/>
  <c r="BB7" i="30"/>
  <c r="BE7" i="30"/>
  <c r="BG7" i="30" s="1"/>
  <c r="BH7" i="30"/>
  <c r="BK7" i="30"/>
  <c r="BM7" i="30"/>
  <c r="BN7" i="30"/>
  <c r="BQ7" i="30"/>
  <c r="BS7" i="30" s="1"/>
  <c r="BT7" i="30"/>
  <c r="BW7" i="30"/>
  <c r="BY7" i="30" s="1"/>
  <c r="BZ7" i="30"/>
  <c r="CC7" i="30"/>
  <c r="CF7" i="30"/>
  <c r="CI7" i="30"/>
  <c r="CL7" i="30"/>
  <c r="CO7" i="30"/>
  <c r="CQ7" i="30" s="1"/>
  <c r="CQ22" i="30" s="1"/>
  <c r="CQ37" i="30" s="1"/>
  <c r="CQ52" i="30" s="1"/>
  <c r="CQ67" i="30" s="1"/>
  <c r="CQ82" i="30" s="1"/>
  <c r="CQ97" i="30" s="1"/>
  <c r="CQ112" i="30" s="1"/>
  <c r="CQ127" i="30" s="1"/>
  <c r="CQ142" i="30" s="1"/>
  <c r="CR7" i="30"/>
  <c r="D8" i="30"/>
  <c r="E8" i="30" s="1"/>
  <c r="F8" i="30"/>
  <c r="J8" i="30"/>
  <c r="K8" i="30" s="1"/>
  <c r="L8" i="30"/>
  <c r="P8" i="30"/>
  <c r="Q8" i="30" s="1"/>
  <c r="R8" i="30"/>
  <c r="U8" i="30"/>
  <c r="W8" i="30" s="1"/>
  <c r="X8" i="30"/>
  <c r="AA8" i="30"/>
  <c r="AC8" i="30" s="1"/>
  <c r="AD8" i="30"/>
  <c r="AG8" i="30"/>
  <c r="AI8" i="30" s="1"/>
  <c r="AJ8" i="30"/>
  <c r="AM8" i="30"/>
  <c r="AO8" i="30" s="1"/>
  <c r="AP8" i="30"/>
  <c r="AS8" i="30"/>
  <c r="AU8" i="30" s="1"/>
  <c r="AV8" i="30"/>
  <c r="AY8" i="30"/>
  <c r="BA8" i="30" s="1"/>
  <c r="BB8" i="30"/>
  <c r="BE8" i="30"/>
  <c r="BG8" i="30" s="1"/>
  <c r="BH8" i="30"/>
  <c r="BK8" i="30"/>
  <c r="BM8" i="30" s="1"/>
  <c r="BN8" i="30"/>
  <c r="BQ8" i="30"/>
  <c r="BS8" i="30" s="1"/>
  <c r="BT8" i="30"/>
  <c r="BW8" i="30"/>
  <c r="BY8" i="30" s="1"/>
  <c r="BZ8" i="30"/>
  <c r="CC8" i="30"/>
  <c r="CC23" i="30" s="1"/>
  <c r="CF8" i="30"/>
  <c r="CI8" i="30"/>
  <c r="CI23" i="30" s="1"/>
  <c r="CI38" i="30" s="1"/>
  <c r="CI53" i="30" s="1"/>
  <c r="CI68" i="30" s="1"/>
  <c r="CI83" i="30" s="1"/>
  <c r="CI98" i="30" s="1"/>
  <c r="CI113" i="30" s="1"/>
  <c r="CI128" i="30" s="1"/>
  <c r="CI143" i="30" s="1"/>
  <c r="CL8" i="30"/>
  <c r="CO8" i="30"/>
  <c r="CQ8" i="30" s="1"/>
  <c r="CQ23" i="30" s="1"/>
  <c r="CQ38" i="30" s="1"/>
  <c r="CQ53" i="30" s="1"/>
  <c r="CQ68" i="30" s="1"/>
  <c r="CQ83" i="30" s="1"/>
  <c r="CQ98" i="30" s="1"/>
  <c r="CQ113" i="30" s="1"/>
  <c r="CQ128" i="30" s="1"/>
  <c r="CQ143" i="30" s="1"/>
  <c r="CR8" i="30"/>
  <c r="D9" i="30"/>
  <c r="E9" i="30" s="1"/>
  <c r="F9" i="30"/>
  <c r="J9" i="30"/>
  <c r="K9" i="30" s="1"/>
  <c r="L9" i="30"/>
  <c r="P9" i="30"/>
  <c r="Q9" i="30" s="1"/>
  <c r="R9" i="30"/>
  <c r="U9" i="30"/>
  <c r="W9" i="30" s="1"/>
  <c r="X9" i="30"/>
  <c r="AA9" i="30"/>
  <c r="AC9" i="30" s="1"/>
  <c r="AD9" i="30"/>
  <c r="AG9" i="30"/>
  <c r="AI9" i="30" s="1"/>
  <c r="AJ9" i="30"/>
  <c r="AM9" i="30"/>
  <c r="AO9" i="30" s="1"/>
  <c r="AP9" i="30"/>
  <c r="AS9" i="30"/>
  <c r="AU9" i="30" s="1"/>
  <c r="AV9" i="30"/>
  <c r="AY9" i="30"/>
  <c r="BA9" i="30"/>
  <c r="BB9" i="30"/>
  <c r="BE9" i="30"/>
  <c r="BG9" i="30" s="1"/>
  <c r="BH9" i="30"/>
  <c r="BK9" i="30"/>
  <c r="BM9" i="30" s="1"/>
  <c r="BN9" i="30"/>
  <c r="BQ9" i="30"/>
  <c r="BS9" i="30" s="1"/>
  <c r="BT9" i="30"/>
  <c r="BW9" i="30"/>
  <c r="BY9" i="30" s="1"/>
  <c r="BZ9" i="30"/>
  <c r="CC9" i="30"/>
  <c r="CC39" i="30" s="1"/>
  <c r="CC54" i="30" s="1"/>
  <c r="CC69" i="30" s="1"/>
  <c r="CC83" i="30" s="1"/>
  <c r="CC98" i="30" s="1"/>
  <c r="CC113" i="30" s="1"/>
  <c r="CC128" i="30" s="1"/>
  <c r="CC143" i="30" s="1"/>
  <c r="CF9" i="30"/>
  <c r="CI9" i="30"/>
  <c r="CL9" i="30"/>
  <c r="CO9" i="30"/>
  <c r="CO24" i="30" s="1"/>
  <c r="CO39" i="30" s="1"/>
  <c r="CO54" i="30" s="1"/>
  <c r="CR9" i="30"/>
  <c r="D10" i="30"/>
  <c r="E10" i="30" s="1"/>
  <c r="F10" i="30"/>
  <c r="J10" i="30"/>
  <c r="K10" i="30" s="1"/>
  <c r="L10" i="30"/>
  <c r="P10" i="30"/>
  <c r="Q10" i="30" s="1"/>
  <c r="R10" i="30"/>
  <c r="U10" i="30"/>
  <c r="W10" i="30" s="1"/>
  <c r="X10" i="30"/>
  <c r="AA10" i="30"/>
  <c r="AC10" i="30" s="1"/>
  <c r="AD10" i="30"/>
  <c r="AG10" i="30"/>
  <c r="AI10" i="30" s="1"/>
  <c r="AJ10" i="30"/>
  <c r="AM10" i="30"/>
  <c r="AO10" i="30"/>
  <c r="AP10" i="30"/>
  <c r="AS10" i="30"/>
  <c r="AU10" i="30"/>
  <c r="AV10" i="30"/>
  <c r="AY10" i="30"/>
  <c r="BA10" i="30" s="1"/>
  <c r="BB10" i="30"/>
  <c r="BE10" i="30"/>
  <c r="BG10" i="30" s="1"/>
  <c r="BH10" i="30"/>
  <c r="BK10" i="30"/>
  <c r="BM10" i="30" s="1"/>
  <c r="BN10" i="30"/>
  <c r="BQ10" i="30"/>
  <c r="BS10" i="30" s="1"/>
  <c r="BT10" i="30"/>
  <c r="BW10" i="30"/>
  <c r="BY10" i="30" s="1"/>
  <c r="BZ10" i="30"/>
  <c r="CC10" i="30"/>
  <c r="CC40" i="30" s="1"/>
  <c r="CC55" i="30" s="1"/>
  <c r="CC70" i="30" s="1"/>
  <c r="CC84" i="30" s="1"/>
  <c r="CC99" i="30" s="1"/>
  <c r="CC114" i="30" s="1"/>
  <c r="CC129" i="30" s="1"/>
  <c r="CC144" i="30" s="1"/>
  <c r="CF10" i="30"/>
  <c r="CI10" i="30"/>
  <c r="CK10" i="30" s="1"/>
  <c r="CK25" i="30" s="1"/>
  <c r="CK40" i="30" s="1"/>
  <c r="CK55" i="30" s="1"/>
  <c r="CK70" i="30" s="1"/>
  <c r="CK85" i="30" s="1"/>
  <c r="CK100" i="30" s="1"/>
  <c r="CK115" i="30" s="1"/>
  <c r="CK130" i="30" s="1"/>
  <c r="CK145" i="30" s="1"/>
  <c r="CL10" i="30"/>
  <c r="CO10" i="30"/>
  <c r="CR10" i="30"/>
  <c r="D11" i="30"/>
  <c r="E11" i="30" s="1"/>
  <c r="F11" i="30"/>
  <c r="J11" i="30"/>
  <c r="K11" i="30" s="1"/>
  <c r="L11" i="30"/>
  <c r="P11" i="30"/>
  <c r="Q11" i="30" s="1"/>
  <c r="R11" i="30"/>
  <c r="U11" i="30"/>
  <c r="W11" i="30" s="1"/>
  <c r="X11" i="30"/>
  <c r="AA11" i="30"/>
  <c r="AC11" i="30" s="1"/>
  <c r="AD11" i="30"/>
  <c r="AG11" i="30"/>
  <c r="AI11" i="30" s="1"/>
  <c r="AJ11" i="30"/>
  <c r="AM11" i="30"/>
  <c r="AO11" i="30" s="1"/>
  <c r="AP11" i="30"/>
  <c r="AS11" i="30"/>
  <c r="AU11" i="30" s="1"/>
  <c r="AV11" i="30"/>
  <c r="AY11" i="30"/>
  <c r="BA11" i="30" s="1"/>
  <c r="BB11" i="30"/>
  <c r="BE11" i="30"/>
  <c r="BG11" i="30" s="1"/>
  <c r="BH11" i="30"/>
  <c r="BK11" i="30"/>
  <c r="BM11" i="30" s="1"/>
  <c r="BN11" i="30"/>
  <c r="BQ11" i="30"/>
  <c r="BS11" i="30" s="1"/>
  <c r="BT11" i="30"/>
  <c r="BW11" i="30"/>
  <c r="BY11" i="30" s="1"/>
  <c r="BZ11" i="30"/>
  <c r="CC11" i="30"/>
  <c r="CF11" i="30"/>
  <c r="CI11" i="30"/>
  <c r="CI26" i="30" s="1"/>
  <c r="CI41" i="30" s="1"/>
  <c r="CI56" i="30" s="1"/>
  <c r="CI71" i="30" s="1"/>
  <c r="CI86" i="30" s="1"/>
  <c r="CI101" i="30" s="1"/>
  <c r="CI116" i="30" s="1"/>
  <c r="CI131" i="30" s="1"/>
  <c r="CI146" i="30" s="1"/>
  <c r="CL11" i="30"/>
  <c r="CO11" i="30"/>
  <c r="CR11" i="30"/>
  <c r="D12" i="30"/>
  <c r="E12" i="30"/>
  <c r="F12" i="30"/>
  <c r="J12" i="30"/>
  <c r="K12" i="30" s="1"/>
  <c r="L12" i="30"/>
  <c r="P12" i="30"/>
  <c r="Q12" i="30" s="1"/>
  <c r="R12" i="30"/>
  <c r="U12" i="30"/>
  <c r="W12" i="30" s="1"/>
  <c r="X12" i="30"/>
  <c r="AA12" i="30"/>
  <c r="AC12" i="30" s="1"/>
  <c r="AD12" i="30"/>
  <c r="AG12" i="30"/>
  <c r="AI12" i="30" s="1"/>
  <c r="AJ12" i="30"/>
  <c r="AM12" i="30"/>
  <c r="AO12" i="30" s="1"/>
  <c r="AP12" i="30"/>
  <c r="AS12" i="30"/>
  <c r="AU12" i="30" s="1"/>
  <c r="AV12" i="30"/>
  <c r="AY12" i="30"/>
  <c r="BA12" i="30" s="1"/>
  <c r="BB12" i="30"/>
  <c r="BE12" i="30"/>
  <c r="BG12" i="30" s="1"/>
  <c r="BH12" i="30"/>
  <c r="BK12" i="30"/>
  <c r="BM12" i="30" s="1"/>
  <c r="BN12" i="30"/>
  <c r="BQ12" i="30"/>
  <c r="BS12" i="30"/>
  <c r="BT12" i="30"/>
  <c r="BW12" i="30"/>
  <c r="BY12" i="30" s="1"/>
  <c r="BZ12" i="30"/>
  <c r="CC12" i="30"/>
  <c r="CC27" i="30" s="1"/>
  <c r="CF12" i="30"/>
  <c r="CI12" i="30"/>
  <c r="CK12" i="30" s="1"/>
  <c r="CK27" i="30" s="1"/>
  <c r="CK42" i="30" s="1"/>
  <c r="CK57" i="30" s="1"/>
  <c r="CK72" i="30" s="1"/>
  <c r="CK87" i="30" s="1"/>
  <c r="CK102" i="30" s="1"/>
  <c r="CK117" i="30" s="1"/>
  <c r="CK132" i="30" s="1"/>
  <c r="CK147" i="30" s="1"/>
  <c r="CL12" i="30"/>
  <c r="CO12" i="30"/>
  <c r="CR12" i="30"/>
  <c r="D13" i="30"/>
  <c r="E13" i="30" s="1"/>
  <c r="F13" i="30"/>
  <c r="J13" i="30"/>
  <c r="K13" i="30" s="1"/>
  <c r="L13" i="30"/>
  <c r="P13" i="30"/>
  <c r="Q13" i="30" s="1"/>
  <c r="R13" i="30"/>
  <c r="U13" i="30"/>
  <c r="W13" i="30" s="1"/>
  <c r="X13" i="30"/>
  <c r="AA13" i="30"/>
  <c r="AC13" i="30" s="1"/>
  <c r="AD13" i="30"/>
  <c r="AG13" i="30"/>
  <c r="AI13" i="30" s="1"/>
  <c r="AJ13" i="30"/>
  <c r="AM13" i="30"/>
  <c r="AO13" i="30" s="1"/>
  <c r="AP13" i="30"/>
  <c r="AS13" i="30"/>
  <c r="AU13" i="30" s="1"/>
  <c r="AV13" i="30"/>
  <c r="AY13" i="30"/>
  <c r="BA13" i="30" s="1"/>
  <c r="BB13" i="30"/>
  <c r="BE13" i="30"/>
  <c r="BG13" i="30" s="1"/>
  <c r="BH13" i="30"/>
  <c r="BK13" i="30"/>
  <c r="BM13" i="30" s="1"/>
  <c r="BN13" i="30"/>
  <c r="BQ13" i="30"/>
  <c r="BS13" i="30" s="1"/>
  <c r="BT13" i="30"/>
  <c r="BW13" i="30"/>
  <c r="BY13" i="30" s="1"/>
  <c r="BZ13" i="30"/>
  <c r="CC13" i="30"/>
  <c r="CC43" i="30" s="1"/>
  <c r="CC58" i="30" s="1"/>
  <c r="CC73" i="30" s="1"/>
  <c r="CC87" i="30" s="1"/>
  <c r="CC102" i="30" s="1"/>
  <c r="CC117" i="30" s="1"/>
  <c r="CC132" i="30" s="1"/>
  <c r="CC147" i="30" s="1"/>
  <c r="CF13" i="30"/>
  <c r="CI13" i="30"/>
  <c r="CL13" i="30"/>
  <c r="CO13" i="30"/>
  <c r="CR13" i="30"/>
  <c r="D14" i="30"/>
  <c r="E14" i="30"/>
  <c r="F14" i="30"/>
  <c r="J14" i="30"/>
  <c r="K14" i="30" s="1"/>
  <c r="L14" i="30"/>
  <c r="P14" i="30"/>
  <c r="Q14" i="30" s="1"/>
  <c r="R14" i="30"/>
  <c r="U14" i="30"/>
  <c r="W14" i="30" s="1"/>
  <c r="X14" i="30"/>
  <c r="AA14" i="30"/>
  <c r="AC14" i="30" s="1"/>
  <c r="AD14" i="30"/>
  <c r="AG14" i="30"/>
  <c r="AI14" i="30" s="1"/>
  <c r="AJ14" i="30"/>
  <c r="AM14" i="30"/>
  <c r="AO14" i="30" s="1"/>
  <c r="AP14" i="30"/>
  <c r="AS14" i="30"/>
  <c r="AU14" i="30" s="1"/>
  <c r="AV14" i="30"/>
  <c r="AY14" i="30"/>
  <c r="BA14" i="30" s="1"/>
  <c r="BB14" i="30"/>
  <c r="BE14" i="30"/>
  <c r="BG14" i="30" s="1"/>
  <c r="BH14" i="30"/>
  <c r="BK14" i="30"/>
  <c r="BM14" i="30" s="1"/>
  <c r="BN14" i="30"/>
  <c r="BQ14" i="30"/>
  <c r="BS14" i="30" s="1"/>
  <c r="BT14" i="30"/>
  <c r="BW14" i="30"/>
  <c r="BY14" i="30" s="1"/>
  <c r="BZ14" i="30"/>
  <c r="CC14" i="30"/>
  <c r="CC29" i="30" s="1"/>
  <c r="CF14" i="30"/>
  <c r="CI14" i="30"/>
  <c r="CL14" i="30"/>
  <c r="CO14" i="30"/>
  <c r="CR14" i="30"/>
  <c r="D15" i="30"/>
  <c r="E15" i="30" s="1"/>
  <c r="F15" i="30"/>
  <c r="J15" i="30"/>
  <c r="K15" i="30" s="1"/>
  <c r="L15" i="30"/>
  <c r="P15" i="30"/>
  <c r="Q15" i="30" s="1"/>
  <c r="R15" i="30"/>
  <c r="U15" i="30"/>
  <c r="W15" i="30" s="1"/>
  <c r="X15" i="30"/>
  <c r="AA15" i="30"/>
  <c r="AC15" i="30" s="1"/>
  <c r="AD15" i="30"/>
  <c r="AG15" i="30"/>
  <c r="AI15" i="30" s="1"/>
  <c r="AJ15" i="30"/>
  <c r="AM15" i="30"/>
  <c r="AO15" i="30" s="1"/>
  <c r="AP15" i="30"/>
  <c r="AS15" i="30"/>
  <c r="AU15" i="30" s="1"/>
  <c r="AV15" i="30"/>
  <c r="AY15" i="30"/>
  <c r="BA15" i="30" s="1"/>
  <c r="BB15" i="30"/>
  <c r="BE15" i="30"/>
  <c r="BG15" i="30" s="1"/>
  <c r="BH15" i="30"/>
  <c r="BK15" i="30"/>
  <c r="BM15" i="30" s="1"/>
  <c r="BN15" i="30"/>
  <c r="BQ15" i="30"/>
  <c r="BS15" i="30" s="1"/>
  <c r="BT15" i="30"/>
  <c r="BW15" i="30"/>
  <c r="BY15" i="30" s="1"/>
  <c r="BZ15" i="30"/>
  <c r="CC15" i="30"/>
  <c r="CC30" i="30" s="1"/>
  <c r="CF15" i="30"/>
  <c r="CI15" i="30"/>
  <c r="CL15" i="30"/>
  <c r="CO15" i="30"/>
  <c r="CR15" i="30"/>
  <c r="D16" i="30"/>
  <c r="E16" i="30" s="1"/>
  <c r="F16" i="30"/>
  <c r="J16" i="30"/>
  <c r="K16" i="30" s="1"/>
  <c r="L16" i="30"/>
  <c r="P16" i="30"/>
  <c r="Q16" i="30" s="1"/>
  <c r="R16" i="30"/>
  <c r="U16" i="30"/>
  <c r="W16" i="30" s="1"/>
  <c r="X16" i="30"/>
  <c r="AA16" i="30"/>
  <c r="AC16" i="30" s="1"/>
  <c r="AD16" i="30"/>
  <c r="AG16" i="30"/>
  <c r="AI16" i="30" s="1"/>
  <c r="AJ16" i="30"/>
  <c r="AM16" i="30"/>
  <c r="AO16" i="30" s="1"/>
  <c r="AP16" i="30"/>
  <c r="AS16" i="30"/>
  <c r="AU16" i="30"/>
  <c r="AV16" i="30"/>
  <c r="AY16" i="30"/>
  <c r="BA16" i="30" s="1"/>
  <c r="BB16" i="30"/>
  <c r="BE16" i="30"/>
  <c r="BG16" i="30" s="1"/>
  <c r="BH16" i="30"/>
  <c r="BK16" i="30"/>
  <c r="BM16" i="30" s="1"/>
  <c r="BN16" i="30"/>
  <c r="BQ16" i="30"/>
  <c r="BS16" i="30" s="1"/>
  <c r="BT16" i="30"/>
  <c r="BW16" i="30"/>
  <c r="BY16" i="30" s="1"/>
  <c r="BZ16" i="30"/>
  <c r="CC16" i="30"/>
  <c r="CC31" i="30" s="1"/>
  <c r="CF16" i="30"/>
  <c r="CI16" i="30"/>
  <c r="CK16" i="30" s="1"/>
  <c r="CK31" i="30" s="1"/>
  <c r="CK46" i="30" s="1"/>
  <c r="CK61" i="30" s="1"/>
  <c r="CK76" i="30" s="1"/>
  <c r="CK91" i="30" s="1"/>
  <c r="CK106" i="30" s="1"/>
  <c r="CK121" i="30" s="1"/>
  <c r="CK136" i="30" s="1"/>
  <c r="CK151" i="30" s="1"/>
  <c r="CL16" i="30"/>
  <c r="CO16" i="30"/>
  <c r="CR16" i="30"/>
  <c r="C18" i="30"/>
  <c r="I18" i="30"/>
  <c r="I33" i="30" s="1"/>
  <c r="I48" i="30" s="1"/>
  <c r="I63" i="30" s="1"/>
  <c r="I78" i="30" s="1"/>
  <c r="I93" i="30" s="1"/>
  <c r="I108" i="30" s="1"/>
  <c r="I123" i="30" s="1"/>
  <c r="I138" i="30" s="1"/>
  <c r="O18" i="30"/>
  <c r="O33" i="30" s="1"/>
  <c r="O48" i="30" s="1"/>
  <c r="C19" i="30"/>
  <c r="C34" i="30" s="1"/>
  <c r="C49" i="30" s="1"/>
  <c r="C64" i="30" s="1"/>
  <c r="C79" i="30" s="1"/>
  <c r="C94" i="30" s="1"/>
  <c r="C109" i="30" s="1"/>
  <c r="I19" i="30"/>
  <c r="I34" i="30" s="1"/>
  <c r="I49" i="30" s="1"/>
  <c r="I64" i="30" s="1"/>
  <c r="I79" i="30" s="1"/>
  <c r="I94" i="30" s="1"/>
  <c r="I109" i="30" s="1"/>
  <c r="O19" i="30"/>
  <c r="O124" i="30" s="1"/>
  <c r="P19" i="30"/>
  <c r="P124" i="30" s="1"/>
  <c r="AA19" i="30"/>
  <c r="AA34" i="30" s="1"/>
  <c r="AA49" i="30" s="1"/>
  <c r="AA64" i="30" s="1"/>
  <c r="AA79" i="30" s="1"/>
  <c r="AA94" i="30" s="1"/>
  <c r="AA109" i="30" s="1"/>
  <c r="AA124" i="30" s="1"/>
  <c r="AA139" i="30" s="1"/>
  <c r="AB19" i="30"/>
  <c r="AB34" i="30" s="1"/>
  <c r="AB49" i="30" s="1"/>
  <c r="AB64" i="30" s="1"/>
  <c r="AB79" i="30" s="1"/>
  <c r="AB94" i="30" s="1"/>
  <c r="AB109" i="30" s="1"/>
  <c r="AG19" i="30"/>
  <c r="AG34" i="30" s="1"/>
  <c r="AG49" i="30" s="1"/>
  <c r="AG64" i="30" s="1"/>
  <c r="AG79" i="30" s="1"/>
  <c r="AG94" i="30" s="1"/>
  <c r="AG109" i="30" s="1"/>
  <c r="AG124" i="30" s="1"/>
  <c r="AG139" i="30" s="1"/>
  <c r="AH19" i="30"/>
  <c r="AH34" i="30" s="1"/>
  <c r="AH49" i="30" s="1"/>
  <c r="AH64" i="30" s="1"/>
  <c r="CJ19" i="30"/>
  <c r="CJ34" i="30" s="1"/>
  <c r="CJ49" i="30" s="1"/>
  <c r="CJ64" i="30" s="1"/>
  <c r="CJ79" i="30" s="1"/>
  <c r="CJ94" i="30" s="1"/>
  <c r="CJ109" i="30" s="1"/>
  <c r="CJ124" i="30" s="1"/>
  <c r="CJ139" i="30" s="1"/>
  <c r="CP19" i="30"/>
  <c r="CP34" i="30" s="1"/>
  <c r="CP49" i="30" s="1"/>
  <c r="CP64" i="30" s="1"/>
  <c r="CP79" i="30" s="1"/>
  <c r="CP94" i="30" s="1"/>
  <c r="CP109" i="30" s="1"/>
  <c r="CP124" i="30" s="1"/>
  <c r="CP139" i="30" s="1"/>
  <c r="D20" i="30"/>
  <c r="E20" i="30" s="1"/>
  <c r="J20" i="30"/>
  <c r="K20" i="30" s="1"/>
  <c r="P20" i="30"/>
  <c r="Q20" i="30" s="1"/>
  <c r="U20" i="30"/>
  <c r="W20" i="30" s="1"/>
  <c r="AA20" i="30"/>
  <c r="AC20" i="30" s="1"/>
  <c r="AG20" i="30"/>
  <c r="AI20" i="30" s="1"/>
  <c r="AM20" i="30"/>
  <c r="AO20" i="30" s="1"/>
  <c r="AS20" i="30"/>
  <c r="AU20" i="30"/>
  <c r="AY20" i="30"/>
  <c r="BA20" i="30" s="1"/>
  <c r="BE20" i="30"/>
  <c r="BG20" i="30" s="1"/>
  <c r="BK20" i="30"/>
  <c r="BM20" i="30"/>
  <c r="BQ20" i="30"/>
  <c r="BS20" i="30" s="1"/>
  <c r="BW20" i="30"/>
  <c r="BY20" i="30"/>
  <c r="CJ20" i="30"/>
  <c r="CJ35" i="30" s="1"/>
  <c r="CJ50" i="30" s="1"/>
  <c r="CJ65" i="30" s="1"/>
  <c r="CP20" i="30"/>
  <c r="CP35" i="30" s="1"/>
  <c r="CP50" i="30" s="1"/>
  <c r="D21" i="30"/>
  <c r="E21" i="30" s="1"/>
  <c r="F21" i="30"/>
  <c r="J21" i="30"/>
  <c r="K21" i="30" s="1"/>
  <c r="L21" i="30"/>
  <c r="P21" i="30"/>
  <c r="Q21" i="30" s="1"/>
  <c r="R21" i="30"/>
  <c r="U21" i="30"/>
  <c r="W21" i="30" s="1"/>
  <c r="X21" i="30"/>
  <c r="AA21" i="30"/>
  <c r="AC21" i="30" s="1"/>
  <c r="AD21" i="30"/>
  <c r="AG21" i="30"/>
  <c r="AI21" i="30" s="1"/>
  <c r="AJ21" i="30"/>
  <c r="AM21" i="30"/>
  <c r="AO21" i="30" s="1"/>
  <c r="AP21" i="30"/>
  <c r="AS21" i="30"/>
  <c r="AU21" i="30" s="1"/>
  <c r="AV21" i="30"/>
  <c r="AY21" i="30"/>
  <c r="BA21" i="30" s="1"/>
  <c r="BB21" i="30"/>
  <c r="BE21" i="30"/>
  <c r="BG21" i="30" s="1"/>
  <c r="BH21" i="30"/>
  <c r="BK21" i="30"/>
  <c r="BM21" i="30" s="1"/>
  <c r="BN21" i="30"/>
  <c r="BQ21" i="30"/>
  <c r="BS21" i="30" s="1"/>
  <c r="BT21" i="30"/>
  <c r="BW21" i="30"/>
  <c r="BY21" i="30" s="1"/>
  <c r="BZ21" i="30"/>
  <c r="CF21" i="30"/>
  <c r="CJ21" i="30"/>
  <c r="CJ36" i="30" s="1"/>
  <c r="CJ51" i="30" s="1"/>
  <c r="CJ81" i="30" s="1"/>
  <c r="CJ96" i="30" s="1"/>
  <c r="CJ111" i="30" s="1"/>
  <c r="CJ126" i="30" s="1"/>
  <c r="CJ141" i="30" s="1"/>
  <c r="CL21" i="30"/>
  <c r="CP21" i="30"/>
  <c r="CP36" i="30" s="1"/>
  <c r="CP51" i="30" s="1"/>
  <c r="CP66" i="30" s="1"/>
  <c r="CR21" i="30"/>
  <c r="D22" i="30"/>
  <c r="E22" i="30" s="1"/>
  <c r="F22" i="30"/>
  <c r="J22" i="30"/>
  <c r="K22" i="30" s="1"/>
  <c r="L22" i="30"/>
  <c r="P22" i="30"/>
  <c r="Q22" i="30" s="1"/>
  <c r="R22" i="30"/>
  <c r="U22" i="30"/>
  <c r="W22" i="30" s="1"/>
  <c r="X22" i="30"/>
  <c r="AA22" i="30"/>
  <c r="AC22" i="30" s="1"/>
  <c r="AD22" i="30"/>
  <c r="AG22" i="30"/>
  <c r="AI22" i="30" s="1"/>
  <c r="AJ22" i="30"/>
  <c r="AM22" i="30"/>
  <c r="AO22" i="30" s="1"/>
  <c r="AP22" i="30"/>
  <c r="AS22" i="30"/>
  <c r="AU22" i="30" s="1"/>
  <c r="AV22" i="30"/>
  <c r="AY22" i="30"/>
  <c r="BA22" i="30" s="1"/>
  <c r="BB22" i="30"/>
  <c r="BE22" i="30"/>
  <c r="BG22" i="30" s="1"/>
  <c r="BH22" i="30"/>
  <c r="BK22" i="30"/>
  <c r="BM22" i="30" s="1"/>
  <c r="BN22" i="30"/>
  <c r="BQ22" i="30"/>
  <c r="BS22" i="30" s="1"/>
  <c r="BT22" i="30"/>
  <c r="BW22" i="30"/>
  <c r="BY22" i="30" s="1"/>
  <c r="BZ22" i="30"/>
  <c r="CF22" i="30"/>
  <c r="CJ22" i="30"/>
  <c r="CJ37" i="30" s="1"/>
  <c r="CJ52" i="30" s="1"/>
  <c r="CJ82" i="30" s="1"/>
  <c r="CJ97" i="30" s="1"/>
  <c r="CJ112" i="30" s="1"/>
  <c r="CJ127" i="30" s="1"/>
  <c r="CJ142" i="30" s="1"/>
  <c r="CL22" i="30"/>
  <c r="CP22" i="30"/>
  <c r="CP37" i="30" s="1"/>
  <c r="CP52" i="30" s="1"/>
  <c r="CR22" i="30"/>
  <c r="D23" i="30"/>
  <c r="E23" i="30" s="1"/>
  <c r="F23" i="30"/>
  <c r="J23" i="30"/>
  <c r="K23" i="30" s="1"/>
  <c r="L23" i="30"/>
  <c r="P23" i="30"/>
  <c r="Q23" i="30" s="1"/>
  <c r="R23" i="30"/>
  <c r="U23" i="30"/>
  <c r="W23" i="30" s="1"/>
  <c r="X23" i="30"/>
  <c r="AA23" i="30"/>
  <c r="AC23" i="30" s="1"/>
  <c r="AD23" i="30"/>
  <c r="AG23" i="30"/>
  <c r="AI23" i="30" s="1"/>
  <c r="AJ23" i="30"/>
  <c r="AM23" i="30"/>
  <c r="AO23" i="30" s="1"/>
  <c r="AP23" i="30"/>
  <c r="AS23" i="30"/>
  <c r="AU23" i="30" s="1"/>
  <c r="AV23" i="30"/>
  <c r="AY23" i="30"/>
  <c r="BA23" i="30" s="1"/>
  <c r="BB23" i="30"/>
  <c r="BE23" i="30"/>
  <c r="BG23" i="30" s="1"/>
  <c r="BH23" i="30"/>
  <c r="BK23" i="30"/>
  <c r="BM23" i="30" s="1"/>
  <c r="BN23" i="30"/>
  <c r="BQ23" i="30"/>
  <c r="BS23" i="30"/>
  <c r="BT23" i="30"/>
  <c r="BW23" i="30"/>
  <c r="BY23" i="30" s="1"/>
  <c r="BZ23" i="30"/>
  <c r="CF23" i="30"/>
  <c r="CJ23" i="30"/>
  <c r="CL23" i="30"/>
  <c r="CP23" i="30"/>
  <c r="CP38" i="30" s="1"/>
  <c r="CP53" i="30" s="1"/>
  <c r="CR23" i="30"/>
  <c r="D24" i="30"/>
  <c r="E24" i="30" s="1"/>
  <c r="F24" i="30"/>
  <c r="J24" i="30"/>
  <c r="K24" i="30" s="1"/>
  <c r="L24" i="30"/>
  <c r="P24" i="30"/>
  <c r="Q24" i="30"/>
  <c r="R24" i="30"/>
  <c r="U24" i="30"/>
  <c r="W24" i="30" s="1"/>
  <c r="X24" i="30"/>
  <c r="AA24" i="30"/>
  <c r="AC24" i="30" s="1"/>
  <c r="AD24" i="30"/>
  <c r="AG24" i="30"/>
  <c r="AI24" i="30" s="1"/>
  <c r="AJ24" i="30"/>
  <c r="AM24" i="30"/>
  <c r="AO24" i="30" s="1"/>
  <c r="AP24" i="30"/>
  <c r="AS24" i="30"/>
  <c r="AU24" i="30" s="1"/>
  <c r="AV24" i="30"/>
  <c r="AY24" i="30"/>
  <c r="BA24" i="30" s="1"/>
  <c r="BB24" i="30"/>
  <c r="BE24" i="30"/>
  <c r="BG24" i="30" s="1"/>
  <c r="BH24" i="30"/>
  <c r="BK24" i="30"/>
  <c r="BM24" i="30" s="1"/>
  <c r="BN24" i="30"/>
  <c r="BQ24" i="30"/>
  <c r="BS24" i="30" s="1"/>
  <c r="BT24" i="30"/>
  <c r="BW24" i="30"/>
  <c r="BY24" i="30" s="1"/>
  <c r="BZ24" i="30"/>
  <c r="CF24" i="30"/>
  <c r="CJ24" i="30"/>
  <c r="CJ39" i="30" s="1"/>
  <c r="CJ54" i="30" s="1"/>
  <c r="CL24" i="30"/>
  <c r="CP24" i="30"/>
  <c r="CP39" i="30" s="1"/>
  <c r="CP54" i="30" s="1"/>
  <c r="CR24" i="30"/>
  <c r="D25" i="30"/>
  <c r="E25" i="30" s="1"/>
  <c r="F25" i="30"/>
  <c r="J25" i="30"/>
  <c r="K25" i="30" s="1"/>
  <c r="L25" i="30"/>
  <c r="P25" i="30"/>
  <c r="Q25" i="30" s="1"/>
  <c r="R25" i="30"/>
  <c r="U25" i="30"/>
  <c r="W25" i="30" s="1"/>
  <c r="X25" i="30"/>
  <c r="AA25" i="30"/>
  <c r="AC25" i="30" s="1"/>
  <c r="AD25" i="30"/>
  <c r="AG25" i="30"/>
  <c r="AI25" i="30" s="1"/>
  <c r="AJ25" i="30"/>
  <c r="AM25" i="30"/>
  <c r="AO25" i="30" s="1"/>
  <c r="AP25" i="30"/>
  <c r="AS25" i="30"/>
  <c r="AU25" i="30" s="1"/>
  <c r="AV25" i="30"/>
  <c r="AY25" i="30"/>
  <c r="BA25" i="30" s="1"/>
  <c r="BB25" i="30"/>
  <c r="BE25" i="30"/>
  <c r="BG25" i="30"/>
  <c r="BH25" i="30"/>
  <c r="BK25" i="30"/>
  <c r="BM25" i="30" s="1"/>
  <c r="BN25" i="30"/>
  <c r="BQ25" i="30"/>
  <c r="BS25" i="30" s="1"/>
  <c r="BT25" i="30"/>
  <c r="BW25" i="30"/>
  <c r="BY25" i="30" s="1"/>
  <c r="BZ25" i="30"/>
  <c r="CF25" i="30"/>
  <c r="CJ25" i="30"/>
  <c r="CJ40" i="30" s="1"/>
  <c r="CJ55" i="30" s="1"/>
  <c r="CL25" i="30"/>
  <c r="CP25" i="30"/>
  <c r="CP40" i="30" s="1"/>
  <c r="CP55" i="30" s="1"/>
  <c r="CR25" i="30"/>
  <c r="D26" i="30"/>
  <c r="E26" i="30" s="1"/>
  <c r="F26" i="30"/>
  <c r="J26" i="30"/>
  <c r="K26" i="30" s="1"/>
  <c r="L26" i="30"/>
  <c r="P26" i="30"/>
  <c r="Q26" i="30" s="1"/>
  <c r="R26" i="30"/>
  <c r="U26" i="30"/>
  <c r="W26" i="30" s="1"/>
  <c r="X26" i="30"/>
  <c r="AA26" i="30"/>
  <c r="AC26" i="30" s="1"/>
  <c r="AD26" i="30"/>
  <c r="AG26" i="30"/>
  <c r="AI26" i="30" s="1"/>
  <c r="AJ26" i="30"/>
  <c r="AM26" i="30"/>
  <c r="AO26" i="30" s="1"/>
  <c r="AP26" i="30"/>
  <c r="AS26" i="30"/>
  <c r="AU26" i="30" s="1"/>
  <c r="AV26" i="30"/>
  <c r="AY26" i="30"/>
  <c r="BA26" i="30"/>
  <c r="BB26" i="30"/>
  <c r="BE26" i="30"/>
  <c r="BG26" i="30" s="1"/>
  <c r="BH26" i="30"/>
  <c r="BK26" i="30"/>
  <c r="BM26" i="30" s="1"/>
  <c r="BN26" i="30"/>
  <c r="BQ26" i="30"/>
  <c r="BS26" i="30" s="1"/>
  <c r="BT26" i="30"/>
  <c r="BW26" i="30"/>
  <c r="BY26" i="30" s="1"/>
  <c r="BZ26" i="30"/>
  <c r="CF26" i="30"/>
  <c r="CJ26" i="30"/>
  <c r="CJ41" i="30" s="1"/>
  <c r="CJ56" i="30" s="1"/>
  <c r="CL26" i="30"/>
  <c r="CP26" i="30"/>
  <c r="CP41" i="30" s="1"/>
  <c r="CP56" i="30" s="1"/>
  <c r="CR26" i="30"/>
  <c r="D27" i="30"/>
  <c r="E27" i="30" s="1"/>
  <c r="F27" i="30"/>
  <c r="J27" i="30"/>
  <c r="K27" i="30" s="1"/>
  <c r="L27" i="30"/>
  <c r="P27" i="30"/>
  <c r="Q27" i="30" s="1"/>
  <c r="R27" i="30"/>
  <c r="U27" i="30"/>
  <c r="W27" i="30" s="1"/>
  <c r="X27" i="30"/>
  <c r="AA27" i="30"/>
  <c r="AC27" i="30" s="1"/>
  <c r="AD27" i="30"/>
  <c r="AG27" i="30"/>
  <c r="AI27" i="30" s="1"/>
  <c r="AJ27" i="30"/>
  <c r="AM27" i="30"/>
  <c r="AO27" i="30" s="1"/>
  <c r="AP27" i="30"/>
  <c r="AS27" i="30"/>
  <c r="AU27" i="30" s="1"/>
  <c r="AV27" i="30"/>
  <c r="AY27" i="30"/>
  <c r="BA27" i="30" s="1"/>
  <c r="BB27" i="30"/>
  <c r="BE27" i="30"/>
  <c r="BG27" i="30"/>
  <c r="BH27" i="30"/>
  <c r="BK27" i="30"/>
  <c r="BM27" i="30" s="1"/>
  <c r="BN27" i="30"/>
  <c r="BQ27" i="30"/>
  <c r="BS27" i="30" s="1"/>
  <c r="BT27" i="30"/>
  <c r="BW27" i="30"/>
  <c r="BY27" i="30" s="1"/>
  <c r="BZ27" i="30"/>
  <c r="CF27" i="30"/>
  <c r="CJ27" i="30"/>
  <c r="CJ42" i="30" s="1"/>
  <c r="CJ57" i="30" s="1"/>
  <c r="CL27" i="30"/>
  <c r="CP27" i="30"/>
  <c r="CP42" i="30" s="1"/>
  <c r="CP57" i="30" s="1"/>
  <c r="CR27" i="30"/>
  <c r="D28" i="30"/>
  <c r="E28" i="30" s="1"/>
  <c r="F28" i="30"/>
  <c r="J28" i="30"/>
  <c r="K28" i="30" s="1"/>
  <c r="L28" i="30"/>
  <c r="P28" i="30"/>
  <c r="Q28" i="30" s="1"/>
  <c r="R28" i="30"/>
  <c r="U28" i="30"/>
  <c r="W28" i="30" s="1"/>
  <c r="X28" i="30"/>
  <c r="AA28" i="30"/>
  <c r="AC28" i="30" s="1"/>
  <c r="AD28" i="30"/>
  <c r="AG28" i="30"/>
  <c r="AI28" i="30"/>
  <c r="AJ28" i="30"/>
  <c r="AM28" i="30"/>
  <c r="AO28" i="30" s="1"/>
  <c r="AP28" i="30"/>
  <c r="AS28" i="30"/>
  <c r="AU28" i="30" s="1"/>
  <c r="AV28" i="30"/>
  <c r="AY28" i="30"/>
  <c r="BA28" i="30" s="1"/>
  <c r="BB28" i="30"/>
  <c r="BE28" i="30"/>
  <c r="BG28" i="30" s="1"/>
  <c r="BH28" i="30"/>
  <c r="BK28" i="30"/>
  <c r="BM28" i="30" s="1"/>
  <c r="BN28" i="30"/>
  <c r="BQ28" i="30"/>
  <c r="BS28" i="30" s="1"/>
  <c r="BT28" i="30"/>
  <c r="BW28" i="30"/>
  <c r="BY28" i="30" s="1"/>
  <c r="BZ28" i="30"/>
  <c r="CF28" i="30"/>
  <c r="CJ28" i="30"/>
  <c r="CL28" i="30"/>
  <c r="CP28" i="30"/>
  <c r="CP43" i="30" s="1"/>
  <c r="CP58" i="30" s="1"/>
  <c r="CR28" i="30"/>
  <c r="D29" i="30"/>
  <c r="E29" i="30" s="1"/>
  <c r="F29" i="30"/>
  <c r="J29" i="30"/>
  <c r="K29" i="30"/>
  <c r="L29" i="30"/>
  <c r="P29" i="30"/>
  <c r="Q29" i="30" s="1"/>
  <c r="R29" i="30"/>
  <c r="U29" i="30"/>
  <c r="W29" i="30" s="1"/>
  <c r="X29" i="30"/>
  <c r="AA29" i="30"/>
  <c r="AC29" i="30" s="1"/>
  <c r="AD29" i="30"/>
  <c r="AG29" i="30"/>
  <c r="AI29" i="30" s="1"/>
  <c r="AJ29" i="30"/>
  <c r="AM29" i="30"/>
  <c r="AO29" i="30" s="1"/>
  <c r="AP29" i="30"/>
  <c r="AS29" i="30"/>
  <c r="AU29" i="30" s="1"/>
  <c r="AV29" i="30"/>
  <c r="AY29" i="30"/>
  <c r="BA29" i="30" s="1"/>
  <c r="BB29" i="30"/>
  <c r="BE29" i="30"/>
  <c r="BG29" i="30" s="1"/>
  <c r="BH29" i="30"/>
  <c r="BK29" i="30"/>
  <c r="BM29" i="30" s="1"/>
  <c r="BN29" i="30"/>
  <c r="BQ29" i="30"/>
  <c r="BS29" i="30" s="1"/>
  <c r="BT29" i="30"/>
  <c r="BW29" i="30"/>
  <c r="BY29" i="30" s="1"/>
  <c r="BZ29" i="30"/>
  <c r="CF29" i="30"/>
  <c r="CJ29" i="30"/>
  <c r="CJ44" i="30" s="1"/>
  <c r="CJ59" i="30" s="1"/>
  <c r="CL29" i="30"/>
  <c r="CP29" i="30"/>
  <c r="CP44" i="30" s="1"/>
  <c r="CR29" i="30"/>
  <c r="D30" i="30"/>
  <c r="E30" i="30" s="1"/>
  <c r="F30" i="30"/>
  <c r="J30" i="30"/>
  <c r="K30" i="30" s="1"/>
  <c r="L30" i="30"/>
  <c r="P30" i="30"/>
  <c r="Q30" i="30" s="1"/>
  <c r="R30" i="30"/>
  <c r="U30" i="30"/>
  <c r="W30" i="30" s="1"/>
  <c r="X30" i="30"/>
  <c r="AA30" i="30"/>
  <c r="AC30" i="30" s="1"/>
  <c r="AD30" i="30"/>
  <c r="AG30" i="30"/>
  <c r="AI30" i="30" s="1"/>
  <c r="AJ30" i="30"/>
  <c r="AM30" i="30"/>
  <c r="AO30" i="30" s="1"/>
  <c r="AP30" i="30"/>
  <c r="AS30" i="30"/>
  <c r="AU30" i="30" s="1"/>
  <c r="AV30" i="30"/>
  <c r="AY30" i="30"/>
  <c r="BA30" i="30" s="1"/>
  <c r="BB30" i="30"/>
  <c r="BE30" i="30"/>
  <c r="BG30" i="30" s="1"/>
  <c r="BH30" i="30"/>
  <c r="BK30" i="30"/>
  <c r="BM30" i="30" s="1"/>
  <c r="BN30" i="30"/>
  <c r="BQ30" i="30"/>
  <c r="BS30" i="30" s="1"/>
  <c r="BT30" i="30"/>
  <c r="BW30" i="30"/>
  <c r="BY30" i="30" s="1"/>
  <c r="BZ30" i="30"/>
  <c r="CF30" i="30"/>
  <c r="CJ30" i="30"/>
  <c r="CJ45" i="30" s="1"/>
  <c r="CJ60" i="30" s="1"/>
  <c r="CL30" i="30"/>
  <c r="CP30" i="30"/>
  <c r="CP45" i="30" s="1"/>
  <c r="CP60" i="30" s="1"/>
  <c r="CP90" i="30" s="1"/>
  <c r="CP105" i="30" s="1"/>
  <c r="CP120" i="30" s="1"/>
  <c r="CP135" i="30" s="1"/>
  <c r="CP150" i="30" s="1"/>
  <c r="CR30" i="30"/>
  <c r="D31" i="30"/>
  <c r="E31" i="30" s="1"/>
  <c r="F31" i="30"/>
  <c r="J31" i="30"/>
  <c r="K31" i="30" s="1"/>
  <c r="L31" i="30"/>
  <c r="P31" i="30"/>
  <c r="Q31" i="30" s="1"/>
  <c r="R31" i="30"/>
  <c r="U31" i="30"/>
  <c r="W31" i="30" s="1"/>
  <c r="X31" i="30"/>
  <c r="AA31" i="30"/>
  <c r="AC31" i="30" s="1"/>
  <c r="AD31" i="30"/>
  <c r="AG31" i="30"/>
  <c r="AI31" i="30" s="1"/>
  <c r="AJ31" i="30"/>
  <c r="AM31" i="30"/>
  <c r="AO31" i="30" s="1"/>
  <c r="AP31" i="30"/>
  <c r="AS31" i="30"/>
  <c r="AU31" i="30" s="1"/>
  <c r="AV31" i="30"/>
  <c r="AY31" i="30"/>
  <c r="BA31" i="30" s="1"/>
  <c r="BB31" i="30"/>
  <c r="BE31" i="30"/>
  <c r="BG31" i="30" s="1"/>
  <c r="BH31" i="30"/>
  <c r="BK31" i="30"/>
  <c r="BM31" i="30" s="1"/>
  <c r="BN31" i="30"/>
  <c r="BQ31" i="30"/>
  <c r="BS31" i="30" s="1"/>
  <c r="BT31" i="30"/>
  <c r="BW31" i="30"/>
  <c r="BY31" i="30" s="1"/>
  <c r="BZ31" i="30"/>
  <c r="CF31" i="30"/>
  <c r="CJ31" i="30"/>
  <c r="CJ46" i="30" s="1"/>
  <c r="CJ61" i="30" s="1"/>
  <c r="CL31" i="30"/>
  <c r="CP31" i="30"/>
  <c r="CP46" i="30" s="1"/>
  <c r="CP61" i="30" s="1"/>
  <c r="CP91" i="30" s="1"/>
  <c r="CP106" i="30" s="1"/>
  <c r="CP121" i="30" s="1"/>
  <c r="CP136" i="30" s="1"/>
  <c r="CP151" i="30" s="1"/>
  <c r="CR31" i="30"/>
  <c r="C33" i="30"/>
  <c r="C48" i="30" s="1"/>
  <c r="C63" i="30" s="1"/>
  <c r="C78" i="30" s="1"/>
  <c r="C93" i="30" s="1"/>
  <c r="C108" i="30" s="1"/>
  <c r="C123" i="30" s="1"/>
  <c r="C138" i="30" s="1"/>
  <c r="D34" i="30"/>
  <c r="D49" i="30" s="1"/>
  <c r="D64" i="30" s="1"/>
  <c r="D79" i="30" s="1"/>
  <c r="D94" i="30" s="1"/>
  <c r="D109" i="30" s="1"/>
  <c r="O34" i="30"/>
  <c r="O139" i="30" s="1"/>
  <c r="P34" i="30"/>
  <c r="P139" i="30" s="1"/>
  <c r="CI34" i="30"/>
  <c r="CI49" i="30" s="1"/>
  <c r="CI64" i="30" s="1"/>
  <c r="CI79" i="30" s="1"/>
  <c r="CI94" i="30" s="1"/>
  <c r="CI109" i="30" s="1"/>
  <c r="CI124" i="30" s="1"/>
  <c r="CI139" i="30" s="1"/>
  <c r="D35" i="30"/>
  <c r="E35" i="30" s="1"/>
  <c r="J35" i="30"/>
  <c r="K35" i="30" s="1"/>
  <c r="P35" i="30"/>
  <c r="Q35" i="30" s="1"/>
  <c r="U35" i="30"/>
  <c r="W35" i="30" s="1"/>
  <c r="AA35" i="30"/>
  <c r="AC35" i="30"/>
  <c r="AG35" i="30"/>
  <c r="AI35" i="30" s="1"/>
  <c r="AM35" i="30"/>
  <c r="AO35" i="30" s="1"/>
  <c r="AS35" i="30"/>
  <c r="AU35" i="30"/>
  <c r="AY35" i="30"/>
  <c r="BA35" i="30" s="1"/>
  <c r="BE35" i="30"/>
  <c r="BG35" i="30" s="1"/>
  <c r="BK35" i="30"/>
  <c r="BM35" i="30" s="1"/>
  <c r="BQ35" i="30"/>
  <c r="BS35" i="30" s="1"/>
  <c r="BW35" i="30"/>
  <c r="BY35" i="30" s="1"/>
  <c r="D36" i="30"/>
  <c r="E36" i="30" s="1"/>
  <c r="F36" i="30"/>
  <c r="J36" i="30"/>
  <c r="K36" i="30" s="1"/>
  <c r="L36" i="30"/>
  <c r="P36" i="30"/>
  <c r="Q36" i="30" s="1"/>
  <c r="R36" i="30"/>
  <c r="U36" i="30"/>
  <c r="W36" i="30" s="1"/>
  <c r="X36" i="30"/>
  <c r="AA36" i="30"/>
  <c r="AC36" i="30" s="1"/>
  <c r="AD36" i="30"/>
  <c r="AG36" i="30"/>
  <c r="AI36" i="30" s="1"/>
  <c r="AJ36" i="30"/>
  <c r="AM36" i="30"/>
  <c r="AO36" i="30"/>
  <c r="AP36" i="30"/>
  <c r="AS36" i="30"/>
  <c r="AU36" i="30" s="1"/>
  <c r="AV36" i="30"/>
  <c r="AY36" i="30"/>
  <c r="BA36" i="30" s="1"/>
  <c r="BB36" i="30"/>
  <c r="BE36" i="30"/>
  <c r="BG36" i="30" s="1"/>
  <c r="BH36" i="30"/>
  <c r="BK36" i="30"/>
  <c r="BM36" i="30" s="1"/>
  <c r="BN36" i="30"/>
  <c r="BQ36" i="30"/>
  <c r="BS36" i="30" s="1"/>
  <c r="BT36" i="30"/>
  <c r="BW36" i="30"/>
  <c r="BY36" i="30" s="1"/>
  <c r="BZ36" i="30"/>
  <c r="CF36" i="30"/>
  <c r="CL36" i="30"/>
  <c r="CR36" i="30"/>
  <c r="D37" i="30"/>
  <c r="E37" i="30" s="1"/>
  <c r="F37" i="30"/>
  <c r="J37" i="30"/>
  <c r="K37" i="30" s="1"/>
  <c r="L37" i="30"/>
  <c r="P37" i="30"/>
  <c r="Q37" i="30" s="1"/>
  <c r="R37" i="30"/>
  <c r="U37" i="30"/>
  <c r="W37" i="30" s="1"/>
  <c r="X37" i="30"/>
  <c r="AA37" i="30"/>
  <c r="AC37" i="30" s="1"/>
  <c r="AD37" i="30"/>
  <c r="AG37" i="30"/>
  <c r="AI37" i="30" s="1"/>
  <c r="AJ37" i="30"/>
  <c r="AM37" i="30"/>
  <c r="AO37" i="30" s="1"/>
  <c r="AP37" i="30"/>
  <c r="AS37" i="30"/>
  <c r="AU37" i="30" s="1"/>
  <c r="AV37" i="30"/>
  <c r="AY37" i="30"/>
  <c r="BA37" i="30" s="1"/>
  <c r="BB37" i="30"/>
  <c r="BE37" i="30"/>
  <c r="BG37" i="30" s="1"/>
  <c r="BH37" i="30"/>
  <c r="BK37" i="30"/>
  <c r="BM37" i="30" s="1"/>
  <c r="BN37" i="30"/>
  <c r="BQ37" i="30"/>
  <c r="BS37" i="30" s="1"/>
  <c r="BT37" i="30"/>
  <c r="BW37" i="30"/>
  <c r="BY37" i="30" s="1"/>
  <c r="BZ37" i="30"/>
  <c r="CF37" i="30"/>
  <c r="CL37" i="30"/>
  <c r="CR37" i="30"/>
  <c r="D38" i="30"/>
  <c r="E38" i="30" s="1"/>
  <c r="F38" i="30"/>
  <c r="J38" i="30"/>
  <c r="K38" i="30" s="1"/>
  <c r="L38" i="30"/>
  <c r="P38" i="30"/>
  <c r="Q38" i="30" s="1"/>
  <c r="R38" i="30"/>
  <c r="U38" i="30"/>
  <c r="W38" i="30" s="1"/>
  <c r="X38" i="30"/>
  <c r="AA38" i="30"/>
  <c r="AC38" i="30" s="1"/>
  <c r="AD38" i="30"/>
  <c r="AG38" i="30"/>
  <c r="AI38" i="30" s="1"/>
  <c r="AJ38" i="30"/>
  <c r="AM38" i="30"/>
  <c r="AO38" i="30"/>
  <c r="AP38" i="30"/>
  <c r="AS38" i="30"/>
  <c r="AU38" i="30" s="1"/>
  <c r="AV38" i="30"/>
  <c r="AY38" i="30"/>
  <c r="BA38" i="30" s="1"/>
  <c r="BB38" i="30"/>
  <c r="BE38" i="30"/>
  <c r="BG38" i="30" s="1"/>
  <c r="BH38" i="30"/>
  <c r="BK38" i="30"/>
  <c r="BM38" i="30" s="1"/>
  <c r="BN38" i="30"/>
  <c r="BQ38" i="30"/>
  <c r="BS38" i="30" s="1"/>
  <c r="BT38" i="30"/>
  <c r="BW38" i="30"/>
  <c r="BY38" i="30" s="1"/>
  <c r="BZ38" i="30"/>
  <c r="CC38" i="30"/>
  <c r="CC53" i="30" s="1"/>
  <c r="CC68" i="30" s="1"/>
  <c r="CC82" i="30" s="1"/>
  <c r="CC97" i="30" s="1"/>
  <c r="CC112" i="30" s="1"/>
  <c r="CC127" i="30" s="1"/>
  <c r="CC142" i="30" s="1"/>
  <c r="CF38" i="30"/>
  <c r="CJ38" i="30"/>
  <c r="CJ53" i="30" s="1"/>
  <c r="CL38" i="30"/>
  <c r="CR38" i="30"/>
  <c r="D39" i="30"/>
  <c r="E39" i="30" s="1"/>
  <c r="F39" i="30"/>
  <c r="J39" i="30"/>
  <c r="K39" i="30" s="1"/>
  <c r="L39" i="30"/>
  <c r="P39" i="30"/>
  <c r="Q39" i="30" s="1"/>
  <c r="R39" i="30"/>
  <c r="U39" i="30"/>
  <c r="W39" i="30" s="1"/>
  <c r="X39" i="30"/>
  <c r="AA39" i="30"/>
  <c r="AC39" i="30" s="1"/>
  <c r="AD39" i="30"/>
  <c r="AG39" i="30"/>
  <c r="AI39" i="30" s="1"/>
  <c r="AJ39" i="30"/>
  <c r="AM39" i="30"/>
  <c r="AO39" i="30" s="1"/>
  <c r="AP39" i="30"/>
  <c r="AS39" i="30"/>
  <c r="AU39" i="30" s="1"/>
  <c r="AV39" i="30"/>
  <c r="AY39" i="30"/>
  <c r="BA39" i="30" s="1"/>
  <c r="BB39" i="30"/>
  <c r="BE39" i="30"/>
  <c r="BG39" i="30" s="1"/>
  <c r="BH39" i="30"/>
  <c r="BK39" i="30"/>
  <c r="BM39" i="30" s="1"/>
  <c r="BN39" i="30"/>
  <c r="BQ39" i="30"/>
  <c r="BS39" i="30" s="1"/>
  <c r="BT39" i="30"/>
  <c r="BW39" i="30"/>
  <c r="BY39" i="30" s="1"/>
  <c r="BZ39" i="30"/>
  <c r="CF39" i="30"/>
  <c r="CL39" i="30"/>
  <c r="CR39" i="30"/>
  <c r="D40" i="30"/>
  <c r="E40" i="30" s="1"/>
  <c r="F40" i="30"/>
  <c r="J40" i="30"/>
  <c r="K40" i="30"/>
  <c r="L40" i="30"/>
  <c r="P40" i="30"/>
  <c r="Q40" i="30" s="1"/>
  <c r="R40" i="30"/>
  <c r="U40" i="30"/>
  <c r="W40" i="30" s="1"/>
  <c r="X40" i="30"/>
  <c r="AA40" i="30"/>
  <c r="AC40" i="30" s="1"/>
  <c r="AD40" i="30"/>
  <c r="AG40" i="30"/>
  <c r="AI40" i="30" s="1"/>
  <c r="AJ40" i="30"/>
  <c r="AM40" i="30"/>
  <c r="AO40" i="30"/>
  <c r="AP40" i="30"/>
  <c r="AS40" i="30"/>
  <c r="AU40" i="30" s="1"/>
  <c r="AV40" i="30"/>
  <c r="AY40" i="30"/>
  <c r="BA40" i="30" s="1"/>
  <c r="BB40" i="30"/>
  <c r="BE40" i="30"/>
  <c r="BG40" i="30" s="1"/>
  <c r="BH40" i="30"/>
  <c r="BK40" i="30"/>
  <c r="BM40" i="30" s="1"/>
  <c r="BN40" i="30"/>
  <c r="BQ40" i="30"/>
  <c r="BS40" i="30" s="1"/>
  <c r="BT40" i="30"/>
  <c r="BW40" i="30"/>
  <c r="BY40" i="30" s="1"/>
  <c r="BZ40" i="30"/>
  <c r="CF40" i="30"/>
  <c r="CL40" i="30"/>
  <c r="CR40" i="30"/>
  <c r="D41" i="30"/>
  <c r="E41" i="30" s="1"/>
  <c r="F41" i="30"/>
  <c r="J41" i="30"/>
  <c r="K41" i="30"/>
  <c r="L41" i="30"/>
  <c r="P41" i="30"/>
  <c r="Q41" i="30" s="1"/>
  <c r="R41" i="30"/>
  <c r="U41" i="30"/>
  <c r="W41" i="30" s="1"/>
  <c r="X41" i="30"/>
  <c r="AA41" i="30"/>
  <c r="AC41" i="30" s="1"/>
  <c r="AD41" i="30"/>
  <c r="AG41" i="30"/>
  <c r="AI41" i="30" s="1"/>
  <c r="AJ41" i="30"/>
  <c r="AM41" i="30"/>
  <c r="AO41" i="30" s="1"/>
  <c r="AP41" i="30"/>
  <c r="AS41" i="30"/>
  <c r="AU41" i="30" s="1"/>
  <c r="AV41" i="30"/>
  <c r="AY41" i="30"/>
  <c r="BA41" i="30" s="1"/>
  <c r="BB41" i="30"/>
  <c r="BE41" i="30"/>
  <c r="BG41" i="30" s="1"/>
  <c r="BH41" i="30"/>
  <c r="BK41" i="30"/>
  <c r="BM41" i="30"/>
  <c r="BN41" i="30"/>
  <c r="BQ41" i="30"/>
  <c r="BS41" i="30" s="1"/>
  <c r="BT41" i="30"/>
  <c r="BW41" i="30"/>
  <c r="BY41" i="30" s="1"/>
  <c r="BZ41" i="30"/>
  <c r="CF41" i="30"/>
  <c r="CL41" i="30"/>
  <c r="CR41" i="30"/>
  <c r="D42" i="30"/>
  <c r="E42" i="30" s="1"/>
  <c r="F42" i="30"/>
  <c r="J42" i="30"/>
  <c r="K42" i="30" s="1"/>
  <c r="L42" i="30"/>
  <c r="P42" i="30"/>
  <c r="Q42" i="30" s="1"/>
  <c r="R42" i="30"/>
  <c r="U42" i="30"/>
  <c r="W42" i="30" s="1"/>
  <c r="X42" i="30"/>
  <c r="AA42" i="30"/>
  <c r="AC42" i="30" s="1"/>
  <c r="AD42" i="30"/>
  <c r="AG42" i="30"/>
  <c r="AI42" i="30" s="1"/>
  <c r="AJ42" i="30"/>
  <c r="AM42" i="30"/>
  <c r="AO42" i="30" s="1"/>
  <c r="AP42" i="30"/>
  <c r="AS42" i="30"/>
  <c r="AU42" i="30" s="1"/>
  <c r="AV42" i="30"/>
  <c r="AY42" i="30"/>
  <c r="BA42" i="30" s="1"/>
  <c r="BB42" i="30"/>
  <c r="BE42" i="30"/>
  <c r="BG42" i="30"/>
  <c r="BH42" i="30"/>
  <c r="BK42" i="30"/>
  <c r="BM42" i="30" s="1"/>
  <c r="BN42" i="30"/>
  <c r="BQ42" i="30"/>
  <c r="BS42" i="30" s="1"/>
  <c r="BT42" i="30"/>
  <c r="BW42" i="30"/>
  <c r="BY42" i="30" s="1"/>
  <c r="BZ42" i="30"/>
  <c r="CF42" i="30"/>
  <c r="CL42" i="30"/>
  <c r="CR42" i="30"/>
  <c r="D43" i="30"/>
  <c r="E43" i="30" s="1"/>
  <c r="F43" i="30"/>
  <c r="J43" i="30"/>
  <c r="K43" i="30"/>
  <c r="L43" i="30"/>
  <c r="P43" i="30"/>
  <c r="Q43" i="30" s="1"/>
  <c r="R43" i="30"/>
  <c r="U43" i="30"/>
  <c r="W43" i="30" s="1"/>
  <c r="X43" i="30"/>
  <c r="AA43" i="30"/>
  <c r="AC43" i="30" s="1"/>
  <c r="AD43" i="30"/>
  <c r="AG43" i="30"/>
  <c r="AI43" i="30" s="1"/>
  <c r="AJ43" i="30"/>
  <c r="AM43" i="30"/>
  <c r="AO43" i="30" s="1"/>
  <c r="AP43" i="30"/>
  <c r="AS43" i="30"/>
  <c r="AU43" i="30" s="1"/>
  <c r="AV43" i="30"/>
  <c r="AY43" i="30"/>
  <c r="BA43" i="30" s="1"/>
  <c r="BB43" i="30"/>
  <c r="BE43" i="30"/>
  <c r="BG43" i="30" s="1"/>
  <c r="BH43" i="30"/>
  <c r="BK43" i="30"/>
  <c r="BM43" i="30" s="1"/>
  <c r="BN43" i="30"/>
  <c r="BQ43" i="30"/>
  <c r="BS43" i="30" s="1"/>
  <c r="BT43" i="30"/>
  <c r="BW43" i="30"/>
  <c r="BY43" i="30" s="1"/>
  <c r="BZ43" i="30"/>
  <c r="CF43" i="30"/>
  <c r="CJ43" i="30"/>
  <c r="CJ58" i="30" s="1"/>
  <c r="CL43" i="30"/>
  <c r="CR43" i="30"/>
  <c r="D44" i="30"/>
  <c r="E44" i="30" s="1"/>
  <c r="F44" i="30"/>
  <c r="J44" i="30"/>
  <c r="K44" i="30" s="1"/>
  <c r="L44" i="30"/>
  <c r="P44" i="30"/>
  <c r="Q44" i="30" s="1"/>
  <c r="R44" i="30"/>
  <c r="U44" i="30"/>
  <c r="W44" i="30" s="1"/>
  <c r="X44" i="30"/>
  <c r="AA44" i="30"/>
  <c r="AC44" i="30" s="1"/>
  <c r="AD44" i="30"/>
  <c r="AG44" i="30"/>
  <c r="AI44" i="30" s="1"/>
  <c r="AJ44" i="30"/>
  <c r="AM44" i="30"/>
  <c r="AO44" i="30" s="1"/>
  <c r="AP44" i="30"/>
  <c r="AS44" i="30"/>
  <c r="AU44" i="30" s="1"/>
  <c r="AV44" i="30"/>
  <c r="AY44" i="30"/>
  <c r="BA44" i="30" s="1"/>
  <c r="BB44" i="30"/>
  <c r="BE44" i="30"/>
  <c r="BG44" i="30" s="1"/>
  <c r="BH44" i="30"/>
  <c r="BK44" i="30"/>
  <c r="BM44" i="30" s="1"/>
  <c r="BN44" i="30"/>
  <c r="BQ44" i="30"/>
  <c r="BS44" i="30" s="1"/>
  <c r="BT44" i="30"/>
  <c r="BW44" i="30"/>
  <c r="BY44" i="30" s="1"/>
  <c r="BZ44" i="30"/>
  <c r="CF44" i="30"/>
  <c r="CL44" i="30"/>
  <c r="CR44" i="30"/>
  <c r="D45" i="30"/>
  <c r="E45" i="30" s="1"/>
  <c r="F45" i="30"/>
  <c r="J45" i="30"/>
  <c r="K45" i="30" s="1"/>
  <c r="L45" i="30"/>
  <c r="P45" i="30"/>
  <c r="Q45" i="30" s="1"/>
  <c r="R45" i="30"/>
  <c r="U45" i="30"/>
  <c r="W45" i="30" s="1"/>
  <c r="X45" i="30"/>
  <c r="AA45" i="30"/>
  <c r="AC45" i="30" s="1"/>
  <c r="AD45" i="30"/>
  <c r="AG45" i="30"/>
  <c r="AI45" i="30" s="1"/>
  <c r="AJ45" i="30"/>
  <c r="AM45" i="30"/>
  <c r="AO45" i="30" s="1"/>
  <c r="AP45" i="30"/>
  <c r="AS45" i="30"/>
  <c r="AU45" i="30" s="1"/>
  <c r="AV45" i="30"/>
  <c r="AY45" i="30"/>
  <c r="BA45" i="30" s="1"/>
  <c r="BB45" i="30"/>
  <c r="BE45" i="30"/>
  <c r="BG45" i="30" s="1"/>
  <c r="BH45" i="30"/>
  <c r="BK45" i="30"/>
  <c r="BM45" i="30" s="1"/>
  <c r="BN45" i="30"/>
  <c r="BQ45" i="30"/>
  <c r="BS45" i="30" s="1"/>
  <c r="BT45" i="30"/>
  <c r="BW45" i="30"/>
  <c r="BY45" i="30" s="1"/>
  <c r="BZ45" i="30"/>
  <c r="CF45" i="30"/>
  <c r="CL45" i="30"/>
  <c r="CR45" i="30"/>
  <c r="D46" i="30"/>
  <c r="E46" i="30" s="1"/>
  <c r="F46" i="30"/>
  <c r="J46" i="30"/>
  <c r="K46" i="30" s="1"/>
  <c r="L46" i="30"/>
  <c r="P46" i="30"/>
  <c r="Q46" i="30" s="1"/>
  <c r="R46" i="30"/>
  <c r="U46" i="30"/>
  <c r="W46" i="30" s="1"/>
  <c r="X46" i="30"/>
  <c r="AA46" i="30"/>
  <c r="AC46" i="30" s="1"/>
  <c r="AD46" i="30"/>
  <c r="AG46" i="30"/>
  <c r="AI46" i="30" s="1"/>
  <c r="AJ46" i="30"/>
  <c r="AM46" i="30"/>
  <c r="AO46" i="30" s="1"/>
  <c r="AP46" i="30"/>
  <c r="AS46" i="30"/>
  <c r="AU46" i="30" s="1"/>
  <c r="AV46" i="30"/>
  <c r="AY46" i="30"/>
  <c r="BA46" i="30" s="1"/>
  <c r="BB46" i="30"/>
  <c r="BE46" i="30"/>
  <c r="BG46" i="30" s="1"/>
  <c r="BH46" i="30"/>
  <c r="BK46" i="30"/>
  <c r="BM46" i="30"/>
  <c r="BN46" i="30"/>
  <c r="BQ46" i="30"/>
  <c r="BS46" i="30" s="1"/>
  <c r="BT46" i="30"/>
  <c r="BW46" i="30"/>
  <c r="BY46" i="30" s="1"/>
  <c r="BZ46" i="30"/>
  <c r="CF46" i="30"/>
  <c r="CL46" i="30"/>
  <c r="CR46" i="30"/>
  <c r="O49" i="30"/>
  <c r="P49" i="30"/>
  <c r="D50" i="30"/>
  <c r="E50" i="30" s="1"/>
  <c r="J50" i="30"/>
  <c r="K50" i="30" s="1"/>
  <c r="P50" i="30"/>
  <c r="Q50" i="30" s="1"/>
  <c r="U50" i="30"/>
  <c r="W50" i="30" s="1"/>
  <c r="AA50" i="30"/>
  <c r="AC50" i="30" s="1"/>
  <c r="AG50" i="30"/>
  <c r="AI50" i="30" s="1"/>
  <c r="AM50" i="30"/>
  <c r="AO50" i="30" s="1"/>
  <c r="AS50" i="30"/>
  <c r="AU50" i="30" s="1"/>
  <c r="AY50" i="30"/>
  <c r="BA50" i="30" s="1"/>
  <c r="BE50" i="30"/>
  <c r="BG50" i="30"/>
  <c r="BK50" i="30"/>
  <c r="BM50" i="30" s="1"/>
  <c r="BQ50" i="30"/>
  <c r="BS50" i="30"/>
  <c r="BW50" i="30"/>
  <c r="BY50" i="30" s="1"/>
  <c r="D51" i="30"/>
  <c r="E51" i="30" s="1"/>
  <c r="F51" i="30"/>
  <c r="J51" i="30"/>
  <c r="K51" i="30" s="1"/>
  <c r="L51" i="30"/>
  <c r="P51" i="30"/>
  <c r="Q51" i="30" s="1"/>
  <c r="R51" i="30"/>
  <c r="U51" i="30"/>
  <c r="W51" i="30" s="1"/>
  <c r="X51" i="30"/>
  <c r="AA51" i="30"/>
  <c r="AC51" i="30" s="1"/>
  <c r="AD51" i="30"/>
  <c r="AG51" i="30"/>
  <c r="AI51" i="30" s="1"/>
  <c r="AJ51" i="30"/>
  <c r="AM51" i="30"/>
  <c r="AO51" i="30" s="1"/>
  <c r="AP51" i="30"/>
  <c r="AS51" i="30"/>
  <c r="AU51" i="30" s="1"/>
  <c r="AV51" i="30"/>
  <c r="AY51" i="30"/>
  <c r="BA51" i="30" s="1"/>
  <c r="BB51" i="30"/>
  <c r="BE51" i="30"/>
  <c r="BG51" i="30" s="1"/>
  <c r="BH51" i="30"/>
  <c r="BK51" i="30"/>
  <c r="BM51" i="30" s="1"/>
  <c r="BN51" i="30"/>
  <c r="BQ51" i="30"/>
  <c r="BS51" i="30" s="1"/>
  <c r="BT51" i="30"/>
  <c r="BW51" i="30"/>
  <c r="BY51" i="30"/>
  <c r="BZ51" i="30"/>
  <c r="CF51" i="30"/>
  <c r="CL51" i="30"/>
  <c r="CR51" i="30"/>
  <c r="D52" i="30"/>
  <c r="E52" i="30" s="1"/>
  <c r="F52" i="30"/>
  <c r="J52" i="30"/>
  <c r="K52" i="30" s="1"/>
  <c r="L52" i="30"/>
  <c r="P52" i="30"/>
  <c r="Q52" i="30" s="1"/>
  <c r="R52" i="30"/>
  <c r="U52" i="30"/>
  <c r="W52" i="30" s="1"/>
  <c r="X52" i="30"/>
  <c r="AA52" i="30"/>
  <c r="AC52" i="30" s="1"/>
  <c r="AD52" i="30"/>
  <c r="AG52" i="30"/>
  <c r="AI52" i="30"/>
  <c r="AJ52" i="30"/>
  <c r="AM52" i="30"/>
  <c r="AO52" i="30" s="1"/>
  <c r="AP52" i="30"/>
  <c r="AS52" i="30"/>
  <c r="AU52" i="30" s="1"/>
  <c r="AV52" i="30"/>
  <c r="AY52" i="30"/>
  <c r="BA52" i="30" s="1"/>
  <c r="BB52" i="30"/>
  <c r="BE52" i="30"/>
  <c r="BG52" i="30" s="1"/>
  <c r="BH52" i="30"/>
  <c r="BK52" i="30"/>
  <c r="BM52" i="30" s="1"/>
  <c r="BN52" i="30"/>
  <c r="BQ52" i="30"/>
  <c r="BS52" i="30" s="1"/>
  <c r="BT52" i="30"/>
  <c r="BW52" i="30"/>
  <c r="BY52" i="30" s="1"/>
  <c r="BZ52" i="30"/>
  <c r="CF52" i="30"/>
  <c r="CL52" i="30"/>
  <c r="CR52" i="30"/>
  <c r="D53" i="30"/>
  <c r="E53" i="30" s="1"/>
  <c r="F53" i="30"/>
  <c r="J53" i="30"/>
  <c r="K53" i="30" s="1"/>
  <c r="L53" i="30"/>
  <c r="P53" i="30"/>
  <c r="Q53" i="30"/>
  <c r="R53" i="30"/>
  <c r="U53" i="30"/>
  <c r="W53" i="30" s="1"/>
  <c r="X53" i="30"/>
  <c r="AA53" i="30"/>
  <c r="AC53" i="30" s="1"/>
  <c r="AD53" i="30"/>
  <c r="AG53" i="30"/>
  <c r="AI53" i="30" s="1"/>
  <c r="AJ53" i="30"/>
  <c r="AM53" i="30"/>
  <c r="AO53" i="30" s="1"/>
  <c r="AP53" i="30"/>
  <c r="AS53" i="30"/>
  <c r="AU53" i="30" s="1"/>
  <c r="AV53" i="30"/>
  <c r="AY53" i="30"/>
  <c r="BA53" i="30" s="1"/>
  <c r="BB53" i="30"/>
  <c r="BE53" i="30"/>
  <c r="BG53" i="30" s="1"/>
  <c r="BH53" i="30"/>
  <c r="BK53" i="30"/>
  <c r="BM53" i="30" s="1"/>
  <c r="BN53" i="30"/>
  <c r="BQ53" i="30"/>
  <c r="BS53" i="30" s="1"/>
  <c r="BT53" i="30"/>
  <c r="BW53" i="30"/>
  <c r="BY53" i="30" s="1"/>
  <c r="BZ53" i="30"/>
  <c r="CF53" i="30"/>
  <c r="CL53" i="30"/>
  <c r="CR53" i="30"/>
  <c r="D54" i="30"/>
  <c r="E54" i="30" s="1"/>
  <c r="F54" i="30"/>
  <c r="J54" i="30"/>
  <c r="K54" i="30" s="1"/>
  <c r="L54" i="30"/>
  <c r="P54" i="30"/>
  <c r="Q54" i="30" s="1"/>
  <c r="R54" i="30"/>
  <c r="U54" i="30"/>
  <c r="W54" i="30" s="1"/>
  <c r="X54" i="30"/>
  <c r="AA54" i="30"/>
  <c r="AC54" i="30" s="1"/>
  <c r="AD54" i="30"/>
  <c r="AG54" i="30"/>
  <c r="AI54" i="30" s="1"/>
  <c r="AJ54" i="30"/>
  <c r="AM54" i="30"/>
  <c r="AO54" i="30" s="1"/>
  <c r="AP54" i="30"/>
  <c r="AS54" i="30"/>
  <c r="AU54" i="30" s="1"/>
  <c r="AV54" i="30"/>
  <c r="AY54" i="30"/>
  <c r="BA54" i="30" s="1"/>
  <c r="BB54" i="30"/>
  <c r="BE54" i="30"/>
  <c r="BG54" i="30" s="1"/>
  <c r="BH54" i="30"/>
  <c r="BK54" i="30"/>
  <c r="BM54" i="30" s="1"/>
  <c r="BN54" i="30"/>
  <c r="BQ54" i="30"/>
  <c r="BS54" i="30"/>
  <c r="BT54" i="30"/>
  <c r="BW54" i="30"/>
  <c r="BY54" i="30" s="1"/>
  <c r="BZ54" i="30"/>
  <c r="CF54" i="30"/>
  <c r="CL54" i="30"/>
  <c r="CR54" i="30"/>
  <c r="D55" i="30"/>
  <c r="E55" i="30" s="1"/>
  <c r="F55" i="30"/>
  <c r="J55" i="30"/>
  <c r="K55" i="30" s="1"/>
  <c r="L55" i="30"/>
  <c r="P55" i="30"/>
  <c r="Q55" i="30" s="1"/>
  <c r="R55" i="30"/>
  <c r="U55" i="30"/>
  <c r="W55" i="30" s="1"/>
  <c r="X55" i="30"/>
  <c r="AA55" i="30"/>
  <c r="AC55" i="30"/>
  <c r="AD55" i="30"/>
  <c r="AG55" i="30"/>
  <c r="AI55" i="30" s="1"/>
  <c r="AJ55" i="30"/>
  <c r="AM55" i="30"/>
  <c r="AO55" i="30" s="1"/>
  <c r="AP55" i="30"/>
  <c r="AS55" i="30"/>
  <c r="AU55" i="30" s="1"/>
  <c r="AV55" i="30"/>
  <c r="AY55" i="30"/>
  <c r="BA55" i="30" s="1"/>
  <c r="BB55" i="30"/>
  <c r="BE55" i="30"/>
  <c r="BG55" i="30" s="1"/>
  <c r="BH55" i="30"/>
  <c r="BK55" i="30"/>
  <c r="BM55" i="30" s="1"/>
  <c r="BN55" i="30"/>
  <c r="BQ55" i="30"/>
  <c r="BS55" i="30"/>
  <c r="BT55" i="30"/>
  <c r="BW55" i="30"/>
  <c r="BY55" i="30" s="1"/>
  <c r="BZ55" i="30"/>
  <c r="CF55" i="30"/>
  <c r="CL55" i="30"/>
  <c r="CR55" i="30"/>
  <c r="D56" i="30"/>
  <c r="E56" i="30" s="1"/>
  <c r="F56" i="30"/>
  <c r="J56" i="30"/>
  <c r="K56" i="30" s="1"/>
  <c r="L56" i="30"/>
  <c r="P56" i="30"/>
  <c r="Q56" i="30" s="1"/>
  <c r="R56" i="30"/>
  <c r="U56" i="30"/>
  <c r="W56" i="30" s="1"/>
  <c r="X56" i="30"/>
  <c r="AA56" i="30"/>
  <c r="AC56" i="30" s="1"/>
  <c r="AD56" i="30"/>
  <c r="AG56" i="30"/>
  <c r="AI56" i="30" s="1"/>
  <c r="AJ56" i="30"/>
  <c r="AM56" i="30"/>
  <c r="AO56" i="30" s="1"/>
  <c r="AP56" i="30"/>
  <c r="AS56" i="30"/>
  <c r="AU56" i="30" s="1"/>
  <c r="AV56" i="30"/>
  <c r="AY56" i="30"/>
  <c r="BA56" i="30" s="1"/>
  <c r="BB56" i="30"/>
  <c r="BE56" i="30"/>
  <c r="BG56" i="30" s="1"/>
  <c r="BH56" i="30"/>
  <c r="BK56" i="30"/>
  <c r="BM56" i="30" s="1"/>
  <c r="BN56" i="30"/>
  <c r="BQ56" i="30"/>
  <c r="BS56" i="30" s="1"/>
  <c r="BT56" i="30"/>
  <c r="BW56" i="30"/>
  <c r="BY56" i="30" s="1"/>
  <c r="BZ56" i="30"/>
  <c r="CF56" i="30"/>
  <c r="CL56" i="30"/>
  <c r="CR56" i="30"/>
  <c r="D57" i="30"/>
  <c r="E57" i="30" s="1"/>
  <c r="F57" i="30"/>
  <c r="J57" i="30"/>
  <c r="K57" i="30" s="1"/>
  <c r="L57" i="30"/>
  <c r="P57" i="30"/>
  <c r="Q57" i="30" s="1"/>
  <c r="R57" i="30"/>
  <c r="U57" i="30"/>
  <c r="W57" i="30" s="1"/>
  <c r="X57" i="30"/>
  <c r="AA57" i="30"/>
  <c r="AC57" i="30" s="1"/>
  <c r="AD57" i="30"/>
  <c r="AG57" i="30"/>
  <c r="AI57" i="30" s="1"/>
  <c r="AJ57" i="30"/>
  <c r="AM57" i="30"/>
  <c r="AO57" i="30" s="1"/>
  <c r="AP57" i="30"/>
  <c r="AS57" i="30"/>
  <c r="AU57" i="30" s="1"/>
  <c r="AV57" i="30"/>
  <c r="AY57" i="30"/>
  <c r="BA57" i="30" s="1"/>
  <c r="BB57" i="30"/>
  <c r="BE57" i="30"/>
  <c r="BG57" i="30" s="1"/>
  <c r="BH57" i="30"/>
  <c r="BK57" i="30"/>
  <c r="BM57" i="30" s="1"/>
  <c r="BN57" i="30"/>
  <c r="BQ57" i="30"/>
  <c r="BS57" i="30"/>
  <c r="BT57" i="30"/>
  <c r="BW57" i="30"/>
  <c r="BY57" i="30" s="1"/>
  <c r="BZ57" i="30"/>
  <c r="CF57" i="30"/>
  <c r="CL57" i="30"/>
  <c r="CR57" i="30"/>
  <c r="D58" i="30"/>
  <c r="E58" i="30" s="1"/>
  <c r="F58" i="30"/>
  <c r="J58" i="30"/>
  <c r="K58" i="30" s="1"/>
  <c r="L58" i="30"/>
  <c r="P58" i="30"/>
  <c r="Q58" i="30"/>
  <c r="R58" i="30"/>
  <c r="U58" i="30"/>
  <c r="W58" i="30" s="1"/>
  <c r="X58" i="30"/>
  <c r="AA58" i="30"/>
  <c r="AC58" i="30" s="1"/>
  <c r="AD58" i="30"/>
  <c r="AG58" i="30"/>
  <c r="AI58" i="30" s="1"/>
  <c r="AJ58" i="30"/>
  <c r="AM58" i="30"/>
  <c r="AO58" i="30" s="1"/>
  <c r="AP58" i="30"/>
  <c r="AS58" i="30"/>
  <c r="AU58" i="30" s="1"/>
  <c r="AV58" i="30"/>
  <c r="AY58" i="30"/>
  <c r="BA58" i="30" s="1"/>
  <c r="BB58" i="30"/>
  <c r="BE58" i="30"/>
  <c r="BG58" i="30" s="1"/>
  <c r="BH58" i="30"/>
  <c r="BK58" i="30"/>
  <c r="BM58" i="30" s="1"/>
  <c r="BN58" i="30"/>
  <c r="BQ58" i="30"/>
  <c r="BS58" i="30" s="1"/>
  <c r="BT58" i="30"/>
  <c r="BW58" i="30"/>
  <c r="BY58" i="30" s="1"/>
  <c r="BZ58" i="30"/>
  <c r="CF58" i="30"/>
  <c r="CL58" i="30"/>
  <c r="CR58" i="30"/>
  <c r="D59" i="30"/>
  <c r="E59" i="30" s="1"/>
  <c r="F59" i="30"/>
  <c r="J59" i="30"/>
  <c r="K59" i="30" s="1"/>
  <c r="L59" i="30"/>
  <c r="P59" i="30"/>
  <c r="Q59" i="30" s="1"/>
  <c r="R59" i="30"/>
  <c r="U59" i="30"/>
  <c r="W59" i="30" s="1"/>
  <c r="X59" i="30"/>
  <c r="AA59" i="30"/>
  <c r="AC59" i="30"/>
  <c r="AD59" i="30"/>
  <c r="AG59" i="30"/>
  <c r="AI59" i="30" s="1"/>
  <c r="AJ59" i="30"/>
  <c r="AM59" i="30"/>
  <c r="AO59" i="30" s="1"/>
  <c r="AP59" i="30"/>
  <c r="AS59" i="30"/>
  <c r="AU59" i="30"/>
  <c r="AV59" i="30"/>
  <c r="AY59" i="30"/>
  <c r="BA59" i="30" s="1"/>
  <c r="BB59" i="30"/>
  <c r="BE59" i="30"/>
  <c r="BG59" i="30" s="1"/>
  <c r="BH59" i="30"/>
  <c r="BK59" i="30"/>
  <c r="BM59" i="30" s="1"/>
  <c r="BN59" i="30"/>
  <c r="BQ59" i="30"/>
  <c r="BS59" i="30" s="1"/>
  <c r="BT59" i="30"/>
  <c r="BW59" i="30"/>
  <c r="BY59" i="30" s="1"/>
  <c r="BZ59" i="30"/>
  <c r="CF59" i="30"/>
  <c r="CL59" i="30"/>
  <c r="CP59" i="30"/>
  <c r="CP74" i="30" s="1"/>
  <c r="CR59" i="30"/>
  <c r="D60" i="30"/>
  <c r="E60" i="30" s="1"/>
  <c r="F60" i="30"/>
  <c r="J60" i="30"/>
  <c r="K60" i="30" s="1"/>
  <c r="L60" i="30"/>
  <c r="P60" i="30"/>
  <c r="Q60" i="30"/>
  <c r="R60" i="30"/>
  <c r="U60" i="30"/>
  <c r="W60" i="30" s="1"/>
  <c r="X60" i="30"/>
  <c r="AA60" i="30"/>
  <c r="AC60" i="30" s="1"/>
  <c r="AD60" i="30"/>
  <c r="AG60" i="30"/>
  <c r="AI60" i="30" s="1"/>
  <c r="AJ60" i="30"/>
  <c r="AM60" i="30"/>
  <c r="AO60" i="30" s="1"/>
  <c r="AP60" i="30"/>
  <c r="AS60" i="30"/>
  <c r="AU60" i="30" s="1"/>
  <c r="AV60" i="30"/>
  <c r="AY60" i="30"/>
  <c r="BA60" i="30" s="1"/>
  <c r="BB60" i="30"/>
  <c r="BE60" i="30"/>
  <c r="BG60" i="30" s="1"/>
  <c r="BH60" i="30"/>
  <c r="BK60" i="30"/>
  <c r="BM60" i="30" s="1"/>
  <c r="BN60" i="30"/>
  <c r="BQ60" i="30"/>
  <c r="BS60" i="30" s="1"/>
  <c r="BT60" i="30"/>
  <c r="BW60" i="30"/>
  <c r="BY60" i="30" s="1"/>
  <c r="BZ60" i="30"/>
  <c r="CF60" i="30"/>
  <c r="CL60" i="30"/>
  <c r="CR60" i="30"/>
  <c r="D61" i="30"/>
  <c r="E61" i="30" s="1"/>
  <c r="F61" i="30"/>
  <c r="J61" i="30"/>
  <c r="K61" i="30" s="1"/>
  <c r="L61" i="30"/>
  <c r="P61" i="30"/>
  <c r="Q61" i="30" s="1"/>
  <c r="R61" i="30"/>
  <c r="U61" i="30"/>
  <c r="W61" i="30" s="1"/>
  <c r="X61" i="30"/>
  <c r="AA61" i="30"/>
  <c r="AC61" i="30" s="1"/>
  <c r="AD61" i="30"/>
  <c r="AG61" i="30"/>
  <c r="AI61" i="30" s="1"/>
  <c r="AJ61" i="30"/>
  <c r="AM61" i="30"/>
  <c r="AO61" i="30" s="1"/>
  <c r="AP61" i="30"/>
  <c r="AS61" i="30"/>
  <c r="AU61" i="30" s="1"/>
  <c r="AV61" i="30"/>
  <c r="AY61" i="30"/>
  <c r="BA61" i="30" s="1"/>
  <c r="BB61" i="30"/>
  <c r="BE61" i="30"/>
  <c r="BG61" i="30" s="1"/>
  <c r="BH61" i="30"/>
  <c r="BK61" i="30"/>
  <c r="BM61" i="30" s="1"/>
  <c r="BN61" i="30"/>
  <c r="BQ61" i="30"/>
  <c r="BS61" i="30" s="1"/>
  <c r="BT61" i="30"/>
  <c r="BW61" i="30"/>
  <c r="BY61" i="30" s="1"/>
  <c r="BZ61" i="30"/>
  <c r="CF61" i="30"/>
  <c r="CL61" i="30"/>
  <c r="CR61" i="30"/>
  <c r="O63" i="30"/>
  <c r="O78" i="30" s="1"/>
  <c r="O93" i="30" s="1"/>
  <c r="O108" i="30" s="1"/>
  <c r="O123" i="30" s="1"/>
  <c r="O138" i="30" s="1"/>
  <c r="O64" i="30"/>
  <c r="P64" i="30"/>
  <c r="D65" i="30"/>
  <c r="E65" i="30" s="1"/>
  <c r="J65" i="30"/>
  <c r="K65" i="30" s="1"/>
  <c r="P65" i="30"/>
  <c r="Q65" i="30" s="1"/>
  <c r="U65" i="30"/>
  <c r="W65" i="30" s="1"/>
  <c r="AA65" i="30"/>
  <c r="AC65" i="30" s="1"/>
  <c r="AG65" i="30"/>
  <c r="AI65" i="30" s="1"/>
  <c r="AM65" i="30"/>
  <c r="AO65" i="30" s="1"/>
  <c r="AS65" i="30"/>
  <c r="AU65" i="30" s="1"/>
  <c r="AY65" i="30"/>
  <c r="BA65" i="30" s="1"/>
  <c r="BE65" i="30"/>
  <c r="BG65" i="30" s="1"/>
  <c r="BK65" i="30"/>
  <c r="BM65" i="30" s="1"/>
  <c r="BQ65" i="30"/>
  <c r="BS65" i="30" s="1"/>
  <c r="BW65" i="30"/>
  <c r="BY65" i="30" s="1"/>
  <c r="D66" i="30"/>
  <c r="E66" i="30" s="1"/>
  <c r="F66" i="30"/>
  <c r="J66" i="30"/>
  <c r="K66" i="30"/>
  <c r="L66" i="30"/>
  <c r="P66" i="30"/>
  <c r="Q66" i="30" s="1"/>
  <c r="R66" i="30"/>
  <c r="U66" i="30"/>
  <c r="W66" i="30" s="1"/>
  <c r="X66" i="30"/>
  <c r="AA66" i="30"/>
  <c r="AC66" i="30" s="1"/>
  <c r="AD66" i="30"/>
  <c r="AG66" i="30"/>
  <c r="AI66" i="30" s="1"/>
  <c r="AJ66" i="30"/>
  <c r="AM66" i="30"/>
  <c r="AO66" i="30" s="1"/>
  <c r="AP66" i="30"/>
  <c r="AS66" i="30"/>
  <c r="AU66" i="30" s="1"/>
  <c r="AV66" i="30"/>
  <c r="AY66" i="30"/>
  <c r="BA66" i="30" s="1"/>
  <c r="BB66" i="30"/>
  <c r="BE66" i="30"/>
  <c r="BG66" i="30" s="1"/>
  <c r="BH66" i="30"/>
  <c r="BK66" i="30"/>
  <c r="BM66" i="30" s="1"/>
  <c r="BN66" i="30"/>
  <c r="BQ66" i="30"/>
  <c r="BS66" i="30" s="1"/>
  <c r="BT66" i="30"/>
  <c r="BW66" i="30"/>
  <c r="BY66" i="30" s="1"/>
  <c r="BZ66" i="30"/>
  <c r="CF66" i="30"/>
  <c r="CL66" i="30"/>
  <c r="CR66" i="30"/>
  <c r="D67" i="30"/>
  <c r="E67" i="30" s="1"/>
  <c r="F67" i="30"/>
  <c r="J67" i="30"/>
  <c r="K67" i="30" s="1"/>
  <c r="L67" i="30"/>
  <c r="P67" i="30"/>
  <c r="Q67" i="30" s="1"/>
  <c r="R67" i="30"/>
  <c r="U67" i="30"/>
  <c r="W67" i="30"/>
  <c r="X67" i="30"/>
  <c r="AA67" i="30"/>
  <c r="AC67" i="30" s="1"/>
  <c r="AD67" i="30"/>
  <c r="AG67" i="30"/>
  <c r="AI67" i="30" s="1"/>
  <c r="AJ67" i="30"/>
  <c r="AM67" i="30"/>
  <c r="AO67" i="30" s="1"/>
  <c r="AP67" i="30"/>
  <c r="AS67" i="30"/>
  <c r="AU67" i="30" s="1"/>
  <c r="AV67" i="30"/>
  <c r="AY67" i="30"/>
  <c r="BA67" i="30" s="1"/>
  <c r="BB67" i="30"/>
  <c r="BE67" i="30"/>
  <c r="BG67" i="30" s="1"/>
  <c r="BH67" i="30"/>
  <c r="BK67" i="30"/>
  <c r="BM67" i="30" s="1"/>
  <c r="BN67" i="30"/>
  <c r="BQ67" i="30"/>
  <c r="BS67" i="30" s="1"/>
  <c r="BT67" i="30"/>
  <c r="BW67" i="30"/>
  <c r="BY67" i="30" s="1"/>
  <c r="BZ67" i="30"/>
  <c r="CF67" i="30"/>
  <c r="CL67" i="30"/>
  <c r="CR67" i="30"/>
  <c r="D68" i="30"/>
  <c r="E68" i="30"/>
  <c r="F68" i="30"/>
  <c r="J68" i="30"/>
  <c r="K68" i="30" s="1"/>
  <c r="L68" i="30"/>
  <c r="P68" i="30"/>
  <c r="Q68" i="30" s="1"/>
  <c r="R68" i="30"/>
  <c r="U68" i="30"/>
  <c r="W68" i="30" s="1"/>
  <c r="X68" i="30"/>
  <c r="AA68" i="30"/>
  <c r="AC68" i="30" s="1"/>
  <c r="AD68" i="30"/>
  <c r="AG68" i="30"/>
  <c r="AI68" i="30" s="1"/>
  <c r="AJ68" i="30"/>
  <c r="AM68" i="30"/>
  <c r="AO68" i="30" s="1"/>
  <c r="AP68" i="30"/>
  <c r="AS68" i="30"/>
  <c r="AU68" i="30" s="1"/>
  <c r="AV68" i="30"/>
  <c r="AY68" i="30"/>
  <c r="BA68" i="30" s="1"/>
  <c r="BB68" i="30"/>
  <c r="BE68" i="30"/>
  <c r="BG68" i="30" s="1"/>
  <c r="BH68" i="30"/>
  <c r="BK68" i="30"/>
  <c r="BM68" i="30"/>
  <c r="BN68" i="30"/>
  <c r="BQ68" i="30"/>
  <c r="BS68" i="30" s="1"/>
  <c r="BT68" i="30"/>
  <c r="BW68" i="30"/>
  <c r="BY68" i="30" s="1"/>
  <c r="BZ68" i="30"/>
  <c r="CF68" i="30"/>
  <c r="CL68" i="30"/>
  <c r="CR68" i="30"/>
  <c r="D69" i="30"/>
  <c r="E69" i="30"/>
  <c r="F69" i="30"/>
  <c r="J69" i="30"/>
  <c r="K69" i="30" s="1"/>
  <c r="L69" i="30"/>
  <c r="P69" i="30"/>
  <c r="Q69" i="30" s="1"/>
  <c r="R69" i="30"/>
  <c r="U69" i="30"/>
  <c r="W69" i="30" s="1"/>
  <c r="X69" i="30"/>
  <c r="AA69" i="30"/>
  <c r="AC69" i="30" s="1"/>
  <c r="AD69" i="30"/>
  <c r="AG69" i="30"/>
  <c r="AI69" i="30" s="1"/>
  <c r="AJ69" i="30"/>
  <c r="AM69" i="30"/>
  <c r="AO69" i="30" s="1"/>
  <c r="AP69" i="30"/>
  <c r="AS69" i="30"/>
  <c r="AU69" i="30" s="1"/>
  <c r="AV69" i="30"/>
  <c r="AY69" i="30"/>
  <c r="BA69" i="30" s="1"/>
  <c r="BB69" i="30"/>
  <c r="BE69" i="30"/>
  <c r="BG69" i="30" s="1"/>
  <c r="BH69" i="30"/>
  <c r="BK69" i="30"/>
  <c r="BM69" i="30" s="1"/>
  <c r="BN69" i="30"/>
  <c r="BQ69" i="30"/>
  <c r="BS69" i="30" s="1"/>
  <c r="BT69" i="30"/>
  <c r="BW69" i="30"/>
  <c r="BY69" i="30" s="1"/>
  <c r="BZ69" i="30"/>
  <c r="CF69" i="30"/>
  <c r="CL69" i="30"/>
  <c r="CR69" i="30"/>
  <c r="D70" i="30"/>
  <c r="E70" i="30"/>
  <c r="F70" i="30"/>
  <c r="J70" i="30"/>
  <c r="K70" i="30" s="1"/>
  <c r="L70" i="30"/>
  <c r="P70" i="30"/>
  <c r="Q70" i="30" s="1"/>
  <c r="R70" i="30"/>
  <c r="U70" i="30"/>
  <c r="W70" i="30" s="1"/>
  <c r="X70" i="30"/>
  <c r="AA70" i="30"/>
  <c r="AC70" i="30" s="1"/>
  <c r="AD70" i="30"/>
  <c r="AG70" i="30"/>
  <c r="AI70" i="30" s="1"/>
  <c r="AJ70" i="30"/>
  <c r="AM70" i="30"/>
  <c r="AO70" i="30" s="1"/>
  <c r="AP70" i="30"/>
  <c r="AS70" i="30"/>
  <c r="AU70" i="30"/>
  <c r="AV70" i="30"/>
  <c r="AY70" i="30"/>
  <c r="BA70" i="30" s="1"/>
  <c r="BB70" i="30"/>
  <c r="BE70" i="30"/>
  <c r="BG70" i="30" s="1"/>
  <c r="BH70" i="30"/>
  <c r="BK70" i="30"/>
  <c r="BM70" i="30" s="1"/>
  <c r="BN70" i="30"/>
  <c r="BQ70" i="30"/>
  <c r="BS70" i="30"/>
  <c r="BT70" i="30"/>
  <c r="BW70" i="30"/>
  <c r="BY70" i="30" s="1"/>
  <c r="BZ70" i="30"/>
  <c r="CF70" i="30"/>
  <c r="CL70" i="30"/>
  <c r="CR70" i="30"/>
  <c r="D71" i="30"/>
  <c r="E71" i="30" s="1"/>
  <c r="F71" i="30"/>
  <c r="J71" i="30"/>
  <c r="K71" i="30" s="1"/>
  <c r="L71" i="30"/>
  <c r="P71" i="30"/>
  <c r="Q71" i="30" s="1"/>
  <c r="R71" i="30"/>
  <c r="U71" i="30"/>
  <c r="W71" i="30" s="1"/>
  <c r="X71" i="30"/>
  <c r="AA71" i="30"/>
  <c r="AC71" i="30" s="1"/>
  <c r="AD71" i="30"/>
  <c r="AG71" i="30"/>
  <c r="AI71" i="30" s="1"/>
  <c r="AJ71" i="30"/>
  <c r="AM71" i="30"/>
  <c r="AO71" i="30" s="1"/>
  <c r="AP71" i="30"/>
  <c r="AS71" i="30"/>
  <c r="AU71" i="30" s="1"/>
  <c r="AV71" i="30"/>
  <c r="AY71" i="30"/>
  <c r="BA71" i="30" s="1"/>
  <c r="BB71" i="30"/>
  <c r="BE71" i="30"/>
  <c r="BG71" i="30"/>
  <c r="BH71" i="30"/>
  <c r="BK71" i="30"/>
  <c r="BM71" i="30" s="1"/>
  <c r="BN71" i="30"/>
  <c r="BQ71" i="30"/>
  <c r="BS71" i="30" s="1"/>
  <c r="BT71" i="30"/>
  <c r="BW71" i="30"/>
  <c r="BY71" i="30" s="1"/>
  <c r="BZ71" i="30"/>
  <c r="CF71" i="30"/>
  <c r="CL71" i="30"/>
  <c r="CR71" i="30"/>
  <c r="D72" i="30"/>
  <c r="E72" i="30" s="1"/>
  <c r="F72" i="30"/>
  <c r="J72" i="30"/>
  <c r="K72" i="30" s="1"/>
  <c r="L72" i="30"/>
  <c r="P72" i="30"/>
  <c r="Q72" i="30" s="1"/>
  <c r="R72" i="30"/>
  <c r="U72" i="30"/>
  <c r="W72" i="30" s="1"/>
  <c r="X72" i="30"/>
  <c r="AA72" i="30"/>
  <c r="AC72" i="30" s="1"/>
  <c r="AD72" i="30"/>
  <c r="AG72" i="30"/>
  <c r="AI72" i="30" s="1"/>
  <c r="AJ72" i="30"/>
  <c r="AM72" i="30"/>
  <c r="AO72" i="30"/>
  <c r="AP72" i="30"/>
  <c r="AS72" i="30"/>
  <c r="AU72" i="30" s="1"/>
  <c r="AV72" i="30"/>
  <c r="AY72" i="30"/>
  <c r="BA72" i="30" s="1"/>
  <c r="BB72" i="30"/>
  <c r="BE72" i="30"/>
  <c r="BG72" i="30" s="1"/>
  <c r="BH72" i="30"/>
  <c r="BK72" i="30"/>
  <c r="BM72" i="30" s="1"/>
  <c r="BN72" i="30"/>
  <c r="BQ72" i="30"/>
  <c r="BS72" i="30" s="1"/>
  <c r="BT72" i="30"/>
  <c r="BW72" i="30"/>
  <c r="BY72" i="30" s="1"/>
  <c r="BZ72" i="30"/>
  <c r="CF72" i="30"/>
  <c r="CL72" i="30"/>
  <c r="CR72" i="30"/>
  <c r="D73" i="30"/>
  <c r="E73" i="30" s="1"/>
  <c r="F73" i="30"/>
  <c r="J73" i="30"/>
  <c r="K73" i="30" s="1"/>
  <c r="L73" i="30"/>
  <c r="P73" i="30"/>
  <c r="Q73" i="30" s="1"/>
  <c r="R73" i="30"/>
  <c r="U73" i="30"/>
  <c r="W73" i="30" s="1"/>
  <c r="X73" i="30"/>
  <c r="AA73" i="30"/>
  <c r="AC73" i="30" s="1"/>
  <c r="AD73" i="30"/>
  <c r="AG73" i="30"/>
  <c r="AI73" i="30" s="1"/>
  <c r="AJ73" i="30"/>
  <c r="AM73" i="30"/>
  <c r="AO73" i="30" s="1"/>
  <c r="AP73" i="30"/>
  <c r="AS73" i="30"/>
  <c r="AU73" i="30" s="1"/>
  <c r="AV73" i="30"/>
  <c r="AY73" i="30"/>
  <c r="BA73" i="30" s="1"/>
  <c r="BB73" i="30"/>
  <c r="BE73" i="30"/>
  <c r="BG73" i="30" s="1"/>
  <c r="BH73" i="30"/>
  <c r="BK73" i="30"/>
  <c r="BM73" i="30" s="1"/>
  <c r="BN73" i="30"/>
  <c r="BQ73" i="30"/>
  <c r="BS73" i="30" s="1"/>
  <c r="BT73" i="30"/>
  <c r="BW73" i="30"/>
  <c r="BY73" i="30" s="1"/>
  <c r="BZ73" i="30"/>
  <c r="CF73" i="30"/>
  <c r="CL73" i="30"/>
  <c r="CR73" i="30"/>
  <c r="D74" i="30"/>
  <c r="E74" i="30" s="1"/>
  <c r="F74" i="30"/>
  <c r="J74" i="30"/>
  <c r="K74" i="30" s="1"/>
  <c r="L74" i="30"/>
  <c r="P74" i="30"/>
  <c r="Q74" i="30" s="1"/>
  <c r="R74" i="30"/>
  <c r="U74" i="30"/>
  <c r="W74" i="30" s="1"/>
  <c r="X74" i="30"/>
  <c r="AA74" i="30"/>
  <c r="AC74" i="30" s="1"/>
  <c r="AD74" i="30"/>
  <c r="AG74" i="30"/>
  <c r="AI74" i="30" s="1"/>
  <c r="AJ74" i="30"/>
  <c r="AM74" i="30"/>
  <c r="AO74" i="30" s="1"/>
  <c r="AP74" i="30"/>
  <c r="AS74" i="30"/>
  <c r="AU74" i="30" s="1"/>
  <c r="AV74" i="30"/>
  <c r="AY74" i="30"/>
  <c r="BA74" i="30" s="1"/>
  <c r="BB74" i="30"/>
  <c r="BE74" i="30"/>
  <c r="BG74" i="30" s="1"/>
  <c r="BH74" i="30"/>
  <c r="BK74" i="30"/>
  <c r="BM74" i="30" s="1"/>
  <c r="BN74" i="30"/>
  <c r="BQ74" i="30"/>
  <c r="BS74" i="30" s="1"/>
  <c r="BT74" i="30"/>
  <c r="BW74" i="30"/>
  <c r="BY74" i="30" s="1"/>
  <c r="BZ74" i="30"/>
  <c r="CF74" i="30"/>
  <c r="CL74" i="30"/>
  <c r="CR74" i="30"/>
  <c r="D75" i="30"/>
  <c r="E75" i="30" s="1"/>
  <c r="F75" i="30"/>
  <c r="J75" i="30"/>
  <c r="K75" i="30" s="1"/>
  <c r="L75" i="30"/>
  <c r="P75" i="30"/>
  <c r="Q75" i="30" s="1"/>
  <c r="R75" i="30"/>
  <c r="U75" i="30"/>
  <c r="W75" i="30" s="1"/>
  <c r="X75" i="30"/>
  <c r="AA75" i="30"/>
  <c r="AC75" i="30" s="1"/>
  <c r="AD75" i="30"/>
  <c r="AG75" i="30"/>
  <c r="AI75" i="30" s="1"/>
  <c r="AJ75" i="30"/>
  <c r="AM75" i="30"/>
  <c r="AO75" i="30" s="1"/>
  <c r="AP75" i="30"/>
  <c r="AS75" i="30"/>
  <c r="AU75" i="30" s="1"/>
  <c r="AV75" i="30"/>
  <c r="AY75" i="30"/>
  <c r="BA75" i="30" s="1"/>
  <c r="BB75" i="30"/>
  <c r="BE75" i="30"/>
  <c r="BG75" i="30" s="1"/>
  <c r="BH75" i="30"/>
  <c r="BK75" i="30"/>
  <c r="BM75" i="30" s="1"/>
  <c r="BN75" i="30"/>
  <c r="BQ75" i="30"/>
  <c r="BS75" i="30" s="1"/>
  <c r="BT75" i="30"/>
  <c r="BW75" i="30"/>
  <c r="BY75" i="30" s="1"/>
  <c r="BZ75" i="30"/>
  <c r="CF75" i="30"/>
  <c r="CL75" i="30"/>
  <c r="CR75" i="30"/>
  <c r="D76" i="30"/>
  <c r="E76" i="30" s="1"/>
  <c r="F76" i="30"/>
  <c r="J76" i="30"/>
  <c r="K76" i="30" s="1"/>
  <c r="L76" i="30"/>
  <c r="P76" i="30"/>
  <c r="Q76" i="30" s="1"/>
  <c r="R76" i="30"/>
  <c r="U76" i="30"/>
  <c r="W76" i="30" s="1"/>
  <c r="X76" i="30"/>
  <c r="AA76" i="30"/>
  <c r="AC76" i="30" s="1"/>
  <c r="AD76" i="30"/>
  <c r="AG76" i="30"/>
  <c r="AI76" i="30" s="1"/>
  <c r="AJ76" i="30"/>
  <c r="AM76" i="30"/>
  <c r="AO76" i="30" s="1"/>
  <c r="AP76" i="30"/>
  <c r="AS76" i="30"/>
  <c r="AU76" i="30" s="1"/>
  <c r="AV76" i="30"/>
  <c r="AY76" i="30"/>
  <c r="BA76" i="30" s="1"/>
  <c r="BB76" i="30"/>
  <c r="BE76" i="30"/>
  <c r="BG76" i="30"/>
  <c r="BH76" i="30"/>
  <c r="BK76" i="30"/>
  <c r="BM76" i="30" s="1"/>
  <c r="BN76" i="30"/>
  <c r="BQ76" i="30"/>
  <c r="BS76" i="30" s="1"/>
  <c r="BT76" i="30"/>
  <c r="BW76" i="30"/>
  <c r="BY76" i="30" s="1"/>
  <c r="BZ76" i="30"/>
  <c r="CF76" i="30"/>
  <c r="CL76" i="30"/>
  <c r="CR76" i="30"/>
  <c r="O79" i="30"/>
  <c r="P79" i="30"/>
  <c r="AH79" i="30"/>
  <c r="AH94" i="30" s="1"/>
  <c r="AH109" i="30" s="1"/>
  <c r="AH124" i="30" s="1"/>
  <c r="AH139" i="30" s="1"/>
  <c r="D80" i="30"/>
  <c r="E80" i="30" s="1"/>
  <c r="J80" i="30"/>
  <c r="K80" i="30" s="1"/>
  <c r="P80" i="30"/>
  <c r="Q80" i="30" s="1"/>
  <c r="U80" i="30"/>
  <c r="W80" i="30" s="1"/>
  <c r="AA80" i="30"/>
  <c r="AC80" i="30" s="1"/>
  <c r="AG80" i="30"/>
  <c r="AI80" i="30" s="1"/>
  <c r="AM80" i="30"/>
  <c r="AO80" i="30" s="1"/>
  <c r="AS80" i="30"/>
  <c r="AU80" i="30" s="1"/>
  <c r="AY80" i="30"/>
  <c r="BA80" i="30" s="1"/>
  <c r="BE80" i="30"/>
  <c r="BG80" i="30" s="1"/>
  <c r="BK80" i="30"/>
  <c r="BM80" i="30" s="1"/>
  <c r="BQ80" i="30"/>
  <c r="BS80" i="30" s="1"/>
  <c r="BW80" i="30"/>
  <c r="BY80" i="30"/>
  <c r="D81" i="30"/>
  <c r="E81" i="30" s="1"/>
  <c r="F81" i="30"/>
  <c r="J81" i="30"/>
  <c r="K81" i="30" s="1"/>
  <c r="L81" i="30"/>
  <c r="P81" i="30"/>
  <c r="Q81" i="30" s="1"/>
  <c r="R81" i="30"/>
  <c r="U81" i="30"/>
  <c r="W81" i="30" s="1"/>
  <c r="X81" i="30"/>
  <c r="AA81" i="30"/>
  <c r="AC81" i="30" s="1"/>
  <c r="AD81" i="30"/>
  <c r="AG81" i="30"/>
  <c r="AI81" i="30" s="1"/>
  <c r="AJ81" i="30"/>
  <c r="AM81" i="30"/>
  <c r="AO81" i="30" s="1"/>
  <c r="AP81" i="30"/>
  <c r="AS81" i="30"/>
  <c r="AU81" i="30" s="1"/>
  <c r="AV81" i="30"/>
  <c r="AY81" i="30"/>
  <c r="BA81" i="30" s="1"/>
  <c r="BB81" i="30"/>
  <c r="BE81" i="30"/>
  <c r="BG81" i="30" s="1"/>
  <c r="BH81" i="30"/>
  <c r="BK81" i="30"/>
  <c r="BM81" i="30" s="1"/>
  <c r="BN81" i="30"/>
  <c r="BQ81" i="30"/>
  <c r="BS81" i="30" s="1"/>
  <c r="BT81" i="30"/>
  <c r="BW81" i="30"/>
  <c r="BY81" i="30" s="1"/>
  <c r="BZ81" i="30"/>
  <c r="CF81" i="30"/>
  <c r="CL81" i="30"/>
  <c r="CR81" i="30"/>
  <c r="D82" i="30"/>
  <c r="E82" i="30" s="1"/>
  <c r="F82" i="30"/>
  <c r="J82" i="30"/>
  <c r="K82" i="30" s="1"/>
  <c r="L82" i="30"/>
  <c r="P82" i="30"/>
  <c r="Q82" i="30" s="1"/>
  <c r="R82" i="30"/>
  <c r="U82" i="30"/>
  <c r="W82" i="30" s="1"/>
  <c r="X82" i="30"/>
  <c r="AA82" i="30"/>
  <c r="AC82" i="30" s="1"/>
  <c r="AD82" i="30"/>
  <c r="AG82" i="30"/>
  <c r="AI82" i="30" s="1"/>
  <c r="AJ82" i="30"/>
  <c r="AM82" i="30"/>
  <c r="AO82" i="30" s="1"/>
  <c r="AP82" i="30"/>
  <c r="AS82" i="30"/>
  <c r="AU82" i="30" s="1"/>
  <c r="AV82" i="30"/>
  <c r="AY82" i="30"/>
  <c r="BA82" i="30" s="1"/>
  <c r="BB82" i="30"/>
  <c r="BE82" i="30"/>
  <c r="BG82" i="30" s="1"/>
  <c r="BH82" i="30"/>
  <c r="BK82" i="30"/>
  <c r="BM82" i="30" s="1"/>
  <c r="BN82" i="30"/>
  <c r="BQ82" i="30"/>
  <c r="BS82" i="30"/>
  <c r="BT82" i="30"/>
  <c r="BW82" i="30"/>
  <c r="BY82" i="30" s="1"/>
  <c r="BZ82" i="30"/>
  <c r="CF82" i="30"/>
  <c r="CL82" i="30"/>
  <c r="CR82" i="30"/>
  <c r="D83" i="30"/>
  <c r="E83" i="30"/>
  <c r="F83" i="30"/>
  <c r="J83" i="30"/>
  <c r="K83" i="30" s="1"/>
  <c r="L83" i="30"/>
  <c r="P83" i="30"/>
  <c r="Q83" i="30" s="1"/>
  <c r="R83" i="30"/>
  <c r="U83" i="30"/>
  <c r="W83" i="30" s="1"/>
  <c r="X83" i="30"/>
  <c r="AA83" i="30"/>
  <c r="AC83" i="30" s="1"/>
  <c r="AD83" i="30"/>
  <c r="AG83" i="30"/>
  <c r="AI83" i="30" s="1"/>
  <c r="AJ83" i="30"/>
  <c r="AM83" i="30"/>
  <c r="AO83" i="30" s="1"/>
  <c r="AP83" i="30"/>
  <c r="AS83" i="30"/>
  <c r="AU83" i="30" s="1"/>
  <c r="AV83" i="30"/>
  <c r="AY83" i="30"/>
  <c r="BA83" i="30" s="1"/>
  <c r="BB83" i="30"/>
  <c r="BE83" i="30"/>
  <c r="BG83" i="30"/>
  <c r="BH83" i="30"/>
  <c r="BK83" i="30"/>
  <c r="BM83" i="30" s="1"/>
  <c r="BN83" i="30"/>
  <c r="BQ83" i="30"/>
  <c r="BS83" i="30" s="1"/>
  <c r="BT83" i="30"/>
  <c r="BW83" i="30"/>
  <c r="BY83" i="30" s="1"/>
  <c r="BZ83" i="30"/>
  <c r="CF83" i="30"/>
  <c r="CL83" i="30"/>
  <c r="CR83" i="30"/>
  <c r="D84" i="30"/>
  <c r="E84" i="30" s="1"/>
  <c r="F84" i="30"/>
  <c r="J84" i="30"/>
  <c r="K84" i="30" s="1"/>
  <c r="L84" i="30"/>
  <c r="P84" i="30"/>
  <c r="Q84" i="30" s="1"/>
  <c r="R84" i="30"/>
  <c r="U84" i="30"/>
  <c r="W84" i="30" s="1"/>
  <c r="X84" i="30"/>
  <c r="AA84" i="30"/>
  <c r="AC84" i="30" s="1"/>
  <c r="AD84" i="30"/>
  <c r="AG84" i="30"/>
  <c r="AI84" i="30" s="1"/>
  <c r="AJ84" i="30"/>
  <c r="AM84" i="30"/>
  <c r="AO84" i="30" s="1"/>
  <c r="AP84" i="30"/>
  <c r="AS84" i="30"/>
  <c r="AU84" i="30" s="1"/>
  <c r="AV84" i="30"/>
  <c r="AY84" i="30"/>
  <c r="BA84" i="30"/>
  <c r="BB84" i="30"/>
  <c r="BE84" i="30"/>
  <c r="BG84" i="30" s="1"/>
  <c r="BH84" i="30"/>
  <c r="BK84" i="30"/>
  <c r="BM84" i="30" s="1"/>
  <c r="BN84" i="30"/>
  <c r="BQ84" i="30"/>
  <c r="BS84" i="30" s="1"/>
  <c r="BT84" i="30"/>
  <c r="BW84" i="30"/>
  <c r="BY84" i="30" s="1"/>
  <c r="BZ84" i="30"/>
  <c r="CF84" i="30"/>
  <c r="CL84" i="30"/>
  <c r="CR84" i="30"/>
  <c r="D85" i="30"/>
  <c r="E85" i="30" s="1"/>
  <c r="F85" i="30"/>
  <c r="J85" i="30"/>
  <c r="K85" i="30" s="1"/>
  <c r="L85" i="30"/>
  <c r="P85" i="30"/>
  <c r="Q85" i="30" s="1"/>
  <c r="R85" i="30"/>
  <c r="U85" i="30"/>
  <c r="W85" i="30" s="1"/>
  <c r="X85" i="30"/>
  <c r="AA85" i="30"/>
  <c r="AC85" i="30" s="1"/>
  <c r="AD85" i="30"/>
  <c r="AG85" i="30"/>
  <c r="AI85" i="30" s="1"/>
  <c r="AJ85" i="30"/>
  <c r="AM85" i="30"/>
  <c r="AO85" i="30" s="1"/>
  <c r="AP85" i="30"/>
  <c r="AS85" i="30"/>
  <c r="AU85" i="30" s="1"/>
  <c r="AV85" i="30"/>
  <c r="AY85" i="30"/>
  <c r="BA85" i="30" s="1"/>
  <c r="BB85" i="30"/>
  <c r="BE85" i="30"/>
  <c r="BG85" i="30" s="1"/>
  <c r="BH85" i="30"/>
  <c r="BK85" i="30"/>
  <c r="BM85" i="30" s="1"/>
  <c r="BN85" i="30"/>
  <c r="BQ85" i="30"/>
  <c r="BS85" i="30" s="1"/>
  <c r="BT85" i="30"/>
  <c r="BW85" i="30"/>
  <c r="BY85" i="30" s="1"/>
  <c r="BZ85" i="30"/>
  <c r="CF85" i="30"/>
  <c r="CL85" i="30"/>
  <c r="CR85" i="30"/>
  <c r="D86" i="30"/>
  <c r="E86" i="30" s="1"/>
  <c r="F86" i="30"/>
  <c r="J86" i="30"/>
  <c r="K86" i="30" s="1"/>
  <c r="L86" i="30"/>
  <c r="P86" i="30"/>
  <c r="Q86" i="30" s="1"/>
  <c r="R86" i="30"/>
  <c r="U86" i="30"/>
  <c r="W86" i="30" s="1"/>
  <c r="X86" i="30"/>
  <c r="AA86" i="30"/>
  <c r="AC86" i="30" s="1"/>
  <c r="AD86" i="30"/>
  <c r="AG86" i="30"/>
  <c r="AI86" i="30" s="1"/>
  <c r="AJ86" i="30"/>
  <c r="AM86" i="30"/>
  <c r="AO86" i="30" s="1"/>
  <c r="AP86" i="30"/>
  <c r="AS86" i="30"/>
  <c r="AU86" i="30" s="1"/>
  <c r="AV86" i="30"/>
  <c r="AY86" i="30"/>
  <c r="BA86" i="30" s="1"/>
  <c r="BB86" i="30"/>
  <c r="BE86" i="30"/>
  <c r="BG86" i="30" s="1"/>
  <c r="BH86" i="30"/>
  <c r="BK86" i="30"/>
  <c r="BM86" i="30" s="1"/>
  <c r="BN86" i="30"/>
  <c r="BQ86" i="30"/>
  <c r="BS86" i="30" s="1"/>
  <c r="BT86" i="30"/>
  <c r="BW86" i="30"/>
  <c r="BY86" i="30" s="1"/>
  <c r="BZ86" i="30"/>
  <c r="CF86" i="30"/>
  <c r="CL86" i="30"/>
  <c r="CR86" i="30"/>
  <c r="D87" i="30"/>
  <c r="E87" i="30" s="1"/>
  <c r="F87" i="30"/>
  <c r="J87" i="30"/>
  <c r="K87" i="30" s="1"/>
  <c r="L87" i="30"/>
  <c r="P87" i="30"/>
  <c r="Q87" i="30" s="1"/>
  <c r="R87" i="30"/>
  <c r="U87" i="30"/>
  <c r="W87" i="30" s="1"/>
  <c r="X87" i="30"/>
  <c r="AA87" i="30"/>
  <c r="AC87" i="30" s="1"/>
  <c r="AD87" i="30"/>
  <c r="AG87" i="30"/>
  <c r="AI87" i="30" s="1"/>
  <c r="AJ87" i="30"/>
  <c r="AM87" i="30"/>
  <c r="AO87" i="30" s="1"/>
  <c r="AP87" i="30"/>
  <c r="AS87" i="30"/>
  <c r="AU87" i="30" s="1"/>
  <c r="AV87" i="30"/>
  <c r="AY87" i="30"/>
  <c r="BA87" i="30" s="1"/>
  <c r="BB87" i="30"/>
  <c r="BE87" i="30"/>
  <c r="BG87" i="30" s="1"/>
  <c r="BH87" i="30"/>
  <c r="BK87" i="30"/>
  <c r="BM87" i="30" s="1"/>
  <c r="BN87" i="30"/>
  <c r="BQ87" i="30"/>
  <c r="BS87" i="30" s="1"/>
  <c r="BT87" i="30"/>
  <c r="BW87" i="30"/>
  <c r="BY87" i="30" s="1"/>
  <c r="BZ87" i="30"/>
  <c r="CF87" i="30"/>
  <c r="CL87" i="30"/>
  <c r="CR87" i="30"/>
  <c r="D88" i="30"/>
  <c r="E88" i="30" s="1"/>
  <c r="F88" i="30"/>
  <c r="J88" i="30"/>
  <c r="K88" i="30" s="1"/>
  <c r="L88" i="30"/>
  <c r="P88" i="30"/>
  <c r="Q88" i="30"/>
  <c r="R88" i="30"/>
  <c r="U88" i="30"/>
  <c r="W88" i="30" s="1"/>
  <c r="X88" i="30"/>
  <c r="AA88" i="30"/>
  <c r="AC88" i="30" s="1"/>
  <c r="AD88" i="30"/>
  <c r="AG88" i="30"/>
  <c r="AI88" i="30" s="1"/>
  <c r="AJ88" i="30"/>
  <c r="AM88" i="30"/>
  <c r="AO88" i="30" s="1"/>
  <c r="AP88" i="30"/>
  <c r="AS88" i="30"/>
  <c r="AU88" i="30" s="1"/>
  <c r="AV88" i="30"/>
  <c r="AY88" i="30"/>
  <c r="BA88" i="30" s="1"/>
  <c r="BB88" i="30"/>
  <c r="BE88" i="30"/>
  <c r="BG88" i="30" s="1"/>
  <c r="BH88" i="30"/>
  <c r="BK88" i="30"/>
  <c r="BM88" i="30"/>
  <c r="BN88" i="30"/>
  <c r="BQ88" i="30"/>
  <c r="BS88" i="30" s="1"/>
  <c r="BT88" i="30"/>
  <c r="BW88" i="30"/>
  <c r="BY88" i="30" s="1"/>
  <c r="BZ88" i="30"/>
  <c r="CF88" i="30"/>
  <c r="CL88" i="30"/>
  <c r="CR88" i="30"/>
  <c r="D89" i="30"/>
  <c r="E89" i="30" s="1"/>
  <c r="F89" i="30"/>
  <c r="J89" i="30"/>
  <c r="K89" i="30" s="1"/>
  <c r="L89" i="30"/>
  <c r="P89" i="30"/>
  <c r="Q89" i="30" s="1"/>
  <c r="R89" i="30"/>
  <c r="U89" i="30"/>
  <c r="W89" i="30" s="1"/>
  <c r="X89" i="30"/>
  <c r="AA89" i="30"/>
  <c r="AC89" i="30" s="1"/>
  <c r="AD89" i="30"/>
  <c r="AG89" i="30"/>
  <c r="AI89" i="30" s="1"/>
  <c r="AJ89" i="30"/>
  <c r="AM89" i="30"/>
  <c r="AO89" i="30" s="1"/>
  <c r="AP89" i="30"/>
  <c r="AS89" i="30"/>
  <c r="AU89" i="30" s="1"/>
  <c r="AV89" i="30"/>
  <c r="AY89" i="30"/>
  <c r="BA89" i="30"/>
  <c r="BB89" i="30"/>
  <c r="BE89" i="30"/>
  <c r="BG89" i="30"/>
  <c r="BH89" i="30"/>
  <c r="BK89" i="30"/>
  <c r="BM89" i="30" s="1"/>
  <c r="BN89" i="30"/>
  <c r="BQ89" i="30"/>
  <c r="BS89" i="30" s="1"/>
  <c r="BT89" i="30"/>
  <c r="BW89" i="30"/>
  <c r="BY89" i="30" s="1"/>
  <c r="BZ89" i="30"/>
  <c r="CF89" i="30"/>
  <c r="CL89" i="30"/>
  <c r="CR89" i="30"/>
  <c r="D90" i="30"/>
  <c r="E90" i="30" s="1"/>
  <c r="F90" i="30"/>
  <c r="J90" i="30"/>
  <c r="K90" i="30" s="1"/>
  <c r="L90" i="30"/>
  <c r="P90" i="30"/>
  <c r="Q90" i="30"/>
  <c r="R90" i="30"/>
  <c r="U90" i="30"/>
  <c r="W90" i="30" s="1"/>
  <c r="X90" i="30"/>
  <c r="AA90" i="30"/>
  <c r="AC90" i="30" s="1"/>
  <c r="AD90" i="30"/>
  <c r="AG90" i="30"/>
  <c r="AI90" i="30" s="1"/>
  <c r="AJ90" i="30"/>
  <c r="AM90" i="30"/>
  <c r="AO90" i="30"/>
  <c r="AP90" i="30"/>
  <c r="AS90" i="30"/>
  <c r="AU90" i="30" s="1"/>
  <c r="AV90" i="30"/>
  <c r="AY90" i="30"/>
  <c r="BA90" i="30" s="1"/>
  <c r="BB90" i="30"/>
  <c r="BE90" i="30"/>
  <c r="BG90" i="30" s="1"/>
  <c r="BH90" i="30"/>
  <c r="BK90" i="30"/>
  <c r="BM90" i="30" s="1"/>
  <c r="BN90" i="30"/>
  <c r="BQ90" i="30"/>
  <c r="BS90" i="30" s="1"/>
  <c r="BT90" i="30"/>
  <c r="BW90" i="30"/>
  <c r="BY90" i="30" s="1"/>
  <c r="BZ90" i="30"/>
  <c r="CF90" i="30"/>
  <c r="CL90" i="30"/>
  <c r="CR90" i="30"/>
  <c r="D91" i="30"/>
  <c r="E91" i="30" s="1"/>
  <c r="F91" i="30"/>
  <c r="J91" i="30"/>
  <c r="K91" i="30" s="1"/>
  <c r="L91" i="30"/>
  <c r="P91" i="30"/>
  <c r="Q91" i="30" s="1"/>
  <c r="R91" i="30"/>
  <c r="U91" i="30"/>
  <c r="W91" i="30" s="1"/>
  <c r="X91" i="30"/>
  <c r="AA91" i="30"/>
  <c r="AC91" i="30" s="1"/>
  <c r="AD91" i="30"/>
  <c r="AG91" i="30"/>
  <c r="AI91" i="30" s="1"/>
  <c r="AJ91" i="30"/>
  <c r="AM91" i="30"/>
  <c r="AO91" i="30" s="1"/>
  <c r="AP91" i="30"/>
  <c r="AS91" i="30"/>
  <c r="AU91" i="30" s="1"/>
  <c r="AV91" i="30"/>
  <c r="AY91" i="30"/>
  <c r="BA91" i="30" s="1"/>
  <c r="BB91" i="30"/>
  <c r="BE91" i="30"/>
  <c r="BG91" i="30" s="1"/>
  <c r="BH91" i="30"/>
  <c r="BK91" i="30"/>
  <c r="BM91" i="30" s="1"/>
  <c r="BN91" i="30"/>
  <c r="BQ91" i="30"/>
  <c r="BS91" i="30" s="1"/>
  <c r="BT91" i="30"/>
  <c r="BW91" i="30"/>
  <c r="BY91" i="30" s="1"/>
  <c r="BZ91" i="30"/>
  <c r="CC91" i="30"/>
  <c r="CC106" i="30" s="1"/>
  <c r="CC121" i="30" s="1"/>
  <c r="CC136" i="30" s="1"/>
  <c r="CC151" i="30" s="1"/>
  <c r="CF91" i="30"/>
  <c r="CL91" i="30"/>
  <c r="CR91" i="30"/>
  <c r="O94" i="30"/>
  <c r="P94" i="30"/>
  <c r="U94" i="30"/>
  <c r="U109" i="30" s="1"/>
  <c r="U124" i="30" s="1"/>
  <c r="U139" i="30" s="1"/>
  <c r="D95" i="30"/>
  <c r="E95" i="30" s="1"/>
  <c r="J95" i="30"/>
  <c r="K95" i="30" s="1"/>
  <c r="P95" i="30"/>
  <c r="Q95" i="30" s="1"/>
  <c r="U95" i="30"/>
  <c r="W95" i="30" s="1"/>
  <c r="AA95" i="30"/>
  <c r="AC95" i="30" s="1"/>
  <c r="AG95" i="30"/>
  <c r="AI95" i="30" s="1"/>
  <c r="AM95" i="30"/>
  <c r="AO95" i="30" s="1"/>
  <c r="AS95" i="30"/>
  <c r="AU95" i="30" s="1"/>
  <c r="AY95" i="30"/>
  <c r="BA95" i="30" s="1"/>
  <c r="BE95" i="30"/>
  <c r="BG95" i="30" s="1"/>
  <c r="BK95" i="30"/>
  <c r="BM95" i="30" s="1"/>
  <c r="BQ95" i="30"/>
  <c r="BS95" i="30" s="1"/>
  <c r="BW95" i="30"/>
  <c r="BY95" i="30" s="1"/>
  <c r="D96" i="30"/>
  <c r="E96" i="30" s="1"/>
  <c r="F96" i="30"/>
  <c r="J96" i="30"/>
  <c r="K96" i="30" s="1"/>
  <c r="L96" i="30"/>
  <c r="P96" i="30"/>
  <c r="Q96" i="30" s="1"/>
  <c r="R96" i="30"/>
  <c r="U96" i="30"/>
  <c r="W96" i="30" s="1"/>
  <c r="X96" i="30"/>
  <c r="AA96" i="30"/>
  <c r="AC96" i="30" s="1"/>
  <c r="AD96" i="30"/>
  <c r="AG96" i="30"/>
  <c r="AI96" i="30" s="1"/>
  <c r="AJ96" i="30"/>
  <c r="AM96" i="30"/>
  <c r="AO96" i="30" s="1"/>
  <c r="AP96" i="30"/>
  <c r="AS96" i="30"/>
  <c r="AU96" i="30" s="1"/>
  <c r="AV96" i="30"/>
  <c r="AY96" i="30"/>
  <c r="BA96" i="30" s="1"/>
  <c r="BB96" i="30"/>
  <c r="BE96" i="30"/>
  <c r="BG96" i="30" s="1"/>
  <c r="BH96" i="30"/>
  <c r="BK96" i="30"/>
  <c r="BM96" i="30" s="1"/>
  <c r="BN96" i="30"/>
  <c r="BQ96" i="30"/>
  <c r="BS96" i="30"/>
  <c r="BT96" i="30"/>
  <c r="BW96" i="30"/>
  <c r="BY96" i="30" s="1"/>
  <c r="BZ96" i="30"/>
  <c r="CF96" i="30"/>
  <c r="CL96" i="30"/>
  <c r="CR96" i="30"/>
  <c r="D97" i="30"/>
  <c r="E97" i="30" s="1"/>
  <c r="F97" i="30"/>
  <c r="J97" i="30"/>
  <c r="K97" i="30" s="1"/>
  <c r="L97" i="30"/>
  <c r="P97" i="30"/>
  <c r="Q97" i="30" s="1"/>
  <c r="R97" i="30"/>
  <c r="U97" i="30"/>
  <c r="W97" i="30" s="1"/>
  <c r="X97" i="30"/>
  <c r="AA97" i="30"/>
  <c r="AC97" i="30" s="1"/>
  <c r="AD97" i="30"/>
  <c r="AG97" i="30"/>
  <c r="AI97" i="30"/>
  <c r="AJ97" i="30"/>
  <c r="AM97" i="30"/>
  <c r="AO97" i="30" s="1"/>
  <c r="AP97" i="30"/>
  <c r="AS97" i="30"/>
  <c r="AU97" i="30" s="1"/>
  <c r="AV97" i="30"/>
  <c r="AY97" i="30"/>
  <c r="BA97" i="30" s="1"/>
  <c r="BB97" i="30"/>
  <c r="BE97" i="30"/>
  <c r="BG97" i="30" s="1"/>
  <c r="BH97" i="30"/>
  <c r="BK97" i="30"/>
  <c r="BM97" i="30" s="1"/>
  <c r="BN97" i="30"/>
  <c r="BQ97" i="30"/>
  <c r="BS97" i="30" s="1"/>
  <c r="BT97" i="30"/>
  <c r="BW97" i="30"/>
  <c r="BY97" i="30" s="1"/>
  <c r="BZ97" i="30"/>
  <c r="CF97" i="30"/>
  <c r="CL97" i="30"/>
  <c r="CR97" i="30"/>
  <c r="D98" i="30"/>
  <c r="E98" i="30" s="1"/>
  <c r="F98" i="30"/>
  <c r="J98" i="30"/>
  <c r="K98" i="30" s="1"/>
  <c r="L98" i="30"/>
  <c r="P98" i="30"/>
  <c r="Q98" i="30" s="1"/>
  <c r="R98" i="30"/>
  <c r="U98" i="30"/>
  <c r="W98" i="30" s="1"/>
  <c r="X98" i="30"/>
  <c r="AA98" i="30"/>
  <c r="AC98" i="30" s="1"/>
  <c r="AD98" i="30"/>
  <c r="AG98" i="30"/>
  <c r="AI98" i="30" s="1"/>
  <c r="AJ98" i="30"/>
  <c r="AM98" i="30"/>
  <c r="AO98" i="30" s="1"/>
  <c r="AP98" i="30"/>
  <c r="AS98" i="30"/>
  <c r="AU98" i="30" s="1"/>
  <c r="AV98" i="30"/>
  <c r="AY98" i="30"/>
  <c r="BA98" i="30" s="1"/>
  <c r="BB98" i="30"/>
  <c r="BE98" i="30"/>
  <c r="BG98" i="30" s="1"/>
  <c r="BH98" i="30"/>
  <c r="BK98" i="30"/>
  <c r="BM98" i="30" s="1"/>
  <c r="BN98" i="30"/>
  <c r="BQ98" i="30"/>
  <c r="BS98" i="30" s="1"/>
  <c r="BT98" i="30"/>
  <c r="BW98" i="30"/>
  <c r="BY98" i="30" s="1"/>
  <c r="BZ98" i="30"/>
  <c r="CF98" i="30"/>
  <c r="CL98" i="30"/>
  <c r="CR98" i="30"/>
  <c r="D99" i="30"/>
  <c r="E99" i="30" s="1"/>
  <c r="F99" i="30"/>
  <c r="J99" i="30"/>
  <c r="K99" i="30" s="1"/>
  <c r="L99" i="30"/>
  <c r="P99" i="30"/>
  <c r="Q99" i="30" s="1"/>
  <c r="R99" i="30"/>
  <c r="U99" i="30"/>
  <c r="W99" i="30" s="1"/>
  <c r="X99" i="30"/>
  <c r="AA99" i="30"/>
  <c r="AC99" i="30" s="1"/>
  <c r="AD99" i="30"/>
  <c r="AG99" i="30"/>
  <c r="AI99" i="30" s="1"/>
  <c r="AJ99" i="30"/>
  <c r="AM99" i="30"/>
  <c r="AO99" i="30" s="1"/>
  <c r="AP99" i="30"/>
  <c r="AS99" i="30"/>
  <c r="AU99" i="30" s="1"/>
  <c r="AV99" i="30"/>
  <c r="AY99" i="30"/>
  <c r="BA99" i="30" s="1"/>
  <c r="BB99" i="30"/>
  <c r="BE99" i="30"/>
  <c r="BG99" i="30" s="1"/>
  <c r="BH99" i="30"/>
  <c r="BK99" i="30"/>
  <c r="BM99" i="30" s="1"/>
  <c r="BN99" i="30"/>
  <c r="BQ99" i="30"/>
  <c r="BS99" i="30"/>
  <c r="BT99" i="30"/>
  <c r="BW99" i="30"/>
  <c r="BY99" i="30" s="1"/>
  <c r="BZ99" i="30"/>
  <c r="CF99" i="30"/>
  <c r="CL99" i="30"/>
  <c r="CR99" i="30"/>
  <c r="D100" i="30"/>
  <c r="E100" i="30" s="1"/>
  <c r="F100" i="30"/>
  <c r="J100" i="30"/>
  <c r="K100" i="30" s="1"/>
  <c r="L100" i="30"/>
  <c r="P100" i="30"/>
  <c r="Q100" i="30" s="1"/>
  <c r="R100" i="30"/>
  <c r="U100" i="30"/>
  <c r="W100" i="30" s="1"/>
  <c r="X100" i="30"/>
  <c r="AA100" i="30"/>
  <c r="AC100" i="30" s="1"/>
  <c r="AD100" i="30"/>
  <c r="AG100" i="30"/>
  <c r="AI100" i="30" s="1"/>
  <c r="AJ100" i="30"/>
  <c r="AM100" i="30"/>
  <c r="AO100" i="30" s="1"/>
  <c r="AP100" i="30"/>
  <c r="AS100" i="30"/>
  <c r="AU100" i="30" s="1"/>
  <c r="AV100" i="30"/>
  <c r="AY100" i="30"/>
  <c r="BA100" i="30" s="1"/>
  <c r="BB100" i="30"/>
  <c r="BE100" i="30"/>
  <c r="BG100" i="30" s="1"/>
  <c r="BH100" i="30"/>
  <c r="BK100" i="30"/>
  <c r="BM100" i="30" s="1"/>
  <c r="BN100" i="30"/>
  <c r="BQ100" i="30"/>
  <c r="BS100" i="30"/>
  <c r="BT100" i="30"/>
  <c r="BW100" i="30"/>
  <c r="BY100" i="30" s="1"/>
  <c r="BZ100" i="30"/>
  <c r="CF100" i="30"/>
  <c r="CL100" i="30"/>
  <c r="CR100" i="30"/>
  <c r="D101" i="30"/>
  <c r="E101" i="30"/>
  <c r="F101" i="30"/>
  <c r="J101" i="30"/>
  <c r="K101" i="30" s="1"/>
  <c r="L101" i="30"/>
  <c r="P101" i="30"/>
  <c r="Q101" i="30" s="1"/>
  <c r="R101" i="30"/>
  <c r="U101" i="30"/>
  <c r="W101" i="30" s="1"/>
  <c r="X101" i="30"/>
  <c r="AA101" i="30"/>
  <c r="AC101" i="30" s="1"/>
  <c r="AD101" i="30"/>
  <c r="AG101" i="30"/>
  <c r="AI101" i="30" s="1"/>
  <c r="AJ101" i="30"/>
  <c r="AM101" i="30"/>
  <c r="AO101" i="30" s="1"/>
  <c r="AP101" i="30"/>
  <c r="AS101" i="30"/>
  <c r="AU101" i="30" s="1"/>
  <c r="AV101" i="30"/>
  <c r="AY101" i="30"/>
  <c r="BA101" i="30" s="1"/>
  <c r="BB101" i="30"/>
  <c r="BE101" i="30"/>
  <c r="BG101" i="30" s="1"/>
  <c r="BH101" i="30"/>
  <c r="BK101" i="30"/>
  <c r="BM101" i="30" s="1"/>
  <c r="BN101" i="30"/>
  <c r="BQ101" i="30"/>
  <c r="BS101" i="30" s="1"/>
  <c r="BT101" i="30"/>
  <c r="BW101" i="30"/>
  <c r="BY101" i="30" s="1"/>
  <c r="BZ101" i="30"/>
  <c r="CF101" i="30"/>
  <c r="CL101" i="30"/>
  <c r="CR101" i="30"/>
  <c r="D102" i="30"/>
  <c r="E102" i="30" s="1"/>
  <c r="F102" i="30"/>
  <c r="J102" i="30"/>
  <c r="K102" i="30" s="1"/>
  <c r="L102" i="30"/>
  <c r="P102" i="30"/>
  <c r="Q102" i="30" s="1"/>
  <c r="R102" i="30"/>
  <c r="U102" i="30"/>
  <c r="W102" i="30" s="1"/>
  <c r="X102" i="30"/>
  <c r="AA102" i="30"/>
  <c r="AC102" i="30" s="1"/>
  <c r="AD102" i="30"/>
  <c r="AG102" i="30"/>
  <c r="AI102" i="30" s="1"/>
  <c r="AJ102" i="30"/>
  <c r="AM102" i="30"/>
  <c r="AO102" i="30" s="1"/>
  <c r="AP102" i="30"/>
  <c r="AS102" i="30"/>
  <c r="AU102" i="30" s="1"/>
  <c r="AV102" i="30"/>
  <c r="AY102" i="30"/>
  <c r="BA102" i="30" s="1"/>
  <c r="BB102" i="30"/>
  <c r="BE102" i="30"/>
  <c r="BG102" i="30" s="1"/>
  <c r="BH102" i="30"/>
  <c r="BK102" i="30"/>
  <c r="BM102" i="30" s="1"/>
  <c r="BN102" i="30"/>
  <c r="BQ102" i="30"/>
  <c r="BS102" i="30" s="1"/>
  <c r="BT102" i="30"/>
  <c r="BW102" i="30"/>
  <c r="BY102" i="30" s="1"/>
  <c r="BZ102" i="30"/>
  <c r="CF102" i="30"/>
  <c r="CL102" i="30"/>
  <c r="CR102" i="30"/>
  <c r="D103" i="30"/>
  <c r="E103" i="30" s="1"/>
  <c r="F103" i="30"/>
  <c r="J103" i="30"/>
  <c r="K103" i="30" s="1"/>
  <c r="L103" i="30"/>
  <c r="P103" i="30"/>
  <c r="Q103" i="30" s="1"/>
  <c r="R103" i="30"/>
  <c r="U103" i="30"/>
  <c r="W103" i="30" s="1"/>
  <c r="X103" i="30"/>
  <c r="AA103" i="30"/>
  <c r="AC103" i="30" s="1"/>
  <c r="AD103" i="30"/>
  <c r="AG103" i="30"/>
  <c r="AI103" i="30" s="1"/>
  <c r="AJ103" i="30"/>
  <c r="AM103" i="30"/>
  <c r="AO103" i="30" s="1"/>
  <c r="AP103" i="30"/>
  <c r="AS103" i="30"/>
  <c r="AU103" i="30" s="1"/>
  <c r="AV103" i="30"/>
  <c r="AY103" i="30"/>
  <c r="BA103" i="30" s="1"/>
  <c r="BB103" i="30"/>
  <c r="BE103" i="30"/>
  <c r="BG103" i="30" s="1"/>
  <c r="BH103" i="30"/>
  <c r="BK103" i="30"/>
  <c r="BM103" i="30" s="1"/>
  <c r="BN103" i="30"/>
  <c r="BQ103" i="30"/>
  <c r="BS103" i="30" s="1"/>
  <c r="BT103" i="30"/>
  <c r="BW103" i="30"/>
  <c r="BY103" i="30" s="1"/>
  <c r="BZ103" i="30"/>
  <c r="CF103" i="30"/>
  <c r="CL103" i="30"/>
  <c r="CR103" i="30"/>
  <c r="D104" i="30"/>
  <c r="E104" i="30" s="1"/>
  <c r="F104" i="30"/>
  <c r="J104" i="30"/>
  <c r="K104" i="30" s="1"/>
  <c r="L104" i="30"/>
  <c r="P104" i="30"/>
  <c r="Q104" i="30" s="1"/>
  <c r="R104" i="30"/>
  <c r="U104" i="30"/>
  <c r="W104" i="30" s="1"/>
  <c r="X104" i="30"/>
  <c r="AA104" i="30"/>
  <c r="AC104" i="30" s="1"/>
  <c r="AD104" i="30"/>
  <c r="AG104" i="30"/>
  <c r="AI104" i="30" s="1"/>
  <c r="AJ104" i="30"/>
  <c r="AM104" i="30"/>
  <c r="AO104" i="30" s="1"/>
  <c r="AP104" i="30"/>
  <c r="AS104" i="30"/>
  <c r="AU104" i="30" s="1"/>
  <c r="AV104" i="30"/>
  <c r="AY104" i="30"/>
  <c r="BA104" i="30" s="1"/>
  <c r="BB104" i="30"/>
  <c r="BE104" i="30"/>
  <c r="BG104" i="30"/>
  <c r="BH104" i="30"/>
  <c r="BK104" i="30"/>
  <c r="BM104" i="30" s="1"/>
  <c r="BN104" i="30"/>
  <c r="BQ104" i="30"/>
  <c r="BS104" i="30" s="1"/>
  <c r="BT104" i="30"/>
  <c r="BW104" i="30"/>
  <c r="BY104" i="30" s="1"/>
  <c r="BZ104" i="30"/>
  <c r="CF104" i="30"/>
  <c r="CL104" i="30"/>
  <c r="CR104" i="30"/>
  <c r="D105" i="30"/>
  <c r="E105" i="30" s="1"/>
  <c r="F105" i="30"/>
  <c r="J105" i="30"/>
  <c r="K105" i="30" s="1"/>
  <c r="L105" i="30"/>
  <c r="P105" i="30"/>
  <c r="Q105" i="30" s="1"/>
  <c r="R105" i="30"/>
  <c r="U105" i="30"/>
  <c r="W105" i="30" s="1"/>
  <c r="X105" i="30"/>
  <c r="AA105" i="30"/>
  <c r="AC105" i="30" s="1"/>
  <c r="AD105" i="30"/>
  <c r="AG105" i="30"/>
  <c r="AI105" i="30" s="1"/>
  <c r="AJ105" i="30"/>
  <c r="AM105" i="30"/>
  <c r="AO105" i="30" s="1"/>
  <c r="AP105" i="30"/>
  <c r="AS105" i="30"/>
  <c r="AU105" i="30" s="1"/>
  <c r="AV105" i="30"/>
  <c r="AY105" i="30"/>
  <c r="BA105" i="30" s="1"/>
  <c r="BB105" i="30"/>
  <c r="BE105" i="30"/>
  <c r="BG105" i="30" s="1"/>
  <c r="BH105" i="30"/>
  <c r="BK105" i="30"/>
  <c r="BM105" i="30" s="1"/>
  <c r="BN105" i="30"/>
  <c r="BQ105" i="30"/>
  <c r="BS105" i="30" s="1"/>
  <c r="BT105" i="30"/>
  <c r="BW105" i="30"/>
  <c r="BY105" i="30" s="1"/>
  <c r="BZ105" i="30"/>
  <c r="CF105" i="30"/>
  <c r="CL105" i="30"/>
  <c r="CR105" i="30"/>
  <c r="D106" i="30"/>
  <c r="E106" i="30" s="1"/>
  <c r="F106" i="30"/>
  <c r="J106" i="30"/>
  <c r="K106" i="30" s="1"/>
  <c r="L106" i="30"/>
  <c r="P106" i="30"/>
  <c r="Q106" i="30" s="1"/>
  <c r="R106" i="30"/>
  <c r="U106" i="30"/>
  <c r="W106" i="30" s="1"/>
  <c r="X106" i="30"/>
  <c r="AA106" i="30"/>
  <c r="AC106" i="30" s="1"/>
  <c r="AD106" i="30"/>
  <c r="AG106" i="30"/>
  <c r="AI106" i="30" s="1"/>
  <c r="AJ106" i="30"/>
  <c r="AM106" i="30"/>
  <c r="AO106" i="30" s="1"/>
  <c r="AP106" i="30"/>
  <c r="AS106" i="30"/>
  <c r="AU106" i="30" s="1"/>
  <c r="AV106" i="30"/>
  <c r="AY106" i="30"/>
  <c r="BA106" i="30" s="1"/>
  <c r="BB106" i="30"/>
  <c r="BE106" i="30"/>
  <c r="BG106" i="30" s="1"/>
  <c r="BH106" i="30"/>
  <c r="BK106" i="30"/>
  <c r="BM106" i="30" s="1"/>
  <c r="BN106" i="30"/>
  <c r="BQ106" i="30"/>
  <c r="BS106" i="30" s="1"/>
  <c r="BT106" i="30"/>
  <c r="BW106" i="30"/>
  <c r="BY106" i="30" s="1"/>
  <c r="BZ106" i="30"/>
  <c r="CF106" i="30"/>
  <c r="CL106" i="30"/>
  <c r="CR106" i="30"/>
  <c r="O109" i="30"/>
  <c r="P109" i="30"/>
  <c r="CD109" i="30"/>
  <c r="CD94" i="30" s="1"/>
  <c r="CD79" i="30" s="1"/>
  <c r="CD64" i="30" s="1"/>
  <c r="CD49" i="30" s="1"/>
  <c r="CD34" i="30" s="1"/>
  <c r="CD19" i="30" s="1"/>
  <c r="CD4" i="30" s="1"/>
  <c r="D110" i="30"/>
  <c r="E110" i="30" s="1"/>
  <c r="J110" i="30"/>
  <c r="K110" i="30" s="1"/>
  <c r="P110" i="30"/>
  <c r="Q110" i="30"/>
  <c r="U110" i="30"/>
  <c r="W110" i="30" s="1"/>
  <c r="AA110" i="30"/>
  <c r="AC110" i="30" s="1"/>
  <c r="AG110" i="30"/>
  <c r="AI110" i="30" s="1"/>
  <c r="AM110" i="30"/>
  <c r="AO110" i="30" s="1"/>
  <c r="AS110" i="30"/>
  <c r="AU110" i="30" s="1"/>
  <c r="AY110" i="30"/>
  <c r="BA110" i="30" s="1"/>
  <c r="BK110" i="30"/>
  <c r="BM110" i="30" s="1"/>
  <c r="BQ110" i="30"/>
  <c r="BS110" i="30"/>
  <c r="BW110" i="30"/>
  <c r="BY110" i="30" s="1"/>
  <c r="CD110" i="30"/>
  <c r="CD95" i="30" s="1"/>
  <c r="CD80" i="30" s="1"/>
  <c r="CD50" i="30" s="1"/>
  <c r="CD35" i="30" s="1"/>
  <c r="CD20" i="30" s="1"/>
  <c r="CD5" i="30" s="1"/>
  <c r="CE5" i="30" s="1"/>
  <c r="CE20" i="30" s="1"/>
  <c r="CE35" i="30" s="1"/>
  <c r="CE50" i="30" s="1"/>
  <c r="CE65" i="30" s="1"/>
  <c r="D111" i="30"/>
  <c r="E111" i="30" s="1"/>
  <c r="F111" i="30"/>
  <c r="J111" i="30"/>
  <c r="K111" i="30" s="1"/>
  <c r="L111" i="30"/>
  <c r="P111" i="30"/>
  <c r="Q111" i="30" s="1"/>
  <c r="R111" i="30"/>
  <c r="U111" i="30"/>
  <c r="W111" i="30" s="1"/>
  <c r="X111" i="30"/>
  <c r="AA111" i="30"/>
  <c r="AC111" i="30" s="1"/>
  <c r="AD111" i="30"/>
  <c r="AG111" i="30"/>
  <c r="AI111" i="30" s="1"/>
  <c r="AJ111" i="30"/>
  <c r="AM111" i="30"/>
  <c r="AO111" i="30" s="1"/>
  <c r="AP111" i="30"/>
  <c r="AS111" i="30"/>
  <c r="AU111" i="30" s="1"/>
  <c r="AV111" i="30"/>
  <c r="AY111" i="30"/>
  <c r="BA111" i="30" s="1"/>
  <c r="BB111" i="30"/>
  <c r="BH111" i="30"/>
  <c r="BK111" i="30"/>
  <c r="BM111" i="30"/>
  <c r="BN111" i="30"/>
  <c r="BQ111" i="30"/>
  <c r="BS111" i="30" s="1"/>
  <c r="BT111" i="30"/>
  <c r="BW111" i="30"/>
  <c r="BY111" i="30" s="1"/>
  <c r="BZ111" i="30"/>
  <c r="CD111" i="30"/>
  <c r="CD96" i="30" s="1"/>
  <c r="CD81" i="30" s="1"/>
  <c r="CD66" i="30" s="1"/>
  <c r="CF111" i="30"/>
  <c r="CL111" i="30"/>
  <c r="CR111" i="30"/>
  <c r="D112" i="30"/>
  <c r="E112" i="30" s="1"/>
  <c r="F112" i="30"/>
  <c r="J112" i="30"/>
  <c r="K112" i="30" s="1"/>
  <c r="L112" i="30"/>
  <c r="P112" i="30"/>
  <c r="Q112" i="30" s="1"/>
  <c r="R112" i="30"/>
  <c r="U112" i="30"/>
  <c r="W112" i="30" s="1"/>
  <c r="X112" i="30"/>
  <c r="AA112" i="30"/>
  <c r="AC112" i="30" s="1"/>
  <c r="AD112" i="30"/>
  <c r="AG112" i="30"/>
  <c r="AI112" i="30" s="1"/>
  <c r="AJ112" i="30"/>
  <c r="AM112" i="30"/>
  <c r="AO112" i="30" s="1"/>
  <c r="AP112" i="30"/>
  <c r="AS112" i="30"/>
  <c r="AU112" i="30" s="1"/>
  <c r="AV112" i="30"/>
  <c r="AY112" i="30"/>
  <c r="BA112" i="30" s="1"/>
  <c r="BB112" i="30"/>
  <c r="BH112" i="30"/>
  <c r="BK112" i="30"/>
  <c r="BM112" i="30" s="1"/>
  <c r="BN112" i="30"/>
  <c r="BQ112" i="30"/>
  <c r="BS112" i="30" s="1"/>
  <c r="BT112" i="30"/>
  <c r="BW112" i="30"/>
  <c r="BY112" i="30" s="1"/>
  <c r="BZ112" i="30"/>
  <c r="CD112" i="30"/>
  <c r="CD97" i="30" s="1"/>
  <c r="CD82" i="30" s="1"/>
  <c r="CF112" i="30"/>
  <c r="CL112" i="30"/>
  <c r="CR112" i="30"/>
  <c r="D113" i="30"/>
  <c r="E113" i="30" s="1"/>
  <c r="F113" i="30"/>
  <c r="J113" i="30"/>
  <c r="K113" i="30" s="1"/>
  <c r="L113" i="30"/>
  <c r="P113" i="30"/>
  <c r="Q113" i="30" s="1"/>
  <c r="R113" i="30"/>
  <c r="U113" i="30"/>
  <c r="W113" i="30" s="1"/>
  <c r="X113" i="30"/>
  <c r="AA113" i="30"/>
  <c r="AC113" i="30" s="1"/>
  <c r="AD113" i="30"/>
  <c r="AG113" i="30"/>
  <c r="AI113" i="30" s="1"/>
  <c r="AJ113" i="30"/>
  <c r="AM113" i="30"/>
  <c r="AO113" i="30" s="1"/>
  <c r="AP113" i="30"/>
  <c r="AS113" i="30"/>
  <c r="AU113" i="30" s="1"/>
  <c r="AV113" i="30"/>
  <c r="AY113" i="30"/>
  <c r="BA113" i="30" s="1"/>
  <c r="BB113" i="30"/>
  <c r="BH113" i="30"/>
  <c r="BK113" i="30"/>
  <c r="BM113" i="30" s="1"/>
  <c r="BN113" i="30"/>
  <c r="BQ113" i="30"/>
  <c r="BS113" i="30" s="1"/>
  <c r="BT113" i="30"/>
  <c r="BW113" i="30"/>
  <c r="BY113" i="30" s="1"/>
  <c r="BZ113" i="30"/>
  <c r="CD113" i="30"/>
  <c r="CD98" i="30" s="1"/>
  <c r="CD83" i="30" s="1"/>
  <c r="CD53" i="30" s="1"/>
  <c r="CD38" i="30" s="1"/>
  <c r="CD23" i="30" s="1"/>
  <c r="CD8" i="30" s="1"/>
  <c r="CF113" i="30"/>
  <c r="CL113" i="30"/>
  <c r="CR113" i="30"/>
  <c r="D114" i="30"/>
  <c r="E114" i="30" s="1"/>
  <c r="F114" i="30"/>
  <c r="J114" i="30"/>
  <c r="K114" i="30" s="1"/>
  <c r="L114" i="30"/>
  <c r="P114" i="30"/>
  <c r="Q114" i="30" s="1"/>
  <c r="R114" i="30"/>
  <c r="U114" i="30"/>
  <c r="W114" i="30" s="1"/>
  <c r="X114" i="30"/>
  <c r="AA114" i="30"/>
  <c r="AC114" i="30"/>
  <c r="AD114" i="30"/>
  <c r="AG114" i="30"/>
  <c r="AI114" i="30" s="1"/>
  <c r="AJ114" i="30"/>
  <c r="AM114" i="30"/>
  <c r="AO114" i="30" s="1"/>
  <c r="AP114" i="30"/>
  <c r="AS114" i="30"/>
  <c r="AU114" i="30" s="1"/>
  <c r="AV114" i="30"/>
  <c r="AY114" i="30"/>
  <c r="BA114" i="30" s="1"/>
  <c r="BB114" i="30"/>
  <c r="BH114" i="30"/>
  <c r="BK114" i="30"/>
  <c r="BM114" i="30" s="1"/>
  <c r="BN114" i="30"/>
  <c r="BQ114" i="30"/>
  <c r="BS114" i="30"/>
  <c r="BT114" i="30"/>
  <c r="BW114" i="30"/>
  <c r="BY114" i="30" s="1"/>
  <c r="BZ114" i="30"/>
  <c r="CD114" i="30"/>
  <c r="CD99" i="30" s="1"/>
  <c r="CD84" i="30" s="1"/>
  <c r="CF114" i="30"/>
  <c r="CL114" i="30"/>
  <c r="CR114" i="30"/>
  <c r="D115" i="30"/>
  <c r="E115" i="30" s="1"/>
  <c r="F115" i="30"/>
  <c r="J115" i="30"/>
  <c r="K115" i="30" s="1"/>
  <c r="L115" i="30"/>
  <c r="P115" i="30"/>
  <c r="Q115" i="30" s="1"/>
  <c r="R115" i="30"/>
  <c r="U115" i="30"/>
  <c r="W115" i="30" s="1"/>
  <c r="X115" i="30"/>
  <c r="AA115" i="30"/>
  <c r="AC115" i="30" s="1"/>
  <c r="AD115" i="30"/>
  <c r="AG115" i="30"/>
  <c r="AI115" i="30" s="1"/>
  <c r="AJ115" i="30"/>
  <c r="AM115" i="30"/>
  <c r="AO115" i="30"/>
  <c r="AP115" i="30"/>
  <c r="AS115" i="30"/>
  <c r="AU115" i="30" s="1"/>
  <c r="AV115" i="30"/>
  <c r="AY115" i="30"/>
  <c r="BA115" i="30" s="1"/>
  <c r="BB115" i="30"/>
  <c r="BH115" i="30"/>
  <c r="BK115" i="30"/>
  <c r="BM115" i="30" s="1"/>
  <c r="BN115" i="30"/>
  <c r="BQ115" i="30"/>
  <c r="BS115" i="30" s="1"/>
  <c r="BT115" i="30"/>
  <c r="BW115" i="30"/>
  <c r="BY115" i="30" s="1"/>
  <c r="BZ115" i="30"/>
  <c r="CD115" i="30"/>
  <c r="CD100" i="30" s="1"/>
  <c r="CD85" i="30" s="1"/>
  <c r="CF115" i="30"/>
  <c r="CL115" i="30"/>
  <c r="CR115" i="30"/>
  <c r="D116" i="30"/>
  <c r="E116" i="30" s="1"/>
  <c r="F116" i="30"/>
  <c r="J116" i="30"/>
  <c r="K116" i="30" s="1"/>
  <c r="L116" i="30"/>
  <c r="P116" i="30"/>
  <c r="Q116" i="30" s="1"/>
  <c r="R116" i="30"/>
  <c r="U116" i="30"/>
  <c r="W116" i="30" s="1"/>
  <c r="X116" i="30"/>
  <c r="AA116" i="30"/>
  <c r="AC116" i="30" s="1"/>
  <c r="AD116" i="30"/>
  <c r="AG116" i="30"/>
  <c r="AI116" i="30" s="1"/>
  <c r="AJ116" i="30"/>
  <c r="AM116" i="30"/>
  <c r="AO116" i="30" s="1"/>
  <c r="AP116" i="30"/>
  <c r="AS116" i="30"/>
  <c r="AU116" i="30" s="1"/>
  <c r="AV116" i="30"/>
  <c r="AY116" i="30"/>
  <c r="BA116" i="30" s="1"/>
  <c r="BB116" i="30"/>
  <c r="BH116" i="30"/>
  <c r="BK116" i="30"/>
  <c r="BM116" i="30" s="1"/>
  <c r="BN116" i="30"/>
  <c r="BQ116" i="30"/>
  <c r="BS116" i="30" s="1"/>
  <c r="BT116" i="30"/>
  <c r="BW116" i="30"/>
  <c r="BY116" i="30" s="1"/>
  <c r="BZ116" i="30"/>
  <c r="CD116" i="30"/>
  <c r="CD101" i="30" s="1"/>
  <c r="CD86" i="30" s="1"/>
  <c r="CF116" i="30"/>
  <c r="CL116" i="30"/>
  <c r="CR116" i="30"/>
  <c r="D117" i="30"/>
  <c r="E117" i="30" s="1"/>
  <c r="F117" i="30"/>
  <c r="J117" i="30"/>
  <c r="K117" i="30" s="1"/>
  <c r="L117" i="30"/>
  <c r="P117" i="30"/>
  <c r="Q117" i="30" s="1"/>
  <c r="R117" i="30"/>
  <c r="U117" i="30"/>
  <c r="W117" i="30" s="1"/>
  <c r="X117" i="30"/>
  <c r="AA117" i="30"/>
  <c r="AC117" i="30" s="1"/>
  <c r="AD117" i="30"/>
  <c r="AG117" i="30"/>
  <c r="AI117" i="30" s="1"/>
  <c r="AJ117" i="30"/>
  <c r="AM117" i="30"/>
  <c r="AO117" i="30" s="1"/>
  <c r="AP117" i="30"/>
  <c r="AS117" i="30"/>
  <c r="AU117" i="30" s="1"/>
  <c r="AV117" i="30"/>
  <c r="AY117" i="30"/>
  <c r="BA117" i="30" s="1"/>
  <c r="BB117" i="30"/>
  <c r="BH117" i="30"/>
  <c r="BK117" i="30"/>
  <c r="BM117" i="30" s="1"/>
  <c r="BN117" i="30"/>
  <c r="BQ117" i="30"/>
  <c r="BS117" i="30" s="1"/>
  <c r="BT117" i="30"/>
  <c r="BW117" i="30"/>
  <c r="BY117" i="30" s="1"/>
  <c r="BZ117" i="30"/>
  <c r="CD117" i="30"/>
  <c r="CD102" i="30" s="1"/>
  <c r="CD87" i="30" s="1"/>
  <c r="CD72" i="30" s="1"/>
  <c r="CF117" i="30"/>
  <c r="CL117" i="30"/>
  <c r="CR117" i="30"/>
  <c r="D118" i="30"/>
  <c r="E118" i="30" s="1"/>
  <c r="F118" i="30"/>
  <c r="J118" i="30"/>
  <c r="K118" i="30" s="1"/>
  <c r="L118" i="30"/>
  <c r="P118" i="30"/>
  <c r="Q118" i="30" s="1"/>
  <c r="R118" i="30"/>
  <c r="U118" i="30"/>
  <c r="W118" i="30" s="1"/>
  <c r="X118" i="30"/>
  <c r="AA118" i="30"/>
  <c r="AC118" i="30" s="1"/>
  <c r="AD118" i="30"/>
  <c r="AG118" i="30"/>
  <c r="AI118" i="30" s="1"/>
  <c r="AJ118" i="30"/>
  <c r="AM118" i="30"/>
  <c r="AO118" i="30" s="1"/>
  <c r="AP118" i="30"/>
  <c r="AS118" i="30"/>
  <c r="AU118" i="30" s="1"/>
  <c r="AV118" i="30"/>
  <c r="AY118" i="30"/>
  <c r="BA118" i="30" s="1"/>
  <c r="BB118" i="30"/>
  <c r="BE118" i="30"/>
  <c r="BG118" i="30"/>
  <c r="BH118" i="30"/>
  <c r="BK118" i="30"/>
  <c r="BM118" i="30" s="1"/>
  <c r="BN118" i="30"/>
  <c r="BQ118" i="30"/>
  <c r="BS118" i="30" s="1"/>
  <c r="BT118" i="30"/>
  <c r="BW118" i="30"/>
  <c r="BY118" i="30" s="1"/>
  <c r="BZ118" i="30"/>
  <c r="CD118" i="30"/>
  <c r="CD103" i="30" s="1"/>
  <c r="CD88" i="30" s="1"/>
  <c r="CF118" i="30"/>
  <c r="CL118" i="30"/>
  <c r="CR118" i="30"/>
  <c r="D119" i="30"/>
  <c r="E119" i="30" s="1"/>
  <c r="F119" i="30"/>
  <c r="J119" i="30"/>
  <c r="K119" i="30"/>
  <c r="L119" i="30"/>
  <c r="P119" i="30"/>
  <c r="Q119" i="30" s="1"/>
  <c r="R119" i="30"/>
  <c r="U119" i="30"/>
  <c r="W119" i="30" s="1"/>
  <c r="X119" i="30"/>
  <c r="AA119" i="30"/>
  <c r="AC119" i="30" s="1"/>
  <c r="AD119" i="30"/>
  <c r="AG119" i="30"/>
  <c r="AI119" i="30" s="1"/>
  <c r="AJ119" i="30"/>
  <c r="AM119" i="30"/>
  <c r="AO119" i="30" s="1"/>
  <c r="AP119" i="30"/>
  <c r="AS119" i="30"/>
  <c r="AU119" i="30" s="1"/>
  <c r="AV119" i="30"/>
  <c r="AY119" i="30"/>
  <c r="BA119" i="30" s="1"/>
  <c r="BB119" i="30"/>
  <c r="BE119" i="30"/>
  <c r="BG119" i="30" s="1"/>
  <c r="BH119" i="30"/>
  <c r="BK119" i="30"/>
  <c r="BM119" i="30" s="1"/>
  <c r="BN119" i="30"/>
  <c r="BQ119" i="30"/>
  <c r="BS119" i="30" s="1"/>
  <c r="BT119" i="30"/>
  <c r="BW119" i="30"/>
  <c r="BY119" i="30" s="1"/>
  <c r="BZ119" i="30"/>
  <c r="CD119" i="30"/>
  <c r="CD104" i="30" s="1"/>
  <c r="CD89" i="30" s="1"/>
  <c r="CF119" i="30"/>
  <c r="CL119" i="30"/>
  <c r="CR119" i="30"/>
  <c r="D120" i="30"/>
  <c r="E120" i="30" s="1"/>
  <c r="F120" i="30"/>
  <c r="J120" i="30"/>
  <c r="K120" i="30" s="1"/>
  <c r="L120" i="30"/>
  <c r="P120" i="30"/>
  <c r="Q120" i="30" s="1"/>
  <c r="R120" i="30"/>
  <c r="U120" i="30"/>
  <c r="W120" i="30" s="1"/>
  <c r="X120" i="30"/>
  <c r="AA120" i="30"/>
  <c r="AC120" i="30" s="1"/>
  <c r="AD120" i="30"/>
  <c r="AG120" i="30"/>
  <c r="AI120" i="30" s="1"/>
  <c r="AJ120" i="30"/>
  <c r="AM120" i="30"/>
  <c r="AO120" i="30" s="1"/>
  <c r="AP120" i="30"/>
  <c r="AS120" i="30"/>
  <c r="AU120" i="30"/>
  <c r="AV120" i="30"/>
  <c r="AY120" i="30"/>
  <c r="BA120" i="30" s="1"/>
  <c r="BB120" i="30"/>
  <c r="BE120" i="30"/>
  <c r="BG120" i="30" s="1"/>
  <c r="BH120" i="30"/>
  <c r="BK120" i="30"/>
  <c r="BM120" i="30" s="1"/>
  <c r="BN120" i="30"/>
  <c r="BQ120" i="30"/>
  <c r="BS120" i="30" s="1"/>
  <c r="BT120" i="30"/>
  <c r="BW120" i="30"/>
  <c r="BY120" i="30" s="1"/>
  <c r="BZ120" i="30"/>
  <c r="CD120" i="30"/>
  <c r="CD105" i="30" s="1"/>
  <c r="CD90" i="30" s="1"/>
  <c r="CF120" i="30"/>
  <c r="CL120" i="30"/>
  <c r="CR120" i="30"/>
  <c r="D121" i="30"/>
  <c r="E121" i="30" s="1"/>
  <c r="F121" i="30"/>
  <c r="J121" i="30"/>
  <c r="K121" i="30" s="1"/>
  <c r="L121" i="30"/>
  <c r="P121" i="30"/>
  <c r="Q121" i="30" s="1"/>
  <c r="R121" i="30"/>
  <c r="U121" i="30"/>
  <c r="W121" i="30" s="1"/>
  <c r="X121" i="30"/>
  <c r="AA121" i="30"/>
  <c r="AC121" i="30" s="1"/>
  <c r="AD121" i="30"/>
  <c r="AG121" i="30"/>
  <c r="AI121" i="30" s="1"/>
  <c r="AJ121" i="30"/>
  <c r="AM121" i="30"/>
  <c r="AO121" i="30"/>
  <c r="AP121" i="30"/>
  <c r="AS121" i="30"/>
  <c r="AU121" i="30" s="1"/>
  <c r="AV121" i="30"/>
  <c r="AY121" i="30"/>
  <c r="BA121" i="30" s="1"/>
  <c r="BB121" i="30"/>
  <c r="BE121" i="30"/>
  <c r="BG121" i="30" s="1"/>
  <c r="BH121" i="30"/>
  <c r="BK121" i="30"/>
  <c r="BM121" i="30" s="1"/>
  <c r="BN121" i="30"/>
  <c r="BQ121" i="30"/>
  <c r="BS121" i="30" s="1"/>
  <c r="BT121" i="30"/>
  <c r="BW121" i="30"/>
  <c r="BY121" i="30" s="1"/>
  <c r="BZ121" i="30"/>
  <c r="CD121" i="30"/>
  <c r="CD106" i="30" s="1"/>
  <c r="CD91" i="30" s="1"/>
  <c r="CF121" i="30"/>
  <c r="CL121" i="30"/>
  <c r="CR121" i="30"/>
  <c r="H123" i="30"/>
  <c r="N123" i="30"/>
  <c r="T123" i="30" s="1"/>
  <c r="Z123" i="30" s="1"/>
  <c r="AF123" i="30" s="1"/>
  <c r="AL123" i="30" s="1"/>
  <c r="AR123" i="30" s="1"/>
  <c r="AX123" i="30" s="1"/>
  <c r="BD123" i="30" s="1"/>
  <c r="BJ123" i="30" s="1"/>
  <c r="BP123" i="30" s="1"/>
  <c r="BV123" i="30" s="1"/>
  <c r="CB123" i="30" s="1"/>
  <c r="CH123" i="30" s="1"/>
  <c r="CN123" i="30" s="1"/>
  <c r="P125" i="30"/>
  <c r="Q125" i="30" s="1"/>
  <c r="U125" i="30"/>
  <c r="W125" i="30" s="1"/>
  <c r="AA125" i="30"/>
  <c r="AC125" i="30" s="1"/>
  <c r="AG125" i="30"/>
  <c r="AI125" i="30" s="1"/>
  <c r="AM125" i="30"/>
  <c r="AO125" i="30" s="1"/>
  <c r="AS125" i="30"/>
  <c r="AU125" i="30" s="1"/>
  <c r="AY125" i="30"/>
  <c r="BA125" i="30" s="1"/>
  <c r="BE125" i="30"/>
  <c r="BG125" i="30" s="1"/>
  <c r="BK125" i="30"/>
  <c r="BM125" i="30" s="1"/>
  <c r="BQ125" i="30"/>
  <c r="BS125" i="30" s="1"/>
  <c r="BW125" i="30"/>
  <c r="BY125" i="30" s="1"/>
  <c r="P126" i="30"/>
  <c r="Q126" i="30" s="1"/>
  <c r="U126" i="30"/>
  <c r="W126" i="30" s="1"/>
  <c r="X126" i="30"/>
  <c r="AA126" i="30"/>
  <c r="AC126" i="30" s="1"/>
  <c r="AD126" i="30"/>
  <c r="AG126" i="30"/>
  <c r="AI126" i="30" s="1"/>
  <c r="AJ126" i="30"/>
  <c r="AM126" i="30"/>
  <c r="AO126" i="30" s="1"/>
  <c r="AP126" i="30"/>
  <c r="AS126" i="30"/>
  <c r="AU126" i="30" s="1"/>
  <c r="AV126" i="30"/>
  <c r="AY126" i="30"/>
  <c r="BA126" i="30" s="1"/>
  <c r="BB126" i="30"/>
  <c r="BE126" i="30"/>
  <c r="BG126" i="30" s="1"/>
  <c r="BH126" i="30"/>
  <c r="BK126" i="30"/>
  <c r="BM126" i="30" s="1"/>
  <c r="BN126" i="30"/>
  <c r="BQ126" i="30"/>
  <c r="BS126" i="30" s="1"/>
  <c r="BT126" i="30"/>
  <c r="BW126" i="30"/>
  <c r="BY126" i="30" s="1"/>
  <c r="BZ126" i="30"/>
  <c r="CF126" i="30"/>
  <c r="CL126" i="30"/>
  <c r="CR126" i="30"/>
  <c r="P127" i="30"/>
  <c r="Q127" i="30" s="1"/>
  <c r="U127" i="30"/>
  <c r="W127" i="30" s="1"/>
  <c r="X127" i="30"/>
  <c r="AA127" i="30"/>
  <c r="AC127" i="30" s="1"/>
  <c r="AD127" i="30"/>
  <c r="AG127" i="30"/>
  <c r="AI127" i="30" s="1"/>
  <c r="AJ127" i="30"/>
  <c r="AM127" i="30"/>
  <c r="AO127" i="30" s="1"/>
  <c r="AP127" i="30"/>
  <c r="AS127" i="30"/>
  <c r="AU127" i="30" s="1"/>
  <c r="AV127" i="30"/>
  <c r="AY127" i="30"/>
  <c r="BA127" i="30" s="1"/>
  <c r="BB127" i="30"/>
  <c r="BE127" i="30"/>
  <c r="BG127" i="30" s="1"/>
  <c r="BH127" i="30"/>
  <c r="BK127" i="30"/>
  <c r="BM127" i="30" s="1"/>
  <c r="BN127" i="30"/>
  <c r="BQ127" i="30"/>
  <c r="BS127" i="30" s="1"/>
  <c r="BT127" i="30"/>
  <c r="BW127" i="30"/>
  <c r="BY127" i="30"/>
  <c r="BZ127" i="30"/>
  <c r="CF127" i="30"/>
  <c r="CL127" i="30"/>
  <c r="CR127" i="30"/>
  <c r="P128" i="30"/>
  <c r="Q128" i="30" s="1"/>
  <c r="U128" i="30"/>
  <c r="W128" i="30" s="1"/>
  <c r="X128" i="30"/>
  <c r="AA128" i="30"/>
  <c r="AC128" i="30" s="1"/>
  <c r="AD128" i="30"/>
  <c r="AG128" i="30"/>
  <c r="AI128" i="30" s="1"/>
  <c r="AJ128" i="30"/>
  <c r="AM128" i="30"/>
  <c r="AO128" i="30" s="1"/>
  <c r="AP128" i="30"/>
  <c r="AS128" i="30"/>
  <c r="AU128" i="30" s="1"/>
  <c r="AV128" i="30"/>
  <c r="AY128" i="30"/>
  <c r="BA128" i="30" s="1"/>
  <c r="BB128" i="30"/>
  <c r="BE128" i="30"/>
  <c r="BG128" i="30" s="1"/>
  <c r="BH128" i="30"/>
  <c r="BK128" i="30"/>
  <c r="BM128" i="30" s="1"/>
  <c r="BN128" i="30"/>
  <c r="BQ128" i="30"/>
  <c r="BS128" i="30"/>
  <c r="BT128" i="30"/>
  <c r="BW128" i="30"/>
  <c r="BY128" i="30" s="1"/>
  <c r="BZ128" i="30"/>
  <c r="CF128" i="30"/>
  <c r="CL128" i="30"/>
  <c r="CR128" i="30"/>
  <c r="P129" i="30"/>
  <c r="Q129" i="30"/>
  <c r="U129" i="30"/>
  <c r="W129" i="30" s="1"/>
  <c r="X129" i="30"/>
  <c r="AA129" i="30"/>
  <c r="AC129" i="30" s="1"/>
  <c r="AD129" i="30"/>
  <c r="AG129" i="30"/>
  <c r="AI129" i="30"/>
  <c r="AJ129" i="30"/>
  <c r="AM129" i="30"/>
  <c r="AO129" i="30" s="1"/>
  <c r="AP129" i="30"/>
  <c r="AS129" i="30"/>
  <c r="AU129" i="30" s="1"/>
  <c r="AV129" i="30"/>
  <c r="AY129" i="30"/>
  <c r="BA129" i="30" s="1"/>
  <c r="BB129" i="30"/>
  <c r="BE129" i="30"/>
  <c r="BG129" i="30" s="1"/>
  <c r="BH129" i="30"/>
  <c r="BK129" i="30"/>
  <c r="BM129" i="30" s="1"/>
  <c r="BN129" i="30"/>
  <c r="BQ129" i="30"/>
  <c r="BS129" i="30"/>
  <c r="BT129" i="30"/>
  <c r="BW129" i="30"/>
  <c r="BY129" i="30" s="1"/>
  <c r="BZ129" i="30"/>
  <c r="CF129" i="30"/>
  <c r="CL129" i="30"/>
  <c r="CR129" i="30"/>
  <c r="P130" i="30"/>
  <c r="Q130" i="30" s="1"/>
  <c r="U130" i="30"/>
  <c r="W130" i="30" s="1"/>
  <c r="X130" i="30"/>
  <c r="AA130" i="30"/>
  <c r="AC130" i="30" s="1"/>
  <c r="AD130" i="30"/>
  <c r="AG130" i="30"/>
  <c r="AI130" i="30" s="1"/>
  <c r="AJ130" i="30"/>
  <c r="AM130" i="30"/>
  <c r="AO130" i="30" s="1"/>
  <c r="AP130" i="30"/>
  <c r="AS130" i="30"/>
  <c r="AU130" i="30" s="1"/>
  <c r="AV130" i="30"/>
  <c r="AY130" i="30"/>
  <c r="BA130" i="30" s="1"/>
  <c r="BB130" i="30"/>
  <c r="BE130" i="30"/>
  <c r="BG130" i="30" s="1"/>
  <c r="BH130" i="30"/>
  <c r="BK130" i="30"/>
  <c r="BM130" i="30" s="1"/>
  <c r="BN130" i="30"/>
  <c r="BQ130" i="30"/>
  <c r="BS130" i="30" s="1"/>
  <c r="BT130" i="30"/>
  <c r="BW130" i="30"/>
  <c r="BY130" i="30" s="1"/>
  <c r="BZ130" i="30"/>
  <c r="CF130" i="30"/>
  <c r="CL130" i="30"/>
  <c r="CR130" i="30"/>
  <c r="P131" i="30"/>
  <c r="Q131" i="30" s="1"/>
  <c r="U131" i="30"/>
  <c r="W131" i="30" s="1"/>
  <c r="X131" i="30"/>
  <c r="AA131" i="30"/>
  <c r="AC131" i="30"/>
  <c r="AD131" i="30"/>
  <c r="AG131" i="30"/>
  <c r="AI131" i="30" s="1"/>
  <c r="AJ131" i="30"/>
  <c r="AM131" i="30"/>
  <c r="AO131" i="30" s="1"/>
  <c r="AP131" i="30"/>
  <c r="AS131" i="30"/>
  <c r="AU131" i="30" s="1"/>
  <c r="AV131" i="30"/>
  <c r="AY131" i="30"/>
  <c r="BA131" i="30" s="1"/>
  <c r="BB131" i="30"/>
  <c r="BE131" i="30"/>
  <c r="BG131" i="30" s="1"/>
  <c r="BH131" i="30"/>
  <c r="BK131" i="30"/>
  <c r="BM131" i="30" s="1"/>
  <c r="BN131" i="30"/>
  <c r="BQ131" i="30"/>
  <c r="BS131" i="30"/>
  <c r="BT131" i="30"/>
  <c r="BW131" i="30"/>
  <c r="BY131" i="30" s="1"/>
  <c r="BZ131" i="30"/>
  <c r="CF131" i="30"/>
  <c r="CL131" i="30"/>
  <c r="CR131" i="30"/>
  <c r="P132" i="30"/>
  <c r="Q132" i="30" s="1"/>
  <c r="U132" i="30"/>
  <c r="W132" i="30" s="1"/>
  <c r="X132" i="30"/>
  <c r="AA132" i="30"/>
  <c r="AC132" i="30" s="1"/>
  <c r="AD132" i="30"/>
  <c r="AG132" i="30"/>
  <c r="AI132" i="30" s="1"/>
  <c r="AJ132" i="30"/>
  <c r="AM132" i="30"/>
  <c r="AO132" i="30" s="1"/>
  <c r="AP132" i="30"/>
  <c r="AS132" i="30"/>
  <c r="AU132" i="30" s="1"/>
  <c r="AV132" i="30"/>
  <c r="AY132" i="30"/>
  <c r="BA132" i="30" s="1"/>
  <c r="BB132" i="30"/>
  <c r="BE132" i="30"/>
  <c r="BG132" i="30" s="1"/>
  <c r="BH132" i="30"/>
  <c r="BK132" i="30"/>
  <c r="BM132" i="30" s="1"/>
  <c r="BN132" i="30"/>
  <c r="BQ132" i="30"/>
  <c r="BS132" i="30" s="1"/>
  <c r="BT132" i="30"/>
  <c r="BW132" i="30"/>
  <c r="BY132" i="30" s="1"/>
  <c r="BZ132" i="30"/>
  <c r="CF132" i="30"/>
  <c r="CL132" i="30"/>
  <c r="CR132" i="30"/>
  <c r="P133" i="30"/>
  <c r="Q133" i="30" s="1"/>
  <c r="U133" i="30"/>
  <c r="W133" i="30" s="1"/>
  <c r="X133" i="30"/>
  <c r="AA133" i="30"/>
  <c r="AC133" i="30" s="1"/>
  <c r="AD133" i="30"/>
  <c r="AG133" i="30"/>
  <c r="AI133" i="30" s="1"/>
  <c r="AJ133" i="30"/>
  <c r="AM133" i="30"/>
  <c r="AO133" i="30" s="1"/>
  <c r="AP133" i="30"/>
  <c r="AS133" i="30"/>
  <c r="AU133" i="30" s="1"/>
  <c r="AV133" i="30"/>
  <c r="AY133" i="30"/>
  <c r="BA133" i="30" s="1"/>
  <c r="BB133" i="30"/>
  <c r="BE133" i="30"/>
  <c r="BG133" i="30" s="1"/>
  <c r="BH133" i="30"/>
  <c r="BK133" i="30"/>
  <c r="BM133" i="30"/>
  <c r="BN133" i="30"/>
  <c r="BQ133" i="30"/>
  <c r="BS133" i="30" s="1"/>
  <c r="BT133" i="30"/>
  <c r="BW133" i="30"/>
  <c r="BY133" i="30" s="1"/>
  <c r="BZ133" i="30"/>
  <c r="CF133" i="30"/>
  <c r="CL133" i="30"/>
  <c r="CR133" i="30"/>
  <c r="P134" i="30"/>
  <c r="Q134" i="30" s="1"/>
  <c r="U134" i="30"/>
  <c r="W134" i="30" s="1"/>
  <c r="X134" i="30"/>
  <c r="AA134" i="30"/>
  <c r="AC134" i="30" s="1"/>
  <c r="AD134" i="30"/>
  <c r="AG134" i="30"/>
  <c r="AI134" i="30" s="1"/>
  <c r="AJ134" i="30"/>
  <c r="AM134" i="30"/>
  <c r="AO134" i="30" s="1"/>
  <c r="AP134" i="30"/>
  <c r="AS134" i="30"/>
  <c r="AU134" i="30" s="1"/>
  <c r="AV134" i="30"/>
  <c r="AY134" i="30"/>
  <c r="BA134" i="30" s="1"/>
  <c r="BB134" i="30"/>
  <c r="BE134" i="30"/>
  <c r="BG134" i="30" s="1"/>
  <c r="BH134" i="30"/>
  <c r="BK134" i="30"/>
  <c r="BM134" i="30"/>
  <c r="BN134" i="30"/>
  <c r="BQ134" i="30"/>
  <c r="BS134" i="30" s="1"/>
  <c r="BT134" i="30"/>
  <c r="BW134" i="30"/>
  <c r="BY134" i="30" s="1"/>
  <c r="BZ134" i="30"/>
  <c r="CF134" i="30"/>
  <c r="CL134" i="30"/>
  <c r="CR134" i="30"/>
  <c r="P135" i="30"/>
  <c r="Q135" i="30" s="1"/>
  <c r="U135" i="30"/>
  <c r="W135" i="30" s="1"/>
  <c r="X135" i="30"/>
  <c r="AA135" i="30"/>
  <c r="AC135" i="30" s="1"/>
  <c r="AD135" i="30"/>
  <c r="AG135" i="30"/>
  <c r="AI135" i="30" s="1"/>
  <c r="AJ135" i="30"/>
  <c r="AM135" i="30"/>
  <c r="AO135" i="30" s="1"/>
  <c r="AP135" i="30"/>
  <c r="AS135" i="30"/>
  <c r="AU135" i="30" s="1"/>
  <c r="AV135" i="30"/>
  <c r="AY135" i="30"/>
  <c r="BA135" i="30" s="1"/>
  <c r="BB135" i="30"/>
  <c r="BE135" i="30"/>
  <c r="BG135" i="30" s="1"/>
  <c r="BH135" i="30"/>
  <c r="BK135" i="30"/>
  <c r="BM135" i="30" s="1"/>
  <c r="BN135" i="30"/>
  <c r="BQ135" i="30"/>
  <c r="BS135" i="30" s="1"/>
  <c r="BT135" i="30"/>
  <c r="BW135" i="30"/>
  <c r="BY135" i="30"/>
  <c r="BZ135" i="30"/>
  <c r="CF135" i="30"/>
  <c r="CL135" i="30"/>
  <c r="CR135" i="30"/>
  <c r="P136" i="30"/>
  <c r="Q136" i="30"/>
  <c r="U136" i="30"/>
  <c r="W136" i="30"/>
  <c r="X136" i="30"/>
  <c r="AA136" i="30"/>
  <c r="AC136" i="30" s="1"/>
  <c r="AD136" i="30"/>
  <c r="AG136" i="30"/>
  <c r="AI136" i="30" s="1"/>
  <c r="AJ136" i="30"/>
  <c r="AM136" i="30"/>
  <c r="AO136" i="30" s="1"/>
  <c r="AP136" i="30"/>
  <c r="AS136" i="30"/>
  <c r="AU136" i="30" s="1"/>
  <c r="AV136" i="30"/>
  <c r="AY136" i="30"/>
  <c r="BA136" i="30" s="1"/>
  <c r="BB136" i="30"/>
  <c r="BE136" i="30"/>
  <c r="BG136" i="30" s="1"/>
  <c r="BH136" i="30"/>
  <c r="BK136" i="30"/>
  <c r="BM136" i="30" s="1"/>
  <c r="BN136" i="30"/>
  <c r="BQ136" i="30"/>
  <c r="BS136" i="30" s="1"/>
  <c r="BT136" i="30"/>
  <c r="BW136" i="30"/>
  <c r="BY136" i="30" s="1"/>
  <c r="BZ136" i="30"/>
  <c r="CF136" i="30"/>
  <c r="CL136" i="30"/>
  <c r="CR136" i="30"/>
  <c r="H138" i="30"/>
  <c r="N138" i="30" s="1"/>
  <c r="T138" i="30" s="1"/>
  <c r="Z138" i="30" s="1"/>
  <c r="AF138" i="30" s="1"/>
  <c r="AL138" i="30" s="1"/>
  <c r="AR138" i="30" s="1"/>
  <c r="AX138" i="30" s="1"/>
  <c r="BD138" i="30" s="1"/>
  <c r="BJ138" i="30" s="1"/>
  <c r="BP138" i="30" s="1"/>
  <c r="BV138" i="30" s="1"/>
  <c r="CB138" i="30" s="1"/>
  <c r="CH138" i="30" s="1"/>
  <c r="CN138" i="30" s="1"/>
  <c r="CD139" i="30"/>
  <c r="P140" i="30"/>
  <c r="Q140" i="30" s="1"/>
  <c r="U140" i="30"/>
  <c r="W140" i="30" s="1"/>
  <c r="AA140" i="30"/>
  <c r="AC140" i="30" s="1"/>
  <c r="AG140" i="30"/>
  <c r="AI140" i="30" s="1"/>
  <c r="AM140" i="30"/>
  <c r="AO140" i="30"/>
  <c r="AS140" i="30"/>
  <c r="AU140" i="30"/>
  <c r="AY140" i="30"/>
  <c r="BA140" i="30" s="1"/>
  <c r="BE140" i="30"/>
  <c r="BG140" i="30" s="1"/>
  <c r="BK140" i="30"/>
  <c r="BM140" i="30" s="1"/>
  <c r="BQ140" i="30"/>
  <c r="BS140" i="30" s="1"/>
  <c r="BW140" i="30"/>
  <c r="BY140" i="30" s="1"/>
  <c r="CD140" i="30"/>
  <c r="P141" i="30"/>
  <c r="Q141" i="30" s="1"/>
  <c r="R141" i="30"/>
  <c r="U141" i="30"/>
  <c r="W141" i="30" s="1"/>
  <c r="X141" i="30"/>
  <c r="AA141" i="30"/>
  <c r="AC141" i="30" s="1"/>
  <c r="AD141" i="30"/>
  <c r="AG141" i="30"/>
  <c r="AI141" i="30" s="1"/>
  <c r="AJ141" i="30"/>
  <c r="AM141" i="30"/>
  <c r="AO141" i="30" s="1"/>
  <c r="AP141" i="30"/>
  <c r="AS141" i="30"/>
  <c r="AU141" i="30" s="1"/>
  <c r="AV141" i="30"/>
  <c r="AY141" i="30"/>
  <c r="BA141" i="30" s="1"/>
  <c r="BB141" i="30"/>
  <c r="BE141" i="30"/>
  <c r="BG141" i="30" s="1"/>
  <c r="BH141" i="30"/>
  <c r="BK141" i="30"/>
  <c r="BM141" i="30" s="1"/>
  <c r="BN141" i="30"/>
  <c r="BQ141" i="30"/>
  <c r="BS141" i="30" s="1"/>
  <c r="BT141" i="30"/>
  <c r="BW141" i="30"/>
  <c r="BY141" i="30" s="1"/>
  <c r="BZ141" i="30"/>
  <c r="CD141" i="30"/>
  <c r="CF141" i="30"/>
  <c r="CL141" i="30"/>
  <c r="CR141" i="30"/>
  <c r="P142" i="30"/>
  <c r="Q142" i="30" s="1"/>
  <c r="R142" i="30"/>
  <c r="U142" i="30"/>
  <c r="W142" i="30" s="1"/>
  <c r="X142" i="30"/>
  <c r="AA142" i="30"/>
  <c r="AC142" i="30" s="1"/>
  <c r="AD142" i="30"/>
  <c r="AG142" i="30"/>
  <c r="AI142" i="30" s="1"/>
  <c r="AJ142" i="30"/>
  <c r="AM142" i="30"/>
  <c r="AO142" i="30" s="1"/>
  <c r="AP142" i="30"/>
  <c r="AS142" i="30"/>
  <c r="AU142" i="30" s="1"/>
  <c r="AV142" i="30"/>
  <c r="AY142" i="30"/>
  <c r="BA142" i="30" s="1"/>
  <c r="BB142" i="30"/>
  <c r="BE142" i="30"/>
  <c r="BG142" i="30" s="1"/>
  <c r="BH142" i="30"/>
  <c r="BK142" i="30"/>
  <c r="BM142" i="30" s="1"/>
  <c r="BN142" i="30"/>
  <c r="BQ142" i="30"/>
  <c r="BS142" i="30" s="1"/>
  <c r="BT142" i="30"/>
  <c r="BW142" i="30"/>
  <c r="BY142" i="30" s="1"/>
  <c r="BZ142" i="30"/>
  <c r="CD142" i="30"/>
  <c r="CF142" i="30"/>
  <c r="CL142" i="30"/>
  <c r="CR142" i="30"/>
  <c r="P143" i="30"/>
  <c r="Q143" i="30" s="1"/>
  <c r="R143" i="30"/>
  <c r="U143" i="30"/>
  <c r="W143" i="30" s="1"/>
  <c r="X143" i="30"/>
  <c r="AA143" i="30"/>
  <c r="AC143" i="30"/>
  <c r="AD143" i="30"/>
  <c r="AG143" i="30"/>
  <c r="AI143" i="30" s="1"/>
  <c r="AJ143" i="30"/>
  <c r="AM143" i="30"/>
  <c r="AO143" i="30" s="1"/>
  <c r="AP143" i="30"/>
  <c r="AS143" i="30"/>
  <c r="AU143" i="30" s="1"/>
  <c r="AV143" i="30"/>
  <c r="AY143" i="30"/>
  <c r="BA143" i="30" s="1"/>
  <c r="BB143" i="30"/>
  <c r="BE143" i="30"/>
  <c r="BG143" i="30" s="1"/>
  <c r="BH143" i="30"/>
  <c r="BK143" i="30"/>
  <c r="BM143" i="30"/>
  <c r="BN143" i="30"/>
  <c r="BQ143" i="30"/>
  <c r="BS143" i="30" s="1"/>
  <c r="BT143" i="30"/>
  <c r="BW143" i="30"/>
  <c r="BY143" i="30" s="1"/>
  <c r="BZ143" i="30"/>
  <c r="CD143" i="30"/>
  <c r="CF143" i="30"/>
  <c r="CL143" i="30"/>
  <c r="CR143" i="30"/>
  <c r="P144" i="30"/>
  <c r="Q144" i="30" s="1"/>
  <c r="R144" i="30"/>
  <c r="U144" i="30"/>
  <c r="W144" i="30" s="1"/>
  <c r="X144" i="30"/>
  <c r="AA144" i="30"/>
  <c r="AC144" i="30" s="1"/>
  <c r="AD144" i="30"/>
  <c r="AG144" i="30"/>
  <c r="AI144" i="30" s="1"/>
  <c r="AJ144" i="30"/>
  <c r="AM144" i="30"/>
  <c r="AO144" i="30" s="1"/>
  <c r="AP144" i="30"/>
  <c r="AS144" i="30"/>
  <c r="AU144" i="30"/>
  <c r="AV144" i="30"/>
  <c r="AY144" i="30"/>
  <c r="BA144" i="30" s="1"/>
  <c r="BB144" i="30"/>
  <c r="BE144" i="30"/>
  <c r="BG144" i="30" s="1"/>
  <c r="BH144" i="30"/>
  <c r="BK144" i="30"/>
  <c r="BM144" i="30" s="1"/>
  <c r="BN144" i="30"/>
  <c r="BQ144" i="30"/>
  <c r="BS144" i="30" s="1"/>
  <c r="BT144" i="30"/>
  <c r="BW144" i="30"/>
  <c r="BY144" i="30" s="1"/>
  <c r="BZ144" i="30"/>
  <c r="CD144" i="30"/>
  <c r="CF144" i="30"/>
  <c r="CL144" i="30"/>
  <c r="CR144" i="30"/>
  <c r="P145" i="30"/>
  <c r="Q145" i="30" s="1"/>
  <c r="R145" i="30"/>
  <c r="U145" i="30"/>
  <c r="W145" i="30" s="1"/>
  <c r="X145" i="30"/>
  <c r="AA145" i="30"/>
  <c r="AC145" i="30" s="1"/>
  <c r="AD145" i="30"/>
  <c r="AG145" i="30"/>
  <c r="AI145" i="30" s="1"/>
  <c r="AJ145" i="30"/>
  <c r="AM145" i="30"/>
  <c r="AO145" i="30" s="1"/>
  <c r="AP145" i="30"/>
  <c r="AS145" i="30"/>
  <c r="AU145" i="30" s="1"/>
  <c r="AV145" i="30"/>
  <c r="AY145" i="30"/>
  <c r="BA145" i="30"/>
  <c r="BB145" i="30"/>
  <c r="BE145" i="30"/>
  <c r="BG145" i="30" s="1"/>
  <c r="BH145" i="30"/>
  <c r="BK145" i="30"/>
  <c r="BM145" i="30" s="1"/>
  <c r="BN145" i="30"/>
  <c r="BQ145" i="30"/>
  <c r="BS145" i="30" s="1"/>
  <c r="BT145" i="30"/>
  <c r="BW145" i="30"/>
  <c r="BY145" i="30" s="1"/>
  <c r="BZ145" i="30"/>
  <c r="CD145" i="30"/>
  <c r="CF145" i="30"/>
  <c r="CL145" i="30"/>
  <c r="CR145" i="30"/>
  <c r="P146" i="30"/>
  <c r="Q146" i="30" s="1"/>
  <c r="R146" i="30"/>
  <c r="U146" i="30"/>
  <c r="W146" i="30" s="1"/>
  <c r="X146" i="30"/>
  <c r="AA146" i="30"/>
  <c r="AC146" i="30" s="1"/>
  <c r="AD146" i="30"/>
  <c r="AG146" i="30"/>
  <c r="AI146" i="30" s="1"/>
  <c r="AJ146" i="30"/>
  <c r="AM146" i="30"/>
  <c r="AO146" i="30" s="1"/>
  <c r="AP146" i="30"/>
  <c r="AS146" i="30"/>
  <c r="AU146" i="30" s="1"/>
  <c r="AV146" i="30"/>
  <c r="AY146" i="30"/>
  <c r="BA146" i="30" s="1"/>
  <c r="BB146" i="30"/>
  <c r="BE146" i="30"/>
  <c r="BG146" i="30" s="1"/>
  <c r="BH146" i="30"/>
  <c r="BK146" i="30"/>
  <c r="BM146" i="30" s="1"/>
  <c r="BN146" i="30"/>
  <c r="BQ146" i="30"/>
  <c r="BS146" i="30" s="1"/>
  <c r="BT146" i="30"/>
  <c r="BW146" i="30"/>
  <c r="BY146" i="30" s="1"/>
  <c r="BZ146" i="30"/>
  <c r="CD146" i="30"/>
  <c r="CF146" i="30"/>
  <c r="CL146" i="30"/>
  <c r="CR146" i="30"/>
  <c r="P147" i="30"/>
  <c r="Q147" i="30" s="1"/>
  <c r="R147" i="30"/>
  <c r="U147" i="30"/>
  <c r="W147" i="30" s="1"/>
  <c r="X147" i="30"/>
  <c r="AA147" i="30"/>
  <c r="AC147" i="30" s="1"/>
  <c r="AD147" i="30"/>
  <c r="AG147" i="30"/>
  <c r="AI147" i="30" s="1"/>
  <c r="AJ147" i="30"/>
  <c r="AM147" i="30"/>
  <c r="AO147" i="30" s="1"/>
  <c r="AP147" i="30"/>
  <c r="AS147" i="30"/>
  <c r="AU147" i="30"/>
  <c r="AV147" i="30"/>
  <c r="AY147" i="30"/>
  <c r="BA147" i="30" s="1"/>
  <c r="BB147" i="30"/>
  <c r="BE147" i="30"/>
  <c r="BG147" i="30" s="1"/>
  <c r="BH147" i="30"/>
  <c r="BK147" i="30"/>
  <c r="BM147" i="30" s="1"/>
  <c r="BN147" i="30"/>
  <c r="BQ147" i="30"/>
  <c r="BS147" i="30" s="1"/>
  <c r="BT147" i="30"/>
  <c r="BW147" i="30"/>
  <c r="BY147" i="30" s="1"/>
  <c r="BZ147" i="30"/>
  <c r="CD147" i="30"/>
  <c r="CF147" i="30"/>
  <c r="CL147" i="30"/>
  <c r="CR147" i="30"/>
  <c r="P148" i="30"/>
  <c r="Q148" i="30" s="1"/>
  <c r="R148" i="30"/>
  <c r="U148" i="30"/>
  <c r="W148" i="30" s="1"/>
  <c r="X148" i="30"/>
  <c r="AA148" i="30"/>
  <c r="AC148" i="30" s="1"/>
  <c r="AD148" i="30"/>
  <c r="AG148" i="30"/>
  <c r="AI148" i="30"/>
  <c r="AJ148" i="30"/>
  <c r="AM148" i="30"/>
  <c r="AO148" i="30" s="1"/>
  <c r="AP148" i="30"/>
  <c r="AS148" i="30"/>
  <c r="AU148" i="30" s="1"/>
  <c r="AV148" i="30"/>
  <c r="AY148" i="30"/>
  <c r="BA148" i="30" s="1"/>
  <c r="BB148" i="30"/>
  <c r="BE148" i="30"/>
  <c r="BG148" i="30" s="1"/>
  <c r="BH148" i="30"/>
  <c r="BK148" i="30"/>
  <c r="BM148" i="30" s="1"/>
  <c r="BN148" i="30"/>
  <c r="BQ148" i="30"/>
  <c r="BS148" i="30" s="1"/>
  <c r="BT148" i="30"/>
  <c r="BW148" i="30"/>
  <c r="BY148" i="30" s="1"/>
  <c r="BZ148" i="30"/>
  <c r="CD148" i="30"/>
  <c r="CF148" i="30"/>
  <c r="CL148" i="30"/>
  <c r="CR148" i="30"/>
  <c r="P149" i="30"/>
  <c r="Q149" i="30" s="1"/>
  <c r="R149" i="30"/>
  <c r="U149" i="30"/>
  <c r="W149" i="30" s="1"/>
  <c r="X149" i="30"/>
  <c r="AA149" i="30"/>
  <c r="AC149" i="30" s="1"/>
  <c r="AD149" i="30"/>
  <c r="AG149" i="30"/>
  <c r="AI149" i="30" s="1"/>
  <c r="AJ149" i="30"/>
  <c r="AM149" i="30"/>
  <c r="AO149" i="30" s="1"/>
  <c r="AP149" i="30"/>
  <c r="AS149" i="30"/>
  <c r="AU149" i="30"/>
  <c r="AV149" i="30"/>
  <c r="AY149" i="30"/>
  <c r="BA149" i="30" s="1"/>
  <c r="BB149" i="30"/>
  <c r="BE149" i="30"/>
  <c r="BG149" i="30" s="1"/>
  <c r="BH149" i="30"/>
  <c r="BK149" i="30"/>
  <c r="BM149" i="30" s="1"/>
  <c r="BN149" i="30"/>
  <c r="BQ149" i="30"/>
  <c r="BS149" i="30" s="1"/>
  <c r="BT149" i="30"/>
  <c r="BW149" i="30"/>
  <c r="BY149" i="30" s="1"/>
  <c r="BZ149" i="30"/>
  <c r="CD149" i="30"/>
  <c r="CF149" i="30"/>
  <c r="CL149" i="30"/>
  <c r="CR149" i="30"/>
  <c r="P150" i="30"/>
  <c r="Q150" i="30" s="1"/>
  <c r="R150" i="30"/>
  <c r="U150" i="30"/>
  <c r="W150" i="30"/>
  <c r="X150" i="30"/>
  <c r="AA150" i="30"/>
  <c r="AC150" i="30" s="1"/>
  <c r="AD150" i="30"/>
  <c r="AG150" i="30"/>
  <c r="AI150" i="30" s="1"/>
  <c r="AJ150" i="30"/>
  <c r="AM150" i="30"/>
  <c r="AO150" i="30" s="1"/>
  <c r="AP150" i="30"/>
  <c r="AS150" i="30"/>
  <c r="AU150" i="30" s="1"/>
  <c r="AV150" i="30"/>
  <c r="AY150" i="30"/>
  <c r="BA150" i="30" s="1"/>
  <c r="BB150" i="30"/>
  <c r="BE150" i="30"/>
  <c r="BG150" i="30"/>
  <c r="BH150" i="30"/>
  <c r="BK150" i="30"/>
  <c r="BM150" i="30" s="1"/>
  <c r="BN150" i="30"/>
  <c r="BQ150" i="30"/>
  <c r="BS150" i="30" s="1"/>
  <c r="BT150" i="30"/>
  <c r="BW150" i="30"/>
  <c r="BY150" i="30" s="1"/>
  <c r="BZ150" i="30"/>
  <c r="CD150" i="30"/>
  <c r="CF150" i="30"/>
  <c r="CL150" i="30"/>
  <c r="CR150" i="30"/>
  <c r="P151" i="30"/>
  <c r="Q151" i="30" s="1"/>
  <c r="R151" i="30"/>
  <c r="U151" i="30"/>
  <c r="W151" i="30" s="1"/>
  <c r="X151" i="30"/>
  <c r="AA151" i="30"/>
  <c r="AC151" i="30" s="1"/>
  <c r="AD151" i="30"/>
  <c r="AG151" i="30"/>
  <c r="AI151" i="30" s="1"/>
  <c r="AJ151" i="30"/>
  <c r="AM151" i="30"/>
  <c r="AO151" i="30" s="1"/>
  <c r="AP151" i="30"/>
  <c r="AS151" i="30"/>
  <c r="AU151" i="30" s="1"/>
  <c r="AV151" i="30"/>
  <c r="AY151" i="30"/>
  <c r="BA151" i="30" s="1"/>
  <c r="BB151" i="30"/>
  <c r="BE151" i="30"/>
  <c r="BG151" i="30" s="1"/>
  <c r="BH151" i="30"/>
  <c r="BK151" i="30"/>
  <c r="BM151" i="30" s="1"/>
  <c r="BN151" i="30"/>
  <c r="BQ151" i="30"/>
  <c r="BS151" i="30" s="1"/>
  <c r="BT151" i="30"/>
  <c r="BW151" i="30"/>
  <c r="BY151" i="30" s="1"/>
  <c r="BZ151" i="30"/>
  <c r="CD151" i="30"/>
  <c r="CF151" i="30"/>
  <c r="CL151" i="30"/>
  <c r="CR151" i="30"/>
  <c r="B55" i="5"/>
  <c r="J80" i="5" l="1"/>
  <c r="V138" i="29"/>
  <c r="G9" i="29"/>
  <c r="G6" i="29"/>
  <c r="G11" i="29"/>
  <c r="G8" i="29"/>
  <c r="G31" i="29"/>
  <c r="G28" i="29"/>
  <c r="G30" i="29"/>
  <c r="W78" i="29"/>
  <c r="W76" i="29"/>
  <c r="W80" i="29"/>
  <c r="W77" i="29"/>
  <c r="W81" i="29"/>
  <c r="G10" i="29"/>
  <c r="O22" i="29"/>
  <c r="O23" i="29"/>
  <c r="O24" i="29"/>
  <c r="G53" i="29"/>
  <c r="G55" i="29"/>
  <c r="G56" i="29"/>
  <c r="G54" i="29"/>
  <c r="V147" i="29"/>
  <c r="U150" i="29"/>
  <c r="U152" i="29"/>
  <c r="G7" i="29"/>
  <c r="G29" i="29"/>
  <c r="W79" i="29"/>
  <c r="I139" i="29"/>
  <c r="T143" i="29" s="1"/>
  <c r="G46" i="29"/>
  <c r="O62" i="29"/>
  <c r="G73" i="29"/>
  <c r="G141" i="29" s="1"/>
  <c r="G71" i="29"/>
  <c r="G139" i="29" s="1"/>
  <c r="G69" i="29"/>
  <c r="G137" i="29" s="1"/>
  <c r="G72" i="29"/>
  <c r="G140" i="29" s="1"/>
  <c r="G161" i="29"/>
  <c r="E160" i="29"/>
  <c r="C159" i="29"/>
  <c r="E157" i="29"/>
  <c r="B156" i="29"/>
  <c r="B155" i="29"/>
  <c r="C154" i="29"/>
  <c r="C149" i="29"/>
  <c r="C148" i="29"/>
  <c r="F147" i="29"/>
  <c r="G145" i="29"/>
  <c r="B143" i="29"/>
  <c r="F142" i="29"/>
  <c r="F141" i="29"/>
  <c r="F139" i="29"/>
  <c r="B138" i="29"/>
  <c r="W134" i="29" s="1"/>
  <c r="E137" i="29"/>
  <c r="E136" i="29"/>
  <c r="E135" i="29"/>
  <c r="F134" i="29"/>
  <c r="A178" i="29"/>
  <c r="N165" i="29" s="1"/>
  <c r="O178" i="29" s="1"/>
  <c r="F161" i="29"/>
  <c r="D160" i="29"/>
  <c r="B159" i="29"/>
  <c r="D157" i="29"/>
  <c r="B154" i="29"/>
  <c r="G150" i="29"/>
  <c r="B149" i="29"/>
  <c r="B148" i="29"/>
  <c r="W146" i="29" s="1"/>
  <c r="E147" i="29"/>
  <c r="F146" i="29"/>
  <c r="F145" i="29"/>
  <c r="G144" i="29"/>
  <c r="B142" i="29"/>
  <c r="E141" i="29"/>
  <c r="E139" i="29"/>
  <c r="B132" i="29"/>
  <c r="G49" i="29"/>
  <c r="W19" i="29"/>
  <c r="W15" i="29"/>
  <c r="B145" i="29"/>
  <c r="D146" i="29"/>
  <c r="F148" i="29"/>
  <c r="B150" i="29"/>
  <c r="B152" i="29"/>
  <c r="U138" i="29" s="1"/>
  <c r="D153" i="29"/>
  <c r="F156" i="29"/>
  <c r="D158" i="29"/>
  <c r="B160" i="29"/>
  <c r="G70" i="29"/>
  <c r="G138" i="29" s="1"/>
  <c r="O87" i="29"/>
  <c r="C135" i="29"/>
  <c r="D136" i="29"/>
  <c r="F137" i="29"/>
  <c r="E138" i="29"/>
  <c r="C139" i="29"/>
  <c r="B140" i="29"/>
  <c r="B144" i="29"/>
  <c r="C145" i="29"/>
  <c r="E146" i="29"/>
  <c r="G148" i="29"/>
  <c r="F150" i="29"/>
  <c r="C152" i="29"/>
  <c r="E153" i="29"/>
  <c r="G156" i="29"/>
  <c r="E158" i="29"/>
  <c r="C160" i="29"/>
  <c r="O9" i="29"/>
  <c r="G15" i="29"/>
  <c r="G18" i="29"/>
  <c r="O31" i="29"/>
  <c r="G41" i="29"/>
  <c r="G48" i="29"/>
  <c r="W62" i="29"/>
  <c r="G79" i="29"/>
  <c r="G147" i="29" s="1"/>
  <c r="B133" i="29"/>
  <c r="D135" i="29"/>
  <c r="F136" i="29"/>
  <c r="F138" i="29"/>
  <c r="D139" i="29"/>
  <c r="C140" i="29"/>
  <c r="C143" i="29"/>
  <c r="C144" i="29"/>
  <c r="D145" i="29"/>
  <c r="D152" i="29"/>
  <c r="F153" i="29"/>
  <c r="C155" i="29"/>
  <c r="F158" i="29"/>
  <c r="F160" i="29"/>
  <c r="W16" i="29"/>
  <c r="O81" i="29"/>
  <c r="O77" i="29"/>
  <c r="O76" i="29"/>
  <c r="O86" i="29"/>
  <c r="G93" i="29"/>
  <c r="B134" i="29"/>
  <c r="G136" i="29"/>
  <c r="D140" i="29"/>
  <c r="B141" i="29"/>
  <c r="D143" i="29"/>
  <c r="D144" i="29"/>
  <c r="E145" i="29"/>
  <c r="E152" i="29"/>
  <c r="G153" i="29"/>
  <c r="D155" i="29"/>
  <c r="G158" i="29"/>
  <c r="G160" i="29"/>
  <c r="W11" i="29"/>
  <c r="W7" i="29"/>
  <c r="W9" i="29"/>
  <c r="W31" i="29"/>
  <c r="G50" i="29"/>
  <c r="G60" i="29"/>
  <c r="O79" i="29"/>
  <c r="G134" i="29"/>
  <c r="P138" i="29"/>
  <c r="O138" i="29"/>
  <c r="E140" i="29"/>
  <c r="C141" i="29"/>
  <c r="G142" i="29"/>
  <c r="E143" i="29"/>
  <c r="E144" i="29"/>
  <c r="D149" i="29"/>
  <c r="B151" i="29"/>
  <c r="F152" i="29"/>
  <c r="D154" i="29"/>
  <c r="E155" i="29"/>
  <c r="B157" i="29"/>
  <c r="D159" i="29"/>
  <c r="B161" i="29"/>
  <c r="O8" i="29"/>
  <c r="O11" i="29"/>
  <c r="W18" i="29"/>
  <c r="G40" i="29"/>
  <c r="W61" i="29"/>
  <c r="G78" i="29"/>
  <c r="G146" i="29" s="1"/>
  <c r="G81" i="29"/>
  <c r="G149" i="29" s="1"/>
  <c r="F140" i="29"/>
  <c r="D141" i="29"/>
  <c r="F144" i="29"/>
  <c r="B147" i="29"/>
  <c r="E149" i="29"/>
  <c r="C151" i="29"/>
  <c r="G152" i="29"/>
  <c r="E154" i="29"/>
  <c r="F155" i="29"/>
  <c r="C157" i="29"/>
  <c r="E159" i="29"/>
  <c r="C161" i="29"/>
  <c r="G332" i="27"/>
  <c r="G319" i="27"/>
  <c r="G306" i="27"/>
  <c r="CC20" i="30"/>
  <c r="CK11" i="30"/>
  <c r="CK26" i="30" s="1"/>
  <c r="CK41" i="30" s="1"/>
  <c r="CK56" i="30" s="1"/>
  <c r="CK71" i="30" s="1"/>
  <c r="CK86" i="30" s="1"/>
  <c r="CK101" i="30" s="1"/>
  <c r="CK116" i="30" s="1"/>
  <c r="CK131" i="30" s="1"/>
  <c r="CK146" i="30" s="1"/>
  <c r="CI27" i="30"/>
  <c r="CI42" i="30" s="1"/>
  <c r="CI57" i="30" s="1"/>
  <c r="CI72" i="30" s="1"/>
  <c r="CI87" i="30" s="1"/>
  <c r="CI102" i="30" s="1"/>
  <c r="CI117" i="30" s="1"/>
  <c r="CI132" i="30" s="1"/>
  <c r="CI147" i="30" s="1"/>
  <c r="CC44" i="30"/>
  <c r="CC59" i="30" s="1"/>
  <c r="CC74" i="30" s="1"/>
  <c r="CC88" i="30" s="1"/>
  <c r="CC103" i="30" s="1"/>
  <c r="CC118" i="30" s="1"/>
  <c r="CC133" i="30" s="1"/>
  <c r="CC148" i="30" s="1"/>
  <c r="CK6" i="30"/>
  <c r="CK21" i="30" s="1"/>
  <c r="CK36" i="30" s="1"/>
  <c r="CK51" i="30" s="1"/>
  <c r="CK66" i="30" s="1"/>
  <c r="CK81" i="30" s="1"/>
  <c r="CK96" i="30" s="1"/>
  <c r="CK111" i="30" s="1"/>
  <c r="CK126" i="30" s="1"/>
  <c r="CK141" i="30" s="1"/>
  <c r="BE124" i="30"/>
  <c r="BE139" i="30" s="1"/>
  <c r="CP87" i="30"/>
  <c r="CP102" i="30" s="1"/>
  <c r="CP117" i="30" s="1"/>
  <c r="CP132" i="30" s="1"/>
  <c r="CP147" i="30" s="1"/>
  <c r="CP72" i="30"/>
  <c r="CJ89" i="30"/>
  <c r="CJ104" i="30" s="1"/>
  <c r="CJ119" i="30" s="1"/>
  <c r="CJ134" i="30" s="1"/>
  <c r="CJ149" i="30" s="1"/>
  <c r="CJ74" i="30"/>
  <c r="CJ71" i="30"/>
  <c r="CJ86" i="30"/>
  <c r="CJ101" i="30" s="1"/>
  <c r="CJ116" i="30" s="1"/>
  <c r="CJ131" i="30" s="1"/>
  <c r="CJ146" i="30" s="1"/>
  <c r="CC28" i="30"/>
  <c r="CI31" i="30"/>
  <c r="CI46" i="30" s="1"/>
  <c r="CI61" i="30" s="1"/>
  <c r="CI76" i="30" s="1"/>
  <c r="CI91" i="30" s="1"/>
  <c r="CI106" i="30" s="1"/>
  <c r="CI121" i="30" s="1"/>
  <c r="CI136" i="30" s="1"/>
  <c r="CI151" i="30" s="1"/>
  <c r="CO22" i="30"/>
  <c r="CO37" i="30" s="1"/>
  <c r="CO52" i="30" s="1"/>
  <c r="CO82" i="30" s="1"/>
  <c r="CO97" i="30" s="1"/>
  <c r="CO112" i="30" s="1"/>
  <c r="CO127" i="30" s="1"/>
  <c r="CO142" i="30" s="1"/>
  <c r="CP76" i="30"/>
  <c r="CI25" i="30"/>
  <c r="CI40" i="30" s="1"/>
  <c r="CI55" i="30" s="1"/>
  <c r="CI70" i="30" s="1"/>
  <c r="CI85" i="30" s="1"/>
  <c r="CI100" i="30" s="1"/>
  <c r="CI115" i="30" s="1"/>
  <c r="CI130" i="30" s="1"/>
  <c r="CI145" i="30" s="1"/>
  <c r="CJ88" i="30"/>
  <c r="CJ103" i="30" s="1"/>
  <c r="CJ118" i="30" s="1"/>
  <c r="CJ133" i="30" s="1"/>
  <c r="CJ148" i="30" s="1"/>
  <c r="CJ73" i="30"/>
  <c r="CJ80" i="30"/>
  <c r="CJ95" i="30" s="1"/>
  <c r="CJ110" i="30" s="1"/>
  <c r="CJ125" i="30" s="1"/>
  <c r="CJ140" i="30" s="1"/>
  <c r="CC42" i="30"/>
  <c r="CC57" i="30" s="1"/>
  <c r="CC72" i="30" s="1"/>
  <c r="CC86" i="30" s="1"/>
  <c r="CC101" i="30" s="1"/>
  <c r="CC116" i="30" s="1"/>
  <c r="CC131" i="30" s="1"/>
  <c r="CC146" i="30" s="1"/>
  <c r="CQ6" i="30"/>
  <c r="CQ21" i="30" s="1"/>
  <c r="CQ36" i="30" s="1"/>
  <c r="CQ51" i="30" s="1"/>
  <c r="CQ66" i="30" s="1"/>
  <c r="CQ81" i="30" s="1"/>
  <c r="CQ96" i="30" s="1"/>
  <c r="CQ111" i="30" s="1"/>
  <c r="CQ126" i="30" s="1"/>
  <c r="CQ141" i="30" s="1"/>
  <c r="CO21" i="30"/>
  <c r="CO36" i="30" s="1"/>
  <c r="CO51" i="30" s="1"/>
  <c r="CO66" i="30" s="1"/>
  <c r="CK14" i="30"/>
  <c r="CK29" i="30" s="1"/>
  <c r="CK44" i="30" s="1"/>
  <c r="CK59" i="30" s="1"/>
  <c r="CK74" i="30" s="1"/>
  <c r="CK89" i="30" s="1"/>
  <c r="CK104" i="30" s="1"/>
  <c r="CK119" i="30" s="1"/>
  <c r="CK134" i="30" s="1"/>
  <c r="CK149" i="30" s="1"/>
  <c r="CI29" i="30"/>
  <c r="CI44" i="30" s="1"/>
  <c r="CI59" i="30" s="1"/>
  <c r="CI74" i="30" s="1"/>
  <c r="CI89" i="30" s="1"/>
  <c r="CI104" i="30" s="1"/>
  <c r="CI119" i="30" s="1"/>
  <c r="CI134" i="30" s="1"/>
  <c r="CI149" i="30" s="1"/>
  <c r="CP75" i="30"/>
  <c r="CJ85" i="30"/>
  <c r="CJ100" i="30" s="1"/>
  <c r="CJ115" i="30" s="1"/>
  <c r="CJ130" i="30" s="1"/>
  <c r="CJ145" i="30" s="1"/>
  <c r="CJ70" i="30"/>
  <c r="CQ13" i="30"/>
  <c r="CQ28" i="30" s="1"/>
  <c r="CQ43" i="30" s="1"/>
  <c r="CQ58" i="30" s="1"/>
  <c r="CQ73" i="30" s="1"/>
  <c r="CQ88" i="30" s="1"/>
  <c r="CQ103" i="30" s="1"/>
  <c r="CQ118" i="30" s="1"/>
  <c r="CQ133" i="30" s="1"/>
  <c r="CQ148" i="30" s="1"/>
  <c r="CO28" i="30"/>
  <c r="CO43" i="30" s="1"/>
  <c r="CO58" i="30" s="1"/>
  <c r="CK8" i="30"/>
  <c r="CK23" i="30" s="1"/>
  <c r="CK38" i="30" s="1"/>
  <c r="CK53" i="30" s="1"/>
  <c r="CK68" i="30" s="1"/>
  <c r="CK83" i="30" s="1"/>
  <c r="CK98" i="30" s="1"/>
  <c r="CK113" i="30" s="1"/>
  <c r="CK128" i="30" s="1"/>
  <c r="CK143" i="30" s="1"/>
  <c r="CJ67" i="30"/>
  <c r="CK15" i="30"/>
  <c r="CK30" i="30" s="1"/>
  <c r="CK45" i="30" s="1"/>
  <c r="CK60" i="30" s="1"/>
  <c r="CK75" i="30" s="1"/>
  <c r="CK90" i="30" s="1"/>
  <c r="CK105" i="30" s="1"/>
  <c r="CK120" i="30" s="1"/>
  <c r="CK135" i="30" s="1"/>
  <c r="CK150" i="30" s="1"/>
  <c r="CI30" i="30"/>
  <c r="CI45" i="30" s="1"/>
  <c r="CI60" i="30" s="1"/>
  <c r="CI75" i="30" s="1"/>
  <c r="CI90" i="30" s="1"/>
  <c r="CI105" i="30" s="1"/>
  <c r="CI120" i="30" s="1"/>
  <c r="CI135" i="30" s="1"/>
  <c r="CI150" i="30" s="1"/>
  <c r="CP82" i="30"/>
  <c r="CP97" i="30" s="1"/>
  <c r="CP112" i="30" s="1"/>
  <c r="CP127" i="30" s="1"/>
  <c r="CP142" i="30" s="1"/>
  <c r="CP67" i="30"/>
  <c r="CO23" i="30"/>
  <c r="CO38" i="30" s="1"/>
  <c r="CO53" i="30" s="1"/>
  <c r="CO83" i="30" s="1"/>
  <c r="CO98" i="30" s="1"/>
  <c r="CO113" i="30" s="1"/>
  <c r="CO128" i="30" s="1"/>
  <c r="CO143" i="30" s="1"/>
  <c r="CJ83" i="30"/>
  <c r="CJ98" i="30" s="1"/>
  <c r="CJ113" i="30" s="1"/>
  <c r="CJ128" i="30" s="1"/>
  <c r="CJ143" i="30" s="1"/>
  <c r="CJ68" i="30"/>
  <c r="CP89" i="30"/>
  <c r="CP104" i="30" s="1"/>
  <c r="CP119" i="30" s="1"/>
  <c r="CP134" i="30" s="1"/>
  <c r="CP149" i="30" s="1"/>
  <c r="CQ9" i="30"/>
  <c r="CQ24" i="30" s="1"/>
  <c r="CQ39" i="30" s="1"/>
  <c r="CQ54" i="30" s="1"/>
  <c r="CQ69" i="30" s="1"/>
  <c r="CQ84" i="30" s="1"/>
  <c r="CQ99" i="30" s="1"/>
  <c r="CQ114" i="30" s="1"/>
  <c r="CQ129" i="30" s="1"/>
  <c r="CQ144" i="30" s="1"/>
  <c r="CP70" i="30"/>
  <c r="CP85" i="30"/>
  <c r="CP100" i="30" s="1"/>
  <c r="CP115" i="30" s="1"/>
  <c r="CP130" i="30" s="1"/>
  <c r="CP145" i="30" s="1"/>
  <c r="CJ66" i="30"/>
  <c r="CJ91" i="30"/>
  <c r="CJ106" i="30" s="1"/>
  <c r="CJ121" i="30" s="1"/>
  <c r="CJ136" i="30" s="1"/>
  <c r="CJ151" i="30" s="1"/>
  <c r="CJ76" i="30"/>
  <c r="CO84" i="30"/>
  <c r="CO99" i="30" s="1"/>
  <c r="CO114" i="30" s="1"/>
  <c r="CO129" i="30" s="1"/>
  <c r="CO144" i="30" s="1"/>
  <c r="CO69" i="30"/>
  <c r="CD58" i="30"/>
  <c r="CD43" i="30" s="1"/>
  <c r="CD28" i="30" s="1"/>
  <c r="CD13" i="30" s="1"/>
  <c r="CE13" i="30" s="1"/>
  <c r="CE28" i="30" s="1"/>
  <c r="CE43" i="30" s="1"/>
  <c r="CE58" i="30" s="1"/>
  <c r="CE73" i="30" s="1"/>
  <c r="CE88" i="30" s="1"/>
  <c r="CE103" i="30" s="1"/>
  <c r="CE118" i="30" s="1"/>
  <c r="CE133" i="30" s="1"/>
  <c r="CE148" i="30" s="1"/>
  <c r="CD73" i="30"/>
  <c r="CJ90" i="30"/>
  <c r="CJ105" i="30" s="1"/>
  <c r="CJ120" i="30" s="1"/>
  <c r="CJ135" i="30" s="1"/>
  <c r="CJ150" i="30" s="1"/>
  <c r="CJ75" i="30"/>
  <c r="CO25" i="30"/>
  <c r="CO40" i="30" s="1"/>
  <c r="CO55" i="30" s="1"/>
  <c r="CQ10" i="30"/>
  <c r="CQ25" i="30" s="1"/>
  <c r="CQ40" i="30" s="1"/>
  <c r="CQ55" i="30" s="1"/>
  <c r="CQ70" i="30" s="1"/>
  <c r="CQ85" i="30" s="1"/>
  <c r="CQ100" i="30" s="1"/>
  <c r="CQ115" i="30" s="1"/>
  <c r="CQ130" i="30" s="1"/>
  <c r="CQ145" i="30" s="1"/>
  <c r="CO65" i="30"/>
  <c r="CO80" i="30"/>
  <c r="CO95" i="30" s="1"/>
  <c r="CO110" i="30" s="1"/>
  <c r="CO125" i="30" s="1"/>
  <c r="CO140" i="30" s="1"/>
  <c r="CQ14" i="30"/>
  <c r="CQ29" i="30" s="1"/>
  <c r="CQ44" i="30" s="1"/>
  <c r="CQ59" i="30" s="1"/>
  <c r="CQ74" i="30" s="1"/>
  <c r="CQ89" i="30" s="1"/>
  <c r="CQ104" i="30" s="1"/>
  <c r="CQ119" i="30" s="1"/>
  <c r="CQ134" i="30" s="1"/>
  <c r="CQ149" i="30" s="1"/>
  <c r="CO29" i="30"/>
  <c r="CO44" i="30" s="1"/>
  <c r="CO59" i="30" s="1"/>
  <c r="CK7" i="30"/>
  <c r="CK22" i="30" s="1"/>
  <c r="CK37" i="30" s="1"/>
  <c r="CK52" i="30" s="1"/>
  <c r="CK67" i="30" s="1"/>
  <c r="CK82" i="30" s="1"/>
  <c r="CK97" i="30" s="1"/>
  <c r="CK112" i="30" s="1"/>
  <c r="CK127" i="30" s="1"/>
  <c r="CK142" i="30" s="1"/>
  <c r="CI22" i="30"/>
  <c r="CI37" i="30" s="1"/>
  <c r="CI52" i="30" s="1"/>
  <c r="CI67" i="30" s="1"/>
  <c r="CI82" i="30" s="1"/>
  <c r="CI97" i="30" s="1"/>
  <c r="CI112" i="30" s="1"/>
  <c r="CI127" i="30" s="1"/>
  <c r="CI142" i="30" s="1"/>
  <c r="CQ16" i="30"/>
  <c r="CQ31" i="30" s="1"/>
  <c r="CQ46" i="30" s="1"/>
  <c r="CQ61" i="30" s="1"/>
  <c r="CQ76" i="30" s="1"/>
  <c r="CQ91" i="30" s="1"/>
  <c r="CQ106" i="30" s="1"/>
  <c r="CQ121" i="30" s="1"/>
  <c r="CQ136" i="30" s="1"/>
  <c r="CQ151" i="30" s="1"/>
  <c r="CO31" i="30"/>
  <c r="CO46" i="30" s="1"/>
  <c r="CO61" i="30" s="1"/>
  <c r="CI28" i="30"/>
  <c r="CI43" i="30" s="1"/>
  <c r="CI58" i="30" s="1"/>
  <c r="CI73" i="30" s="1"/>
  <c r="CI88" i="30" s="1"/>
  <c r="CI103" i="30" s="1"/>
  <c r="CI118" i="30" s="1"/>
  <c r="CI133" i="30" s="1"/>
  <c r="CI148" i="30" s="1"/>
  <c r="CK13" i="30"/>
  <c r="CK28" i="30" s="1"/>
  <c r="CK43" i="30" s="1"/>
  <c r="CK58" i="30" s="1"/>
  <c r="CK73" i="30" s="1"/>
  <c r="CK88" i="30" s="1"/>
  <c r="CK103" i="30" s="1"/>
  <c r="CK118" i="30" s="1"/>
  <c r="CK133" i="30" s="1"/>
  <c r="CK148" i="30" s="1"/>
  <c r="CD65" i="30"/>
  <c r="CD55" i="30"/>
  <c r="CD40" i="30" s="1"/>
  <c r="CD25" i="30" s="1"/>
  <c r="CD10" i="30" s="1"/>
  <c r="CE10" i="30" s="1"/>
  <c r="CE25" i="30" s="1"/>
  <c r="CE40" i="30" s="1"/>
  <c r="CE55" i="30" s="1"/>
  <c r="CE70" i="30" s="1"/>
  <c r="CE85" i="30" s="1"/>
  <c r="CE100" i="30" s="1"/>
  <c r="CE115" i="30" s="1"/>
  <c r="CE130" i="30" s="1"/>
  <c r="CE145" i="30" s="1"/>
  <c r="CD70" i="30"/>
  <c r="CP73" i="30"/>
  <c r="CP88" i="30"/>
  <c r="CP103" i="30" s="1"/>
  <c r="CP118" i="30" s="1"/>
  <c r="CP133" i="30" s="1"/>
  <c r="CP148" i="30" s="1"/>
  <c r="CD56" i="30"/>
  <c r="CD41" i="30" s="1"/>
  <c r="CD26" i="30" s="1"/>
  <c r="CD11" i="30" s="1"/>
  <c r="CE11" i="30" s="1"/>
  <c r="CE26" i="30" s="1"/>
  <c r="CE41" i="30" s="1"/>
  <c r="CE56" i="30" s="1"/>
  <c r="CE71" i="30" s="1"/>
  <c r="CE86" i="30" s="1"/>
  <c r="CE101" i="30" s="1"/>
  <c r="CE116" i="30" s="1"/>
  <c r="CE131" i="30" s="1"/>
  <c r="CE146" i="30" s="1"/>
  <c r="CD71" i="30"/>
  <c r="CD52" i="30"/>
  <c r="CD37" i="30" s="1"/>
  <c r="CD22" i="30" s="1"/>
  <c r="CD7" i="30" s="1"/>
  <c r="CE7" i="30" s="1"/>
  <c r="CE22" i="30" s="1"/>
  <c r="CE37" i="30" s="1"/>
  <c r="CE52" i="30" s="1"/>
  <c r="CE67" i="30" s="1"/>
  <c r="CE82" i="30" s="1"/>
  <c r="CE97" i="30" s="1"/>
  <c r="CE112" i="30" s="1"/>
  <c r="CE127" i="30" s="1"/>
  <c r="CE142" i="30" s="1"/>
  <c r="CD67" i="30"/>
  <c r="CP84" i="30"/>
  <c r="CP99" i="30" s="1"/>
  <c r="CP114" i="30" s="1"/>
  <c r="CP129" i="30" s="1"/>
  <c r="CP144" i="30" s="1"/>
  <c r="CP69" i="30"/>
  <c r="CD76" i="30"/>
  <c r="CD61" i="30"/>
  <c r="CD46" i="30" s="1"/>
  <c r="CD31" i="30" s="1"/>
  <c r="CD16" i="30" s="1"/>
  <c r="CE16" i="30" s="1"/>
  <c r="CE31" i="30" s="1"/>
  <c r="CE46" i="30" s="1"/>
  <c r="CE61" i="30" s="1"/>
  <c r="CE76" i="30" s="1"/>
  <c r="CE91" i="30" s="1"/>
  <c r="CE106" i="30" s="1"/>
  <c r="CE121" i="30" s="1"/>
  <c r="CE136" i="30" s="1"/>
  <c r="CE151" i="30" s="1"/>
  <c r="CP86" i="30"/>
  <c r="CP101" i="30" s="1"/>
  <c r="CP116" i="30" s="1"/>
  <c r="CP131" i="30" s="1"/>
  <c r="CP146" i="30" s="1"/>
  <c r="CP71" i="30"/>
  <c r="CC37" i="30"/>
  <c r="CC52" i="30" s="1"/>
  <c r="CC67" i="30" s="1"/>
  <c r="CC81" i="30" s="1"/>
  <c r="CC96" i="30" s="1"/>
  <c r="CC111" i="30" s="1"/>
  <c r="CC126" i="30" s="1"/>
  <c r="CC141" i="30" s="1"/>
  <c r="CC22" i="30"/>
  <c r="CD57" i="30"/>
  <c r="CD42" i="30" s="1"/>
  <c r="CD27" i="30" s="1"/>
  <c r="CD12" i="30" s="1"/>
  <c r="CE12" i="30" s="1"/>
  <c r="CE27" i="30" s="1"/>
  <c r="CE42" i="30" s="1"/>
  <c r="CE57" i="30" s="1"/>
  <c r="CE72" i="30" s="1"/>
  <c r="CE87" i="30" s="1"/>
  <c r="CE102" i="30" s="1"/>
  <c r="CE117" i="30" s="1"/>
  <c r="CE132" i="30" s="1"/>
  <c r="CE147" i="30" s="1"/>
  <c r="CP68" i="30"/>
  <c r="CP83" i="30"/>
  <c r="CP98" i="30" s="1"/>
  <c r="CP113" i="30" s="1"/>
  <c r="CP128" i="30" s="1"/>
  <c r="CP143" i="30" s="1"/>
  <c r="CI20" i="30"/>
  <c r="CI35" i="30" s="1"/>
  <c r="CI50" i="30" s="1"/>
  <c r="CK5" i="30"/>
  <c r="CK20" i="30" s="1"/>
  <c r="CK35" i="30" s="1"/>
  <c r="CK50" i="30" s="1"/>
  <c r="CD69" i="30"/>
  <c r="CD54" i="30"/>
  <c r="CD39" i="30" s="1"/>
  <c r="CD24" i="30" s="1"/>
  <c r="CD9" i="30" s="1"/>
  <c r="CE9" i="30" s="1"/>
  <c r="CE24" i="30" s="1"/>
  <c r="CE39" i="30" s="1"/>
  <c r="CE54" i="30" s="1"/>
  <c r="CE69" i="30" s="1"/>
  <c r="CE84" i="30" s="1"/>
  <c r="CE99" i="30" s="1"/>
  <c r="CE114" i="30" s="1"/>
  <c r="CE129" i="30" s="1"/>
  <c r="CE144" i="30" s="1"/>
  <c r="CJ72" i="30"/>
  <c r="CJ87" i="30"/>
  <c r="CJ102" i="30" s="1"/>
  <c r="CJ117" i="30" s="1"/>
  <c r="CJ132" i="30" s="1"/>
  <c r="CJ147" i="30" s="1"/>
  <c r="CD51" i="30"/>
  <c r="CD36" i="30" s="1"/>
  <c r="CD21" i="30" s="1"/>
  <c r="CD6" i="30" s="1"/>
  <c r="CE6" i="30" s="1"/>
  <c r="CE21" i="30" s="1"/>
  <c r="CE36" i="30" s="1"/>
  <c r="CE51" i="30" s="1"/>
  <c r="CE66" i="30" s="1"/>
  <c r="CD68" i="30"/>
  <c r="CP81" i="30"/>
  <c r="CP96" i="30" s="1"/>
  <c r="CP111" i="30" s="1"/>
  <c r="CP126" i="30" s="1"/>
  <c r="CP141" i="30" s="1"/>
  <c r="CJ84" i="30"/>
  <c r="CJ99" i="30" s="1"/>
  <c r="CJ114" i="30" s="1"/>
  <c r="CJ129" i="30" s="1"/>
  <c r="CJ144" i="30" s="1"/>
  <c r="CJ69" i="30"/>
  <c r="CQ11" i="30"/>
  <c r="CQ26" i="30" s="1"/>
  <c r="CQ41" i="30" s="1"/>
  <c r="CQ56" i="30" s="1"/>
  <c r="CQ71" i="30" s="1"/>
  <c r="CQ86" i="30" s="1"/>
  <c r="CQ101" i="30" s="1"/>
  <c r="CQ116" i="30" s="1"/>
  <c r="CQ131" i="30" s="1"/>
  <c r="CQ146" i="30" s="1"/>
  <c r="CO26" i="30"/>
  <c r="CO41" i="30" s="1"/>
  <c r="CO56" i="30" s="1"/>
  <c r="CC25" i="30"/>
  <c r="CC24" i="30"/>
  <c r="CC21" i="30"/>
  <c r="CQ65" i="30"/>
  <c r="CQ80" i="30"/>
  <c r="CQ95" i="30" s="1"/>
  <c r="CQ110" i="30" s="1"/>
  <c r="CQ125" i="30" s="1"/>
  <c r="CQ140" i="30" s="1"/>
  <c r="CP65" i="30"/>
  <c r="CP80" i="30"/>
  <c r="CP95" i="30" s="1"/>
  <c r="CP110" i="30" s="1"/>
  <c r="CP125" i="30" s="1"/>
  <c r="CP140" i="30" s="1"/>
  <c r="CC46" i="30"/>
  <c r="CC61" i="30" s="1"/>
  <c r="CC76" i="30" s="1"/>
  <c r="CC90" i="30" s="1"/>
  <c r="CC105" i="30" s="1"/>
  <c r="CC120" i="30" s="1"/>
  <c r="CC135" i="30" s="1"/>
  <c r="CC150" i="30" s="1"/>
  <c r="CQ15" i="30"/>
  <c r="CQ30" i="30" s="1"/>
  <c r="CQ45" i="30" s="1"/>
  <c r="CQ60" i="30" s="1"/>
  <c r="CQ75" i="30" s="1"/>
  <c r="CQ90" i="30" s="1"/>
  <c r="CQ105" i="30" s="1"/>
  <c r="CQ120" i="30" s="1"/>
  <c r="CQ135" i="30" s="1"/>
  <c r="CQ150" i="30" s="1"/>
  <c r="CO30" i="30"/>
  <c r="CO45" i="30" s="1"/>
  <c r="CO60" i="30" s="1"/>
  <c r="CD60" i="30"/>
  <c r="CD45" i="30" s="1"/>
  <c r="CD30" i="30" s="1"/>
  <c r="CD15" i="30" s="1"/>
  <c r="CE15" i="30" s="1"/>
  <c r="CE30" i="30" s="1"/>
  <c r="CE45" i="30" s="1"/>
  <c r="CE60" i="30" s="1"/>
  <c r="CE75" i="30" s="1"/>
  <c r="CE90" i="30" s="1"/>
  <c r="CE105" i="30" s="1"/>
  <c r="CE120" i="30" s="1"/>
  <c r="CE135" i="30" s="1"/>
  <c r="CE150" i="30" s="1"/>
  <c r="CD75" i="30"/>
  <c r="CC45" i="30"/>
  <c r="CC60" i="30" s="1"/>
  <c r="CC75" i="30" s="1"/>
  <c r="CC89" i="30" s="1"/>
  <c r="CC104" i="30" s="1"/>
  <c r="CC119" i="30" s="1"/>
  <c r="CC134" i="30" s="1"/>
  <c r="CC149" i="30" s="1"/>
  <c r="CO27" i="30"/>
  <c r="CO42" i="30" s="1"/>
  <c r="CO57" i="30" s="1"/>
  <c r="CQ12" i="30"/>
  <c r="CQ27" i="30" s="1"/>
  <c r="CQ42" i="30" s="1"/>
  <c r="CQ57" i="30" s="1"/>
  <c r="CQ72" i="30" s="1"/>
  <c r="CQ87" i="30" s="1"/>
  <c r="CQ102" i="30" s="1"/>
  <c r="CQ117" i="30" s="1"/>
  <c r="CQ132" i="30" s="1"/>
  <c r="CQ147" i="30" s="1"/>
  <c r="CC26" i="30"/>
  <c r="CC41" i="30"/>
  <c r="CC56" i="30" s="1"/>
  <c r="CC71" i="30" s="1"/>
  <c r="CC85" i="30" s="1"/>
  <c r="CC100" i="30" s="1"/>
  <c r="CC115" i="30" s="1"/>
  <c r="CC130" i="30" s="1"/>
  <c r="CC145" i="30" s="1"/>
  <c r="CD74" i="30"/>
  <c r="CD59" i="30"/>
  <c r="CD44" i="30" s="1"/>
  <c r="CD29" i="30" s="1"/>
  <c r="CD14" i="30" s="1"/>
  <c r="CE14" i="30" s="1"/>
  <c r="CE29" i="30" s="1"/>
  <c r="CE44" i="30" s="1"/>
  <c r="CE59" i="30" s="1"/>
  <c r="CE74" i="30" s="1"/>
  <c r="CE89" i="30" s="1"/>
  <c r="CE104" i="30" s="1"/>
  <c r="CE119" i="30" s="1"/>
  <c r="CE134" i="30" s="1"/>
  <c r="CE149" i="30" s="1"/>
  <c r="CI24" i="30"/>
  <c r="CI39" i="30" s="1"/>
  <c r="CI54" i="30" s="1"/>
  <c r="CI69" i="30" s="1"/>
  <c r="CI84" i="30" s="1"/>
  <c r="CI99" i="30" s="1"/>
  <c r="CI114" i="30" s="1"/>
  <c r="CI129" i="30" s="1"/>
  <c r="CI144" i="30" s="1"/>
  <c r="CK9" i="30"/>
  <c r="CK24" i="30" s="1"/>
  <c r="CK39" i="30" s="1"/>
  <c r="CK54" i="30" s="1"/>
  <c r="CK69" i="30" s="1"/>
  <c r="CK84" i="30" s="1"/>
  <c r="CK99" i="30" s="1"/>
  <c r="CK114" i="30" s="1"/>
  <c r="CK129" i="30" s="1"/>
  <c r="CK144" i="30" s="1"/>
  <c r="CE8" i="30"/>
  <c r="CE23" i="30" s="1"/>
  <c r="CE38" i="30" s="1"/>
  <c r="CE53" i="30" s="1"/>
  <c r="CE68" i="30" s="1"/>
  <c r="CE83" i="30" s="1"/>
  <c r="CE98" i="30" s="1"/>
  <c r="CE113" i="30" s="1"/>
  <c r="CE128" i="30" s="1"/>
  <c r="CE143" i="30" s="1"/>
  <c r="E307" i="27"/>
  <c r="E346" i="27"/>
  <c r="E333" i="27"/>
  <c r="E320" i="27"/>
  <c r="E359" i="27"/>
  <c r="C306" i="27"/>
  <c r="F306" i="27"/>
  <c r="L306" i="27"/>
  <c r="F307" i="27"/>
  <c r="L307" i="27"/>
  <c r="F332" i="27"/>
  <c r="L332" i="27"/>
  <c r="F333" i="27"/>
  <c r="L333" i="27"/>
  <c r="F319" i="27"/>
  <c r="L319" i="27"/>
  <c r="F320" i="27"/>
  <c r="L320" i="27"/>
  <c r="F345" i="27"/>
  <c r="L345" i="27"/>
  <c r="F346" i="27"/>
  <c r="L346" i="27"/>
  <c r="F358" i="27"/>
  <c r="L358" i="27"/>
  <c r="F359" i="27"/>
  <c r="L359" i="27"/>
  <c r="N74" i="2"/>
  <c r="N75" i="2"/>
  <c r="N76" i="2"/>
  <c r="N77" i="2"/>
  <c r="N78" i="2"/>
  <c r="N79" i="2"/>
  <c r="N80" i="2"/>
  <c r="N73" i="2"/>
  <c r="W148" i="29" l="1"/>
  <c r="U156" i="29"/>
  <c r="U154" i="29"/>
  <c r="U146" i="29"/>
  <c r="W150" i="29"/>
  <c r="U136" i="29"/>
  <c r="V146" i="29"/>
  <c r="K141" i="29"/>
  <c r="U134" i="29"/>
  <c r="W142" i="29"/>
  <c r="U144" i="29"/>
  <c r="U142" i="29"/>
  <c r="W144" i="29"/>
  <c r="W152" i="29"/>
  <c r="V151" i="29" s="1"/>
  <c r="W154" i="29"/>
  <c r="U148" i="29"/>
  <c r="W136" i="29"/>
  <c r="W140" i="29"/>
  <c r="U140" i="29"/>
  <c r="W138" i="29"/>
  <c r="W156" i="29"/>
  <c r="CO67" i="30"/>
  <c r="CO81" i="30"/>
  <c r="CO96" i="30" s="1"/>
  <c r="CO111" i="30" s="1"/>
  <c r="CO126" i="30" s="1"/>
  <c r="CO141" i="30" s="1"/>
  <c r="CO68" i="30"/>
  <c r="CO88" i="30"/>
  <c r="CO103" i="30" s="1"/>
  <c r="CO118" i="30" s="1"/>
  <c r="CO133" i="30" s="1"/>
  <c r="CO148" i="30" s="1"/>
  <c r="CO73" i="30"/>
  <c r="CO74" i="30"/>
  <c r="CO89" i="30"/>
  <c r="CO104" i="30" s="1"/>
  <c r="CO119" i="30" s="1"/>
  <c r="CO134" i="30" s="1"/>
  <c r="CO149" i="30" s="1"/>
  <c r="CO91" i="30"/>
  <c r="CO106" i="30" s="1"/>
  <c r="CO121" i="30" s="1"/>
  <c r="CO136" i="30" s="1"/>
  <c r="CO151" i="30" s="1"/>
  <c r="CO76" i="30"/>
  <c r="CO85" i="30"/>
  <c r="CO100" i="30" s="1"/>
  <c r="CO115" i="30" s="1"/>
  <c r="CO130" i="30" s="1"/>
  <c r="CO145" i="30" s="1"/>
  <c r="CO70" i="30"/>
  <c r="CO72" i="30"/>
  <c r="CO87" i="30"/>
  <c r="CO102" i="30" s="1"/>
  <c r="CO117" i="30" s="1"/>
  <c r="CO132" i="30" s="1"/>
  <c r="CO147" i="30" s="1"/>
  <c r="CK80" i="30"/>
  <c r="CK95" i="30" s="1"/>
  <c r="CK110" i="30" s="1"/>
  <c r="CK125" i="30" s="1"/>
  <c r="CK140" i="30" s="1"/>
  <c r="CK65" i="30"/>
  <c r="CI65" i="30"/>
  <c r="CI80" i="30"/>
  <c r="CI95" i="30" s="1"/>
  <c r="CI110" i="30" s="1"/>
  <c r="CI125" i="30" s="1"/>
  <c r="CI140" i="30" s="1"/>
  <c r="CO71" i="30"/>
  <c r="CO86" i="30"/>
  <c r="CO101" i="30" s="1"/>
  <c r="CO116" i="30" s="1"/>
  <c r="CO131" i="30" s="1"/>
  <c r="CO146" i="30" s="1"/>
  <c r="CO75" i="30"/>
  <c r="CO90" i="30"/>
  <c r="CO105" i="30" s="1"/>
  <c r="CO120" i="30" s="1"/>
  <c r="CO135" i="30" s="1"/>
  <c r="CO150" i="30" s="1"/>
  <c r="CE81" i="30"/>
  <c r="CE96" i="30" s="1"/>
  <c r="CE111" i="30" s="1"/>
  <c r="CE126" i="30" s="1"/>
  <c r="CE141" i="30" s="1"/>
  <c r="CE80" i="30"/>
  <c r="CE95" i="30" s="1"/>
  <c r="CE110" i="30" s="1"/>
  <c r="CE125" i="30" s="1"/>
  <c r="CE140" i="30" s="1"/>
  <c r="V143" i="29" l="1"/>
  <c r="V155" i="29"/>
  <c r="K145" i="29" s="1"/>
  <c r="V150" i="29"/>
  <c r="K143" i="29"/>
  <c r="O141" i="29"/>
  <c r="P141" i="29" s="1"/>
  <c r="V154" i="29"/>
  <c r="O142" i="29"/>
  <c r="P142" i="29" s="1"/>
  <c r="K139" i="29"/>
  <c r="V142" i="29"/>
  <c r="O139" i="29"/>
  <c r="P139" i="29" s="1"/>
  <c r="V135" i="29"/>
  <c r="C26" i="5"/>
  <c r="O147" i="29" l="1"/>
  <c r="K135" i="29"/>
  <c r="V134" i="29"/>
  <c r="O137" i="29"/>
  <c r="P137" i="29" s="1"/>
  <c r="N143" i="29" s="1"/>
  <c r="R16" i="2"/>
  <c r="X16" i="2" s="1"/>
  <c r="H2" i="2" s="1"/>
  <c r="O143" i="29" l="1"/>
  <c r="N144" i="29" s="1"/>
  <c r="N147" i="29" s="1"/>
  <c r="P147" i="29" s="1"/>
  <c r="B107" i="2"/>
  <c r="E17" i="5" l="1"/>
  <c r="G17" i="5" l="1"/>
  <c r="V378" i="24" l="1"/>
  <c r="V377" i="24"/>
  <c r="A389" i="24"/>
  <c r="A410" i="24" s="1"/>
  <c r="A373" i="24" s="1"/>
  <c r="K409" i="24"/>
  <c r="J409" i="24"/>
  <c r="I409" i="24"/>
  <c r="K408" i="24"/>
  <c r="J408" i="24"/>
  <c r="K407" i="24"/>
  <c r="J407" i="24"/>
  <c r="I407" i="24"/>
  <c r="K406" i="24"/>
  <c r="J406" i="24"/>
  <c r="I406" i="24"/>
  <c r="K405" i="24"/>
  <c r="J405" i="24"/>
  <c r="I405" i="24"/>
  <c r="K404" i="24"/>
  <c r="J404" i="24"/>
  <c r="I404" i="24"/>
  <c r="K403" i="24"/>
  <c r="J403" i="24"/>
  <c r="I403" i="24"/>
  <c r="K402" i="24"/>
  <c r="J402" i="24"/>
  <c r="I402" i="24"/>
  <c r="K401" i="24"/>
  <c r="J401" i="24"/>
  <c r="I401" i="24"/>
  <c r="K400" i="24"/>
  <c r="J400" i="24"/>
  <c r="I400" i="24"/>
  <c r="K399" i="24"/>
  <c r="J399" i="24"/>
  <c r="I399" i="24"/>
  <c r="K398" i="24"/>
  <c r="J398" i="24"/>
  <c r="I398" i="24"/>
  <c r="K397" i="24"/>
  <c r="J397" i="24"/>
  <c r="I397" i="24"/>
  <c r="K396" i="24"/>
  <c r="J396" i="24"/>
  <c r="I396" i="24"/>
  <c r="K395" i="24"/>
  <c r="J395" i="24"/>
  <c r="I395" i="24"/>
  <c r="K394" i="24"/>
  <c r="J394" i="24"/>
  <c r="I394" i="24"/>
  <c r="K393" i="24"/>
  <c r="J393" i="24"/>
  <c r="I393" i="24"/>
  <c r="K392" i="24"/>
  <c r="J392" i="24"/>
  <c r="I392" i="24"/>
  <c r="K391" i="24"/>
  <c r="J391" i="24"/>
  <c r="I391" i="24"/>
  <c r="K390" i="24"/>
  <c r="J390" i="24"/>
  <c r="I390" i="24"/>
  <c r="V371" i="24"/>
  <c r="U371" i="24"/>
  <c r="T371" i="24"/>
  <c r="S371" i="24"/>
  <c r="N371" i="24"/>
  <c r="M371" i="24"/>
  <c r="L371" i="24"/>
  <c r="K371" i="24"/>
  <c r="F371" i="24"/>
  <c r="E371" i="24"/>
  <c r="D371" i="24"/>
  <c r="C371" i="24"/>
  <c r="V370" i="24"/>
  <c r="U370" i="24"/>
  <c r="T370" i="24"/>
  <c r="S370" i="24"/>
  <c r="N370" i="24"/>
  <c r="M370" i="24"/>
  <c r="L370" i="24"/>
  <c r="K370" i="24"/>
  <c r="F370" i="24"/>
  <c r="E370" i="24"/>
  <c r="D370" i="24"/>
  <c r="C370" i="24"/>
  <c r="V369" i="24"/>
  <c r="U369" i="24"/>
  <c r="T369" i="24"/>
  <c r="S369" i="24"/>
  <c r="N369" i="24"/>
  <c r="M369" i="24"/>
  <c r="L369" i="24"/>
  <c r="K369" i="24"/>
  <c r="F369" i="24"/>
  <c r="E369" i="24"/>
  <c r="D369" i="24"/>
  <c r="C369" i="24"/>
  <c r="V368" i="24"/>
  <c r="U368" i="24"/>
  <c r="T368" i="24"/>
  <c r="S368" i="24"/>
  <c r="N368" i="24"/>
  <c r="M368" i="24"/>
  <c r="L368" i="24"/>
  <c r="K368" i="24"/>
  <c r="F368" i="24"/>
  <c r="E368" i="24"/>
  <c r="D368" i="24"/>
  <c r="C368" i="24"/>
  <c r="V367" i="24"/>
  <c r="U367" i="24"/>
  <c r="T367" i="24"/>
  <c r="S367" i="24"/>
  <c r="N367" i="24"/>
  <c r="M367" i="24"/>
  <c r="L367" i="24"/>
  <c r="K367" i="24"/>
  <c r="F367" i="24"/>
  <c r="E367" i="24"/>
  <c r="D367" i="24"/>
  <c r="C367" i="24"/>
  <c r="V366" i="24"/>
  <c r="U366" i="24"/>
  <c r="T366" i="24"/>
  <c r="S366" i="24"/>
  <c r="N366" i="24"/>
  <c r="M366" i="24"/>
  <c r="L366" i="24"/>
  <c r="K366" i="24"/>
  <c r="F366" i="24"/>
  <c r="E366" i="24"/>
  <c r="D366" i="24"/>
  <c r="C366" i="24"/>
  <c r="V365" i="24"/>
  <c r="U365" i="24"/>
  <c r="T365" i="24"/>
  <c r="S365" i="24"/>
  <c r="N365" i="24"/>
  <c r="M365" i="24"/>
  <c r="L365" i="24"/>
  <c r="K365" i="24"/>
  <c r="F365" i="24"/>
  <c r="E365" i="24"/>
  <c r="D365" i="24"/>
  <c r="C365" i="24"/>
  <c r="V364" i="24"/>
  <c r="U364" i="24"/>
  <c r="T364" i="24"/>
  <c r="S364" i="24"/>
  <c r="N364" i="24"/>
  <c r="M364" i="24"/>
  <c r="L364" i="24"/>
  <c r="K364" i="24"/>
  <c r="F364" i="24"/>
  <c r="E364" i="24"/>
  <c r="D364" i="24"/>
  <c r="C364" i="24"/>
  <c r="V363" i="24"/>
  <c r="U363" i="24"/>
  <c r="T363" i="24"/>
  <c r="S363" i="24"/>
  <c r="N363" i="24"/>
  <c r="M363" i="24"/>
  <c r="L363" i="24"/>
  <c r="K363" i="24"/>
  <c r="F363" i="24"/>
  <c r="E363" i="24"/>
  <c r="D363" i="24"/>
  <c r="C363" i="24"/>
  <c r="V362" i="24"/>
  <c r="U362" i="24"/>
  <c r="T362" i="24"/>
  <c r="S362" i="24"/>
  <c r="N362" i="24"/>
  <c r="M362" i="24"/>
  <c r="L362" i="24"/>
  <c r="K362" i="24"/>
  <c r="F362" i="24"/>
  <c r="E362" i="24"/>
  <c r="D362" i="24"/>
  <c r="C362" i="24"/>
  <c r="V361" i="24"/>
  <c r="U361" i="24"/>
  <c r="T361" i="24"/>
  <c r="S361" i="24"/>
  <c r="N361" i="24"/>
  <c r="M361" i="24"/>
  <c r="L361" i="24"/>
  <c r="K361" i="24"/>
  <c r="F361" i="24"/>
  <c r="E361" i="24"/>
  <c r="D361" i="24"/>
  <c r="C361" i="24"/>
  <c r="V360" i="24"/>
  <c r="U360" i="24"/>
  <c r="T360" i="24"/>
  <c r="S360" i="24"/>
  <c r="N360" i="24"/>
  <c r="M360" i="24"/>
  <c r="L360" i="24"/>
  <c r="K360" i="24"/>
  <c r="F360" i="24"/>
  <c r="E360" i="24"/>
  <c r="D360" i="24"/>
  <c r="C360" i="24"/>
  <c r="V359" i="24"/>
  <c r="U359" i="24"/>
  <c r="T359" i="24"/>
  <c r="S359" i="24"/>
  <c r="N359" i="24"/>
  <c r="M359" i="24"/>
  <c r="L359" i="24"/>
  <c r="K359" i="24"/>
  <c r="F359" i="24"/>
  <c r="E359" i="24"/>
  <c r="D359" i="24"/>
  <c r="C359" i="24"/>
  <c r="V358" i="24"/>
  <c r="U358" i="24"/>
  <c r="T358" i="24"/>
  <c r="S358" i="24"/>
  <c r="N358" i="24"/>
  <c r="M358" i="24"/>
  <c r="L358" i="24"/>
  <c r="K358" i="24"/>
  <c r="F358" i="24"/>
  <c r="E358" i="24"/>
  <c r="D358" i="24"/>
  <c r="C358" i="24"/>
  <c r="V357" i="24"/>
  <c r="U357" i="24"/>
  <c r="T357" i="24"/>
  <c r="S357" i="24"/>
  <c r="N357" i="24"/>
  <c r="M357" i="24"/>
  <c r="L357" i="24"/>
  <c r="K357" i="24"/>
  <c r="F357" i="24"/>
  <c r="E357" i="24"/>
  <c r="D357" i="24"/>
  <c r="C357" i="24"/>
  <c r="V356" i="24"/>
  <c r="U356" i="24"/>
  <c r="T356" i="24"/>
  <c r="S356" i="24"/>
  <c r="N356" i="24"/>
  <c r="M356" i="24"/>
  <c r="L356" i="24"/>
  <c r="K356" i="24"/>
  <c r="F356" i="24"/>
  <c r="E356" i="24"/>
  <c r="D356" i="24"/>
  <c r="C356" i="24"/>
  <c r="V355" i="24"/>
  <c r="U355" i="24"/>
  <c r="T355" i="24"/>
  <c r="S355" i="24"/>
  <c r="N355" i="24"/>
  <c r="M355" i="24"/>
  <c r="L355" i="24"/>
  <c r="K355" i="24"/>
  <c r="F355" i="24"/>
  <c r="E355" i="24"/>
  <c r="D355" i="24"/>
  <c r="C355" i="24"/>
  <c r="V354" i="24"/>
  <c r="U354" i="24"/>
  <c r="T354" i="24"/>
  <c r="S354" i="24"/>
  <c r="N354" i="24"/>
  <c r="M354" i="24"/>
  <c r="L354" i="24"/>
  <c r="K354" i="24"/>
  <c r="F354" i="24"/>
  <c r="E354" i="24"/>
  <c r="D354" i="24"/>
  <c r="C354" i="24"/>
  <c r="V353" i="24"/>
  <c r="U353" i="24"/>
  <c r="T353" i="24"/>
  <c r="S353" i="24"/>
  <c r="N353" i="24"/>
  <c r="M353" i="24"/>
  <c r="L353" i="24"/>
  <c r="K353" i="24"/>
  <c r="F353" i="24"/>
  <c r="E353" i="24"/>
  <c r="D353" i="24"/>
  <c r="C353" i="24"/>
  <c r="V352" i="24"/>
  <c r="U352" i="24"/>
  <c r="T352" i="24"/>
  <c r="S352" i="24"/>
  <c r="N352" i="24"/>
  <c r="M352" i="24"/>
  <c r="L352" i="24"/>
  <c r="K352" i="24"/>
  <c r="F352" i="24"/>
  <c r="E352" i="24"/>
  <c r="D352" i="24"/>
  <c r="C352" i="24"/>
  <c r="V350" i="24"/>
  <c r="U350" i="24"/>
  <c r="T350" i="24"/>
  <c r="S350" i="24"/>
  <c r="N350" i="24"/>
  <c r="M350" i="24"/>
  <c r="L350" i="24"/>
  <c r="K350" i="24"/>
  <c r="F350" i="24"/>
  <c r="E350" i="24"/>
  <c r="D350" i="24"/>
  <c r="C350" i="24"/>
  <c r="V349" i="24"/>
  <c r="U349" i="24"/>
  <c r="T349" i="24"/>
  <c r="S349" i="24"/>
  <c r="N349" i="24"/>
  <c r="M349" i="24"/>
  <c r="L349" i="24"/>
  <c r="K349" i="24"/>
  <c r="F349" i="24"/>
  <c r="E349" i="24"/>
  <c r="D349" i="24"/>
  <c r="C349" i="24"/>
  <c r="V348" i="24"/>
  <c r="U348" i="24"/>
  <c r="T348" i="24"/>
  <c r="S348" i="24"/>
  <c r="N348" i="24"/>
  <c r="M348" i="24"/>
  <c r="L348" i="24"/>
  <c r="K348" i="24"/>
  <c r="F348" i="24"/>
  <c r="E348" i="24"/>
  <c r="D348" i="24"/>
  <c r="C348" i="24"/>
  <c r="V347" i="24"/>
  <c r="U347" i="24"/>
  <c r="T347" i="24"/>
  <c r="S347" i="24"/>
  <c r="N347" i="24"/>
  <c r="M347" i="24"/>
  <c r="L347" i="24"/>
  <c r="K347" i="24"/>
  <c r="F347" i="24"/>
  <c r="E347" i="24"/>
  <c r="D347" i="24"/>
  <c r="C347" i="24"/>
  <c r="V346" i="24"/>
  <c r="U346" i="24"/>
  <c r="T346" i="24"/>
  <c r="S346" i="24"/>
  <c r="N346" i="24"/>
  <c r="M346" i="24"/>
  <c r="L346" i="24"/>
  <c r="K346" i="24"/>
  <c r="F346" i="24"/>
  <c r="E346" i="24"/>
  <c r="D346" i="24"/>
  <c r="C346" i="24"/>
  <c r="V345" i="24"/>
  <c r="U345" i="24"/>
  <c r="T345" i="24"/>
  <c r="S345" i="24"/>
  <c r="N345" i="24"/>
  <c r="M345" i="24"/>
  <c r="L345" i="24"/>
  <c r="K345" i="24"/>
  <c r="F345" i="24"/>
  <c r="E345" i="24"/>
  <c r="D345" i="24"/>
  <c r="C345" i="24"/>
  <c r="V344" i="24"/>
  <c r="U344" i="24"/>
  <c r="T344" i="24"/>
  <c r="S344" i="24"/>
  <c r="N344" i="24"/>
  <c r="M344" i="24"/>
  <c r="L344" i="24"/>
  <c r="K344" i="24"/>
  <c r="F344" i="24"/>
  <c r="E344" i="24"/>
  <c r="D344" i="24"/>
  <c r="C344" i="24"/>
  <c r="V343" i="24"/>
  <c r="U343" i="24"/>
  <c r="T343" i="24"/>
  <c r="S343" i="24"/>
  <c r="N343" i="24"/>
  <c r="M343" i="24"/>
  <c r="L343" i="24"/>
  <c r="K343" i="24"/>
  <c r="F343" i="24"/>
  <c r="E343" i="24"/>
  <c r="D343" i="24"/>
  <c r="C343" i="24"/>
  <c r="V342" i="24"/>
  <c r="U342" i="24"/>
  <c r="T342" i="24"/>
  <c r="S342" i="24"/>
  <c r="N342" i="24"/>
  <c r="M342" i="24"/>
  <c r="L342" i="24"/>
  <c r="K342" i="24"/>
  <c r="F342" i="24"/>
  <c r="E342" i="24"/>
  <c r="D342" i="24"/>
  <c r="C342" i="24"/>
  <c r="V341" i="24"/>
  <c r="U341" i="24"/>
  <c r="T341" i="24"/>
  <c r="S341" i="24"/>
  <c r="N341" i="24"/>
  <c r="M341" i="24"/>
  <c r="L341" i="24"/>
  <c r="K341" i="24"/>
  <c r="F341" i="24"/>
  <c r="E341" i="24"/>
  <c r="D341" i="24"/>
  <c r="C341" i="24"/>
  <c r="V340" i="24"/>
  <c r="U340" i="24"/>
  <c r="T340" i="24"/>
  <c r="S340" i="24"/>
  <c r="N340" i="24"/>
  <c r="M340" i="24"/>
  <c r="L340" i="24"/>
  <c r="K340" i="24"/>
  <c r="F340" i="24"/>
  <c r="E340" i="24"/>
  <c r="D340" i="24"/>
  <c r="C340" i="24"/>
  <c r="V339" i="24"/>
  <c r="U339" i="24"/>
  <c r="T339" i="24"/>
  <c r="S339" i="24"/>
  <c r="N339" i="24"/>
  <c r="M339" i="24"/>
  <c r="L339" i="24"/>
  <c r="K339" i="24"/>
  <c r="F339" i="24"/>
  <c r="E339" i="24"/>
  <c r="D339" i="24"/>
  <c r="C339" i="24"/>
  <c r="V338" i="24"/>
  <c r="U338" i="24"/>
  <c r="T338" i="24"/>
  <c r="S338" i="24"/>
  <c r="N338" i="24"/>
  <c r="M338" i="24"/>
  <c r="L338" i="24"/>
  <c r="K338" i="24"/>
  <c r="F338" i="24"/>
  <c r="E338" i="24"/>
  <c r="D338" i="24"/>
  <c r="C338" i="24"/>
  <c r="V337" i="24"/>
  <c r="U337" i="24"/>
  <c r="T337" i="24"/>
  <c r="S337" i="24"/>
  <c r="N337" i="24"/>
  <c r="M337" i="24"/>
  <c r="L337" i="24"/>
  <c r="K337" i="24"/>
  <c r="F337" i="24"/>
  <c r="E337" i="24"/>
  <c r="D337" i="24"/>
  <c r="C337" i="24"/>
  <c r="V336" i="24"/>
  <c r="U336" i="24"/>
  <c r="T336" i="24"/>
  <c r="S336" i="24"/>
  <c r="N336" i="24"/>
  <c r="M336" i="24"/>
  <c r="L336" i="24"/>
  <c r="K336" i="24"/>
  <c r="F336" i="24"/>
  <c r="E336" i="24"/>
  <c r="D336" i="24"/>
  <c r="C336" i="24"/>
  <c r="V335" i="24"/>
  <c r="U335" i="24"/>
  <c r="T335" i="24"/>
  <c r="S335" i="24"/>
  <c r="N335" i="24"/>
  <c r="M335" i="24"/>
  <c r="L335" i="24"/>
  <c r="K335" i="24"/>
  <c r="F335" i="24"/>
  <c r="E335" i="24"/>
  <c r="D335" i="24"/>
  <c r="C335" i="24"/>
  <c r="V334" i="24"/>
  <c r="U334" i="24"/>
  <c r="T334" i="24"/>
  <c r="S334" i="24"/>
  <c r="N334" i="24"/>
  <c r="M334" i="24"/>
  <c r="L334" i="24"/>
  <c r="K334" i="24"/>
  <c r="F334" i="24"/>
  <c r="E334" i="24"/>
  <c r="D334" i="24"/>
  <c r="C334" i="24"/>
  <c r="V333" i="24"/>
  <c r="U333" i="24"/>
  <c r="T333" i="24"/>
  <c r="S333" i="24"/>
  <c r="N333" i="24"/>
  <c r="M333" i="24"/>
  <c r="L333" i="24"/>
  <c r="K333" i="24"/>
  <c r="F333" i="24"/>
  <c r="E333" i="24"/>
  <c r="D333" i="24"/>
  <c r="C333" i="24"/>
  <c r="V332" i="24"/>
  <c r="U332" i="24"/>
  <c r="T332" i="24"/>
  <c r="S332" i="24"/>
  <c r="N332" i="24"/>
  <c r="M332" i="24"/>
  <c r="L332" i="24"/>
  <c r="K332" i="24"/>
  <c r="F332" i="24"/>
  <c r="E332" i="24"/>
  <c r="D332" i="24"/>
  <c r="C332" i="24"/>
  <c r="V331" i="24"/>
  <c r="U331" i="24"/>
  <c r="T331" i="24"/>
  <c r="S331" i="24"/>
  <c r="N331" i="24"/>
  <c r="M331" i="24"/>
  <c r="L331" i="24"/>
  <c r="K331" i="24"/>
  <c r="F331" i="24"/>
  <c r="E331" i="24"/>
  <c r="D331" i="24"/>
  <c r="C331" i="24"/>
  <c r="V329" i="24"/>
  <c r="U329" i="24"/>
  <c r="T329" i="24"/>
  <c r="S329" i="24"/>
  <c r="N329" i="24"/>
  <c r="M329" i="24"/>
  <c r="L329" i="24"/>
  <c r="K329" i="24"/>
  <c r="F329" i="24"/>
  <c r="E329" i="24"/>
  <c r="D329" i="24"/>
  <c r="C329" i="24"/>
  <c r="V328" i="24"/>
  <c r="U328" i="24"/>
  <c r="T328" i="24"/>
  <c r="S328" i="24"/>
  <c r="N328" i="24"/>
  <c r="M328" i="24"/>
  <c r="L328" i="24"/>
  <c r="K328" i="24"/>
  <c r="F328" i="24"/>
  <c r="E328" i="24"/>
  <c r="D328" i="24"/>
  <c r="C328" i="24"/>
  <c r="V327" i="24"/>
  <c r="U327" i="24"/>
  <c r="T327" i="24"/>
  <c r="S327" i="24"/>
  <c r="N327" i="24"/>
  <c r="M327" i="24"/>
  <c r="L327" i="24"/>
  <c r="K327" i="24"/>
  <c r="F327" i="24"/>
  <c r="E327" i="24"/>
  <c r="D327" i="24"/>
  <c r="C327" i="24"/>
  <c r="V326" i="24"/>
  <c r="U326" i="24"/>
  <c r="T326" i="24"/>
  <c r="S326" i="24"/>
  <c r="N326" i="24"/>
  <c r="M326" i="24"/>
  <c r="L326" i="24"/>
  <c r="K326" i="24"/>
  <c r="F326" i="24"/>
  <c r="E326" i="24"/>
  <c r="D326" i="24"/>
  <c r="C326" i="24"/>
  <c r="V325" i="24"/>
  <c r="U325" i="24"/>
  <c r="T325" i="24"/>
  <c r="S325" i="24"/>
  <c r="N325" i="24"/>
  <c r="M325" i="24"/>
  <c r="L325" i="24"/>
  <c r="K325" i="24"/>
  <c r="F325" i="24"/>
  <c r="E325" i="24"/>
  <c r="D325" i="24"/>
  <c r="C325" i="24"/>
  <c r="V324" i="24"/>
  <c r="U324" i="24"/>
  <c r="T324" i="24"/>
  <c r="S324" i="24"/>
  <c r="N324" i="24"/>
  <c r="M324" i="24"/>
  <c r="L324" i="24"/>
  <c r="K324" i="24"/>
  <c r="F324" i="24"/>
  <c r="E324" i="24"/>
  <c r="D324" i="24"/>
  <c r="C324" i="24"/>
  <c r="V323" i="24"/>
  <c r="U323" i="24"/>
  <c r="T323" i="24"/>
  <c r="S323" i="24"/>
  <c r="N323" i="24"/>
  <c r="M323" i="24"/>
  <c r="L323" i="24"/>
  <c r="K323" i="24"/>
  <c r="F323" i="24"/>
  <c r="E323" i="24"/>
  <c r="D323" i="24"/>
  <c r="C323" i="24"/>
  <c r="V322" i="24"/>
  <c r="U322" i="24"/>
  <c r="T322" i="24"/>
  <c r="S322" i="24"/>
  <c r="N322" i="24"/>
  <c r="M322" i="24"/>
  <c r="L322" i="24"/>
  <c r="K322" i="24"/>
  <c r="F322" i="24"/>
  <c r="E322" i="24"/>
  <c r="D322" i="24"/>
  <c r="C322" i="24"/>
  <c r="V321" i="24"/>
  <c r="U321" i="24"/>
  <c r="T321" i="24"/>
  <c r="S321" i="24"/>
  <c r="N321" i="24"/>
  <c r="M321" i="24"/>
  <c r="L321" i="24"/>
  <c r="K321" i="24"/>
  <c r="F321" i="24"/>
  <c r="E321" i="24"/>
  <c r="D321" i="24"/>
  <c r="C321" i="24"/>
  <c r="V320" i="24"/>
  <c r="U320" i="24"/>
  <c r="T320" i="24"/>
  <c r="S320" i="24"/>
  <c r="N320" i="24"/>
  <c r="M320" i="24"/>
  <c r="L320" i="24"/>
  <c r="K320" i="24"/>
  <c r="F320" i="24"/>
  <c r="E320" i="24"/>
  <c r="D320" i="24"/>
  <c r="C320" i="24"/>
  <c r="V319" i="24"/>
  <c r="U319" i="24"/>
  <c r="T319" i="24"/>
  <c r="S319" i="24"/>
  <c r="N319" i="24"/>
  <c r="M319" i="24"/>
  <c r="L319" i="24"/>
  <c r="K319" i="24"/>
  <c r="F319" i="24"/>
  <c r="E319" i="24"/>
  <c r="D319" i="24"/>
  <c r="C319" i="24"/>
  <c r="V318" i="24"/>
  <c r="U318" i="24"/>
  <c r="T318" i="24"/>
  <c r="S318" i="24"/>
  <c r="N318" i="24"/>
  <c r="M318" i="24"/>
  <c r="L318" i="24"/>
  <c r="K318" i="24"/>
  <c r="F318" i="24"/>
  <c r="E318" i="24"/>
  <c r="D318" i="24"/>
  <c r="C318" i="24"/>
  <c r="V317" i="24"/>
  <c r="U317" i="24"/>
  <c r="T317" i="24"/>
  <c r="S317" i="24"/>
  <c r="N317" i="24"/>
  <c r="M317" i="24"/>
  <c r="L317" i="24"/>
  <c r="K317" i="24"/>
  <c r="F317" i="24"/>
  <c r="E317" i="24"/>
  <c r="D317" i="24"/>
  <c r="C317" i="24"/>
  <c r="V316" i="24"/>
  <c r="U316" i="24"/>
  <c r="T316" i="24"/>
  <c r="S316" i="24"/>
  <c r="N316" i="24"/>
  <c r="M316" i="24"/>
  <c r="L316" i="24"/>
  <c r="K316" i="24"/>
  <c r="F316" i="24"/>
  <c r="E316" i="24"/>
  <c r="D316" i="24"/>
  <c r="C316" i="24"/>
  <c r="V315" i="24"/>
  <c r="U315" i="24"/>
  <c r="T315" i="24"/>
  <c r="S315" i="24"/>
  <c r="N315" i="24"/>
  <c r="M315" i="24"/>
  <c r="L315" i="24"/>
  <c r="K315" i="24"/>
  <c r="F315" i="24"/>
  <c r="E315" i="24"/>
  <c r="D315" i="24"/>
  <c r="C315" i="24"/>
  <c r="V314" i="24"/>
  <c r="U314" i="24"/>
  <c r="T314" i="24"/>
  <c r="S314" i="24"/>
  <c r="N314" i="24"/>
  <c r="M314" i="24"/>
  <c r="L314" i="24"/>
  <c r="K314" i="24"/>
  <c r="F314" i="24"/>
  <c r="E314" i="24"/>
  <c r="D314" i="24"/>
  <c r="C314" i="24"/>
  <c r="V313" i="24"/>
  <c r="U313" i="24"/>
  <c r="T313" i="24"/>
  <c r="S313" i="24"/>
  <c r="N313" i="24"/>
  <c r="M313" i="24"/>
  <c r="L313" i="24"/>
  <c r="K313" i="24"/>
  <c r="F313" i="24"/>
  <c r="E313" i="24"/>
  <c r="D313" i="24"/>
  <c r="C313" i="24"/>
  <c r="V312" i="24"/>
  <c r="U312" i="24"/>
  <c r="T312" i="24"/>
  <c r="S312" i="24"/>
  <c r="N312" i="24"/>
  <c r="M312" i="24"/>
  <c r="L312" i="24"/>
  <c r="K312" i="24"/>
  <c r="F312" i="24"/>
  <c r="E312" i="24"/>
  <c r="D312" i="24"/>
  <c r="C312" i="24"/>
  <c r="V311" i="24"/>
  <c r="U311" i="24"/>
  <c r="T311" i="24"/>
  <c r="S311" i="24"/>
  <c r="N311" i="24"/>
  <c r="M311" i="24"/>
  <c r="L311" i="24"/>
  <c r="K311" i="24"/>
  <c r="F311" i="24"/>
  <c r="E311" i="24"/>
  <c r="D311" i="24"/>
  <c r="C311" i="24"/>
  <c r="V310" i="24"/>
  <c r="U310" i="24"/>
  <c r="T310" i="24"/>
  <c r="S310" i="24"/>
  <c r="N310" i="24"/>
  <c r="M310" i="24"/>
  <c r="L310" i="24"/>
  <c r="K310" i="24"/>
  <c r="F310" i="24"/>
  <c r="E310" i="24"/>
  <c r="D310" i="24"/>
  <c r="C310" i="24"/>
  <c r="V308" i="24"/>
  <c r="U308" i="24"/>
  <c r="T308" i="24"/>
  <c r="S308" i="24"/>
  <c r="N308" i="24"/>
  <c r="M308" i="24"/>
  <c r="L308" i="24"/>
  <c r="K308" i="24"/>
  <c r="F308" i="24"/>
  <c r="E308" i="24"/>
  <c r="D308" i="24"/>
  <c r="C308" i="24"/>
  <c r="V307" i="24"/>
  <c r="U307" i="24"/>
  <c r="T307" i="24"/>
  <c r="S307" i="24"/>
  <c r="N307" i="24"/>
  <c r="M307" i="24"/>
  <c r="L307" i="24"/>
  <c r="K307" i="24"/>
  <c r="F307" i="24"/>
  <c r="E307" i="24"/>
  <c r="D307" i="24"/>
  <c r="C307" i="24"/>
  <c r="V306" i="24"/>
  <c r="U306" i="24"/>
  <c r="T306" i="24"/>
  <c r="S306" i="24"/>
  <c r="N306" i="24"/>
  <c r="M306" i="24"/>
  <c r="L306" i="24"/>
  <c r="K306" i="24"/>
  <c r="F306" i="24"/>
  <c r="E306" i="24"/>
  <c r="D306" i="24"/>
  <c r="C306" i="24"/>
  <c r="V305" i="24"/>
  <c r="U305" i="24"/>
  <c r="T305" i="24"/>
  <c r="S305" i="24"/>
  <c r="N305" i="24"/>
  <c r="M305" i="24"/>
  <c r="L305" i="24"/>
  <c r="K305" i="24"/>
  <c r="F305" i="24"/>
  <c r="E305" i="24"/>
  <c r="D305" i="24"/>
  <c r="C305" i="24"/>
  <c r="V304" i="24"/>
  <c r="U304" i="24"/>
  <c r="T304" i="24"/>
  <c r="S304" i="24"/>
  <c r="N304" i="24"/>
  <c r="M304" i="24"/>
  <c r="L304" i="24"/>
  <c r="K304" i="24"/>
  <c r="F304" i="24"/>
  <c r="E304" i="24"/>
  <c r="D304" i="24"/>
  <c r="C304" i="24"/>
  <c r="V303" i="24"/>
  <c r="U303" i="24"/>
  <c r="T303" i="24"/>
  <c r="S303" i="24"/>
  <c r="N303" i="24"/>
  <c r="M303" i="24"/>
  <c r="L303" i="24"/>
  <c r="K303" i="24"/>
  <c r="F303" i="24"/>
  <c r="E303" i="24"/>
  <c r="D303" i="24"/>
  <c r="C303" i="24"/>
  <c r="V302" i="24"/>
  <c r="U302" i="24"/>
  <c r="T302" i="24"/>
  <c r="S302" i="24"/>
  <c r="N302" i="24"/>
  <c r="M302" i="24"/>
  <c r="L302" i="24"/>
  <c r="K302" i="24"/>
  <c r="F302" i="24"/>
  <c r="E302" i="24"/>
  <c r="D302" i="24"/>
  <c r="C302" i="24"/>
  <c r="V301" i="24"/>
  <c r="U301" i="24"/>
  <c r="T301" i="24"/>
  <c r="S301" i="24"/>
  <c r="N301" i="24"/>
  <c r="M301" i="24"/>
  <c r="L301" i="24"/>
  <c r="K301" i="24"/>
  <c r="F301" i="24"/>
  <c r="E301" i="24"/>
  <c r="D301" i="24"/>
  <c r="C301" i="24"/>
  <c r="V300" i="24"/>
  <c r="U300" i="24"/>
  <c r="T300" i="24"/>
  <c r="S300" i="24"/>
  <c r="N300" i="24"/>
  <c r="M300" i="24"/>
  <c r="L300" i="24"/>
  <c r="K300" i="24"/>
  <c r="F300" i="24"/>
  <c r="E300" i="24"/>
  <c r="D300" i="24"/>
  <c r="C300" i="24"/>
  <c r="V299" i="24"/>
  <c r="U299" i="24"/>
  <c r="T299" i="24"/>
  <c r="S299" i="24"/>
  <c r="N299" i="24"/>
  <c r="M299" i="24"/>
  <c r="L299" i="24"/>
  <c r="K299" i="24"/>
  <c r="F299" i="24"/>
  <c r="E299" i="24"/>
  <c r="D299" i="24"/>
  <c r="C299" i="24"/>
  <c r="V298" i="24"/>
  <c r="U298" i="24"/>
  <c r="T298" i="24"/>
  <c r="S298" i="24"/>
  <c r="N298" i="24"/>
  <c r="M298" i="24"/>
  <c r="L298" i="24"/>
  <c r="K298" i="24"/>
  <c r="F298" i="24"/>
  <c r="E298" i="24"/>
  <c r="D298" i="24"/>
  <c r="C298" i="24"/>
  <c r="V297" i="24"/>
  <c r="U297" i="24"/>
  <c r="T297" i="24"/>
  <c r="S297" i="24"/>
  <c r="N297" i="24"/>
  <c r="M297" i="24"/>
  <c r="L297" i="24"/>
  <c r="K297" i="24"/>
  <c r="F297" i="24"/>
  <c r="E297" i="24"/>
  <c r="D297" i="24"/>
  <c r="C297" i="24"/>
  <c r="V296" i="24"/>
  <c r="U296" i="24"/>
  <c r="T296" i="24"/>
  <c r="S296" i="24"/>
  <c r="N296" i="24"/>
  <c r="M296" i="24"/>
  <c r="L296" i="24"/>
  <c r="K296" i="24"/>
  <c r="F296" i="24"/>
  <c r="E296" i="24"/>
  <c r="D296" i="24"/>
  <c r="C296" i="24"/>
  <c r="V295" i="24"/>
  <c r="U295" i="24"/>
  <c r="T295" i="24"/>
  <c r="S295" i="24"/>
  <c r="N295" i="24"/>
  <c r="M295" i="24"/>
  <c r="L295" i="24"/>
  <c r="K295" i="24"/>
  <c r="F295" i="24"/>
  <c r="E295" i="24"/>
  <c r="D295" i="24"/>
  <c r="C295" i="24"/>
  <c r="V294" i="24"/>
  <c r="U294" i="24"/>
  <c r="T294" i="24"/>
  <c r="S294" i="24"/>
  <c r="N294" i="24"/>
  <c r="M294" i="24"/>
  <c r="L294" i="24"/>
  <c r="K294" i="24"/>
  <c r="F294" i="24"/>
  <c r="E294" i="24"/>
  <c r="D294" i="24"/>
  <c r="C294" i="24"/>
  <c r="V293" i="24"/>
  <c r="U293" i="24"/>
  <c r="T293" i="24"/>
  <c r="S293" i="24"/>
  <c r="N293" i="24"/>
  <c r="M293" i="24"/>
  <c r="L293" i="24"/>
  <c r="K293" i="24"/>
  <c r="F293" i="24"/>
  <c r="E293" i="24"/>
  <c r="D293" i="24"/>
  <c r="C293" i="24"/>
  <c r="Z292" i="24"/>
  <c r="V292" i="24"/>
  <c r="U292" i="24"/>
  <c r="T292" i="24"/>
  <c r="S292" i="24"/>
  <c r="N292" i="24"/>
  <c r="M292" i="24"/>
  <c r="L292" i="24"/>
  <c r="K292" i="24"/>
  <c r="F292" i="24"/>
  <c r="E292" i="24"/>
  <c r="D292" i="24"/>
  <c r="C292" i="24"/>
  <c r="Z291" i="24"/>
  <c r="V291" i="24"/>
  <c r="U291" i="24"/>
  <c r="T291" i="24"/>
  <c r="S291" i="24"/>
  <c r="N291" i="24"/>
  <c r="M291" i="24"/>
  <c r="L291" i="24"/>
  <c r="K291" i="24"/>
  <c r="F291" i="24"/>
  <c r="E291" i="24"/>
  <c r="D291" i="24"/>
  <c r="C291" i="24"/>
  <c r="Z290" i="24"/>
  <c r="V290" i="24"/>
  <c r="U290" i="24"/>
  <c r="T290" i="24"/>
  <c r="S290" i="24"/>
  <c r="N290" i="24"/>
  <c r="M290" i="24"/>
  <c r="L290" i="24"/>
  <c r="K290" i="24"/>
  <c r="F290" i="24"/>
  <c r="E290" i="24"/>
  <c r="D290" i="24"/>
  <c r="C290" i="24"/>
  <c r="Z289" i="24"/>
  <c r="V289" i="24"/>
  <c r="U289" i="24"/>
  <c r="T289" i="24"/>
  <c r="S289" i="24"/>
  <c r="N289" i="24"/>
  <c r="M289" i="24"/>
  <c r="L289" i="24"/>
  <c r="K289" i="24"/>
  <c r="F289" i="24"/>
  <c r="E289" i="24"/>
  <c r="D289" i="24"/>
  <c r="C289" i="24"/>
  <c r="Z288" i="24"/>
  <c r="Z287" i="24"/>
  <c r="V287" i="24"/>
  <c r="U287" i="24"/>
  <c r="T287" i="24"/>
  <c r="S287" i="24"/>
  <c r="N287" i="24"/>
  <c r="M287" i="24"/>
  <c r="L287" i="24"/>
  <c r="K287" i="24"/>
  <c r="F287" i="24"/>
  <c r="E287" i="24"/>
  <c r="D287" i="24"/>
  <c r="C287" i="24"/>
  <c r="Z286" i="24"/>
  <c r="V286" i="24"/>
  <c r="U286" i="24"/>
  <c r="T286" i="24"/>
  <c r="S286" i="24"/>
  <c r="N286" i="24"/>
  <c r="M286" i="24"/>
  <c r="L286" i="24"/>
  <c r="K286" i="24"/>
  <c r="F286" i="24"/>
  <c r="E286" i="24"/>
  <c r="D286" i="24"/>
  <c r="C286" i="24"/>
  <c r="Z285" i="24"/>
  <c r="V285" i="24"/>
  <c r="U285" i="24"/>
  <c r="T285" i="24"/>
  <c r="S285" i="24"/>
  <c r="N285" i="24"/>
  <c r="M285" i="24"/>
  <c r="L285" i="24"/>
  <c r="K285" i="24"/>
  <c r="F285" i="24"/>
  <c r="E285" i="24"/>
  <c r="D285" i="24"/>
  <c r="C285" i="24"/>
  <c r="Z284" i="24"/>
  <c r="V284" i="24"/>
  <c r="U284" i="24"/>
  <c r="T284" i="24"/>
  <c r="S284" i="24"/>
  <c r="N284" i="24"/>
  <c r="M284" i="24"/>
  <c r="L284" i="24"/>
  <c r="K284" i="24"/>
  <c r="F284" i="24"/>
  <c r="E284" i="24"/>
  <c r="D284" i="24"/>
  <c r="C284" i="24"/>
  <c r="Z283" i="24"/>
  <c r="V283" i="24"/>
  <c r="U283" i="24"/>
  <c r="T283" i="24"/>
  <c r="S283" i="24"/>
  <c r="N283" i="24"/>
  <c r="M283" i="24"/>
  <c r="L283" i="24"/>
  <c r="K283" i="24"/>
  <c r="F283" i="24"/>
  <c r="E283" i="24"/>
  <c r="D283" i="24"/>
  <c r="C283" i="24"/>
  <c r="Z282" i="24"/>
  <c r="V282" i="24"/>
  <c r="U282" i="24"/>
  <c r="T282" i="24"/>
  <c r="S282" i="24"/>
  <c r="N282" i="24"/>
  <c r="M282" i="24"/>
  <c r="L282" i="24"/>
  <c r="K282" i="24"/>
  <c r="F282" i="24"/>
  <c r="E282" i="24"/>
  <c r="D282" i="24"/>
  <c r="C282" i="24"/>
  <c r="Z281" i="24"/>
  <c r="V281" i="24"/>
  <c r="U281" i="24"/>
  <c r="T281" i="24"/>
  <c r="S281" i="24"/>
  <c r="N281" i="24"/>
  <c r="M281" i="24"/>
  <c r="L281" i="24"/>
  <c r="K281" i="24"/>
  <c r="F281" i="24"/>
  <c r="E281" i="24"/>
  <c r="D281" i="24"/>
  <c r="C281" i="24"/>
  <c r="Z280" i="24"/>
  <c r="V280" i="24"/>
  <c r="U280" i="24"/>
  <c r="T280" i="24"/>
  <c r="S280" i="24"/>
  <c r="N280" i="24"/>
  <c r="M280" i="24"/>
  <c r="L280" i="24"/>
  <c r="K280" i="24"/>
  <c r="F280" i="24"/>
  <c r="E280" i="24"/>
  <c r="D280" i="24"/>
  <c r="C280" i="24"/>
  <c r="Z279" i="24"/>
  <c r="V279" i="24"/>
  <c r="U279" i="24"/>
  <c r="T279" i="24"/>
  <c r="S279" i="24"/>
  <c r="N279" i="24"/>
  <c r="M279" i="24"/>
  <c r="L279" i="24"/>
  <c r="K279" i="24"/>
  <c r="F279" i="24"/>
  <c r="E279" i="24"/>
  <c r="D279" i="24"/>
  <c r="C279" i="24"/>
  <c r="Z278" i="24"/>
  <c r="V278" i="24"/>
  <c r="U278" i="24"/>
  <c r="T278" i="24"/>
  <c r="S278" i="24"/>
  <c r="N278" i="24"/>
  <c r="M278" i="24"/>
  <c r="L278" i="24"/>
  <c r="K278" i="24"/>
  <c r="F278" i="24"/>
  <c r="E278" i="24"/>
  <c r="D278" i="24"/>
  <c r="C278" i="24"/>
  <c r="Z277" i="24"/>
  <c r="V277" i="24"/>
  <c r="U277" i="24"/>
  <c r="T277" i="24"/>
  <c r="S277" i="24"/>
  <c r="N277" i="24"/>
  <c r="M277" i="24"/>
  <c r="L277" i="24"/>
  <c r="K277" i="24"/>
  <c r="F277" i="24"/>
  <c r="E277" i="24"/>
  <c r="D277" i="24"/>
  <c r="C277" i="24"/>
  <c r="Z276" i="24"/>
  <c r="V276" i="24"/>
  <c r="U276" i="24"/>
  <c r="T276" i="24"/>
  <c r="S276" i="24"/>
  <c r="N276" i="24"/>
  <c r="M276" i="24"/>
  <c r="L276" i="24"/>
  <c r="K276" i="24"/>
  <c r="F276" i="24"/>
  <c r="E276" i="24"/>
  <c r="D276" i="24"/>
  <c r="C276" i="24"/>
  <c r="Z275" i="24"/>
  <c r="V275" i="24"/>
  <c r="U275" i="24"/>
  <c r="T275" i="24"/>
  <c r="S275" i="24"/>
  <c r="N275" i="24"/>
  <c r="M275" i="24"/>
  <c r="L275" i="24"/>
  <c r="K275" i="24"/>
  <c r="F275" i="24"/>
  <c r="E275" i="24"/>
  <c r="D275" i="24"/>
  <c r="C275" i="24"/>
  <c r="Z274" i="24"/>
  <c r="V274" i="24"/>
  <c r="U274" i="24"/>
  <c r="T274" i="24"/>
  <c r="S274" i="24"/>
  <c r="N274" i="24"/>
  <c r="M274" i="24"/>
  <c r="L274" i="24"/>
  <c r="K274" i="24"/>
  <c r="F274" i="24"/>
  <c r="E274" i="24"/>
  <c r="D274" i="24"/>
  <c r="C274" i="24"/>
  <c r="Z273" i="24"/>
  <c r="V273" i="24"/>
  <c r="U273" i="24"/>
  <c r="T273" i="24"/>
  <c r="S273" i="24"/>
  <c r="N273" i="24"/>
  <c r="M273" i="24"/>
  <c r="L273" i="24"/>
  <c r="K273" i="24"/>
  <c r="F273" i="24"/>
  <c r="E273" i="24"/>
  <c r="D273" i="24"/>
  <c r="C273" i="24"/>
  <c r="V272" i="24"/>
  <c r="U272" i="24"/>
  <c r="T272" i="24"/>
  <c r="S272" i="24"/>
  <c r="N272" i="24"/>
  <c r="M272" i="24"/>
  <c r="L272" i="24"/>
  <c r="K272" i="24"/>
  <c r="F272" i="24"/>
  <c r="E272" i="24"/>
  <c r="D272" i="24"/>
  <c r="C272" i="24"/>
  <c r="V271" i="24"/>
  <c r="U271" i="24"/>
  <c r="T271" i="24"/>
  <c r="S271" i="24"/>
  <c r="N271" i="24"/>
  <c r="M271" i="24"/>
  <c r="L271" i="24"/>
  <c r="K271" i="24"/>
  <c r="F271" i="24"/>
  <c r="E271" i="24"/>
  <c r="D271" i="24"/>
  <c r="C271" i="24"/>
  <c r="V270" i="24"/>
  <c r="U270" i="24"/>
  <c r="T270" i="24"/>
  <c r="S270" i="24"/>
  <c r="N270" i="24"/>
  <c r="M270" i="24"/>
  <c r="L270" i="24"/>
  <c r="K270" i="24"/>
  <c r="F270" i="24"/>
  <c r="E270" i="24"/>
  <c r="D270" i="24"/>
  <c r="C270" i="24"/>
  <c r="V269" i="24"/>
  <c r="U269" i="24"/>
  <c r="T269" i="24"/>
  <c r="S269" i="24"/>
  <c r="N269" i="24"/>
  <c r="M269" i="24"/>
  <c r="L269" i="24"/>
  <c r="K269" i="24"/>
  <c r="F269" i="24"/>
  <c r="E269" i="24"/>
  <c r="D269" i="24"/>
  <c r="C269" i="24"/>
  <c r="Z268" i="24"/>
  <c r="V268" i="24"/>
  <c r="U268" i="24"/>
  <c r="T268" i="24"/>
  <c r="S268" i="24"/>
  <c r="N268" i="24"/>
  <c r="M268" i="24"/>
  <c r="L268" i="24"/>
  <c r="K268" i="24"/>
  <c r="F268" i="24"/>
  <c r="E268" i="24"/>
  <c r="D268" i="24"/>
  <c r="C268" i="24"/>
  <c r="Z267" i="24"/>
  <c r="Z266" i="24"/>
  <c r="V266" i="24"/>
  <c r="U266" i="24"/>
  <c r="T266" i="24"/>
  <c r="S266" i="24"/>
  <c r="N266" i="24"/>
  <c r="M266" i="24"/>
  <c r="L266" i="24"/>
  <c r="K266" i="24"/>
  <c r="F266" i="24"/>
  <c r="E266" i="24"/>
  <c r="D266" i="24"/>
  <c r="C266" i="24"/>
  <c r="Z265" i="24"/>
  <c r="V265" i="24"/>
  <c r="U265" i="24"/>
  <c r="T265" i="24"/>
  <c r="S265" i="24"/>
  <c r="N265" i="24"/>
  <c r="M265" i="24"/>
  <c r="L265" i="24"/>
  <c r="K265" i="24"/>
  <c r="F265" i="24"/>
  <c r="E265" i="24"/>
  <c r="D265" i="24"/>
  <c r="C265" i="24"/>
  <c r="Z264" i="24"/>
  <c r="V264" i="24"/>
  <c r="U264" i="24"/>
  <c r="T264" i="24"/>
  <c r="S264" i="24"/>
  <c r="N264" i="24"/>
  <c r="M264" i="24"/>
  <c r="L264" i="24"/>
  <c r="K264" i="24"/>
  <c r="F264" i="24"/>
  <c r="E264" i="24"/>
  <c r="D264" i="24"/>
  <c r="C264" i="24"/>
  <c r="Z263" i="24"/>
  <c r="V263" i="24"/>
  <c r="U263" i="24"/>
  <c r="T263" i="24"/>
  <c r="S263" i="24"/>
  <c r="N263" i="24"/>
  <c r="M263" i="24"/>
  <c r="L263" i="24"/>
  <c r="K263" i="24"/>
  <c r="F263" i="24"/>
  <c r="E263" i="24"/>
  <c r="D263" i="24"/>
  <c r="C263" i="24"/>
  <c r="Z262" i="24"/>
  <c r="V262" i="24"/>
  <c r="U262" i="24"/>
  <c r="T262" i="24"/>
  <c r="S262" i="24"/>
  <c r="N262" i="24"/>
  <c r="M262" i="24"/>
  <c r="L262" i="24"/>
  <c r="K262" i="24"/>
  <c r="F262" i="24"/>
  <c r="E262" i="24"/>
  <c r="D262" i="24"/>
  <c r="C262" i="24"/>
  <c r="Z261" i="24"/>
  <c r="V261" i="24"/>
  <c r="U261" i="24"/>
  <c r="T261" i="24"/>
  <c r="S261" i="24"/>
  <c r="N261" i="24"/>
  <c r="M261" i="24"/>
  <c r="L261" i="24"/>
  <c r="K261" i="24"/>
  <c r="F261" i="24"/>
  <c r="E261" i="24"/>
  <c r="D261" i="24"/>
  <c r="C261" i="24"/>
  <c r="Z260" i="24"/>
  <c r="V260" i="24"/>
  <c r="U260" i="24"/>
  <c r="T260" i="24"/>
  <c r="S260" i="24"/>
  <c r="N260" i="24"/>
  <c r="M260" i="24"/>
  <c r="L260" i="24"/>
  <c r="K260" i="24"/>
  <c r="F260" i="24"/>
  <c r="E260" i="24"/>
  <c r="D260" i="24"/>
  <c r="C260" i="24"/>
  <c r="Z259" i="24"/>
  <c r="V259" i="24"/>
  <c r="U259" i="24"/>
  <c r="T259" i="24"/>
  <c r="S259" i="24"/>
  <c r="N259" i="24"/>
  <c r="M259" i="24"/>
  <c r="L259" i="24"/>
  <c r="K259" i="24"/>
  <c r="F259" i="24"/>
  <c r="E259" i="24"/>
  <c r="D259" i="24"/>
  <c r="C259" i="24"/>
  <c r="Z258" i="24"/>
  <c r="V258" i="24"/>
  <c r="U258" i="24"/>
  <c r="T258" i="24"/>
  <c r="S258" i="24"/>
  <c r="N258" i="24"/>
  <c r="M258" i="24"/>
  <c r="L258" i="24"/>
  <c r="K258" i="24"/>
  <c r="F258" i="24"/>
  <c r="E258" i="24"/>
  <c r="D258" i="24"/>
  <c r="C258" i="24"/>
  <c r="Z257" i="24"/>
  <c r="V257" i="24"/>
  <c r="U257" i="24"/>
  <c r="T257" i="24"/>
  <c r="S257" i="24"/>
  <c r="N257" i="24"/>
  <c r="M257" i="24"/>
  <c r="L257" i="24"/>
  <c r="K257" i="24"/>
  <c r="F257" i="24"/>
  <c r="E257" i="24"/>
  <c r="D257" i="24"/>
  <c r="C257" i="24"/>
  <c r="Z256" i="24"/>
  <c r="V256" i="24"/>
  <c r="U256" i="24"/>
  <c r="T256" i="24"/>
  <c r="S256" i="24"/>
  <c r="N256" i="24"/>
  <c r="M256" i="24"/>
  <c r="L256" i="24"/>
  <c r="K256" i="24"/>
  <c r="F256" i="24"/>
  <c r="E256" i="24"/>
  <c r="D256" i="24"/>
  <c r="C256" i="24"/>
  <c r="Z255" i="24"/>
  <c r="V255" i="24"/>
  <c r="U255" i="24"/>
  <c r="T255" i="24"/>
  <c r="S255" i="24"/>
  <c r="N255" i="24"/>
  <c r="M255" i="24"/>
  <c r="L255" i="24"/>
  <c r="K255" i="24"/>
  <c r="F255" i="24"/>
  <c r="E255" i="24"/>
  <c r="D255" i="24"/>
  <c r="C255" i="24"/>
  <c r="Z254" i="24"/>
  <c r="V254" i="24"/>
  <c r="U254" i="24"/>
  <c r="T254" i="24"/>
  <c r="S254" i="24"/>
  <c r="N254" i="24"/>
  <c r="M254" i="24"/>
  <c r="L254" i="24"/>
  <c r="K254" i="24"/>
  <c r="F254" i="24"/>
  <c r="E254" i="24"/>
  <c r="D254" i="24"/>
  <c r="C254" i="24"/>
  <c r="Z253" i="24"/>
  <c r="V253" i="24"/>
  <c r="U253" i="24"/>
  <c r="T253" i="24"/>
  <c r="S253" i="24"/>
  <c r="N253" i="24"/>
  <c r="M253" i="24"/>
  <c r="L253" i="24"/>
  <c r="K253" i="24"/>
  <c r="F253" i="24"/>
  <c r="E253" i="24"/>
  <c r="D253" i="24"/>
  <c r="C253" i="24"/>
  <c r="Z252" i="24"/>
  <c r="V252" i="24"/>
  <c r="U252" i="24"/>
  <c r="T252" i="24"/>
  <c r="S252" i="24"/>
  <c r="N252" i="24"/>
  <c r="M252" i="24"/>
  <c r="L252" i="24"/>
  <c r="K252" i="24"/>
  <c r="F252" i="24"/>
  <c r="E252" i="24"/>
  <c r="D252" i="24"/>
  <c r="C252" i="24"/>
  <c r="Z251" i="24"/>
  <c r="V251" i="24"/>
  <c r="U251" i="24"/>
  <c r="T251" i="24"/>
  <c r="S251" i="24"/>
  <c r="N251" i="24"/>
  <c r="M251" i="24"/>
  <c r="L251" i="24"/>
  <c r="K251" i="24"/>
  <c r="F251" i="24"/>
  <c r="E251" i="24"/>
  <c r="D251" i="24"/>
  <c r="C251" i="24"/>
  <c r="Z250" i="24"/>
  <c r="V250" i="24"/>
  <c r="U250" i="24"/>
  <c r="T250" i="24"/>
  <c r="S250" i="24"/>
  <c r="N250" i="24"/>
  <c r="M250" i="24"/>
  <c r="L250" i="24"/>
  <c r="K250" i="24"/>
  <c r="F250" i="24"/>
  <c r="E250" i="24"/>
  <c r="D250" i="24"/>
  <c r="C250" i="24"/>
  <c r="Z249" i="24"/>
  <c r="V249" i="24"/>
  <c r="U249" i="24"/>
  <c r="T249" i="24"/>
  <c r="S249" i="24"/>
  <c r="N249" i="24"/>
  <c r="M249" i="24"/>
  <c r="L249" i="24"/>
  <c r="K249" i="24"/>
  <c r="F249" i="24"/>
  <c r="E249" i="24"/>
  <c r="D249" i="24"/>
  <c r="C249" i="24"/>
  <c r="V248" i="24"/>
  <c r="U248" i="24"/>
  <c r="T248" i="24"/>
  <c r="S248" i="24"/>
  <c r="N248" i="24"/>
  <c r="M248" i="24"/>
  <c r="L248" i="24"/>
  <c r="K248" i="24"/>
  <c r="F248" i="24"/>
  <c r="E248" i="24"/>
  <c r="D248" i="24"/>
  <c r="C248" i="24"/>
  <c r="V247" i="24"/>
  <c r="U247" i="24"/>
  <c r="T247" i="24"/>
  <c r="S247" i="24"/>
  <c r="N247" i="24"/>
  <c r="M247" i="24"/>
  <c r="L247" i="24"/>
  <c r="K247" i="24"/>
  <c r="F247" i="24"/>
  <c r="E247" i="24"/>
  <c r="D247" i="24"/>
  <c r="C247" i="24"/>
  <c r="V245" i="24"/>
  <c r="U245" i="24"/>
  <c r="T245" i="24"/>
  <c r="S245" i="24"/>
  <c r="N245" i="24"/>
  <c r="M245" i="24"/>
  <c r="L245" i="24"/>
  <c r="K245" i="24"/>
  <c r="F245" i="24"/>
  <c r="E245" i="24"/>
  <c r="D245" i="24"/>
  <c r="C245" i="24"/>
  <c r="Z244" i="24"/>
  <c r="V244" i="24"/>
  <c r="U244" i="24"/>
  <c r="T244" i="24"/>
  <c r="S244" i="24"/>
  <c r="N244" i="24"/>
  <c r="M244" i="24"/>
  <c r="L244" i="24"/>
  <c r="K244" i="24"/>
  <c r="F244" i="24"/>
  <c r="E244" i="24"/>
  <c r="D244" i="24"/>
  <c r="C244" i="24"/>
  <c r="Z243" i="24"/>
  <c r="V243" i="24"/>
  <c r="U243" i="24"/>
  <c r="T243" i="24"/>
  <c r="S243" i="24"/>
  <c r="N243" i="24"/>
  <c r="M243" i="24"/>
  <c r="L243" i="24"/>
  <c r="K243" i="24"/>
  <c r="F243" i="24"/>
  <c r="E243" i="24"/>
  <c r="D243" i="24"/>
  <c r="C243" i="24"/>
  <c r="Z242" i="24"/>
  <c r="V242" i="24"/>
  <c r="U242" i="24"/>
  <c r="T242" i="24"/>
  <c r="S242" i="24"/>
  <c r="N242" i="24"/>
  <c r="M242" i="24"/>
  <c r="L242" i="24"/>
  <c r="K242" i="24"/>
  <c r="F242" i="24"/>
  <c r="E242" i="24"/>
  <c r="D242" i="24"/>
  <c r="C242" i="24"/>
  <c r="Z241" i="24"/>
  <c r="V241" i="24"/>
  <c r="U241" i="24"/>
  <c r="T241" i="24"/>
  <c r="S241" i="24"/>
  <c r="N241" i="24"/>
  <c r="M241" i="24"/>
  <c r="L241" i="24"/>
  <c r="K241" i="24"/>
  <c r="F241" i="24"/>
  <c r="E241" i="24"/>
  <c r="D241" i="24"/>
  <c r="C241" i="24"/>
  <c r="Z240" i="24"/>
  <c r="V240" i="24"/>
  <c r="U240" i="24"/>
  <c r="T240" i="24"/>
  <c r="S240" i="24"/>
  <c r="N240" i="24"/>
  <c r="M240" i="24"/>
  <c r="L240" i="24"/>
  <c r="K240" i="24"/>
  <c r="F240" i="24"/>
  <c r="E240" i="24"/>
  <c r="D240" i="24"/>
  <c r="C240" i="24"/>
  <c r="Z239" i="24"/>
  <c r="V239" i="24"/>
  <c r="U239" i="24"/>
  <c r="T239" i="24"/>
  <c r="S239" i="24"/>
  <c r="N239" i="24"/>
  <c r="M239" i="24"/>
  <c r="L239" i="24"/>
  <c r="K239" i="24"/>
  <c r="F239" i="24"/>
  <c r="E239" i="24"/>
  <c r="D239" i="24"/>
  <c r="C239" i="24"/>
  <c r="Z238" i="24"/>
  <c r="V238" i="24"/>
  <c r="U238" i="24"/>
  <c r="T238" i="24"/>
  <c r="S238" i="24"/>
  <c r="N238" i="24"/>
  <c r="M238" i="24"/>
  <c r="L238" i="24"/>
  <c r="K238" i="24"/>
  <c r="F238" i="24"/>
  <c r="E238" i="24"/>
  <c r="D238" i="24"/>
  <c r="C238" i="24"/>
  <c r="Z237" i="24"/>
  <c r="V237" i="24"/>
  <c r="U237" i="24"/>
  <c r="T237" i="24"/>
  <c r="S237" i="24"/>
  <c r="N237" i="24"/>
  <c r="M237" i="24"/>
  <c r="L237" i="24"/>
  <c r="K237" i="24"/>
  <c r="F237" i="24"/>
  <c r="E237" i="24"/>
  <c r="D237" i="24"/>
  <c r="C237" i="24"/>
  <c r="Z236" i="24"/>
  <c r="V236" i="24"/>
  <c r="U236" i="24"/>
  <c r="T236" i="24"/>
  <c r="S236" i="24"/>
  <c r="N236" i="24"/>
  <c r="M236" i="24"/>
  <c r="L236" i="24"/>
  <c r="K236" i="24"/>
  <c r="F236" i="24"/>
  <c r="E236" i="24"/>
  <c r="D236" i="24"/>
  <c r="C236" i="24"/>
  <c r="Z235" i="24"/>
  <c r="V235" i="24"/>
  <c r="U235" i="24"/>
  <c r="T235" i="24"/>
  <c r="S235" i="24"/>
  <c r="N235" i="24"/>
  <c r="M235" i="24"/>
  <c r="L235" i="24"/>
  <c r="K235" i="24"/>
  <c r="F235" i="24"/>
  <c r="E235" i="24"/>
  <c r="D235" i="24"/>
  <c r="C235" i="24"/>
  <c r="Z234" i="24"/>
  <c r="V234" i="24"/>
  <c r="U234" i="24"/>
  <c r="T234" i="24"/>
  <c r="S234" i="24"/>
  <c r="N234" i="24"/>
  <c r="M234" i="24"/>
  <c r="L234" i="24"/>
  <c r="K234" i="24"/>
  <c r="F234" i="24"/>
  <c r="E234" i="24"/>
  <c r="D234" i="24"/>
  <c r="C234" i="24"/>
  <c r="Z233" i="24"/>
  <c r="V233" i="24"/>
  <c r="U233" i="24"/>
  <c r="T233" i="24"/>
  <c r="S233" i="24"/>
  <c r="N233" i="24"/>
  <c r="M233" i="24"/>
  <c r="L233" i="24"/>
  <c r="K233" i="24"/>
  <c r="F233" i="24"/>
  <c r="E233" i="24"/>
  <c r="D233" i="24"/>
  <c r="C233" i="24"/>
  <c r="Z232" i="24"/>
  <c r="V232" i="24"/>
  <c r="U232" i="24"/>
  <c r="T232" i="24"/>
  <c r="S232" i="24"/>
  <c r="N232" i="24"/>
  <c r="M232" i="24"/>
  <c r="L232" i="24"/>
  <c r="K232" i="24"/>
  <c r="F232" i="24"/>
  <c r="E232" i="24"/>
  <c r="D232" i="24"/>
  <c r="C232" i="24"/>
  <c r="Z231" i="24"/>
  <c r="V231" i="24"/>
  <c r="U231" i="24"/>
  <c r="T231" i="24"/>
  <c r="S231" i="24"/>
  <c r="N231" i="24"/>
  <c r="M231" i="24"/>
  <c r="L231" i="24"/>
  <c r="K231" i="24"/>
  <c r="F231" i="24"/>
  <c r="E231" i="24"/>
  <c r="D231" i="24"/>
  <c r="C231" i="24"/>
  <c r="Z230" i="24"/>
  <c r="V230" i="24"/>
  <c r="U230" i="24"/>
  <c r="T230" i="24"/>
  <c r="S230" i="24"/>
  <c r="N230" i="24"/>
  <c r="M230" i="24"/>
  <c r="L230" i="24"/>
  <c r="K230" i="24"/>
  <c r="F230" i="24"/>
  <c r="E230" i="24"/>
  <c r="D230" i="24"/>
  <c r="C230" i="24"/>
  <c r="Z229" i="24"/>
  <c r="V229" i="24"/>
  <c r="U229" i="24"/>
  <c r="T229" i="24"/>
  <c r="S229" i="24"/>
  <c r="N229" i="24"/>
  <c r="M229" i="24"/>
  <c r="L229" i="24"/>
  <c r="K229" i="24"/>
  <c r="F229" i="24"/>
  <c r="E229" i="24"/>
  <c r="D229" i="24"/>
  <c r="C229" i="24"/>
  <c r="Z228" i="24"/>
  <c r="V228" i="24"/>
  <c r="U228" i="24"/>
  <c r="T228" i="24"/>
  <c r="S228" i="24"/>
  <c r="N228" i="24"/>
  <c r="M228" i="24"/>
  <c r="L228" i="24"/>
  <c r="K228" i="24"/>
  <c r="F228" i="24"/>
  <c r="E228" i="24"/>
  <c r="D228" i="24"/>
  <c r="C228" i="24"/>
  <c r="Z227" i="24"/>
  <c r="V227" i="24"/>
  <c r="U227" i="24"/>
  <c r="T227" i="24"/>
  <c r="S227" i="24"/>
  <c r="N227" i="24"/>
  <c r="M227" i="24"/>
  <c r="L227" i="24"/>
  <c r="K227" i="24"/>
  <c r="F227" i="24"/>
  <c r="E227" i="24"/>
  <c r="D227" i="24"/>
  <c r="C227" i="24"/>
  <c r="Z226" i="24"/>
  <c r="V226" i="24"/>
  <c r="U226" i="24"/>
  <c r="T226" i="24"/>
  <c r="S226" i="24"/>
  <c r="O226" i="24"/>
  <c r="N226" i="24"/>
  <c r="M226" i="24"/>
  <c r="L226" i="24"/>
  <c r="K226" i="24"/>
  <c r="F226" i="24"/>
  <c r="E226" i="24"/>
  <c r="D226" i="24"/>
  <c r="C226" i="24"/>
  <c r="Z225" i="24"/>
  <c r="U220" i="24"/>
  <c r="W371" i="24" s="1"/>
  <c r="N220" i="24"/>
  <c r="O371" i="24" s="1"/>
  <c r="G220" i="24"/>
  <c r="G371" i="24" s="1"/>
  <c r="U219" i="24"/>
  <c r="W350" i="24" s="1"/>
  <c r="N219" i="24"/>
  <c r="O350" i="24" s="1"/>
  <c r="G219" i="24"/>
  <c r="G350" i="24" s="1"/>
  <c r="U218" i="24"/>
  <c r="W329" i="24" s="1"/>
  <c r="N218" i="24"/>
  <c r="O329" i="24" s="1"/>
  <c r="G218" i="24"/>
  <c r="G329" i="24" s="1"/>
  <c r="U217" i="24"/>
  <c r="W308" i="24" s="1"/>
  <c r="N217" i="24"/>
  <c r="O308" i="24" s="1"/>
  <c r="G217" i="24"/>
  <c r="G308" i="24" s="1"/>
  <c r="U216" i="24"/>
  <c r="W287" i="24" s="1"/>
  <c r="N216" i="24"/>
  <c r="O287" i="24" s="1"/>
  <c r="G216" i="24"/>
  <c r="G287" i="24" s="1"/>
  <c r="U215" i="24"/>
  <c r="W266" i="24" s="1"/>
  <c r="N215" i="24"/>
  <c r="O266" i="24" s="1"/>
  <c r="G215" i="24"/>
  <c r="G266" i="24" s="1"/>
  <c r="U214" i="24"/>
  <c r="W245" i="24" s="1"/>
  <c r="N214" i="24"/>
  <c r="O245" i="24" s="1"/>
  <c r="G214" i="24"/>
  <c r="G245" i="24" s="1"/>
  <c r="L213" i="24"/>
  <c r="S213" i="24" s="1"/>
  <c r="K213" i="24"/>
  <c r="R213" i="24" s="1"/>
  <c r="I211" i="24"/>
  <c r="P211" i="24" s="1"/>
  <c r="U209" i="24"/>
  <c r="W370" i="24" s="1"/>
  <c r="N209" i="24"/>
  <c r="O370" i="24" s="1"/>
  <c r="G209" i="24"/>
  <c r="G370" i="24" s="1"/>
  <c r="U208" i="24"/>
  <c r="W349" i="24" s="1"/>
  <c r="N208" i="24"/>
  <c r="O349" i="24" s="1"/>
  <c r="G208" i="24"/>
  <c r="G349" i="24" s="1"/>
  <c r="U207" i="24"/>
  <c r="W328" i="24" s="1"/>
  <c r="N207" i="24"/>
  <c r="O328" i="24" s="1"/>
  <c r="G207" i="24"/>
  <c r="G328" i="24" s="1"/>
  <c r="U206" i="24"/>
  <c r="W307" i="24" s="1"/>
  <c r="N206" i="24"/>
  <c r="O307" i="24" s="1"/>
  <c r="G206" i="24"/>
  <c r="G307" i="24" s="1"/>
  <c r="U205" i="24"/>
  <c r="W286" i="24" s="1"/>
  <c r="N205" i="24"/>
  <c r="O286" i="24" s="1"/>
  <c r="G205" i="24"/>
  <c r="U204" i="24"/>
  <c r="W265" i="24" s="1"/>
  <c r="N204" i="24"/>
  <c r="O265" i="24" s="1"/>
  <c r="G204" i="24"/>
  <c r="G265" i="24" s="1"/>
  <c r="U203" i="24"/>
  <c r="W244" i="24" s="1"/>
  <c r="N203" i="24"/>
  <c r="O244" i="24" s="1"/>
  <c r="G203" i="24"/>
  <c r="G244" i="24" s="1"/>
  <c r="L202" i="24"/>
  <c r="S202" i="24" s="1"/>
  <c r="K202" i="24"/>
  <c r="R202" i="24" s="1"/>
  <c r="I200" i="24"/>
  <c r="P200" i="24" s="1"/>
  <c r="U198" i="24"/>
  <c r="W369" i="24" s="1"/>
  <c r="N198" i="24"/>
  <c r="O369" i="24" s="1"/>
  <c r="G198" i="24"/>
  <c r="G369" i="24" s="1"/>
  <c r="U197" i="24"/>
  <c r="W348" i="24" s="1"/>
  <c r="N197" i="24"/>
  <c r="O348" i="24" s="1"/>
  <c r="G197" i="24"/>
  <c r="G348" i="24" s="1"/>
  <c r="U196" i="24"/>
  <c r="W327" i="24" s="1"/>
  <c r="N196" i="24"/>
  <c r="O327" i="24" s="1"/>
  <c r="G196" i="24"/>
  <c r="G327" i="24" s="1"/>
  <c r="U195" i="24"/>
  <c r="W306" i="24" s="1"/>
  <c r="N195" i="24"/>
  <c r="O306" i="24" s="1"/>
  <c r="G195" i="24"/>
  <c r="G306" i="24" s="1"/>
  <c r="U194" i="24"/>
  <c r="W285" i="24" s="1"/>
  <c r="N194" i="24"/>
  <c r="O285" i="24" s="1"/>
  <c r="G194" i="24"/>
  <c r="U193" i="24"/>
  <c r="W264" i="24" s="1"/>
  <c r="N193" i="24"/>
  <c r="O264" i="24" s="1"/>
  <c r="G193" i="24"/>
  <c r="G264" i="24" s="1"/>
  <c r="U192" i="24"/>
  <c r="W243" i="24" s="1"/>
  <c r="N192" i="24"/>
  <c r="O243" i="24" s="1"/>
  <c r="G192" i="24"/>
  <c r="G243" i="24" s="1"/>
  <c r="S191" i="24"/>
  <c r="L191" i="24"/>
  <c r="K191" i="24"/>
  <c r="R191" i="24" s="1"/>
  <c r="I189" i="24"/>
  <c r="P189" i="24" s="1"/>
  <c r="U187" i="24"/>
  <c r="W368" i="24" s="1"/>
  <c r="N187" i="24"/>
  <c r="O368" i="24" s="1"/>
  <c r="G187" i="24"/>
  <c r="G368" i="24" s="1"/>
  <c r="U186" i="24"/>
  <c r="W347" i="24" s="1"/>
  <c r="N186" i="24"/>
  <c r="O347" i="24" s="1"/>
  <c r="G186" i="24"/>
  <c r="G347" i="24" s="1"/>
  <c r="U185" i="24"/>
  <c r="W326" i="24" s="1"/>
  <c r="N185" i="24"/>
  <c r="O326" i="24" s="1"/>
  <c r="G185" i="24"/>
  <c r="G326" i="24" s="1"/>
  <c r="U184" i="24"/>
  <c r="W305" i="24" s="1"/>
  <c r="N184" i="24"/>
  <c r="O305" i="24" s="1"/>
  <c r="G184" i="24"/>
  <c r="G305" i="24" s="1"/>
  <c r="U183" i="24"/>
  <c r="W284" i="24" s="1"/>
  <c r="N183" i="24"/>
  <c r="O284" i="24" s="1"/>
  <c r="G183" i="24"/>
  <c r="G284" i="24" s="1"/>
  <c r="U182" i="24"/>
  <c r="W263" i="24" s="1"/>
  <c r="N182" i="24"/>
  <c r="O263" i="24" s="1"/>
  <c r="G182" i="24"/>
  <c r="G263" i="24" s="1"/>
  <c r="U181" i="24"/>
  <c r="W242" i="24" s="1"/>
  <c r="N181" i="24"/>
  <c r="O242" i="24" s="1"/>
  <c r="G181" i="24"/>
  <c r="G242" i="24" s="1"/>
  <c r="L180" i="24"/>
  <c r="S180" i="24" s="1"/>
  <c r="K180" i="24"/>
  <c r="R180" i="24" s="1"/>
  <c r="I178" i="24"/>
  <c r="P178" i="24" s="1"/>
  <c r="U176" i="24"/>
  <c r="W367" i="24" s="1"/>
  <c r="N176" i="24"/>
  <c r="O367" i="24" s="1"/>
  <c r="G176" i="24"/>
  <c r="G367" i="24" s="1"/>
  <c r="U175" i="24"/>
  <c r="W346" i="24" s="1"/>
  <c r="N175" i="24"/>
  <c r="O346" i="24" s="1"/>
  <c r="G175" i="24"/>
  <c r="G346" i="24" s="1"/>
  <c r="U174" i="24"/>
  <c r="W325" i="24" s="1"/>
  <c r="N174" i="24"/>
  <c r="O325" i="24" s="1"/>
  <c r="G174" i="24"/>
  <c r="G325" i="24" s="1"/>
  <c r="U173" i="24"/>
  <c r="W304" i="24" s="1"/>
  <c r="N173" i="24"/>
  <c r="O304" i="24" s="1"/>
  <c r="G173" i="24"/>
  <c r="G304" i="24" s="1"/>
  <c r="U172" i="24"/>
  <c r="W283" i="24" s="1"/>
  <c r="N172" i="24"/>
  <c r="O283" i="24" s="1"/>
  <c r="G172" i="24"/>
  <c r="G283" i="24" s="1"/>
  <c r="U171" i="24"/>
  <c r="W262" i="24" s="1"/>
  <c r="N171" i="24"/>
  <c r="O262" i="24" s="1"/>
  <c r="G171" i="24"/>
  <c r="G262" i="24" s="1"/>
  <c r="U170" i="24"/>
  <c r="W241" i="24" s="1"/>
  <c r="N170" i="24"/>
  <c r="O241" i="24" s="1"/>
  <c r="G170" i="24"/>
  <c r="G241" i="24" s="1"/>
  <c r="L169" i="24"/>
  <c r="S169" i="24" s="1"/>
  <c r="K169" i="24"/>
  <c r="R169" i="24" s="1"/>
  <c r="I167" i="24"/>
  <c r="P167" i="24" s="1"/>
  <c r="U165" i="24"/>
  <c r="W366" i="24" s="1"/>
  <c r="N165" i="24"/>
  <c r="O366" i="24" s="1"/>
  <c r="G165" i="24"/>
  <c r="G366" i="24" s="1"/>
  <c r="U164" i="24"/>
  <c r="W345" i="24" s="1"/>
  <c r="N164" i="24"/>
  <c r="O345" i="24" s="1"/>
  <c r="G164" i="24"/>
  <c r="G345" i="24" s="1"/>
  <c r="U163" i="24"/>
  <c r="W324" i="24" s="1"/>
  <c r="N163" i="24"/>
  <c r="O324" i="24" s="1"/>
  <c r="G163" i="24"/>
  <c r="G324" i="24" s="1"/>
  <c r="U162" i="24"/>
  <c r="W303" i="24" s="1"/>
  <c r="N162" i="24"/>
  <c r="O303" i="24" s="1"/>
  <c r="G162" i="24"/>
  <c r="G303" i="24" s="1"/>
  <c r="U161" i="24"/>
  <c r="W282" i="24" s="1"/>
  <c r="N161" i="24"/>
  <c r="O282" i="24" s="1"/>
  <c r="G161" i="24"/>
  <c r="G282" i="24" s="1"/>
  <c r="U160" i="24"/>
  <c r="W261" i="24" s="1"/>
  <c r="N160" i="24"/>
  <c r="O261" i="24" s="1"/>
  <c r="G160" i="24"/>
  <c r="G261" i="24" s="1"/>
  <c r="U159" i="24"/>
  <c r="W240" i="24" s="1"/>
  <c r="N159" i="24"/>
  <c r="O240" i="24" s="1"/>
  <c r="G159" i="24"/>
  <c r="G240" i="24" s="1"/>
  <c r="L158" i="24"/>
  <c r="K158" i="24"/>
  <c r="R158" i="24" s="1"/>
  <c r="I156" i="24"/>
  <c r="P156" i="24" s="1"/>
  <c r="U154" i="24"/>
  <c r="W365" i="24" s="1"/>
  <c r="N154" i="24"/>
  <c r="O365" i="24" s="1"/>
  <c r="G154" i="24"/>
  <c r="G365" i="24" s="1"/>
  <c r="U153" i="24"/>
  <c r="W344" i="24" s="1"/>
  <c r="N153" i="24"/>
  <c r="O344" i="24" s="1"/>
  <c r="G153" i="24"/>
  <c r="G344" i="24" s="1"/>
  <c r="U152" i="24"/>
  <c r="W323" i="24" s="1"/>
  <c r="N152" i="24"/>
  <c r="O323" i="24" s="1"/>
  <c r="G152" i="24"/>
  <c r="G323" i="24" s="1"/>
  <c r="U151" i="24"/>
  <c r="W302" i="24" s="1"/>
  <c r="N151" i="24"/>
  <c r="G151" i="24"/>
  <c r="U150" i="24"/>
  <c r="W281" i="24" s="1"/>
  <c r="N150" i="24"/>
  <c r="G150" i="24"/>
  <c r="G281" i="24" s="1"/>
  <c r="U149" i="24"/>
  <c r="W260" i="24" s="1"/>
  <c r="N149" i="24"/>
  <c r="O260" i="24" s="1"/>
  <c r="G149" i="24"/>
  <c r="G260" i="24" s="1"/>
  <c r="U148" i="24"/>
  <c r="W239" i="24" s="1"/>
  <c r="N148" i="24"/>
  <c r="O239" i="24" s="1"/>
  <c r="G148" i="24"/>
  <c r="G239" i="24" s="1"/>
  <c r="L147" i="24"/>
  <c r="S147" i="24" s="1"/>
  <c r="K147" i="24"/>
  <c r="R147" i="24" s="1"/>
  <c r="I145" i="24"/>
  <c r="P145" i="24" s="1"/>
  <c r="U143" i="24"/>
  <c r="W364" i="24" s="1"/>
  <c r="N143" i="24"/>
  <c r="O364" i="24" s="1"/>
  <c r="G143" i="24"/>
  <c r="G364" i="24" s="1"/>
  <c r="U142" i="24"/>
  <c r="W343" i="24" s="1"/>
  <c r="N142" i="24"/>
  <c r="O343" i="24" s="1"/>
  <c r="G142" i="24"/>
  <c r="G343" i="24" s="1"/>
  <c r="U141" i="24"/>
  <c r="W322" i="24" s="1"/>
  <c r="N141" i="24"/>
  <c r="O322" i="24" s="1"/>
  <c r="G141" i="24"/>
  <c r="G322" i="24" s="1"/>
  <c r="U140" i="24"/>
  <c r="W301" i="24" s="1"/>
  <c r="N140" i="24"/>
  <c r="O301" i="24" s="1"/>
  <c r="G140" i="24"/>
  <c r="U139" i="24"/>
  <c r="W280" i="24" s="1"/>
  <c r="N139" i="24"/>
  <c r="O280" i="24" s="1"/>
  <c r="G139" i="24"/>
  <c r="G280" i="24" s="1"/>
  <c r="U138" i="24"/>
  <c r="W259" i="24" s="1"/>
  <c r="N138" i="24"/>
  <c r="O259" i="24" s="1"/>
  <c r="G138" i="24"/>
  <c r="G259" i="24" s="1"/>
  <c r="U137" i="24"/>
  <c r="W238" i="24" s="1"/>
  <c r="N137" i="24"/>
  <c r="O238" i="24" s="1"/>
  <c r="G137" i="24"/>
  <c r="G238" i="24" s="1"/>
  <c r="L136" i="24"/>
  <c r="S136" i="24" s="1"/>
  <c r="K136" i="24"/>
  <c r="R136" i="24" s="1"/>
  <c r="P134" i="24"/>
  <c r="I134" i="24"/>
  <c r="U132" i="24"/>
  <c r="W363" i="24" s="1"/>
  <c r="N132" i="24"/>
  <c r="O363" i="24" s="1"/>
  <c r="G132" i="24"/>
  <c r="G363" i="24" s="1"/>
  <c r="U131" i="24"/>
  <c r="W342" i="24" s="1"/>
  <c r="N131" i="24"/>
  <c r="O342" i="24" s="1"/>
  <c r="G131" i="24"/>
  <c r="G342" i="24" s="1"/>
  <c r="U130" i="24"/>
  <c r="W321" i="24" s="1"/>
  <c r="N130" i="24"/>
  <c r="O321" i="24" s="1"/>
  <c r="G130" i="24"/>
  <c r="G321" i="24" s="1"/>
  <c r="U129" i="24"/>
  <c r="W300" i="24" s="1"/>
  <c r="N129" i="24"/>
  <c r="O300" i="24" s="1"/>
  <c r="G129" i="24"/>
  <c r="G300" i="24" s="1"/>
  <c r="U128" i="24"/>
  <c r="W279" i="24" s="1"/>
  <c r="N128" i="24"/>
  <c r="O279" i="24" s="1"/>
  <c r="G128" i="24"/>
  <c r="G279" i="24" s="1"/>
  <c r="U127" i="24"/>
  <c r="W258" i="24" s="1"/>
  <c r="N127" i="24"/>
  <c r="O258" i="24" s="1"/>
  <c r="G127" i="24"/>
  <c r="G258" i="24" s="1"/>
  <c r="U126" i="24"/>
  <c r="W237" i="24" s="1"/>
  <c r="N126" i="24"/>
  <c r="O237" i="24" s="1"/>
  <c r="G126" i="24"/>
  <c r="G237" i="24" s="1"/>
  <c r="L125" i="24"/>
  <c r="S125" i="24" s="1"/>
  <c r="I123" i="24"/>
  <c r="P123" i="24" s="1"/>
  <c r="U121" i="24"/>
  <c r="W362" i="24" s="1"/>
  <c r="N121" i="24"/>
  <c r="O362" i="24" s="1"/>
  <c r="G121" i="24"/>
  <c r="G362" i="24" s="1"/>
  <c r="U120" i="24"/>
  <c r="W341" i="24" s="1"/>
  <c r="N120" i="24"/>
  <c r="O341" i="24" s="1"/>
  <c r="G120" i="24"/>
  <c r="G341" i="24" s="1"/>
  <c r="U119" i="24"/>
  <c r="W320" i="24" s="1"/>
  <c r="N119" i="24"/>
  <c r="O320" i="24" s="1"/>
  <c r="G119" i="24"/>
  <c r="G320" i="24" s="1"/>
  <c r="U118" i="24"/>
  <c r="W299" i="24" s="1"/>
  <c r="N118" i="24"/>
  <c r="O299" i="24" s="1"/>
  <c r="G118" i="24"/>
  <c r="G299" i="24" s="1"/>
  <c r="U117" i="24"/>
  <c r="W278" i="24" s="1"/>
  <c r="N117" i="24"/>
  <c r="O278" i="24" s="1"/>
  <c r="G117" i="24"/>
  <c r="G278" i="24" s="1"/>
  <c r="U116" i="24"/>
  <c r="W257" i="24" s="1"/>
  <c r="N116" i="24"/>
  <c r="O257" i="24" s="1"/>
  <c r="G116" i="24"/>
  <c r="G257" i="24" s="1"/>
  <c r="U115" i="24"/>
  <c r="W236" i="24" s="1"/>
  <c r="N115" i="24"/>
  <c r="O236" i="24" s="1"/>
  <c r="G115" i="24"/>
  <c r="G236" i="24" s="1"/>
  <c r="L114" i="24"/>
  <c r="S114" i="24" s="1"/>
  <c r="K114" i="24"/>
  <c r="R114" i="24" s="1"/>
  <c r="I112" i="24"/>
  <c r="P112" i="24" s="1"/>
  <c r="U110" i="24"/>
  <c r="W361" i="24" s="1"/>
  <c r="N110" i="24"/>
  <c r="O361" i="24" s="1"/>
  <c r="G110" i="24"/>
  <c r="G361" i="24" s="1"/>
  <c r="U109" i="24"/>
  <c r="W340" i="24" s="1"/>
  <c r="N109" i="24"/>
  <c r="O340" i="24" s="1"/>
  <c r="G109" i="24"/>
  <c r="G340" i="24" s="1"/>
  <c r="U108" i="24"/>
  <c r="W319" i="24" s="1"/>
  <c r="N108" i="24"/>
  <c r="O319" i="24" s="1"/>
  <c r="G108" i="24"/>
  <c r="G319" i="24" s="1"/>
  <c r="U107" i="24"/>
  <c r="W298" i="24" s="1"/>
  <c r="N107" i="24"/>
  <c r="O298" i="24" s="1"/>
  <c r="G107" i="24"/>
  <c r="G298" i="24" s="1"/>
  <c r="U106" i="24"/>
  <c r="W277" i="24" s="1"/>
  <c r="N106" i="24"/>
  <c r="O277" i="24" s="1"/>
  <c r="G106" i="24"/>
  <c r="G277" i="24" s="1"/>
  <c r="U105" i="24"/>
  <c r="W256" i="24" s="1"/>
  <c r="N105" i="24"/>
  <c r="O256" i="24" s="1"/>
  <c r="G105" i="24"/>
  <c r="G256" i="24" s="1"/>
  <c r="U104" i="24"/>
  <c r="W235" i="24" s="1"/>
  <c r="N104" i="24"/>
  <c r="O235" i="24" s="1"/>
  <c r="G104" i="24"/>
  <c r="G235" i="24" s="1"/>
  <c r="L103" i="24"/>
  <c r="S103" i="24" s="1"/>
  <c r="K103" i="24"/>
  <c r="R103" i="24" s="1"/>
  <c r="I101" i="24"/>
  <c r="P101" i="24" s="1"/>
  <c r="U99" i="24"/>
  <c r="W360" i="24" s="1"/>
  <c r="N99" i="24"/>
  <c r="O360" i="24" s="1"/>
  <c r="G99" i="24"/>
  <c r="G360" i="24" s="1"/>
  <c r="U98" i="24"/>
  <c r="W339" i="24" s="1"/>
  <c r="N98" i="24"/>
  <c r="O339" i="24" s="1"/>
  <c r="G98" i="24"/>
  <c r="G339" i="24" s="1"/>
  <c r="U97" i="24"/>
  <c r="W318" i="24" s="1"/>
  <c r="N97" i="24"/>
  <c r="O318" i="24" s="1"/>
  <c r="G97" i="24"/>
  <c r="G318" i="24" s="1"/>
  <c r="U96" i="24"/>
  <c r="W297" i="24" s="1"/>
  <c r="N96" i="24"/>
  <c r="O297" i="24" s="1"/>
  <c r="G96" i="24"/>
  <c r="G297" i="24" s="1"/>
  <c r="U95" i="24"/>
  <c r="W276" i="24" s="1"/>
  <c r="N95" i="24"/>
  <c r="O276" i="24" s="1"/>
  <c r="G95" i="24"/>
  <c r="G276" i="24" s="1"/>
  <c r="U94" i="24"/>
  <c r="W255" i="24" s="1"/>
  <c r="N94" i="24"/>
  <c r="O255" i="24" s="1"/>
  <c r="G94" i="24"/>
  <c r="G255" i="24" s="1"/>
  <c r="U93" i="24"/>
  <c r="W234" i="24" s="1"/>
  <c r="N93" i="24"/>
  <c r="O234" i="24" s="1"/>
  <c r="G93" i="24"/>
  <c r="G234" i="24" s="1"/>
  <c r="L92" i="24"/>
  <c r="S92" i="24" s="1"/>
  <c r="K92" i="24"/>
  <c r="R92" i="24" s="1"/>
  <c r="I90" i="24"/>
  <c r="P90" i="24" s="1"/>
  <c r="U88" i="24"/>
  <c r="W359" i="24" s="1"/>
  <c r="N88" i="24"/>
  <c r="O359" i="24" s="1"/>
  <c r="G88" i="24"/>
  <c r="G359" i="24" s="1"/>
  <c r="U87" i="24"/>
  <c r="W338" i="24" s="1"/>
  <c r="N87" i="24"/>
  <c r="O338" i="24" s="1"/>
  <c r="G87" i="24"/>
  <c r="G338" i="24" s="1"/>
  <c r="U86" i="24"/>
  <c r="W317" i="24" s="1"/>
  <c r="N86" i="24"/>
  <c r="O317" i="24" s="1"/>
  <c r="G86" i="24"/>
  <c r="G317" i="24" s="1"/>
  <c r="U85" i="24"/>
  <c r="W296" i="24" s="1"/>
  <c r="N85" i="24"/>
  <c r="O296" i="24" s="1"/>
  <c r="G85" i="24"/>
  <c r="G296" i="24" s="1"/>
  <c r="U84" i="24"/>
  <c r="W275" i="24" s="1"/>
  <c r="N84" i="24"/>
  <c r="O275" i="24" s="1"/>
  <c r="G84" i="24"/>
  <c r="G275" i="24" s="1"/>
  <c r="U83" i="24"/>
  <c r="W254" i="24" s="1"/>
  <c r="N83" i="24"/>
  <c r="O254" i="24" s="1"/>
  <c r="G83" i="24"/>
  <c r="G254" i="24" s="1"/>
  <c r="U82" i="24"/>
  <c r="W233" i="24" s="1"/>
  <c r="N82" i="24"/>
  <c r="O233" i="24" s="1"/>
  <c r="G82" i="24"/>
  <c r="G233" i="24" s="1"/>
  <c r="L81" i="24"/>
  <c r="S81" i="24" s="1"/>
  <c r="K81" i="24"/>
  <c r="R81" i="24" s="1"/>
  <c r="I79" i="24"/>
  <c r="P79" i="24" s="1"/>
  <c r="U77" i="24"/>
  <c r="W358" i="24" s="1"/>
  <c r="N77" i="24"/>
  <c r="O358" i="24" s="1"/>
  <c r="G77" i="24"/>
  <c r="G358" i="24" s="1"/>
  <c r="U76" i="24"/>
  <c r="W337" i="24" s="1"/>
  <c r="N76" i="24"/>
  <c r="O337" i="24" s="1"/>
  <c r="G76" i="24"/>
  <c r="G337" i="24" s="1"/>
  <c r="U75" i="24"/>
  <c r="W316" i="24" s="1"/>
  <c r="N75" i="24"/>
  <c r="O316" i="24" s="1"/>
  <c r="G75" i="24"/>
  <c r="G316" i="24" s="1"/>
  <c r="U74" i="24"/>
  <c r="W295" i="24" s="1"/>
  <c r="N74" i="24"/>
  <c r="O295" i="24" s="1"/>
  <c r="G74" i="24"/>
  <c r="G295" i="24" s="1"/>
  <c r="U73" i="24"/>
  <c r="W274" i="24" s="1"/>
  <c r="N73" i="24"/>
  <c r="O274" i="24" s="1"/>
  <c r="G73" i="24"/>
  <c r="G274" i="24" s="1"/>
  <c r="U72" i="24"/>
  <c r="W253" i="24" s="1"/>
  <c r="N72" i="24"/>
  <c r="O253" i="24" s="1"/>
  <c r="G72" i="24"/>
  <c r="G253" i="24" s="1"/>
  <c r="U71" i="24"/>
  <c r="W232" i="24" s="1"/>
  <c r="N71" i="24"/>
  <c r="O232" i="24" s="1"/>
  <c r="G71" i="24"/>
  <c r="G232" i="24" s="1"/>
  <c r="L70" i="24"/>
  <c r="S70" i="24" s="1"/>
  <c r="K70" i="24"/>
  <c r="R70" i="24" s="1"/>
  <c r="I68" i="24"/>
  <c r="P68" i="24" s="1"/>
  <c r="U66" i="24"/>
  <c r="W357" i="24" s="1"/>
  <c r="N66" i="24"/>
  <c r="O357" i="24" s="1"/>
  <c r="G66" i="24"/>
  <c r="G357" i="24" s="1"/>
  <c r="U65" i="24"/>
  <c r="W336" i="24" s="1"/>
  <c r="N65" i="24"/>
  <c r="O336" i="24" s="1"/>
  <c r="G65" i="24"/>
  <c r="G336" i="24" s="1"/>
  <c r="U64" i="24"/>
  <c r="W315" i="24" s="1"/>
  <c r="N64" i="24"/>
  <c r="O315" i="24" s="1"/>
  <c r="G64" i="24"/>
  <c r="G315" i="24" s="1"/>
  <c r="U63" i="24"/>
  <c r="W294" i="24" s="1"/>
  <c r="N63" i="24"/>
  <c r="O294" i="24" s="1"/>
  <c r="G63" i="24"/>
  <c r="G294" i="24" s="1"/>
  <c r="U62" i="24"/>
  <c r="W273" i="24" s="1"/>
  <c r="N62" i="24"/>
  <c r="O273" i="24" s="1"/>
  <c r="G62" i="24"/>
  <c r="G273" i="24" s="1"/>
  <c r="U61" i="24"/>
  <c r="W252" i="24" s="1"/>
  <c r="N61" i="24"/>
  <c r="O252" i="24" s="1"/>
  <c r="G61" i="24"/>
  <c r="G252" i="24" s="1"/>
  <c r="U60" i="24"/>
  <c r="W231" i="24" s="1"/>
  <c r="N60" i="24"/>
  <c r="O231" i="24" s="1"/>
  <c r="G60" i="24"/>
  <c r="G231" i="24" s="1"/>
  <c r="L59" i="24"/>
  <c r="S59" i="24" s="1"/>
  <c r="K59" i="24"/>
  <c r="R59" i="24" s="1"/>
  <c r="P57" i="24"/>
  <c r="I57" i="24"/>
  <c r="U55" i="24"/>
  <c r="W356" i="24" s="1"/>
  <c r="N55" i="24"/>
  <c r="O356" i="24" s="1"/>
  <c r="G55" i="24"/>
  <c r="G356" i="24" s="1"/>
  <c r="U54" i="24"/>
  <c r="W335" i="24" s="1"/>
  <c r="N54" i="24"/>
  <c r="O335" i="24" s="1"/>
  <c r="G54" i="24"/>
  <c r="G335" i="24" s="1"/>
  <c r="U53" i="24"/>
  <c r="W314" i="24" s="1"/>
  <c r="N53" i="24"/>
  <c r="O314" i="24" s="1"/>
  <c r="G53" i="24"/>
  <c r="G314" i="24" s="1"/>
  <c r="U52" i="24"/>
  <c r="W293" i="24" s="1"/>
  <c r="N52" i="24"/>
  <c r="O293" i="24" s="1"/>
  <c r="G52" i="24"/>
  <c r="G293" i="24" s="1"/>
  <c r="U51" i="24"/>
  <c r="W272" i="24" s="1"/>
  <c r="N51" i="24"/>
  <c r="O272" i="24" s="1"/>
  <c r="G51" i="24"/>
  <c r="G272" i="24" s="1"/>
  <c r="U50" i="24"/>
  <c r="W251" i="24" s="1"/>
  <c r="N50" i="24"/>
  <c r="O251" i="24" s="1"/>
  <c r="G50" i="24"/>
  <c r="G251" i="24" s="1"/>
  <c r="U49" i="24"/>
  <c r="W230" i="24" s="1"/>
  <c r="N49" i="24"/>
  <c r="O230" i="24" s="1"/>
  <c r="G49" i="24"/>
  <c r="G230" i="24" s="1"/>
  <c r="T48" i="24"/>
  <c r="M48" i="24"/>
  <c r="L48" i="24"/>
  <c r="S48" i="24" s="1"/>
  <c r="K48" i="24"/>
  <c r="R48" i="24" s="1"/>
  <c r="P46" i="24"/>
  <c r="I46" i="24"/>
  <c r="U44" i="24"/>
  <c r="W355" i="24" s="1"/>
  <c r="N44" i="24"/>
  <c r="O355" i="24" s="1"/>
  <c r="G44" i="24"/>
  <c r="G355" i="24" s="1"/>
  <c r="U43" i="24"/>
  <c r="W334" i="24" s="1"/>
  <c r="N43" i="24"/>
  <c r="O334" i="24" s="1"/>
  <c r="G43" i="24"/>
  <c r="G334" i="24" s="1"/>
  <c r="U42" i="24"/>
  <c r="W313" i="24" s="1"/>
  <c r="N42" i="24"/>
  <c r="O313" i="24" s="1"/>
  <c r="G42" i="24"/>
  <c r="G313" i="24" s="1"/>
  <c r="U41" i="24"/>
  <c r="W292" i="24" s="1"/>
  <c r="N41" i="24"/>
  <c r="O292" i="24" s="1"/>
  <c r="G41" i="24"/>
  <c r="G292" i="24" s="1"/>
  <c r="U40" i="24"/>
  <c r="W271" i="24" s="1"/>
  <c r="N40" i="24"/>
  <c r="O271" i="24" s="1"/>
  <c r="G40" i="24"/>
  <c r="G271" i="24" s="1"/>
  <c r="U39" i="24"/>
  <c r="W250" i="24" s="1"/>
  <c r="N39" i="24"/>
  <c r="O250" i="24" s="1"/>
  <c r="G39" i="24"/>
  <c r="G250" i="24" s="1"/>
  <c r="U38" i="24"/>
  <c r="W229" i="24" s="1"/>
  <c r="N38" i="24"/>
  <c r="O229" i="24" s="1"/>
  <c r="G38" i="24"/>
  <c r="G229" i="24" s="1"/>
  <c r="L37" i="24"/>
  <c r="S37" i="24" s="1"/>
  <c r="K37" i="24"/>
  <c r="R37" i="24" s="1"/>
  <c r="I35" i="24"/>
  <c r="P35" i="24" s="1"/>
  <c r="U33" i="24"/>
  <c r="W354" i="24" s="1"/>
  <c r="N33" i="24"/>
  <c r="O354" i="24" s="1"/>
  <c r="G33" i="24"/>
  <c r="G354" i="24" s="1"/>
  <c r="U32" i="24"/>
  <c r="W333" i="24" s="1"/>
  <c r="N32" i="24"/>
  <c r="O333" i="24" s="1"/>
  <c r="G32" i="24"/>
  <c r="G333" i="24" s="1"/>
  <c r="U31" i="24"/>
  <c r="W312" i="24" s="1"/>
  <c r="N31" i="24"/>
  <c r="O312" i="24" s="1"/>
  <c r="G31" i="24"/>
  <c r="G312" i="24" s="1"/>
  <c r="U30" i="24"/>
  <c r="W291" i="24" s="1"/>
  <c r="N30" i="24"/>
  <c r="O291" i="24" s="1"/>
  <c r="G30" i="24"/>
  <c r="G291" i="24" s="1"/>
  <c r="U29" i="24"/>
  <c r="W270" i="24" s="1"/>
  <c r="N29" i="24"/>
  <c r="O270" i="24" s="1"/>
  <c r="G29" i="24"/>
  <c r="G270" i="24" s="1"/>
  <c r="U28" i="24"/>
  <c r="W249" i="24" s="1"/>
  <c r="N28" i="24"/>
  <c r="O249" i="24" s="1"/>
  <c r="G28" i="24"/>
  <c r="G249" i="24" s="1"/>
  <c r="U27" i="24"/>
  <c r="W228" i="24" s="1"/>
  <c r="N27" i="24"/>
  <c r="O228" i="24" s="1"/>
  <c r="G27" i="24"/>
  <c r="G228" i="24" s="1"/>
  <c r="R26" i="24"/>
  <c r="M26" i="24"/>
  <c r="T26" i="24" s="1"/>
  <c r="L26" i="24"/>
  <c r="S26" i="24" s="1"/>
  <c r="K26" i="24"/>
  <c r="I24" i="24"/>
  <c r="P24" i="24" s="1"/>
  <c r="U22" i="24"/>
  <c r="W353" i="24" s="1"/>
  <c r="N22" i="24"/>
  <c r="O353" i="24" s="1"/>
  <c r="G22" i="24"/>
  <c r="G353" i="24" s="1"/>
  <c r="U21" i="24"/>
  <c r="W332" i="24" s="1"/>
  <c r="N21" i="24"/>
  <c r="O332" i="24" s="1"/>
  <c r="G21" i="24"/>
  <c r="G332" i="24" s="1"/>
  <c r="U20" i="24"/>
  <c r="W311" i="24" s="1"/>
  <c r="N20" i="24"/>
  <c r="O311" i="24" s="1"/>
  <c r="G20" i="24"/>
  <c r="G311" i="24" s="1"/>
  <c r="U19" i="24"/>
  <c r="W290" i="24" s="1"/>
  <c r="N19" i="24"/>
  <c r="O290" i="24" s="1"/>
  <c r="G19" i="24"/>
  <c r="G290" i="24" s="1"/>
  <c r="U18" i="24"/>
  <c r="W269" i="24" s="1"/>
  <c r="N18" i="24"/>
  <c r="O269" i="24" s="1"/>
  <c r="G18" i="24"/>
  <c r="G269" i="24" s="1"/>
  <c r="U17" i="24"/>
  <c r="W248" i="24" s="1"/>
  <c r="N17" i="24"/>
  <c r="O248" i="24" s="1"/>
  <c r="G17" i="24"/>
  <c r="G248" i="24" s="1"/>
  <c r="U16" i="24"/>
  <c r="W227" i="24" s="1"/>
  <c r="N16" i="24"/>
  <c r="O227" i="24" s="1"/>
  <c r="G16" i="24"/>
  <c r="G227" i="24" s="1"/>
  <c r="M15" i="24"/>
  <c r="T15" i="24" s="1"/>
  <c r="L15" i="24"/>
  <c r="S15" i="24" s="1"/>
  <c r="K15" i="24"/>
  <c r="R15" i="24" s="1"/>
  <c r="I13" i="24"/>
  <c r="P13" i="24" s="1"/>
  <c r="U11" i="24"/>
  <c r="W352" i="24" s="1"/>
  <c r="N11" i="24"/>
  <c r="O352" i="24" s="1"/>
  <c r="G11" i="24"/>
  <c r="G352" i="24" s="1"/>
  <c r="U10" i="24"/>
  <c r="W331" i="24" s="1"/>
  <c r="N10" i="24"/>
  <c r="O331" i="24" s="1"/>
  <c r="G10" i="24"/>
  <c r="G331" i="24" s="1"/>
  <c r="U9" i="24"/>
  <c r="W310" i="24" s="1"/>
  <c r="N9" i="24"/>
  <c r="G9" i="24"/>
  <c r="G310" i="24" s="1"/>
  <c r="U8" i="24"/>
  <c r="W289" i="24" s="1"/>
  <c r="N8" i="24"/>
  <c r="O289" i="24" s="1"/>
  <c r="G8" i="24"/>
  <c r="G289" i="24" s="1"/>
  <c r="U7" i="24"/>
  <c r="W268" i="24" s="1"/>
  <c r="N7" i="24"/>
  <c r="O268" i="24" s="1"/>
  <c r="G7" i="24"/>
  <c r="G268" i="24" s="1"/>
  <c r="U6" i="24"/>
  <c r="W247" i="24" s="1"/>
  <c r="N6" i="24"/>
  <c r="O247" i="24" s="1"/>
  <c r="G6" i="24"/>
  <c r="G247" i="24" s="1"/>
  <c r="U5" i="24"/>
  <c r="W226" i="24" s="1"/>
  <c r="N5" i="24"/>
  <c r="G5" i="24"/>
  <c r="G226" i="24" s="1"/>
  <c r="S4" i="24"/>
  <c r="M4" i="24"/>
  <c r="L4" i="24"/>
  <c r="K4" i="24"/>
  <c r="R4" i="24" s="1"/>
  <c r="I2" i="24"/>
  <c r="P2" i="24" s="1"/>
  <c r="C299" i="27"/>
  <c r="B373" i="24" l="1"/>
  <c r="H373" i="24" s="1"/>
  <c r="T373" i="24" s="1"/>
  <c r="E376" i="24"/>
  <c r="O302" i="24"/>
  <c r="O281" i="24"/>
  <c r="B378" i="24"/>
  <c r="E377" i="24"/>
  <c r="D376" i="24"/>
  <c r="E380" i="24"/>
  <c r="A378" i="24"/>
  <c r="D377" i="24"/>
  <c r="C376" i="24"/>
  <c r="E382" i="24"/>
  <c r="E381" i="24"/>
  <c r="D380" i="24"/>
  <c r="E379" i="24"/>
  <c r="C377" i="24"/>
  <c r="B376" i="24"/>
  <c r="G373" i="24"/>
  <c r="D382" i="24"/>
  <c r="D381" i="24"/>
  <c r="C380" i="24"/>
  <c r="D379" i="24"/>
  <c r="B377" i="24"/>
  <c r="A376" i="24"/>
  <c r="C382" i="24"/>
  <c r="C381" i="24"/>
  <c r="B380" i="24"/>
  <c r="C379" i="24"/>
  <c r="A377" i="24"/>
  <c r="B382" i="24"/>
  <c r="B381" i="24"/>
  <c r="A380" i="24"/>
  <c r="B379" i="24"/>
  <c r="A382" i="24"/>
  <c r="A381" i="24"/>
  <c r="A379" i="24"/>
  <c r="D378" i="24"/>
  <c r="S373" i="24"/>
  <c r="G301" i="24"/>
  <c r="G302" i="24"/>
  <c r="G286" i="24"/>
  <c r="G285" i="24"/>
  <c r="E378" i="24" s="1"/>
  <c r="O310" i="24"/>
  <c r="N373" i="24"/>
  <c r="C378" i="24"/>
  <c r="B375" i="24"/>
  <c r="H375" i="24" s="1"/>
  <c r="N375" i="24" s="1"/>
  <c r="C375" i="24"/>
  <c r="I375" i="24" s="1"/>
  <c r="O375" i="24" s="1"/>
  <c r="D375" i="24"/>
  <c r="J375" i="24" s="1"/>
  <c r="P375" i="24" s="1"/>
  <c r="W377" i="24" l="1"/>
  <c r="O390" i="24" s="1"/>
  <c r="G15" i="5" s="1"/>
  <c r="W379" i="24"/>
  <c r="O392" i="24" s="1"/>
  <c r="W378" i="24"/>
  <c r="O391" i="24" s="1"/>
  <c r="G16" i="5" s="1"/>
  <c r="H382" i="24"/>
  <c r="H381" i="24"/>
  <c r="G380" i="24"/>
  <c r="H379" i="24"/>
  <c r="K378" i="24"/>
  <c r="M373" i="24"/>
  <c r="G382" i="24"/>
  <c r="G381" i="24"/>
  <c r="G379" i="24"/>
  <c r="J378" i="24"/>
  <c r="I378" i="24"/>
  <c r="K376" i="24"/>
  <c r="H378" i="24"/>
  <c r="K377" i="24"/>
  <c r="J376" i="24"/>
  <c r="K380" i="24"/>
  <c r="G378" i="24"/>
  <c r="J377" i="24"/>
  <c r="I376" i="24"/>
  <c r="K382" i="24"/>
  <c r="K381" i="24"/>
  <c r="J380" i="24"/>
  <c r="K379" i="24"/>
  <c r="I377" i="24"/>
  <c r="H376" i="24"/>
  <c r="J382" i="24"/>
  <c r="J381" i="24"/>
  <c r="I380" i="24"/>
  <c r="J379" i="24"/>
  <c r="H377" i="24"/>
  <c r="G376" i="24"/>
  <c r="H380" i="24"/>
  <c r="I379" i="24"/>
  <c r="G377" i="24"/>
  <c r="I382" i="24"/>
  <c r="I381" i="24"/>
  <c r="Q382" i="24" l="1"/>
  <c r="Q381" i="24"/>
  <c r="P380" i="24"/>
  <c r="Q379" i="24"/>
  <c r="O377" i="24"/>
  <c r="N376" i="24"/>
  <c r="P382" i="24"/>
  <c r="P381" i="24"/>
  <c r="O380" i="24"/>
  <c r="P379" i="24"/>
  <c r="N377" i="24"/>
  <c r="M376" i="24"/>
  <c r="O382" i="24"/>
  <c r="O381" i="24"/>
  <c r="N380" i="24"/>
  <c r="O379" i="24"/>
  <c r="M377" i="24"/>
  <c r="N382" i="24"/>
  <c r="N381" i="24"/>
  <c r="M380" i="24"/>
  <c r="N379" i="24"/>
  <c r="Q378" i="24"/>
  <c r="M382" i="24"/>
  <c r="M381" i="24"/>
  <c r="M379" i="24"/>
  <c r="P378" i="24"/>
  <c r="O378" i="24"/>
  <c r="Q376" i="24"/>
  <c r="N378" i="24"/>
  <c r="Q377" i="24"/>
  <c r="P376" i="24"/>
  <c r="Q380" i="24"/>
  <c r="P377" i="24"/>
  <c r="O376" i="24"/>
  <c r="M378" i="24"/>
  <c r="U386" i="24" l="1"/>
  <c r="U379" i="24" s="1"/>
  <c r="N392" i="24" s="1"/>
  <c r="T383" i="24" s="1"/>
  <c r="P187" i="27" l="1"/>
  <c r="P204" i="27" s="1"/>
  <c r="P221" i="27" s="1"/>
  <c r="P237" i="27" s="1"/>
  <c r="P253" i="27" s="1"/>
  <c r="P186" i="27"/>
  <c r="P203" i="27" s="1"/>
  <c r="P220" i="27" s="1"/>
  <c r="P236" i="27" s="1"/>
  <c r="P252" i="27" s="1"/>
  <c r="P185" i="27"/>
  <c r="P202" i="27" s="1"/>
  <c r="P219" i="27" s="1"/>
  <c r="P235" i="27" s="1"/>
  <c r="P251" i="27" s="1"/>
  <c r="P184" i="27"/>
  <c r="P201" i="27" s="1"/>
  <c r="P218" i="27" s="1"/>
  <c r="P234" i="27" s="1"/>
  <c r="P250" i="27" s="1"/>
  <c r="P183" i="27"/>
  <c r="P200" i="27" s="1"/>
  <c r="P217" i="27" s="1"/>
  <c r="P233" i="27" s="1"/>
  <c r="P249" i="27" s="1"/>
  <c r="P182" i="27"/>
  <c r="P199" i="27" s="1"/>
  <c r="P216" i="27" s="1"/>
  <c r="P232" i="27" s="1"/>
  <c r="P248" i="27" s="1"/>
  <c r="P181" i="27"/>
  <c r="P198" i="27" s="1"/>
  <c r="P215" i="27" s="1"/>
  <c r="P231" i="27" s="1"/>
  <c r="P247" i="27" s="1"/>
  <c r="P180" i="27"/>
  <c r="P197" i="27" s="1"/>
  <c r="P214" i="27" s="1"/>
  <c r="P230" i="27" s="1"/>
  <c r="P246" i="27" s="1"/>
  <c r="P179" i="27"/>
  <c r="P196" i="27" s="1"/>
  <c r="P213" i="27" s="1"/>
  <c r="P229" i="27" s="1"/>
  <c r="P245" i="27" s="1"/>
  <c r="P178" i="27"/>
  <c r="P195" i="27" s="1"/>
  <c r="P212" i="27" s="1"/>
  <c r="P228" i="27" s="1"/>
  <c r="P244" i="27" s="1"/>
  <c r="P177" i="27"/>
  <c r="P194" i="27" s="1"/>
  <c r="P211" i="27" s="1"/>
  <c r="P227" i="27" s="1"/>
  <c r="P243" i="27" s="1"/>
  <c r="P176" i="27"/>
  <c r="P193" i="27" s="1"/>
  <c r="P210" i="27" s="1"/>
  <c r="P226" i="27" s="1"/>
  <c r="P242" i="27" s="1"/>
  <c r="P175" i="27"/>
  <c r="P192" i="27" s="1"/>
  <c r="P209" i="27" s="1"/>
  <c r="P225" i="27" s="1"/>
  <c r="P241" i="27" s="1"/>
  <c r="AH170" i="27"/>
  <c r="AH187" i="27" s="1"/>
  <c r="AH204" i="27" s="1"/>
  <c r="AH221" i="27" s="1"/>
  <c r="AH237" i="27" s="1"/>
  <c r="AH253" i="27" s="1"/>
  <c r="AH169" i="27"/>
  <c r="AH186" i="27" s="1"/>
  <c r="AH203" i="27" s="1"/>
  <c r="AH220" i="27" s="1"/>
  <c r="AH236" i="27" s="1"/>
  <c r="AH252" i="27" s="1"/>
  <c r="AH168" i="27"/>
  <c r="AH185" i="27" s="1"/>
  <c r="AH202" i="27" s="1"/>
  <c r="AH219" i="27" s="1"/>
  <c r="AH235" i="27" s="1"/>
  <c r="AH251" i="27" s="1"/>
  <c r="AH167" i="27"/>
  <c r="AH184" i="27" s="1"/>
  <c r="AH201" i="27" s="1"/>
  <c r="AH218" i="27" s="1"/>
  <c r="AH234" i="27" s="1"/>
  <c r="AH250" i="27" s="1"/>
  <c r="AH166" i="27"/>
  <c r="AH183" i="27" s="1"/>
  <c r="AH200" i="27" s="1"/>
  <c r="AH217" i="27" s="1"/>
  <c r="AH233" i="27" s="1"/>
  <c r="AH249" i="27" s="1"/>
  <c r="AH165" i="27"/>
  <c r="AH182" i="27" s="1"/>
  <c r="AH199" i="27" s="1"/>
  <c r="AH216" i="27" s="1"/>
  <c r="AH232" i="27" s="1"/>
  <c r="AH248" i="27" s="1"/>
  <c r="AH164" i="27"/>
  <c r="AH181" i="27" s="1"/>
  <c r="AH198" i="27" s="1"/>
  <c r="AH215" i="27" s="1"/>
  <c r="AH231" i="27" s="1"/>
  <c r="AH247" i="27" s="1"/>
  <c r="AH163" i="27"/>
  <c r="AH180" i="27" s="1"/>
  <c r="AH197" i="27" s="1"/>
  <c r="AH214" i="27" s="1"/>
  <c r="AH230" i="27" s="1"/>
  <c r="AH246" i="27" s="1"/>
  <c r="AH162" i="27"/>
  <c r="AH179" i="27" s="1"/>
  <c r="AH196" i="27" s="1"/>
  <c r="AH213" i="27" s="1"/>
  <c r="AH229" i="27" s="1"/>
  <c r="AH245" i="27" s="1"/>
  <c r="AH161" i="27"/>
  <c r="AH178" i="27" s="1"/>
  <c r="AH195" i="27" s="1"/>
  <c r="AH212" i="27" s="1"/>
  <c r="AH228" i="27" s="1"/>
  <c r="AH244" i="27" s="1"/>
  <c r="AH160" i="27"/>
  <c r="AH177" i="27" s="1"/>
  <c r="AH194" i="27" s="1"/>
  <c r="AH211" i="27" s="1"/>
  <c r="AH227" i="27" s="1"/>
  <c r="AH243" i="27" s="1"/>
  <c r="AH159" i="27"/>
  <c r="AH176" i="27" s="1"/>
  <c r="AH193" i="27" s="1"/>
  <c r="AH210" i="27" s="1"/>
  <c r="AH226" i="27" s="1"/>
  <c r="AH242" i="27" s="1"/>
  <c r="AH158" i="27"/>
  <c r="AH175" i="27" s="1"/>
  <c r="AH192" i="27" s="1"/>
  <c r="AH209" i="27" s="1"/>
  <c r="AH225" i="27" s="1"/>
  <c r="AH241" i="27" s="1"/>
  <c r="F156" i="27" l="1"/>
  <c r="E156" i="27"/>
  <c r="D156" i="27"/>
  <c r="C156" i="27"/>
  <c r="R156" i="27"/>
  <c r="CO3" i="30" s="1"/>
  <c r="CO18" i="30" s="1"/>
  <c r="CO33" i="30" s="1"/>
  <c r="CO48" i="30" s="1"/>
  <c r="CO63" i="30" s="1"/>
  <c r="CO78" i="30" s="1"/>
  <c r="CO93" i="30" s="1"/>
  <c r="CO108" i="30" s="1"/>
  <c r="CO123" i="30" s="1"/>
  <c r="CO138" i="30" s="1"/>
  <c r="Q156" i="27"/>
  <c r="CI3" i="30" s="1"/>
  <c r="CI18" i="30" s="1"/>
  <c r="CI33" i="30" s="1"/>
  <c r="CI48" i="30" s="1"/>
  <c r="CI63" i="30" s="1"/>
  <c r="CI78" i="30" s="1"/>
  <c r="CI93" i="30" s="1"/>
  <c r="CI108" i="30" s="1"/>
  <c r="CI123" i="30" s="1"/>
  <c r="CI138" i="30" s="1"/>
  <c r="P156" i="27"/>
  <c r="CC3" i="30" s="1"/>
  <c r="CC18" i="30" s="1"/>
  <c r="CC33" i="30" s="1"/>
  <c r="CC48" i="30" s="1"/>
  <c r="CC63" i="30" s="1"/>
  <c r="CC78" i="30" s="1"/>
  <c r="CC93" i="30" s="1"/>
  <c r="CC108" i="30" s="1"/>
  <c r="CC123" i="30" s="1"/>
  <c r="CC138" i="30" s="1"/>
  <c r="O156" i="27"/>
  <c r="N156" i="27"/>
  <c r="M156" i="27"/>
  <c r="L156" i="27"/>
  <c r="K156" i="27"/>
  <c r="J156" i="27"/>
  <c r="I156" i="27"/>
  <c r="H156" i="27"/>
  <c r="G156" i="27"/>
  <c r="K173" i="27" l="1"/>
  <c r="K190" i="27" s="1"/>
  <c r="K207" i="27" s="1"/>
  <c r="K223" i="27" s="1"/>
  <c r="K239" i="27" s="1"/>
  <c r="K154" i="30" s="1"/>
  <c r="AY3" i="30"/>
  <c r="AY18" i="30" s="1"/>
  <c r="AY33" i="30" s="1"/>
  <c r="AY48" i="30" s="1"/>
  <c r="AY63" i="30" s="1"/>
  <c r="AY78" i="30" s="1"/>
  <c r="AY93" i="30" s="1"/>
  <c r="AY108" i="30" s="1"/>
  <c r="AY123" i="30" s="1"/>
  <c r="AY138" i="30" s="1"/>
  <c r="G173" i="27"/>
  <c r="G190" i="27" s="1"/>
  <c r="G207" i="27" s="1"/>
  <c r="G223" i="27" s="1"/>
  <c r="G239" i="27" s="1"/>
  <c r="G154" i="30" s="1"/>
  <c r="AA3" i="30"/>
  <c r="AA18" i="30" s="1"/>
  <c r="AA33" i="30" s="1"/>
  <c r="AA48" i="30" s="1"/>
  <c r="AA63" i="30" s="1"/>
  <c r="AA78" i="30" s="1"/>
  <c r="AA93" i="30" s="1"/>
  <c r="AA108" i="30" s="1"/>
  <c r="AA123" i="30" s="1"/>
  <c r="AA138" i="30" s="1"/>
  <c r="O173" i="27"/>
  <c r="O190" i="27" s="1"/>
  <c r="O207" i="27" s="1"/>
  <c r="O223" i="27" s="1"/>
  <c r="O239" i="27" s="1"/>
  <c r="O154" i="30" s="1"/>
  <c r="BW3" i="30"/>
  <c r="BW18" i="30" s="1"/>
  <c r="BW33" i="30" s="1"/>
  <c r="BW48" i="30" s="1"/>
  <c r="BW63" i="30" s="1"/>
  <c r="BW78" i="30" s="1"/>
  <c r="BW93" i="30" s="1"/>
  <c r="BW108" i="30" s="1"/>
  <c r="BW123" i="30" s="1"/>
  <c r="BW138" i="30" s="1"/>
  <c r="H173" i="27"/>
  <c r="H190" i="27" s="1"/>
  <c r="H207" i="27" s="1"/>
  <c r="H223" i="27" s="1"/>
  <c r="H239" i="27" s="1"/>
  <c r="H154" i="30" s="1"/>
  <c r="AG3" i="30"/>
  <c r="AG18" i="30" s="1"/>
  <c r="AG33" i="30" s="1"/>
  <c r="AG48" i="30" s="1"/>
  <c r="AG63" i="30" s="1"/>
  <c r="AG78" i="30" s="1"/>
  <c r="AG93" i="30" s="1"/>
  <c r="AG108" i="30" s="1"/>
  <c r="AG123" i="30" s="1"/>
  <c r="AG138" i="30" s="1"/>
  <c r="I173" i="27"/>
  <c r="I190" i="27" s="1"/>
  <c r="I207" i="27" s="1"/>
  <c r="I223" i="27" s="1"/>
  <c r="I239" i="27" s="1"/>
  <c r="I154" i="30" s="1"/>
  <c r="AM3" i="30"/>
  <c r="AM18" i="30" s="1"/>
  <c r="AM33" i="30" s="1"/>
  <c r="AM48" i="30" s="1"/>
  <c r="AM63" i="30" s="1"/>
  <c r="AM78" i="30" s="1"/>
  <c r="AM93" i="30" s="1"/>
  <c r="AM108" i="30" s="1"/>
  <c r="AM123" i="30" s="1"/>
  <c r="AM138" i="30" s="1"/>
  <c r="J173" i="27"/>
  <c r="J190" i="27" s="1"/>
  <c r="J207" i="27" s="1"/>
  <c r="J223" i="27" s="1"/>
  <c r="J239" i="27" s="1"/>
  <c r="J154" i="30" s="1"/>
  <c r="AS3" i="30"/>
  <c r="AS18" i="30" s="1"/>
  <c r="AS33" i="30" s="1"/>
  <c r="AS48" i="30" s="1"/>
  <c r="AS63" i="30" s="1"/>
  <c r="AS78" i="30" s="1"/>
  <c r="AS93" i="30" s="1"/>
  <c r="AS108" i="30" s="1"/>
  <c r="AS123" i="30" s="1"/>
  <c r="AS138" i="30" s="1"/>
  <c r="L173" i="27"/>
  <c r="L190" i="27" s="1"/>
  <c r="L207" i="27" s="1"/>
  <c r="L223" i="27" s="1"/>
  <c r="L239" i="27" s="1"/>
  <c r="L154" i="30" s="1"/>
  <c r="BE3" i="30"/>
  <c r="BE18" i="30" s="1"/>
  <c r="BE33" i="30" s="1"/>
  <c r="BE48" i="30" s="1"/>
  <c r="BE63" i="30" s="1"/>
  <c r="BE78" i="30" s="1"/>
  <c r="BE93" i="30" s="1"/>
  <c r="M173" i="27"/>
  <c r="M190" i="27" s="1"/>
  <c r="M207" i="27" s="1"/>
  <c r="M223" i="27" s="1"/>
  <c r="M239" i="27" s="1"/>
  <c r="M154" i="30" s="1"/>
  <c r="BK3" i="30"/>
  <c r="BK18" i="30" s="1"/>
  <c r="BK33" i="30" s="1"/>
  <c r="BK48" i="30" s="1"/>
  <c r="BK63" i="30" s="1"/>
  <c r="BK78" i="30" s="1"/>
  <c r="BK93" i="30" s="1"/>
  <c r="BK108" i="30" s="1"/>
  <c r="BK123" i="30" s="1"/>
  <c r="BK138" i="30" s="1"/>
  <c r="N173" i="27"/>
  <c r="N190" i="27" s="1"/>
  <c r="N207" i="27" s="1"/>
  <c r="N223" i="27" s="1"/>
  <c r="N239" i="27" s="1"/>
  <c r="N154" i="30" s="1"/>
  <c r="BQ3" i="30"/>
  <c r="BQ18" i="30" s="1"/>
  <c r="BQ33" i="30" s="1"/>
  <c r="BQ48" i="30" s="1"/>
  <c r="BQ63" i="30" s="1"/>
  <c r="BQ78" i="30" s="1"/>
  <c r="BQ93" i="30" s="1"/>
  <c r="BQ108" i="30" s="1"/>
  <c r="BQ123" i="30" s="1"/>
  <c r="BQ138" i="30" s="1"/>
  <c r="F173" i="27"/>
  <c r="F190" i="27" s="1"/>
  <c r="F207" i="27" s="1"/>
  <c r="F223" i="27" s="1"/>
  <c r="F239" i="27" s="1"/>
  <c r="F154" i="30" s="1"/>
  <c r="U3" i="30"/>
  <c r="U18" i="30" s="1"/>
  <c r="U33" i="30" s="1"/>
  <c r="U48" i="30" s="1"/>
  <c r="U63" i="30" s="1"/>
  <c r="U78" i="30" s="1"/>
  <c r="U93" i="30" s="1"/>
  <c r="U108" i="30" s="1"/>
  <c r="U123" i="30" s="1"/>
  <c r="U138" i="30" s="1"/>
  <c r="P173" i="27"/>
  <c r="P190" i="27" s="1"/>
  <c r="P207" i="27" s="1"/>
  <c r="P223" i="27" s="1"/>
  <c r="P239" i="27" s="1"/>
  <c r="AH156" i="27"/>
  <c r="AH173" i="27" s="1"/>
  <c r="AH190" i="27" s="1"/>
  <c r="AH207" i="27" s="1"/>
  <c r="AH223" i="27" s="1"/>
  <c r="AH239" i="27" s="1"/>
  <c r="Q173" i="27"/>
  <c r="Q190" i="27" s="1"/>
  <c r="Q207" i="27" s="1"/>
  <c r="Q223" i="27" s="1"/>
  <c r="Q239" i="27" s="1"/>
  <c r="AI156" i="27"/>
  <c r="AI173" i="27" s="1"/>
  <c r="AI190" i="27" s="1"/>
  <c r="AI207" i="27" s="1"/>
  <c r="AI223" i="27" s="1"/>
  <c r="AI239" i="27" s="1"/>
  <c r="R173" i="27"/>
  <c r="R190" i="27" s="1"/>
  <c r="R207" i="27" s="1"/>
  <c r="R223" i="27" s="1"/>
  <c r="R239" i="27" s="1"/>
  <c r="AJ156" i="27"/>
  <c r="AJ173" i="27" s="1"/>
  <c r="AJ190" i="27" s="1"/>
  <c r="AJ207" i="27" s="1"/>
  <c r="AJ223" i="27" s="1"/>
  <c r="AJ239" i="27" s="1"/>
  <c r="J25" i="4"/>
  <c r="L30" i="2"/>
  <c r="J27" i="4" s="1"/>
  <c r="L27" i="5" s="1"/>
  <c r="L28" i="2"/>
  <c r="J26" i="4" s="1"/>
  <c r="BE108" i="30" l="1"/>
  <c r="BE123" i="30" s="1"/>
  <c r="BE138" i="30" s="1"/>
  <c r="B259" i="27"/>
  <c r="C273" i="27" l="1"/>
  <c r="AF156" i="27"/>
  <c r="AF173" i="27" s="1"/>
  <c r="AF190" i="27" s="1"/>
  <c r="AF207" i="27" s="1"/>
  <c r="AF223" i="27" s="1"/>
  <c r="AF239" i="27" s="1"/>
  <c r="W156" i="27"/>
  <c r="E173" i="27" s="1"/>
  <c r="W173" i="27" s="1"/>
  <c r="E190" i="27" s="1"/>
  <c r="W190" i="27" s="1"/>
  <c r="E207" i="27" s="1"/>
  <c r="V156" i="27"/>
  <c r="D173" i="27" s="1"/>
  <c r="V173" i="27" s="1"/>
  <c r="D190" i="27" s="1"/>
  <c r="V190" i="27" s="1"/>
  <c r="D207" i="27" s="1"/>
  <c r="U156" i="27"/>
  <c r="C173" i="27" s="1"/>
  <c r="U173" i="27" s="1"/>
  <c r="C190" i="27" s="1"/>
  <c r="U190" i="27" s="1"/>
  <c r="C207" i="27" s="1"/>
  <c r="AE156" i="27"/>
  <c r="AE173" i="27" s="1"/>
  <c r="AE190" i="27" s="1"/>
  <c r="AE207" i="27" s="1"/>
  <c r="AE223" i="27" s="1"/>
  <c r="AE239" i="27" s="1"/>
  <c r="AB156" i="27"/>
  <c r="AB173" i="27" s="1"/>
  <c r="AB190" i="27" s="1"/>
  <c r="AB207" i="27" s="1"/>
  <c r="AB223" i="27" s="1"/>
  <c r="AB239" i="27" s="1"/>
  <c r="C264" i="27"/>
  <c r="I273" i="27" l="1"/>
  <c r="G273" i="27"/>
  <c r="E273" i="27"/>
  <c r="C223" i="27"/>
  <c r="U207" i="27"/>
  <c r="D223" i="27"/>
  <c r="D239" i="27" s="1"/>
  <c r="D154" i="30" s="1"/>
  <c r="V207" i="27"/>
  <c r="V223" i="27" s="1"/>
  <c r="V239" i="27" s="1"/>
  <c r="E223" i="27"/>
  <c r="E239" i="27" s="1"/>
  <c r="E154" i="30" s="1"/>
  <c r="W207" i="27"/>
  <c r="W223" i="27" s="1"/>
  <c r="W239" i="27" s="1"/>
  <c r="AG156" i="27"/>
  <c r="AG173" i="27" s="1"/>
  <c r="AG190" i="27" s="1"/>
  <c r="AG207" i="27" s="1"/>
  <c r="AG223" i="27" s="1"/>
  <c r="AG239" i="27" s="1"/>
  <c r="C263" i="27"/>
  <c r="AD156" i="27"/>
  <c r="AD173" i="27" s="1"/>
  <c r="AD190" i="27" s="1"/>
  <c r="AD207" i="27" s="1"/>
  <c r="AD223" i="27" s="1"/>
  <c r="AD239" i="27" s="1"/>
  <c r="C266" i="27"/>
  <c r="Z156" i="27"/>
  <c r="Z173" i="27" s="1"/>
  <c r="Z190" i="27" s="1"/>
  <c r="Z207" i="27" s="1"/>
  <c r="Z223" i="27" s="1"/>
  <c r="Z239" i="27" s="1"/>
  <c r="C268" i="27"/>
  <c r="X156" i="27"/>
  <c r="C260" i="27"/>
  <c r="Y156" i="27"/>
  <c r="Y173" i="27" s="1"/>
  <c r="Y190" i="27" s="1"/>
  <c r="Y207" i="27" s="1"/>
  <c r="Y223" i="27" s="1"/>
  <c r="Y239" i="27" s="1"/>
  <c r="C262" i="27"/>
  <c r="C270" i="27"/>
  <c r="C272" i="27"/>
  <c r="AA156" i="27"/>
  <c r="AA173" i="27" s="1"/>
  <c r="AA190" i="27" s="1"/>
  <c r="AA207" i="27" s="1"/>
  <c r="AA223" i="27" s="1"/>
  <c r="AA239" i="27" s="1"/>
  <c r="AC156" i="27"/>
  <c r="AC173" i="27" s="1"/>
  <c r="AC190" i="27" s="1"/>
  <c r="AC207" i="27" s="1"/>
  <c r="AC223" i="27" s="1"/>
  <c r="AC239" i="27" s="1"/>
  <c r="C261" i="27"/>
  <c r="C265" i="27"/>
  <c r="C269" i="27"/>
  <c r="C267" i="27"/>
  <c r="E270" i="27"/>
  <c r="C271" i="27"/>
  <c r="D261" i="27" l="1"/>
  <c r="D273" i="27"/>
  <c r="U223" i="27"/>
  <c r="C239" i="27"/>
  <c r="C154" i="30" s="1"/>
  <c r="K273" i="27"/>
  <c r="D269" i="27"/>
  <c r="X173" i="27"/>
  <c r="F261" i="27" s="1"/>
  <c r="D260" i="27"/>
  <c r="D272" i="27"/>
  <c r="E266" i="27"/>
  <c r="D271" i="27"/>
  <c r="E264" i="27"/>
  <c r="E271" i="27"/>
  <c r="E268" i="27"/>
  <c r="D264" i="27"/>
  <c r="E267" i="27"/>
  <c r="D265" i="27"/>
  <c r="E269" i="27"/>
  <c r="E260" i="27"/>
  <c r="E261" i="27"/>
  <c r="E263" i="27"/>
  <c r="E272" i="27"/>
  <c r="D268" i="27"/>
  <c r="D266" i="27"/>
  <c r="E262" i="27"/>
  <c r="D263" i="27"/>
  <c r="E265" i="27"/>
  <c r="D270" i="27"/>
  <c r="D262" i="27"/>
  <c r="D267" i="27"/>
  <c r="D325" i="27" l="1"/>
  <c r="D299" i="27"/>
  <c r="E299" i="27" s="1"/>
  <c r="D87" i="2" s="1"/>
  <c r="J351" i="27"/>
  <c r="J338" i="27"/>
  <c r="D351" i="27"/>
  <c r="J312" i="27"/>
  <c r="D338" i="27"/>
  <c r="J325" i="27"/>
  <c r="J299" i="27"/>
  <c r="D312" i="27"/>
  <c r="X190" i="27"/>
  <c r="F273" i="27"/>
  <c r="U239" i="27"/>
  <c r="F268" i="27"/>
  <c r="F267" i="27"/>
  <c r="F270" i="27"/>
  <c r="F264" i="27"/>
  <c r="F263" i="27"/>
  <c r="F266" i="27"/>
  <c r="F271" i="27"/>
  <c r="F272" i="27"/>
  <c r="F260" i="27"/>
  <c r="F262" i="27"/>
  <c r="F269" i="27"/>
  <c r="G266" i="27"/>
  <c r="G264" i="27"/>
  <c r="G262" i="27"/>
  <c r="G270" i="27"/>
  <c r="G268" i="27"/>
  <c r="G260" i="27"/>
  <c r="G272" i="27"/>
  <c r="G261" i="27"/>
  <c r="G263" i="27"/>
  <c r="G269" i="27"/>
  <c r="G271" i="27"/>
  <c r="G265" i="27"/>
  <c r="G267" i="27"/>
  <c r="F265" i="27"/>
  <c r="X207" i="27" l="1"/>
  <c r="H273" i="27"/>
  <c r="H268" i="27"/>
  <c r="H272" i="27"/>
  <c r="H264" i="27"/>
  <c r="H260" i="27"/>
  <c r="H267" i="27"/>
  <c r="H266" i="27"/>
  <c r="H269" i="27"/>
  <c r="H263" i="27"/>
  <c r="H262" i="27"/>
  <c r="H271" i="27"/>
  <c r="H265" i="27"/>
  <c r="H270" i="27"/>
  <c r="H261" i="27"/>
  <c r="X223" i="27" l="1"/>
  <c r="L273" i="27" s="1"/>
  <c r="J273" i="27"/>
  <c r="I271" i="27"/>
  <c r="I260" i="27"/>
  <c r="I265" i="27"/>
  <c r="I263" i="27"/>
  <c r="I269" i="27"/>
  <c r="I267" i="27"/>
  <c r="I261" i="27"/>
  <c r="I270" i="27"/>
  <c r="I264" i="27"/>
  <c r="I266" i="27"/>
  <c r="I272" i="27"/>
  <c r="I268" i="27"/>
  <c r="I262" i="27"/>
  <c r="C167" i="30" l="1"/>
  <c r="X239" i="27"/>
  <c r="J267" i="27"/>
  <c r="J271" i="27"/>
  <c r="J263" i="27"/>
  <c r="J266" i="27"/>
  <c r="J265" i="27"/>
  <c r="J262" i="27"/>
  <c r="J261" i="27"/>
  <c r="J264" i="27"/>
  <c r="J270" i="27"/>
  <c r="J269" i="27"/>
  <c r="J268" i="27"/>
  <c r="J272" i="27"/>
  <c r="J260" i="27"/>
  <c r="K263" i="27"/>
  <c r="K272" i="27"/>
  <c r="K270" i="27"/>
  <c r="K260" i="27"/>
  <c r="K268" i="27"/>
  <c r="K262" i="27"/>
  <c r="K266" i="27"/>
  <c r="K264" i="27"/>
  <c r="K269" i="27"/>
  <c r="K265" i="27"/>
  <c r="K271" i="27"/>
  <c r="K267" i="27"/>
  <c r="K261" i="27"/>
  <c r="J358" i="27" l="1"/>
  <c r="K358" i="27" s="1"/>
  <c r="J332" i="27"/>
  <c r="K332" i="27" s="1"/>
  <c r="J306" i="27"/>
  <c r="K306" i="27" s="1"/>
  <c r="J345" i="27"/>
  <c r="K345" i="27" s="1"/>
  <c r="D332" i="27"/>
  <c r="E332" i="27" s="1"/>
  <c r="D358" i="27"/>
  <c r="E358" i="27" s="1"/>
  <c r="D319" i="27"/>
  <c r="E319" i="27" s="1"/>
  <c r="D306" i="27"/>
  <c r="E306" i="27" s="1"/>
  <c r="J319" i="27"/>
  <c r="K319" i="27" s="1"/>
  <c r="D345" i="27"/>
  <c r="E345" i="27" s="1"/>
  <c r="C298" i="27"/>
  <c r="F298" i="27"/>
  <c r="I298" i="27"/>
  <c r="L298" i="27"/>
  <c r="F299" i="27"/>
  <c r="I299" i="27"/>
  <c r="K299" i="27" s="1"/>
  <c r="E87" i="2" s="1"/>
  <c r="L299" i="27"/>
  <c r="C300" i="27"/>
  <c r="F300" i="27"/>
  <c r="I300" i="27"/>
  <c r="L300" i="27"/>
  <c r="C301" i="27"/>
  <c r="F301" i="27"/>
  <c r="I301" i="27"/>
  <c r="L301" i="27"/>
  <c r="C302" i="27"/>
  <c r="F302" i="27"/>
  <c r="I302" i="27"/>
  <c r="L302" i="27"/>
  <c r="C303" i="27"/>
  <c r="F303" i="27"/>
  <c r="I303" i="27"/>
  <c r="L303" i="27"/>
  <c r="C304" i="27"/>
  <c r="F304" i="27"/>
  <c r="I304" i="27"/>
  <c r="L304" i="27"/>
  <c r="C305" i="27"/>
  <c r="F305" i="27"/>
  <c r="I305" i="27"/>
  <c r="L305" i="27"/>
  <c r="C311" i="27"/>
  <c r="F311" i="27"/>
  <c r="I311" i="27"/>
  <c r="L311" i="27"/>
  <c r="C312" i="27"/>
  <c r="E312" i="27" s="1"/>
  <c r="F87" i="2" s="1"/>
  <c r="F312" i="27"/>
  <c r="I312" i="27"/>
  <c r="K312" i="27" s="1"/>
  <c r="G87" i="2" s="1"/>
  <c r="L312" i="27"/>
  <c r="C313" i="27"/>
  <c r="F313" i="27"/>
  <c r="I313" i="27"/>
  <c r="L313" i="27"/>
  <c r="C314" i="27"/>
  <c r="F314" i="27"/>
  <c r="I314" i="27"/>
  <c r="L314" i="27"/>
  <c r="C315" i="27"/>
  <c r="F315" i="27"/>
  <c r="I315" i="27"/>
  <c r="L315" i="27"/>
  <c r="C316" i="27"/>
  <c r="F316" i="27"/>
  <c r="I316" i="27"/>
  <c r="L316" i="27"/>
  <c r="C317" i="27"/>
  <c r="F317" i="27"/>
  <c r="I317" i="27"/>
  <c r="L317" i="27"/>
  <c r="C318" i="27"/>
  <c r="F318" i="27"/>
  <c r="I318" i="27"/>
  <c r="L318" i="27"/>
  <c r="C324" i="27"/>
  <c r="F324" i="27"/>
  <c r="I324" i="27"/>
  <c r="L324" i="27"/>
  <c r="C325" i="27"/>
  <c r="E325" i="27" s="1"/>
  <c r="H87" i="2" s="1"/>
  <c r="F325" i="27"/>
  <c r="I325" i="27"/>
  <c r="K325" i="27" s="1"/>
  <c r="I87" i="2" s="1"/>
  <c r="L325" i="27"/>
  <c r="C326" i="27"/>
  <c r="F326" i="27"/>
  <c r="I326" i="27"/>
  <c r="L326" i="27"/>
  <c r="C327" i="27"/>
  <c r="F327" i="27"/>
  <c r="I327" i="27"/>
  <c r="L327" i="27"/>
  <c r="C328" i="27"/>
  <c r="F328" i="27"/>
  <c r="I328" i="27"/>
  <c r="L328" i="27"/>
  <c r="C329" i="27"/>
  <c r="F329" i="27"/>
  <c r="I329" i="27"/>
  <c r="L329" i="27"/>
  <c r="C330" i="27"/>
  <c r="F330" i="27"/>
  <c r="I330" i="27"/>
  <c r="L330" i="27"/>
  <c r="C331" i="27"/>
  <c r="F331" i="27"/>
  <c r="I331" i="27"/>
  <c r="L331" i="27"/>
  <c r="C337" i="27"/>
  <c r="F337" i="27"/>
  <c r="I337" i="27"/>
  <c r="L337" i="27"/>
  <c r="C338" i="27"/>
  <c r="E338" i="27" s="1"/>
  <c r="J87" i="2" s="1"/>
  <c r="F338" i="27"/>
  <c r="I338" i="27"/>
  <c r="K338" i="27" s="1"/>
  <c r="K87" i="2" s="1"/>
  <c r="L338" i="27"/>
  <c r="C339" i="27"/>
  <c r="F339" i="27"/>
  <c r="I339" i="27"/>
  <c r="L339" i="27"/>
  <c r="C340" i="27"/>
  <c r="F340" i="27"/>
  <c r="I340" i="27"/>
  <c r="L340" i="27"/>
  <c r="C341" i="27"/>
  <c r="F341" i="27"/>
  <c r="I341" i="27"/>
  <c r="L341" i="27"/>
  <c r="C342" i="27"/>
  <c r="F342" i="27"/>
  <c r="I342" i="27"/>
  <c r="L342" i="27"/>
  <c r="C343" i="27"/>
  <c r="F343" i="27"/>
  <c r="I343" i="27"/>
  <c r="L343" i="27"/>
  <c r="C344" i="27"/>
  <c r="F344" i="27"/>
  <c r="I344" i="27"/>
  <c r="L344" i="27"/>
  <c r="C350" i="27"/>
  <c r="F350" i="27"/>
  <c r="I350" i="27"/>
  <c r="L350" i="27"/>
  <c r="C351" i="27"/>
  <c r="E351" i="27" s="1"/>
  <c r="L87" i="2" s="1"/>
  <c r="F351" i="27"/>
  <c r="I351" i="27"/>
  <c r="K351" i="27" s="1"/>
  <c r="M87" i="2" s="1"/>
  <c r="L351" i="27"/>
  <c r="C352" i="27"/>
  <c r="F352" i="27"/>
  <c r="I352" i="27"/>
  <c r="L352" i="27"/>
  <c r="C353" i="27"/>
  <c r="F353" i="27"/>
  <c r="I353" i="27"/>
  <c r="L353" i="27"/>
  <c r="C354" i="27"/>
  <c r="F354" i="27"/>
  <c r="I354" i="27"/>
  <c r="L354" i="27"/>
  <c r="C355" i="27"/>
  <c r="F355" i="27"/>
  <c r="I355" i="27"/>
  <c r="L355" i="27"/>
  <c r="C356" i="27"/>
  <c r="F356" i="27"/>
  <c r="I356" i="27"/>
  <c r="L356" i="27"/>
  <c r="C357" i="27"/>
  <c r="F357" i="27"/>
  <c r="I357" i="27"/>
  <c r="L357" i="27"/>
  <c r="A46" i="28"/>
  <c r="J305" i="27" l="1"/>
  <c r="K305" i="27" s="1"/>
  <c r="E93" i="2" s="1"/>
  <c r="D357" i="27"/>
  <c r="E357" i="27" s="1"/>
  <c r="L93" i="2" s="1"/>
  <c r="D344" i="27"/>
  <c r="E344" i="27" s="1"/>
  <c r="J93" i="2" s="1"/>
  <c r="D305" i="27"/>
  <c r="E305" i="27" s="1"/>
  <c r="D93" i="2" s="1"/>
  <c r="J344" i="27"/>
  <c r="K344" i="27" s="1"/>
  <c r="K93" i="2" s="1"/>
  <c r="J318" i="27"/>
  <c r="K318" i="27" s="1"/>
  <c r="G93" i="2" s="1"/>
  <c r="D318" i="27"/>
  <c r="E318" i="27" s="1"/>
  <c r="F93" i="2" s="1"/>
  <c r="D331" i="27"/>
  <c r="E331" i="27" s="1"/>
  <c r="H93" i="2" s="1"/>
  <c r="J357" i="27"/>
  <c r="K357" i="27" s="1"/>
  <c r="M93" i="2" s="1"/>
  <c r="J331" i="27"/>
  <c r="D303" i="27"/>
  <c r="E303" i="27" s="1"/>
  <c r="D91" i="2" s="1"/>
  <c r="D355" i="27"/>
  <c r="E355" i="27" s="1"/>
  <c r="L91" i="2" s="1"/>
  <c r="D316" i="27"/>
  <c r="E316" i="27" s="1"/>
  <c r="F91" i="2" s="1"/>
  <c r="J355" i="27"/>
  <c r="K355" i="27" s="1"/>
  <c r="M91" i="2" s="1"/>
  <c r="J329" i="27"/>
  <c r="D329" i="27"/>
  <c r="E329" i="27" s="1"/>
  <c r="H91" i="2" s="1"/>
  <c r="J342" i="27"/>
  <c r="K342" i="27" s="1"/>
  <c r="K91" i="2" s="1"/>
  <c r="J316" i="27"/>
  <c r="K316" i="27" s="1"/>
  <c r="G91" i="2" s="1"/>
  <c r="J303" i="27"/>
  <c r="K303" i="27" s="1"/>
  <c r="E91" i="2" s="1"/>
  <c r="D342" i="27"/>
  <c r="E342" i="27" s="1"/>
  <c r="J91" i="2" s="1"/>
  <c r="J301" i="27"/>
  <c r="K301" i="27" s="1"/>
  <c r="E89" i="2" s="1"/>
  <c r="D314" i="27"/>
  <c r="E314" i="27" s="1"/>
  <c r="F89" i="2" s="1"/>
  <c r="D353" i="27"/>
  <c r="E353" i="27" s="1"/>
  <c r="L89" i="2" s="1"/>
  <c r="D340" i="27"/>
  <c r="E340" i="27" s="1"/>
  <c r="J89" i="2" s="1"/>
  <c r="J340" i="27"/>
  <c r="K340" i="27" s="1"/>
  <c r="K89" i="2" s="1"/>
  <c r="J314" i="27"/>
  <c r="K314" i="27" s="1"/>
  <c r="G89" i="2" s="1"/>
  <c r="D301" i="27"/>
  <c r="E301" i="27" s="1"/>
  <c r="D89" i="2" s="1"/>
  <c r="J353" i="27"/>
  <c r="K353" i="27" s="1"/>
  <c r="M89" i="2" s="1"/>
  <c r="J327" i="27"/>
  <c r="K327" i="27" s="1"/>
  <c r="I89" i="2" s="1"/>
  <c r="D327" i="27"/>
  <c r="E327" i="27" s="1"/>
  <c r="H89" i="2" s="1"/>
  <c r="K329" i="27"/>
  <c r="I91" i="2" s="1"/>
  <c r="J337" i="27"/>
  <c r="K337" i="27" s="1"/>
  <c r="K86" i="2" s="1"/>
  <c r="J311" i="27"/>
  <c r="K311" i="27" s="1"/>
  <c r="G86" i="2" s="1"/>
  <c r="J298" i="27"/>
  <c r="K298" i="27" s="1"/>
  <c r="E86" i="2" s="1"/>
  <c r="J324" i="27"/>
  <c r="K324" i="27" s="1"/>
  <c r="I86" i="2" s="1"/>
  <c r="D337" i="27"/>
  <c r="E337" i="27" s="1"/>
  <c r="J86" i="2" s="1"/>
  <c r="D311" i="27"/>
  <c r="E311" i="27" s="1"/>
  <c r="F86" i="2" s="1"/>
  <c r="J350" i="27"/>
  <c r="K350" i="27" s="1"/>
  <c r="M86" i="2" s="1"/>
  <c r="D298" i="27"/>
  <c r="E298" i="27" s="1"/>
  <c r="D86" i="2" s="1"/>
  <c r="D350" i="27"/>
  <c r="E350" i="27" s="1"/>
  <c r="L86" i="2" s="1"/>
  <c r="D324" i="27"/>
  <c r="E324" i="27" s="1"/>
  <c r="H86" i="2" s="1"/>
  <c r="E354" i="27"/>
  <c r="L90" i="2" s="1"/>
  <c r="E341" i="27"/>
  <c r="J90" i="2" s="1"/>
  <c r="E317" i="27"/>
  <c r="F92" i="2" s="1"/>
  <c r="J356" i="27"/>
  <c r="K356" i="27" s="1"/>
  <c r="M92" i="2" s="1"/>
  <c r="J330" i="27"/>
  <c r="K330" i="27" s="1"/>
  <c r="I92" i="2" s="1"/>
  <c r="D356" i="27"/>
  <c r="E356" i="27" s="1"/>
  <c r="L92" i="2" s="1"/>
  <c r="D330" i="27"/>
  <c r="E330" i="27" s="1"/>
  <c r="H92" i="2" s="1"/>
  <c r="B285" i="27"/>
  <c r="J343" i="27"/>
  <c r="K343" i="27" s="1"/>
  <c r="K92" i="2" s="1"/>
  <c r="J317" i="27"/>
  <c r="K317" i="27" s="1"/>
  <c r="G92" i="2" s="1"/>
  <c r="D343" i="27"/>
  <c r="E343" i="27" s="1"/>
  <c r="J92" i="2" s="1"/>
  <c r="D317" i="27"/>
  <c r="J304" i="27"/>
  <c r="K304" i="27" s="1"/>
  <c r="E92" i="2" s="1"/>
  <c r="J341" i="27"/>
  <c r="K341" i="27" s="1"/>
  <c r="K90" i="2" s="1"/>
  <c r="J315" i="27"/>
  <c r="K315" i="27" s="1"/>
  <c r="G90" i="2" s="1"/>
  <c r="D341" i="27"/>
  <c r="D315" i="27"/>
  <c r="E315" i="27" s="1"/>
  <c r="F90" i="2" s="1"/>
  <c r="D302" i="27"/>
  <c r="E302" i="27" s="1"/>
  <c r="D90" i="2" s="1"/>
  <c r="J354" i="27"/>
  <c r="K354" i="27" s="1"/>
  <c r="M90" i="2" s="1"/>
  <c r="J328" i="27"/>
  <c r="K328" i="27" s="1"/>
  <c r="I90" i="2" s="1"/>
  <c r="J302" i="27"/>
  <c r="K302" i="27" s="1"/>
  <c r="E90" i="2" s="1"/>
  <c r="D354" i="27"/>
  <c r="D328" i="27"/>
  <c r="E328" i="27" s="1"/>
  <c r="H90" i="2" s="1"/>
  <c r="J352" i="27"/>
  <c r="K352" i="27" s="1"/>
  <c r="M88" i="2" s="1"/>
  <c r="J326" i="27"/>
  <c r="K326" i="27" s="1"/>
  <c r="I88" i="2" s="1"/>
  <c r="C285" i="27"/>
  <c r="D352" i="27"/>
  <c r="E352" i="27" s="1"/>
  <c r="L88" i="2" s="1"/>
  <c r="D326" i="27"/>
  <c r="E326" i="27" s="1"/>
  <c r="H88" i="2" s="1"/>
  <c r="J300" i="27"/>
  <c r="K300" i="27" s="1"/>
  <c r="E88" i="2" s="1"/>
  <c r="J339" i="27"/>
  <c r="K339" i="27" s="1"/>
  <c r="K88" i="2" s="1"/>
  <c r="J313" i="27"/>
  <c r="K313" i="27" s="1"/>
  <c r="G88" i="2" s="1"/>
  <c r="D339" i="27"/>
  <c r="E339" i="27" s="1"/>
  <c r="J88" i="2" s="1"/>
  <c r="D313" i="27"/>
  <c r="E313" i="27" s="1"/>
  <c r="F88" i="2" s="1"/>
  <c r="K331" i="27"/>
  <c r="I93" i="2" s="1"/>
  <c r="B108" i="2"/>
  <c r="B52" i="4"/>
  <c r="C27" i="4"/>
  <c r="R8" i="4"/>
  <c r="M326" i="27" l="1"/>
  <c r="M330" i="27" s="1"/>
  <c r="M352" i="27"/>
  <c r="M356" i="27" s="1"/>
  <c r="M324" i="27"/>
  <c r="M328" i="27" s="1"/>
  <c r="M350" i="27"/>
  <c r="M354" i="27" s="1"/>
  <c r="M300" i="27"/>
  <c r="M304" i="27" s="1"/>
  <c r="M339" i="27"/>
  <c r="M343" i="27" s="1"/>
  <c r="M298" i="27"/>
  <c r="M302" i="27" s="1"/>
  <c r="M337" i="27"/>
  <c r="M341" i="27" s="1"/>
  <c r="M313" i="27"/>
  <c r="M317" i="27" s="1"/>
  <c r="M311" i="27"/>
  <c r="M315" i="27" s="1"/>
  <c r="B288" i="27"/>
  <c r="B292" i="27" s="1"/>
  <c r="B286" i="27"/>
  <c r="B290" i="27" s="1"/>
  <c r="C288" i="27"/>
  <c r="C292" i="27" s="1"/>
  <c r="C286" i="27"/>
  <c r="C290" i="27" s="1"/>
  <c r="A19" i="28"/>
  <c r="M345" i="27" l="1"/>
  <c r="J346" i="27" s="1"/>
  <c r="K346" i="27" s="1"/>
  <c r="M306" i="27"/>
  <c r="J307" i="27" s="1"/>
  <c r="K307" i="27" s="1"/>
  <c r="M358" i="27"/>
  <c r="J359" i="27" s="1"/>
  <c r="K359" i="27" s="1"/>
  <c r="M319" i="27"/>
  <c r="J320" i="27" s="1"/>
  <c r="K320" i="27" s="1"/>
  <c r="M332" i="27"/>
  <c r="J333" i="27" s="1"/>
  <c r="K333" i="27" s="1"/>
  <c r="B294" i="27"/>
  <c r="D304" i="27" s="1"/>
  <c r="E304" i="27" s="1"/>
  <c r="D92" i="2" s="1"/>
  <c r="C294" i="27"/>
  <c r="D300" i="27" s="1"/>
  <c r="A1" i="5"/>
  <c r="F10" i="3" l="1"/>
  <c r="O31" i="4"/>
  <c r="O32" i="4" l="1"/>
  <c r="J27" i="5"/>
  <c r="P6" i="4" l="1"/>
  <c r="P14" i="4" s="1"/>
  <c r="V6" i="4" l="1"/>
  <c r="B109" i="2" s="1"/>
  <c r="Q14" i="4"/>
  <c r="O33" i="4" s="1"/>
  <c r="O34" i="4" s="1"/>
  <c r="E9" i="4"/>
  <c r="E9" i="5" s="1"/>
  <c r="L26" i="5" l="1"/>
  <c r="B5" i="3"/>
  <c r="F12" i="3"/>
  <c r="D94" i="2"/>
  <c r="I94" i="2"/>
  <c r="O94" i="2" s="1"/>
  <c r="F15" i="3" s="1"/>
  <c r="B47" i="4"/>
  <c r="B50" i="5" s="1"/>
  <c r="V27" i="2"/>
  <c r="C25" i="4"/>
  <c r="C25" i="5" s="1"/>
  <c r="C26" i="4"/>
  <c r="B61" i="5"/>
  <c r="B32" i="5"/>
  <c r="B23" i="5"/>
  <c r="B19" i="5"/>
  <c r="B120" i="2"/>
  <c r="B69" i="2"/>
  <c r="B34" i="2"/>
  <c r="B25" i="2"/>
  <c r="B21" i="2"/>
  <c r="K43" i="5"/>
  <c r="I82" i="2"/>
  <c r="B86" i="2"/>
  <c r="B42" i="4" s="1"/>
  <c r="B45" i="5" s="1"/>
  <c r="L9" i="3"/>
  <c r="G9" i="3"/>
  <c r="P94" i="2"/>
  <c r="L96" i="2" s="1"/>
  <c r="C42" i="4" s="1"/>
  <c r="D45" i="5" s="1"/>
  <c r="M33" i="3"/>
  <c r="M32" i="3"/>
  <c r="M31" i="3"/>
  <c r="M30" i="3"/>
  <c r="M29" i="3"/>
  <c r="M28" i="3"/>
  <c r="K32" i="3"/>
  <c r="K31" i="3"/>
  <c r="K30" i="3"/>
  <c r="K29" i="3"/>
  <c r="K28" i="3"/>
  <c r="H33" i="3"/>
  <c r="H32" i="3"/>
  <c r="H31" i="3"/>
  <c r="H30" i="3"/>
  <c r="H29" i="3"/>
  <c r="F31" i="3"/>
  <c r="F29" i="3"/>
  <c r="L33" i="3"/>
  <c r="L32" i="3"/>
  <c r="L31" i="3"/>
  <c r="L30" i="3"/>
  <c r="L29" i="3"/>
  <c r="K33" i="3"/>
  <c r="H28" i="3"/>
  <c r="F33" i="3"/>
  <c r="F32" i="3"/>
  <c r="F30" i="3"/>
  <c r="T93" i="2"/>
  <c r="T92" i="2"/>
  <c r="T91" i="2"/>
  <c r="T90" i="2"/>
  <c r="T89" i="2"/>
  <c r="T88" i="2"/>
  <c r="T87" i="2"/>
  <c r="T86" i="2"/>
  <c r="S95" i="2"/>
  <c r="S94" i="2"/>
  <c r="S93" i="2"/>
  <c r="S92" i="2"/>
  <c r="S91" i="2"/>
  <c r="S90" i="2"/>
  <c r="S89" i="2"/>
  <c r="S88" i="2"/>
  <c r="S87" i="2"/>
  <c r="S86" i="2"/>
  <c r="R95" i="2"/>
  <c r="R94" i="2"/>
  <c r="R93" i="2"/>
  <c r="R92" i="2"/>
  <c r="R91" i="2"/>
  <c r="R90" i="2"/>
  <c r="R89" i="2"/>
  <c r="R88" i="2"/>
  <c r="R87" i="2"/>
  <c r="R86" i="2"/>
  <c r="I41" i="2"/>
  <c r="F41" i="2"/>
  <c r="D41" i="2"/>
  <c r="G37" i="2"/>
  <c r="R13" i="2"/>
  <c r="R12" i="2"/>
  <c r="Q13" i="2"/>
  <c r="Q12" i="2"/>
  <c r="L25" i="5"/>
  <c r="E67" i="4"/>
  <c r="C67" i="4"/>
  <c r="B62" i="4"/>
  <c r="B62" i="5" s="1"/>
  <c r="B54" i="4"/>
  <c r="B53" i="4"/>
  <c r="B51" i="4"/>
  <c r="B54" i="5" s="1"/>
  <c r="B45" i="4"/>
  <c r="B48" i="5" s="1"/>
  <c r="H36" i="4"/>
  <c r="I39" i="5" s="1"/>
  <c r="H33" i="4"/>
  <c r="I36" i="5" s="1"/>
  <c r="H32" i="4"/>
  <c r="I35" i="5" s="1"/>
  <c r="H31" i="4"/>
  <c r="I34" i="5" s="1"/>
  <c r="E21" i="4"/>
  <c r="O24" i="4" s="1"/>
  <c r="E20" i="4"/>
  <c r="E12" i="4"/>
  <c r="E12" i="5" s="1"/>
  <c r="E11" i="4"/>
  <c r="E11" i="5" s="1"/>
  <c r="E10" i="4"/>
  <c r="E10" i="5" s="1"/>
  <c r="E8" i="4"/>
  <c r="E8" i="5" s="1"/>
  <c r="F7" i="4"/>
  <c r="E7" i="4"/>
  <c r="E7" i="5" s="1"/>
  <c r="E6" i="4"/>
  <c r="E5" i="4"/>
  <c r="E5" i="5" s="1"/>
  <c r="E4" i="4"/>
  <c r="E4" i="5" s="1"/>
  <c r="L28" i="3"/>
  <c r="B25" i="3"/>
  <c r="B24" i="3"/>
  <c r="G15" i="3"/>
  <c r="G14" i="3"/>
  <c r="G13" i="3"/>
  <c r="G12" i="3"/>
  <c r="H12" i="3" s="1"/>
  <c r="M12" i="3" s="1"/>
  <c r="G11" i="3"/>
  <c r="B6" i="3"/>
  <c r="P96" i="2"/>
  <c r="P83" i="2"/>
  <c r="D82" i="2"/>
  <c r="S52" i="2"/>
  <c r="S51" i="2"/>
  <c r="S50" i="2"/>
  <c r="S49" i="2"/>
  <c r="S48" i="2"/>
  <c r="S47" i="2"/>
  <c r="S46" i="2"/>
  <c r="S45" i="2"/>
  <c r="S44" i="2"/>
  <c r="S43" i="2"/>
  <c r="S42" i="2"/>
  <c r="S41" i="2"/>
  <c r="C41" i="2"/>
  <c r="S40" i="2"/>
  <c r="D40" i="2"/>
  <c r="C40" i="2"/>
  <c r="E37" i="2"/>
  <c r="H34" i="4" s="1"/>
  <c r="I37" i="5" s="1"/>
  <c r="G18" i="2"/>
  <c r="F18" i="2"/>
  <c r="G17" i="2"/>
  <c r="F17" i="2"/>
  <c r="N30" i="3"/>
  <c r="N28" i="3"/>
  <c r="N32" i="3" l="1"/>
  <c r="T378" i="24"/>
  <c r="T386" i="24" s="1"/>
  <c r="U378" i="24" s="1"/>
  <c r="N391" i="24" s="1"/>
  <c r="T377" i="24"/>
  <c r="E20" i="5"/>
  <c r="O23" i="4"/>
  <c r="O25" i="4" s="1"/>
  <c r="H15" i="3"/>
  <c r="M15" i="3" s="1"/>
  <c r="I95" i="2"/>
  <c r="D95" i="2"/>
  <c r="F40" i="2"/>
  <c r="H40" i="2" s="1"/>
  <c r="I40" i="2" s="1"/>
  <c r="H37" i="4"/>
  <c r="I40" i="5" s="1"/>
  <c r="N29" i="3"/>
  <c r="M34" i="3"/>
  <c r="N33" i="3"/>
  <c r="N31" i="3"/>
  <c r="E21" i="5"/>
  <c r="R109" i="2"/>
  <c r="B48" i="4"/>
  <c r="O95" i="2"/>
  <c r="P95" i="2"/>
  <c r="L101" i="2" s="1"/>
  <c r="K12" i="3"/>
  <c r="N12" i="3" s="1"/>
  <c r="B46" i="4"/>
  <c r="B49" i="5" s="1"/>
  <c r="S386" i="24" l="1"/>
  <c r="U377" i="24" s="1"/>
  <c r="T382" i="24"/>
  <c r="E16" i="4" s="1"/>
  <c r="E16" i="5"/>
  <c r="K15" i="3"/>
  <c r="N15" i="3" s="1"/>
  <c r="N34" i="3"/>
  <c r="N35" i="3" s="1"/>
  <c r="N36" i="3" s="1"/>
  <c r="N37" i="3" s="1"/>
  <c r="B51" i="5"/>
  <c r="N390" i="24" l="1"/>
  <c r="O86" i="2"/>
  <c r="J25" i="5"/>
  <c r="N86" i="2"/>
  <c r="P86" i="2"/>
  <c r="T381" i="24" l="1"/>
  <c r="E15" i="4" s="1"/>
  <c r="O87" i="2"/>
  <c r="N87" i="2"/>
  <c r="P87" i="2"/>
  <c r="O89" i="2"/>
  <c r="P89" i="2"/>
  <c r="N89" i="2"/>
  <c r="P90" i="2" l="1"/>
  <c r="O90" i="2"/>
  <c r="N90" i="2"/>
  <c r="R58" i="4"/>
  <c r="Q34" i="4"/>
  <c r="O91" i="2" l="1"/>
  <c r="P91" i="2"/>
  <c r="N91" i="2"/>
  <c r="H10" i="3"/>
  <c r="R57" i="4"/>
  <c r="R55" i="4"/>
  <c r="N92" i="2" l="1"/>
  <c r="P92" i="2"/>
  <c r="O92" i="2"/>
  <c r="M10" i="3"/>
  <c r="K10" i="3"/>
  <c r="N10" i="3" s="1"/>
  <c r="N93" i="2" l="1"/>
  <c r="O93" i="2"/>
  <c r="P93" i="2"/>
  <c r="A2" i="4" l="1"/>
  <c r="A2" i="5" l="1"/>
  <c r="R106" i="2"/>
  <c r="T30" i="2"/>
  <c r="E300" i="27"/>
  <c r="D88" i="2" s="1"/>
  <c r="N88" i="2" l="1"/>
  <c r="N94" i="2" s="1"/>
  <c r="L100" i="2"/>
  <c r="O88" i="2"/>
  <c r="L99" i="2" s="1"/>
  <c r="F14" i="3" s="1"/>
  <c r="H14" i="3" s="1"/>
  <c r="P88" i="2"/>
  <c r="F9" i="3" l="1"/>
  <c r="H9" i="3" s="1"/>
  <c r="K9" i="3" s="1"/>
  <c r="M9" i="3" s="1"/>
  <c r="F42" i="4"/>
  <c r="H45" i="5" s="1"/>
  <c r="L102" i="2"/>
  <c r="G42" i="4"/>
  <c r="I45" i="5" s="1"/>
  <c r="L97" i="2"/>
  <c r="B165" i="30" s="1"/>
  <c r="L98" i="2"/>
  <c r="K14" i="3"/>
  <c r="N14" i="3" s="1"/>
  <c r="M14" i="3"/>
  <c r="BC123" i="30" l="1"/>
  <c r="S123" i="30"/>
  <c r="AQ108" i="30"/>
  <c r="BC93" i="30"/>
  <c r="BO78" i="30"/>
  <c r="S78" i="30"/>
  <c r="AE63" i="30"/>
  <c r="BI48" i="30"/>
  <c r="Y48" i="30"/>
  <c r="AK33" i="30"/>
  <c r="AW18" i="30"/>
  <c r="G123" i="30"/>
  <c r="S3" i="30"/>
  <c r="BO108" i="30"/>
  <c r="AE108" i="30"/>
  <c r="BC78" i="30"/>
  <c r="S63" i="30"/>
  <c r="M48" i="30"/>
  <c r="AK18" i="30"/>
  <c r="BC3" i="30"/>
  <c r="Y138" i="30"/>
  <c r="BI108" i="30"/>
  <c r="Y108" i="30"/>
  <c r="AW78" i="30"/>
  <c r="BO33" i="30"/>
  <c r="AE18" i="30"/>
  <c r="AW3" i="30"/>
  <c r="S138" i="30"/>
  <c r="AK123" i="30"/>
  <c r="AE93" i="30"/>
  <c r="BC63" i="30"/>
  <c r="BI33" i="30"/>
  <c r="Y18" i="30"/>
  <c r="AQ3" i="30"/>
  <c r="M138" i="30"/>
  <c r="M108" i="30"/>
  <c r="Y93" i="30"/>
  <c r="AW63" i="30"/>
  <c r="AK48" i="30"/>
  <c r="BC33" i="30"/>
  <c r="S18" i="30"/>
  <c r="AK3" i="30"/>
  <c r="AE123" i="30"/>
  <c r="S93" i="30"/>
  <c r="AQ63" i="30"/>
  <c r="BI18" i="30"/>
  <c r="G33" i="30"/>
  <c r="AK138" i="30"/>
  <c r="BI93" i="30"/>
  <c r="Y78" i="30"/>
  <c r="BO48" i="30"/>
  <c r="AQ33" i="30"/>
  <c r="G138" i="30"/>
  <c r="Y3" i="30"/>
  <c r="BO138" i="30"/>
  <c r="AE138" i="30"/>
  <c r="AW123" i="30"/>
  <c r="M123" i="30"/>
  <c r="AK108" i="30"/>
  <c r="AW93" i="30"/>
  <c r="BI78" i="30"/>
  <c r="M78" i="30"/>
  <c r="Y63" i="30"/>
  <c r="BC48" i="30"/>
  <c r="S48" i="30"/>
  <c r="AE33" i="30"/>
  <c r="AQ18" i="30"/>
  <c r="G108" i="30"/>
  <c r="BO3" i="30"/>
  <c r="M3" i="30"/>
  <c r="BI138" i="30"/>
  <c r="AQ93" i="30"/>
  <c r="BO63" i="30"/>
  <c r="AW48" i="30"/>
  <c r="Y33" i="30"/>
  <c r="G93" i="30"/>
  <c r="BC138" i="30"/>
  <c r="AQ123" i="30"/>
  <c r="AK93" i="30"/>
  <c r="BI63" i="30"/>
  <c r="S33" i="30"/>
  <c r="G78" i="30"/>
  <c r="AW138" i="30"/>
  <c r="BC108" i="30"/>
  <c r="S108" i="30"/>
  <c r="AQ78" i="30"/>
  <c r="M63" i="30"/>
  <c r="AQ48" i="30"/>
  <c r="M33" i="30"/>
  <c r="G63" i="30"/>
  <c r="AQ138" i="30"/>
  <c r="AK78" i="30"/>
  <c r="BO18" i="30"/>
  <c r="G48" i="30"/>
  <c r="BO123" i="30"/>
  <c r="BO93" i="30"/>
  <c r="AE78" i="30"/>
  <c r="AW33" i="30"/>
  <c r="M18" i="30"/>
  <c r="AE3" i="30"/>
  <c r="BI123" i="30"/>
  <c r="Y123" i="30"/>
  <c r="AW108" i="30"/>
  <c r="M93" i="30"/>
  <c r="AK63" i="30"/>
  <c r="AE48" i="30"/>
  <c r="BC18" i="30"/>
  <c r="CG3" i="30"/>
  <c r="CA33" i="30"/>
  <c r="BU63" i="30"/>
  <c r="CS3" i="30"/>
  <c r="CA48" i="30"/>
  <c r="BU48" i="30"/>
  <c r="CM3" i="30"/>
  <c r="CA18" i="30"/>
  <c r="BU33" i="30"/>
  <c r="CA138" i="30"/>
  <c r="CA3" i="30"/>
  <c r="CA123" i="30"/>
  <c r="BU138" i="30"/>
  <c r="BU18" i="30"/>
  <c r="CA108" i="30"/>
  <c r="BU3" i="30"/>
  <c r="BU108" i="30"/>
  <c r="BU93" i="30"/>
  <c r="BU78" i="30"/>
  <c r="CA93" i="30"/>
  <c r="G3" i="30"/>
  <c r="CA78" i="30"/>
  <c r="BI3" i="30"/>
  <c r="CA63" i="30"/>
  <c r="BU123" i="30"/>
  <c r="N9" i="3"/>
  <c r="E42" i="4"/>
  <c r="G45" i="5" s="1"/>
  <c r="F13" i="3"/>
  <c r="H13" i="3" s="1"/>
  <c r="L103" i="2"/>
  <c r="D42" i="4"/>
  <c r="M96" i="30" l="1"/>
  <c r="M100" i="30" s="1"/>
  <c r="M94" i="30"/>
  <c r="M98" i="30" s="1"/>
  <c r="M102" i="30" s="1"/>
  <c r="D161" i="30" s="1"/>
  <c r="BO96" i="30"/>
  <c r="BO100" i="30" s="1"/>
  <c r="BO94" i="30"/>
  <c r="BO98" i="30" s="1"/>
  <c r="AQ49" i="30"/>
  <c r="AQ53" i="30" s="1"/>
  <c r="AQ51" i="30"/>
  <c r="AQ55" i="30" s="1"/>
  <c r="BI66" i="30"/>
  <c r="BI70" i="30" s="1"/>
  <c r="BI64" i="30"/>
  <c r="BI68" i="30" s="1"/>
  <c r="BI72" i="30" s="1"/>
  <c r="AQ96" i="30"/>
  <c r="AQ100" i="30" s="1"/>
  <c r="AQ94" i="30"/>
  <c r="AQ98" i="30" s="1"/>
  <c r="AQ102" i="30" s="1"/>
  <c r="BC51" i="30"/>
  <c r="BC55" i="30" s="1"/>
  <c r="BC49" i="30"/>
  <c r="BC53" i="30" s="1"/>
  <c r="AE139" i="30"/>
  <c r="AE143" i="30" s="1"/>
  <c r="AE141" i="30"/>
  <c r="AE145" i="30" s="1"/>
  <c r="AK139" i="30"/>
  <c r="AK143" i="30" s="1"/>
  <c r="AK141" i="30"/>
  <c r="AK145" i="30" s="1"/>
  <c r="AK147" i="30" s="1"/>
  <c r="H164" i="30" s="1"/>
  <c r="BC36" i="30"/>
  <c r="BC40" i="30" s="1"/>
  <c r="BC34" i="30"/>
  <c r="BC38" i="30" s="1"/>
  <c r="BI34" i="30"/>
  <c r="BI38" i="30" s="1"/>
  <c r="BI36" i="30"/>
  <c r="BI40" i="30" s="1"/>
  <c r="AW81" i="30"/>
  <c r="AW85" i="30" s="1"/>
  <c r="AW79" i="30"/>
  <c r="AW83" i="30" s="1"/>
  <c r="BC81" i="30"/>
  <c r="BC85" i="30" s="1"/>
  <c r="BC79" i="30"/>
  <c r="BC83" i="30" s="1"/>
  <c r="BC87" i="30" s="1"/>
  <c r="BI51" i="30"/>
  <c r="BI55" i="30" s="1"/>
  <c r="BI49" i="30"/>
  <c r="BI53" i="30" s="1"/>
  <c r="BI57" i="30" s="1"/>
  <c r="AW111" i="30"/>
  <c r="AW115" i="30" s="1"/>
  <c r="AW109" i="30"/>
  <c r="AW113" i="30" s="1"/>
  <c r="BO126" i="30"/>
  <c r="BO130" i="30" s="1"/>
  <c r="BO124" i="30"/>
  <c r="BO128" i="30" s="1"/>
  <c r="M66" i="30"/>
  <c r="M70" i="30" s="1"/>
  <c r="M64" i="30"/>
  <c r="M68" i="30" s="1"/>
  <c r="AK96" i="30"/>
  <c r="AK100" i="30" s="1"/>
  <c r="AK94" i="30"/>
  <c r="AK98" i="30" s="1"/>
  <c r="AK102" i="30" s="1"/>
  <c r="BI141" i="30"/>
  <c r="BI145" i="30" s="1"/>
  <c r="BI139" i="30"/>
  <c r="BI143" i="30" s="1"/>
  <c r="Y66" i="30"/>
  <c r="Y70" i="30" s="1"/>
  <c r="Y64" i="30"/>
  <c r="Y68" i="30" s="1"/>
  <c r="BO141" i="30"/>
  <c r="BO145" i="30" s="1"/>
  <c r="BO139" i="30"/>
  <c r="BO143" i="30" s="1"/>
  <c r="G36" i="30"/>
  <c r="G40" i="30" s="1"/>
  <c r="G34" i="30"/>
  <c r="G38" i="30" s="1"/>
  <c r="G42" i="30" s="1"/>
  <c r="AK51" i="30"/>
  <c r="AK55" i="30" s="1"/>
  <c r="AK49" i="30"/>
  <c r="AK53" i="30" s="1"/>
  <c r="BC66" i="30"/>
  <c r="BC70" i="30" s="1"/>
  <c r="BC64" i="30"/>
  <c r="BC68" i="30" s="1"/>
  <c r="Y111" i="30"/>
  <c r="Y115" i="30" s="1"/>
  <c r="Y109" i="30"/>
  <c r="Y113" i="30" s="1"/>
  <c r="Y117" i="30" s="1"/>
  <c r="F162" i="30" s="1"/>
  <c r="AE111" i="30"/>
  <c r="AE115" i="30" s="1"/>
  <c r="AE109" i="30"/>
  <c r="AE113" i="30" s="1"/>
  <c r="AE117" i="30" s="1"/>
  <c r="AE66" i="30"/>
  <c r="AE70" i="30" s="1"/>
  <c r="AE64" i="30"/>
  <c r="AE68" i="30" s="1"/>
  <c r="Y124" i="30"/>
  <c r="Y128" i="30" s="1"/>
  <c r="Y126" i="30"/>
  <c r="Y130" i="30" s="1"/>
  <c r="G51" i="30"/>
  <c r="G55" i="30" s="1"/>
  <c r="G49" i="30"/>
  <c r="G53" i="30" s="1"/>
  <c r="G57" i="30" s="1"/>
  <c r="AQ81" i="30"/>
  <c r="AQ85" i="30" s="1"/>
  <c r="AQ79" i="30"/>
  <c r="AQ83" i="30" s="1"/>
  <c r="AQ87" i="30" s="1"/>
  <c r="I160" i="30" s="1"/>
  <c r="AQ124" i="30"/>
  <c r="AQ128" i="30" s="1"/>
  <c r="AQ126" i="30"/>
  <c r="AQ130" i="30" s="1"/>
  <c r="M6" i="30"/>
  <c r="M10" i="30" s="1"/>
  <c r="M4" i="30"/>
  <c r="M8" i="30" s="1"/>
  <c r="M81" i="30"/>
  <c r="M85" i="30" s="1"/>
  <c r="M79" i="30"/>
  <c r="M83" i="30" s="1"/>
  <c r="M87" i="30" s="1"/>
  <c r="D160" i="30" s="1"/>
  <c r="Y6" i="30"/>
  <c r="Y10" i="30" s="1"/>
  <c r="Y4" i="30"/>
  <c r="Y8" i="30" s="1"/>
  <c r="Y12" i="30" s="1"/>
  <c r="BI21" i="30"/>
  <c r="BI25" i="30" s="1"/>
  <c r="BI19" i="30"/>
  <c r="BI23" i="30" s="1"/>
  <c r="AW64" i="30"/>
  <c r="AW68" i="30" s="1"/>
  <c r="AW66" i="30"/>
  <c r="AW70" i="30" s="1"/>
  <c r="AE94" i="30"/>
  <c r="AE98" i="30" s="1"/>
  <c r="AE96" i="30"/>
  <c r="AE100" i="30" s="1"/>
  <c r="AE102" i="30" s="1"/>
  <c r="G161" i="30" s="1"/>
  <c r="BI111" i="30"/>
  <c r="BI115" i="30" s="1"/>
  <c r="BI109" i="30"/>
  <c r="BI113" i="30" s="1"/>
  <c r="BI117" i="30" s="1"/>
  <c r="BO111" i="30"/>
  <c r="BO115" i="30" s="1"/>
  <c r="BO109" i="30"/>
  <c r="BO113" i="30" s="1"/>
  <c r="S81" i="30"/>
  <c r="S85" i="30" s="1"/>
  <c r="S79" i="30"/>
  <c r="S83" i="30" s="1"/>
  <c r="BI126" i="30"/>
  <c r="BI130" i="30" s="1"/>
  <c r="BI124" i="30"/>
  <c r="BI128" i="30" s="1"/>
  <c r="BI132" i="30" s="1"/>
  <c r="BO21" i="30"/>
  <c r="BO25" i="30" s="1"/>
  <c r="BO19" i="30"/>
  <c r="BO23" i="30" s="1"/>
  <c r="BO27" i="30" s="1"/>
  <c r="S111" i="30"/>
  <c r="S115" i="30" s="1"/>
  <c r="S109" i="30"/>
  <c r="S113" i="30" s="1"/>
  <c r="BC141" i="30"/>
  <c r="BC145" i="30" s="1"/>
  <c r="BC139" i="30"/>
  <c r="BC143" i="30" s="1"/>
  <c r="BO6" i="30"/>
  <c r="BO10" i="30" s="1"/>
  <c r="BO4" i="30"/>
  <c r="BO8" i="30" s="1"/>
  <c r="BO12" i="30" s="1"/>
  <c r="M155" i="30" s="1"/>
  <c r="BI81" i="30"/>
  <c r="BI85" i="30" s="1"/>
  <c r="BI79" i="30"/>
  <c r="BI83" i="30" s="1"/>
  <c r="BI87" i="30" s="1"/>
  <c r="L160" i="30" s="1"/>
  <c r="G141" i="30"/>
  <c r="G145" i="30" s="1"/>
  <c r="G139" i="30"/>
  <c r="G143" i="30" s="1"/>
  <c r="AQ66" i="30"/>
  <c r="AQ70" i="30" s="1"/>
  <c r="AQ64" i="30"/>
  <c r="AQ68" i="30" s="1"/>
  <c r="Y96" i="30"/>
  <c r="Y100" i="30" s="1"/>
  <c r="Y94" i="30"/>
  <c r="Y98" i="30" s="1"/>
  <c r="Y102" i="30" s="1"/>
  <c r="AK126" i="30"/>
  <c r="AK130" i="30" s="1"/>
  <c r="AK124" i="30"/>
  <c r="AK128" i="30" s="1"/>
  <c r="AK132" i="30" s="1"/>
  <c r="Y139" i="30"/>
  <c r="Y143" i="30" s="1"/>
  <c r="Y141" i="30"/>
  <c r="Y145" i="30" s="1"/>
  <c r="S4" i="30"/>
  <c r="S8" i="30" s="1"/>
  <c r="S6" i="30"/>
  <c r="S10" i="30" s="1"/>
  <c r="BO79" i="30"/>
  <c r="BO83" i="30" s="1"/>
  <c r="BO81" i="30"/>
  <c r="BO85" i="30" s="1"/>
  <c r="BO87" i="30" s="1"/>
  <c r="M160" i="30" s="1"/>
  <c r="AE6" i="30"/>
  <c r="AE10" i="30" s="1"/>
  <c r="AE4" i="30"/>
  <c r="AE8" i="30" s="1"/>
  <c r="AE12" i="30" s="1"/>
  <c r="AK81" i="30"/>
  <c r="AK85" i="30" s="1"/>
  <c r="AK79" i="30"/>
  <c r="AK83" i="30" s="1"/>
  <c r="BC111" i="30"/>
  <c r="BC115" i="30" s="1"/>
  <c r="BC109" i="30"/>
  <c r="BC113" i="30" s="1"/>
  <c r="G96" i="30"/>
  <c r="G100" i="30" s="1"/>
  <c r="G94" i="30"/>
  <c r="G98" i="30" s="1"/>
  <c r="G102" i="30" s="1"/>
  <c r="G111" i="30"/>
  <c r="G115" i="30" s="1"/>
  <c r="G109" i="30"/>
  <c r="G113" i="30" s="1"/>
  <c r="G117" i="30" s="1"/>
  <c r="AW96" i="30"/>
  <c r="AW100" i="30" s="1"/>
  <c r="AW94" i="30"/>
  <c r="AW98" i="30" s="1"/>
  <c r="AQ36" i="30"/>
  <c r="AQ40" i="30" s="1"/>
  <c r="AQ34" i="30"/>
  <c r="AQ38" i="30" s="1"/>
  <c r="S94" i="30"/>
  <c r="S98" i="30" s="1"/>
  <c r="S96" i="30"/>
  <c r="S100" i="30" s="1"/>
  <c r="S102" i="30" s="1"/>
  <c r="E161" i="30" s="1"/>
  <c r="M111" i="30"/>
  <c r="M115" i="30" s="1"/>
  <c r="M109" i="30"/>
  <c r="M113" i="30" s="1"/>
  <c r="M117" i="30" s="1"/>
  <c r="D162" i="30" s="1"/>
  <c r="S141" i="30"/>
  <c r="S145" i="30" s="1"/>
  <c r="S139" i="30"/>
  <c r="S143" i="30" s="1"/>
  <c r="BC6" i="30"/>
  <c r="BC10" i="30" s="1"/>
  <c r="BC4" i="30"/>
  <c r="BC8" i="30" s="1"/>
  <c r="G126" i="30"/>
  <c r="G130" i="30" s="1"/>
  <c r="G124" i="30"/>
  <c r="G128" i="30" s="1"/>
  <c r="G132" i="30" s="1"/>
  <c r="BC96" i="30"/>
  <c r="BC100" i="30" s="1"/>
  <c r="BC94" i="30"/>
  <c r="BC98" i="30" s="1"/>
  <c r="BC102" i="30" s="1"/>
  <c r="BC21" i="30"/>
  <c r="BC25" i="30" s="1"/>
  <c r="BC19" i="30"/>
  <c r="BC23" i="30" s="1"/>
  <c r="M19" i="30"/>
  <c r="M23" i="30" s="1"/>
  <c r="M21" i="30"/>
  <c r="M25" i="30" s="1"/>
  <c r="AQ141" i="30"/>
  <c r="AQ145" i="30" s="1"/>
  <c r="AQ139" i="30"/>
  <c r="AQ143" i="30" s="1"/>
  <c r="AQ147" i="30" s="1"/>
  <c r="I164" i="30" s="1"/>
  <c r="AW139" i="30"/>
  <c r="AW143" i="30" s="1"/>
  <c r="AW141" i="30"/>
  <c r="AW145" i="30" s="1"/>
  <c r="AW147" i="30" s="1"/>
  <c r="Y36" i="30"/>
  <c r="Y40" i="30" s="1"/>
  <c r="Y34" i="30"/>
  <c r="Y38" i="30" s="1"/>
  <c r="AQ19" i="30"/>
  <c r="AQ23" i="30" s="1"/>
  <c r="AQ21" i="30"/>
  <c r="AQ25" i="30" s="1"/>
  <c r="AK111" i="30"/>
  <c r="AK115" i="30" s="1"/>
  <c r="AK109" i="30"/>
  <c r="AK113" i="30" s="1"/>
  <c r="AK117" i="30" s="1"/>
  <c r="H162" i="30" s="1"/>
  <c r="BO51" i="30"/>
  <c r="BO55" i="30" s="1"/>
  <c r="BO49" i="30"/>
  <c r="BO53" i="30" s="1"/>
  <c r="BO57" i="30" s="1"/>
  <c r="M158" i="30" s="1"/>
  <c r="AE124" i="30"/>
  <c r="AE128" i="30" s="1"/>
  <c r="AE126" i="30"/>
  <c r="AE130" i="30" s="1"/>
  <c r="M141" i="30"/>
  <c r="M145" i="30" s="1"/>
  <c r="M139" i="30"/>
  <c r="M143" i="30" s="1"/>
  <c r="AW6" i="30"/>
  <c r="AW10" i="30" s="1"/>
  <c r="AW4" i="30"/>
  <c r="AW8" i="30" s="1"/>
  <c r="AW12" i="30" s="1"/>
  <c r="AK19" i="30"/>
  <c r="AK23" i="30" s="1"/>
  <c r="AK21" i="30"/>
  <c r="AK25" i="30" s="1"/>
  <c r="AK27" i="30" s="1"/>
  <c r="AW19" i="30"/>
  <c r="AW23" i="30" s="1"/>
  <c r="AW21" i="30"/>
  <c r="AW25" i="30" s="1"/>
  <c r="AQ111" i="30"/>
  <c r="AQ115" i="30" s="1"/>
  <c r="AQ109" i="30"/>
  <c r="AQ113" i="30" s="1"/>
  <c r="AE49" i="30"/>
  <c r="AE53" i="30" s="1"/>
  <c r="AE51" i="30"/>
  <c r="AE55" i="30" s="1"/>
  <c r="AE57" i="30" s="1"/>
  <c r="G158" i="30" s="1"/>
  <c r="AW34" i="30"/>
  <c r="AW38" i="30" s="1"/>
  <c r="AW36" i="30"/>
  <c r="AW40" i="30" s="1"/>
  <c r="AW42" i="30" s="1"/>
  <c r="G66" i="30"/>
  <c r="G70" i="30" s="1"/>
  <c r="G64" i="30"/>
  <c r="G68" i="30" s="1"/>
  <c r="G81" i="30"/>
  <c r="G85" i="30" s="1"/>
  <c r="G79" i="30"/>
  <c r="G83" i="30" s="1"/>
  <c r="AW51" i="30"/>
  <c r="AW55" i="30" s="1"/>
  <c r="AW49" i="30"/>
  <c r="AW53" i="30" s="1"/>
  <c r="AW57" i="30" s="1"/>
  <c r="AE36" i="30"/>
  <c r="AE40" i="30" s="1"/>
  <c r="AE34" i="30"/>
  <c r="AE38" i="30" s="1"/>
  <c r="AE42" i="30" s="1"/>
  <c r="G157" i="30" s="1"/>
  <c r="M126" i="30"/>
  <c r="M130" i="30" s="1"/>
  <c r="M124" i="30"/>
  <c r="M128" i="30" s="1"/>
  <c r="Y81" i="30"/>
  <c r="Y85" i="30" s="1"/>
  <c r="Y79" i="30"/>
  <c r="Y83" i="30" s="1"/>
  <c r="AK6" i="30"/>
  <c r="AK10" i="30" s="1"/>
  <c r="AK4" i="30"/>
  <c r="AK8" i="30" s="1"/>
  <c r="AQ4" i="30"/>
  <c r="AQ8" i="30" s="1"/>
  <c r="AQ6" i="30"/>
  <c r="AQ10" i="30" s="1"/>
  <c r="AQ12" i="30" s="1"/>
  <c r="I155" i="30" s="1"/>
  <c r="AE21" i="30"/>
  <c r="AE25" i="30" s="1"/>
  <c r="AE19" i="30"/>
  <c r="AE23" i="30" s="1"/>
  <c r="M51" i="30"/>
  <c r="M55" i="30" s="1"/>
  <c r="M49" i="30"/>
  <c r="M53" i="30" s="1"/>
  <c r="AK36" i="30"/>
  <c r="AK40" i="30" s="1"/>
  <c r="AK34" i="30"/>
  <c r="AK38" i="30" s="1"/>
  <c r="AK42" i="30" s="1"/>
  <c r="H157" i="30" s="1"/>
  <c r="S126" i="30"/>
  <c r="S130" i="30" s="1"/>
  <c r="S124" i="30"/>
  <c r="S128" i="30" s="1"/>
  <c r="S132" i="30" s="1"/>
  <c r="E163" i="30" s="1"/>
  <c r="AK66" i="30"/>
  <c r="AK70" i="30" s="1"/>
  <c r="AK64" i="30"/>
  <c r="AK68" i="30" s="1"/>
  <c r="AE81" i="30"/>
  <c r="AE85" i="30" s="1"/>
  <c r="AE79" i="30"/>
  <c r="AE83" i="30" s="1"/>
  <c r="M34" i="30"/>
  <c r="M38" i="30" s="1"/>
  <c r="M36" i="30"/>
  <c r="M40" i="30" s="1"/>
  <c r="M42" i="30" s="1"/>
  <c r="S34" i="30"/>
  <c r="S38" i="30" s="1"/>
  <c r="S36" i="30"/>
  <c r="S40" i="30" s="1"/>
  <c r="S42" i="30" s="1"/>
  <c r="E157" i="30" s="1"/>
  <c r="BO66" i="30"/>
  <c r="BO70" i="30" s="1"/>
  <c r="BO64" i="30"/>
  <c r="BO68" i="30" s="1"/>
  <c r="S51" i="30"/>
  <c r="S55" i="30" s="1"/>
  <c r="S49" i="30"/>
  <c r="S53" i="30" s="1"/>
  <c r="AW126" i="30"/>
  <c r="AW130" i="30" s="1"/>
  <c r="AW124" i="30"/>
  <c r="AW128" i="30" s="1"/>
  <c r="BI96" i="30"/>
  <c r="BI100" i="30" s="1"/>
  <c r="BI94" i="30"/>
  <c r="BI98" i="30" s="1"/>
  <c r="BI102" i="30" s="1"/>
  <c r="L161" i="30" s="1"/>
  <c r="S21" i="30"/>
  <c r="S25" i="30" s="1"/>
  <c r="S19" i="30"/>
  <c r="S23" i="30" s="1"/>
  <c r="Y19" i="30"/>
  <c r="Y23" i="30" s="1"/>
  <c r="Y21" i="30"/>
  <c r="Y25" i="30" s="1"/>
  <c r="BO34" i="30"/>
  <c r="BO38" i="30" s="1"/>
  <c r="BO36" i="30"/>
  <c r="BO40" i="30" s="1"/>
  <c r="BO42" i="30" s="1"/>
  <c r="M157" i="30" s="1"/>
  <c r="S66" i="30"/>
  <c r="S70" i="30" s="1"/>
  <c r="S64" i="30"/>
  <c r="S68" i="30" s="1"/>
  <c r="S72" i="30" s="1"/>
  <c r="E159" i="30" s="1"/>
  <c r="Y51" i="30"/>
  <c r="Y55" i="30" s="1"/>
  <c r="Y49" i="30"/>
  <c r="Y53" i="30" s="1"/>
  <c r="BC126" i="30"/>
  <c r="BC130" i="30" s="1"/>
  <c r="BC124" i="30"/>
  <c r="BC128" i="30" s="1"/>
  <c r="M156" i="30"/>
  <c r="L159" i="30"/>
  <c r="CA51" i="30"/>
  <c r="CA55" i="30" s="1"/>
  <c r="CA49" i="30"/>
  <c r="CA53" i="30" s="1"/>
  <c r="CA57" i="30" s="1"/>
  <c r="O158" i="30" s="1"/>
  <c r="CS6" i="30"/>
  <c r="CS10" i="30" s="1"/>
  <c r="CS4" i="30"/>
  <c r="CS8" i="30" s="1"/>
  <c r="BU111" i="30"/>
  <c r="BU115" i="30" s="1"/>
  <c r="BU109" i="30"/>
  <c r="BU113" i="30" s="1"/>
  <c r="BU36" i="30"/>
  <c r="BU40" i="30" s="1"/>
  <c r="BU34" i="30"/>
  <c r="BU38" i="30" s="1"/>
  <c r="K161" i="30"/>
  <c r="CA21" i="30"/>
  <c r="CA25" i="30" s="1"/>
  <c r="CA19" i="30"/>
  <c r="CA23" i="30" s="1"/>
  <c r="CA27" i="30" s="1"/>
  <c r="O156" i="30" s="1"/>
  <c r="L158" i="30"/>
  <c r="CA36" i="30"/>
  <c r="CA40" i="30" s="1"/>
  <c r="CA34" i="30"/>
  <c r="CA38" i="30" s="1"/>
  <c r="CA64" i="30"/>
  <c r="CA68" i="30" s="1"/>
  <c r="CA66" i="30"/>
  <c r="CA70" i="30" s="1"/>
  <c r="H156" i="30"/>
  <c r="BU19" i="30"/>
  <c r="BU23" i="30" s="1"/>
  <c r="BU21" i="30"/>
  <c r="BU25" i="30" s="1"/>
  <c r="BU81" i="30"/>
  <c r="BU85" i="30" s="1"/>
  <c r="BU79" i="30"/>
  <c r="BU83" i="30" s="1"/>
  <c r="BU87" i="30" s="1"/>
  <c r="N160" i="30" s="1"/>
  <c r="BU139" i="30"/>
  <c r="BU143" i="30" s="1"/>
  <c r="BU141" i="30"/>
  <c r="BU145" i="30" s="1"/>
  <c r="BU126" i="30"/>
  <c r="BU130" i="30" s="1"/>
  <c r="BU124" i="30"/>
  <c r="BU128" i="30" s="1"/>
  <c r="CA126" i="30"/>
  <c r="CA130" i="30" s="1"/>
  <c r="CA124" i="30"/>
  <c r="CA128" i="30" s="1"/>
  <c r="CM6" i="30"/>
  <c r="CM10" i="30" s="1"/>
  <c r="CM4" i="30"/>
  <c r="CM8" i="30" s="1"/>
  <c r="CM12" i="30" s="1"/>
  <c r="BI6" i="30"/>
  <c r="BI10" i="30" s="1"/>
  <c r="BI4" i="30"/>
  <c r="BI8" i="30" s="1"/>
  <c r="BU66" i="30"/>
  <c r="BU70" i="30" s="1"/>
  <c r="BU64" i="30"/>
  <c r="BU68" i="30" s="1"/>
  <c r="BU96" i="30"/>
  <c r="BU100" i="30" s="1"/>
  <c r="BU94" i="30"/>
  <c r="BU98" i="30" s="1"/>
  <c r="BU6" i="30"/>
  <c r="BU10" i="30" s="1"/>
  <c r="BU4" i="30"/>
  <c r="BU8" i="30" s="1"/>
  <c r="CA6" i="30"/>
  <c r="CA10" i="30" s="1"/>
  <c r="CA4" i="30"/>
  <c r="CA8" i="30" s="1"/>
  <c r="CA81" i="30"/>
  <c r="CA85" i="30" s="1"/>
  <c r="CA79" i="30"/>
  <c r="CA83" i="30" s="1"/>
  <c r="CA96" i="30"/>
  <c r="CA100" i="30" s="1"/>
  <c r="CA94" i="30"/>
  <c r="CA98" i="30" s="1"/>
  <c r="CA109" i="30"/>
  <c r="CA113" i="30" s="1"/>
  <c r="CA111" i="30"/>
  <c r="CA115" i="30" s="1"/>
  <c r="CA117" i="30" s="1"/>
  <c r="O162" i="30" s="1"/>
  <c r="CA141" i="30"/>
  <c r="CA145" i="30" s="1"/>
  <c r="CA139" i="30"/>
  <c r="CA143" i="30" s="1"/>
  <c r="BU49" i="30"/>
  <c r="BU53" i="30" s="1"/>
  <c r="BU51" i="30"/>
  <c r="BU55" i="30" s="1"/>
  <c r="H163" i="30"/>
  <c r="CG6" i="30"/>
  <c r="CG10" i="30" s="1"/>
  <c r="CG4" i="30"/>
  <c r="CG8" i="30" s="1"/>
  <c r="G18" i="30"/>
  <c r="K13" i="3"/>
  <c r="N13" i="3" s="1"/>
  <c r="M13" i="3"/>
  <c r="R41" i="4"/>
  <c r="F45" i="5"/>
  <c r="H42" i="4"/>
  <c r="CG12" i="30" l="1"/>
  <c r="P156" i="30" s="1"/>
  <c r="BU27" i="30"/>
  <c r="N156" i="30" s="1"/>
  <c r="CS12" i="30"/>
  <c r="Y57" i="30"/>
  <c r="F158" i="30" s="1"/>
  <c r="S27" i="30"/>
  <c r="E156" i="30" s="1"/>
  <c r="BO72" i="30"/>
  <c r="AK72" i="30"/>
  <c r="H159" i="30" s="1"/>
  <c r="AE27" i="30"/>
  <c r="G156" i="30" s="1"/>
  <c r="M132" i="30"/>
  <c r="D163" i="30" s="1"/>
  <c r="AW27" i="30"/>
  <c r="AE132" i="30"/>
  <c r="G163" i="30" s="1"/>
  <c r="Y42" i="30"/>
  <c r="F157" i="30" s="1"/>
  <c r="BC27" i="30"/>
  <c r="K156" i="30" s="1"/>
  <c r="S147" i="30"/>
  <c r="E164" i="30" s="1"/>
  <c r="AW102" i="30"/>
  <c r="AK87" i="30"/>
  <c r="H160" i="30" s="1"/>
  <c r="Y147" i="30"/>
  <c r="F164" i="30" s="1"/>
  <c r="G147" i="30"/>
  <c r="S117" i="30"/>
  <c r="BO117" i="30"/>
  <c r="BI27" i="30"/>
  <c r="L156" i="30" s="1"/>
  <c r="AQ132" i="30"/>
  <c r="AE72" i="30"/>
  <c r="G159" i="30" s="1"/>
  <c r="AK57" i="30"/>
  <c r="BI147" i="30"/>
  <c r="L164" i="30" s="1"/>
  <c r="AW117" i="30"/>
  <c r="BI42" i="30"/>
  <c r="L157" i="30" s="1"/>
  <c r="BC57" i="30"/>
  <c r="K158" i="30" s="1"/>
  <c r="CA72" i="30"/>
  <c r="O159" i="30" s="1"/>
  <c r="BC132" i="30"/>
  <c r="K163" i="30" s="1"/>
  <c r="Y27" i="30"/>
  <c r="F156" i="30" s="1"/>
  <c r="S57" i="30"/>
  <c r="E158" i="30" s="1"/>
  <c r="AE87" i="30"/>
  <c r="G160" i="30" s="1"/>
  <c r="M57" i="30"/>
  <c r="D158" i="30" s="1"/>
  <c r="Y87" i="30"/>
  <c r="F160" i="30" s="1"/>
  <c r="G87" i="30"/>
  <c r="AQ27" i="30"/>
  <c r="I156" i="30" s="1"/>
  <c r="M27" i="30"/>
  <c r="BC12" i="30"/>
  <c r="K155" i="30" s="1"/>
  <c r="AQ42" i="30"/>
  <c r="I157" i="30" s="1"/>
  <c r="BC117" i="30"/>
  <c r="K162" i="30" s="1"/>
  <c r="S12" i="30"/>
  <c r="E155" i="30" s="1"/>
  <c r="AQ72" i="30"/>
  <c r="I159" i="30" s="1"/>
  <c r="BC147" i="30"/>
  <c r="K164" i="30" s="1"/>
  <c r="S87" i="30"/>
  <c r="E160" i="30" s="1"/>
  <c r="AW72" i="30"/>
  <c r="M12" i="30"/>
  <c r="Y132" i="30"/>
  <c r="BC72" i="30"/>
  <c r="K159" i="30" s="1"/>
  <c r="Y72" i="30"/>
  <c r="F159" i="30" s="1"/>
  <c r="BO132" i="30"/>
  <c r="M163" i="30" s="1"/>
  <c r="AW87" i="30"/>
  <c r="AE147" i="30"/>
  <c r="G164" i="30" s="1"/>
  <c r="AQ57" i="30"/>
  <c r="I158" i="30" s="1"/>
  <c r="CA87" i="30"/>
  <c r="O160" i="30" s="1"/>
  <c r="BU72" i="30"/>
  <c r="N159" i="30" s="1"/>
  <c r="BU132" i="30"/>
  <c r="N163" i="30" s="1"/>
  <c r="BU42" i="30"/>
  <c r="N157" i="30" s="1"/>
  <c r="CA147" i="30"/>
  <c r="O164" i="30" s="1"/>
  <c r="BI12" i="30"/>
  <c r="L155" i="30" s="1"/>
  <c r="BU102" i="30"/>
  <c r="N161" i="30" s="1"/>
  <c r="CA132" i="30"/>
  <c r="O163" i="30" s="1"/>
  <c r="BU12" i="30"/>
  <c r="N155" i="30" s="1"/>
  <c r="AW132" i="30"/>
  <c r="AK12" i="30"/>
  <c r="H155" i="30" s="1"/>
  <c r="BO147" i="30"/>
  <c r="M164" i="30" s="1"/>
  <c r="M72" i="30"/>
  <c r="D159" i="30" s="1"/>
  <c r="AQ117" i="30"/>
  <c r="I162" i="30" s="1"/>
  <c r="M147" i="30"/>
  <c r="D164" i="30" s="1"/>
  <c r="G72" i="30"/>
  <c r="BO102" i="30"/>
  <c r="M161" i="30" s="1"/>
  <c r="CA12" i="30"/>
  <c r="O155" i="30" s="1"/>
  <c r="BC42" i="30"/>
  <c r="K157" i="30" s="1"/>
  <c r="L162" i="30"/>
  <c r="BU57" i="30"/>
  <c r="N158" i="30" s="1"/>
  <c r="K160" i="30"/>
  <c r="CA102" i="30"/>
  <c r="O161" i="30" s="1"/>
  <c r="E162" i="30"/>
  <c r="H161" i="30"/>
  <c r="M162" i="30"/>
  <c r="I163" i="30"/>
  <c r="BU147" i="30"/>
  <c r="N164" i="30" s="1"/>
  <c r="G155" i="30"/>
  <c r="I161" i="30"/>
  <c r="CA42" i="30"/>
  <c r="O157" i="30" s="1"/>
  <c r="F155" i="30"/>
  <c r="G162" i="30"/>
  <c r="F163" i="30"/>
  <c r="D157" i="30"/>
  <c r="BU117" i="30"/>
  <c r="N162" i="30" s="1"/>
  <c r="M159" i="30"/>
  <c r="L163" i="30"/>
  <c r="D156" i="30"/>
  <c r="H158" i="30"/>
  <c r="Q158" i="30"/>
  <c r="Q157" i="30"/>
  <c r="Q156" i="30"/>
  <c r="Q164" i="30"/>
  <c r="Q163" i="30"/>
  <c r="Q162" i="30"/>
  <c r="Q159" i="30"/>
  <c r="Q160" i="30"/>
  <c r="Q155" i="30"/>
  <c r="Q161" i="30"/>
  <c r="P155" i="30"/>
  <c r="P164" i="30"/>
  <c r="P157" i="30"/>
  <c r="R159" i="30"/>
  <c r="R155" i="30"/>
  <c r="R158" i="30"/>
  <c r="R162" i="30"/>
  <c r="R164" i="30"/>
  <c r="R161" i="30"/>
  <c r="R160" i="30"/>
  <c r="R163" i="30"/>
  <c r="R157" i="30"/>
  <c r="R156" i="30"/>
  <c r="F161" i="30"/>
  <c r="G4" i="30"/>
  <c r="G8" i="30" s="1"/>
  <c r="G6" i="30"/>
  <c r="G10" i="30" s="1"/>
  <c r="G21" i="30"/>
  <c r="G25" i="30" s="1"/>
  <c r="G19" i="30"/>
  <c r="G23" i="30" s="1"/>
  <c r="J45" i="5"/>
  <c r="P162" i="30" l="1"/>
  <c r="P160" i="30"/>
  <c r="P161" i="30"/>
  <c r="P158" i="30"/>
  <c r="P159" i="30"/>
  <c r="P163" i="30"/>
  <c r="D155" i="30"/>
  <c r="J162" i="30"/>
  <c r="C159" i="30"/>
  <c r="G27" i="30"/>
  <c r="C156" i="30" s="1"/>
  <c r="C163" i="30"/>
  <c r="J163" i="30"/>
  <c r="C164" i="30"/>
  <c r="G12" i="30"/>
  <c r="C155" i="30" s="1"/>
  <c r="C161" i="30"/>
  <c r="C160" i="30"/>
  <c r="C157" i="30"/>
  <c r="C162" i="30"/>
  <c r="C158" i="30"/>
  <c r="J157" i="30" l="1"/>
  <c r="J160" i="30"/>
  <c r="H274" i="27" s="1"/>
  <c r="J155" i="30"/>
  <c r="C274" i="27" s="1"/>
  <c r="J159" i="30"/>
  <c r="J158" i="30"/>
  <c r="F274" i="27" s="1"/>
  <c r="J156" i="30"/>
  <c r="D274" i="27" s="1"/>
  <c r="D275" i="27" s="1"/>
  <c r="J164" i="30"/>
  <c r="L274" i="27" s="1"/>
  <c r="J161" i="30"/>
  <c r="I274" i="27" s="1"/>
  <c r="E274" i="27"/>
  <c r="J274" i="27"/>
  <c r="K274" i="27"/>
  <c r="G274" i="27"/>
  <c r="H275" i="27" l="1"/>
  <c r="F275" i="27"/>
  <c r="L275" i="27"/>
  <c r="G275" i="27"/>
  <c r="I275" i="27"/>
  <c r="J275" i="27"/>
  <c r="E275" i="27"/>
  <c r="K275" i="27"/>
  <c r="C166" i="30"/>
  <c r="F11" i="3" s="1"/>
  <c r="H11" i="3" s="1"/>
  <c r="C275" i="27"/>
  <c r="M11" i="3" l="1"/>
  <c r="M17" i="3" s="1"/>
  <c r="K11" i="3"/>
  <c r="N11" i="3" s="1"/>
  <c r="N17" i="3" s="1"/>
  <c r="N18" i="3" l="1"/>
  <c r="N19" i="3" s="1"/>
  <c r="N20" i="3" s="1"/>
  <c r="N45" i="5" l="1"/>
  <c r="K42" i="4" s="1"/>
  <c r="N22" i="3"/>
  <c r="O20" i="3"/>
  <c r="P20" i="3" l="1"/>
  <c r="S41" i="4" s="1"/>
  <c r="O42" i="4"/>
  <c r="O40" i="4"/>
  <c r="O45" i="4" l="1"/>
  <c r="H67" i="4" s="1"/>
  <c r="T28" i="2" s="1"/>
  <c r="Q20" i="3"/>
  <c r="R20" i="3" s="1"/>
  <c r="R107" i="2" l="1"/>
  <c r="B118" i="2"/>
  <c r="B57" i="4" s="1"/>
  <c r="R108" i="2" s="1"/>
  <c r="T3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ALIENWARE</author>
    <author>ismail - [2010]</author>
  </authors>
  <commentList>
    <comment ref="Q11" authorId="0" shapeId="0" xr:uid="{00000000-0006-0000-02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Q19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G37" authorId="2" shapeId="0" xr:uid="{00000000-0006-0000-02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B41" authorId="0" shapeId="0" xr:uid="{00000000-0006-0000-02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H41" authorId="0" shapeId="0" xr:uid="{00000000-0006-0000-02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B113" authorId="3" shapeId="0" xr:uid="{58EDEA88-AF51-4639-8584-908EC7C7F3F7}">
      <text>
        <r>
          <rPr>
            <b/>
            <sz val="9"/>
            <color indexed="81"/>
            <rFont val="Tahoma"/>
            <family val="2"/>
          </rPr>
          <t>SUHU- [2023]:</t>
        </r>
        <r>
          <rPr>
            <sz val="9"/>
            <color indexed="81"/>
            <rFont val="Tahoma"/>
            <family val="2"/>
          </rPr>
          <t xml:space="preserve">
No HIOKI, just DELETE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2" authorId="0" shapeId="0" xr:uid="{6379C900-9C4E-46A2-915E-0B3015AD0BE0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5" authorId="0" shapeId="0" xr:uid="{CE23BF0D-63D4-456B-B987-5B60D7A1B6EC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3229392A-A20B-4B49-B015-7B94E1FF5579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sharedStrings.xml><?xml version="1.0" encoding="utf-8"?>
<sst xmlns="http://schemas.openxmlformats.org/spreadsheetml/2006/main" count="2309" uniqueCount="599">
  <si>
    <t>Lembar Kerja Kalibrasi Sterilisator Kering</t>
  </si>
  <si>
    <t>Nomor Sertifikat / Nomor Surat Keterangan : 47  /       /       -      / E -                    DL / Dt</t>
  </si>
  <si>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</si>
  <si>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</si>
  <si>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</si>
  <si>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</si>
  <si>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</si>
  <si>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</si>
  <si>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>Tanggal Penerimaan Alat</t>
  </si>
  <si>
    <t xml:space="preserve">Tempat Kalibrasi                             </t>
  </si>
  <si>
    <t xml:space="preserve">Nama Ruang                                    </t>
  </si>
  <si>
    <t>I.</t>
  </si>
  <si>
    <t>Kondisi Ruang</t>
  </si>
  <si>
    <t>Awal</t>
  </si>
  <si>
    <t>Akhir</t>
  </si>
  <si>
    <t>1. Suhu</t>
  </si>
  <si>
    <t>°C</t>
  </si>
  <si>
    <t>2. Kelembaban Relatif</t>
  </si>
  <si>
    <t>%RH</t>
  </si>
  <si>
    <t>3. Tegangan jala-jala</t>
  </si>
  <si>
    <t>V</t>
  </si>
  <si>
    <t>II.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</si>
  <si>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</si>
  <si>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</si>
  <si>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</si>
  <si>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</si>
  <si>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</si>
  <si>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</si>
  <si>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</si>
  <si>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</si>
  <si>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</si>
  <si>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</si>
  <si>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</si>
  <si>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</si>
  <si>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</si>
  <si>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</si>
  <si>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&gt; 2 MΩ</t>
  </si>
  <si>
    <t>Resistansi Pembumian Protektif (kabel (dapat/tidak dapat) dilepas)*</t>
  </si>
  <si>
    <t>Ω</t>
  </si>
  <si>
    <t>≤ 0.2  /  0.3Ω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</si>
  <si>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</si>
  <si>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</si>
  <si>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</si>
  <si>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</si>
  <si>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</si>
  <si>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</si>
  <si>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>IV.</t>
  </si>
  <si>
    <t>Pengujian Kinerja</t>
  </si>
  <si>
    <t>a. Volume Enclosure</t>
  </si>
  <si>
    <t>Panjang (m)</t>
  </si>
  <si>
    <t>Lebar                    (m)</t>
  </si>
  <si>
    <t>Tinggi               (m)</t>
  </si>
  <si>
    <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</si>
  <si>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b. Jumlah Titik Ukur</t>
  </si>
  <si>
    <t>Δt         (°C)</t>
  </si>
  <si>
    <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</si>
  <si>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</si>
  <si>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</si>
  <si>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</si>
  <si>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Titik Uji</t>
  </si>
  <si>
    <t>d. Pengukuran Suhu</t>
  </si>
  <si>
    <t>Set-point (°C)</t>
  </si>
  <si>
    <t>Posisi Termokopel</t>
  </si>
  <si>
    <t>Pembacaan Alat Standar (°C)</t>
  </si>
  <si>
    <t>Toleransi  (°C)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</si>
  <si>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</si>
  <si>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</si>
  <si>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</si>
  <si>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</si>
  <si>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</si>
  <si>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</si>
  <si>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</si>
  <si>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</si>
  <si>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</si>
  <si>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</si>
  <si>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t1</t>
  </si>
  <si>
    <t>Akurasi Suhu ± 5°C
Variasi Total ≤ 10°C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</si>
  <si>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</si>
  <si>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</si>
  <si>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</si>
  <si>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</si>
  <si>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</si>
  <si>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</si>
  <si>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</si>
  <si>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</si>
  <si>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</si>
  <si>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</t>
  </si>
  <si>
    <t>Keterangan</t>
  </si>
  <si>
    <t>Ketidakpastian pengukuran dilaporkan pada tingkat kepercayaan 95% dengan faktor cakupan k=2</t>
  </si>
  <si>
    <t>VI.</t>
  </si>
  <si>
    <t>Alat Ukur yang digunakan</t>
  </si>
  <si>
    <t>Thermocouple Data Logger,  Merek : Madgetech, Model : Oct Temp 2000, SN :  P40270 / P41878</t>
  </si>
  <si>
    <t>Thermohygrometer,Merek : KIMO, Model : KH - 210 - AO, SN : 14082463, 15062872, 15062874, 15062875</t>
  </si>
  <si>
    <t>Thermohygrometer,Merek : SEKONIC, Model : ST-50A, SN : HE 21-000670, HE 21-000669</t>
  </si>
  <si>
    <t>Mobile Corder, Merek : Yokogawa, Model : GP 10, SN : S5T810599</t>
  </si>
  <si>
    <t>Wireless Temperature Recorder (Modul) : Merek : HIOKI, Model : LR 8510, SN : 210746054, 210746055, 210746056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</si>
  <si>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</si>
  <si>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</si>
  <si>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</si>
  <si>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</si>
  <si>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</si>
  <si>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</si>
  <si>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</si>
  <si>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VII.</t>
  </si>
  <si>
    <t>Kesimpulan</t>
  </si>
  <si>
    <t>Alat yang dikalibrasi (dalam batas / melebihi)*  toleransi dan dinyatakan (LAIK PAKAI / TIDAK LAIK PAKAI)*</t>
  </si>
  <si>
    <t>VIII.</t>
  </si>
  <si>
    <t>Petugas Kalibrasi</t>
  </si>
  <si>
    <t>Variasi Total dan Akurasi</t>
  </si>
  <si>
    <t>No.</t>
  </si>
  <si>
    <t>Tanggal</t>
  </si>
  <si>
    <t>Revisi</t>
  </si>
  <si>
    <t>Oleh</t>
  </si>
  <si>
    <t>Alat tidak boleh digunakan di ruangan tidak terdapat grounding</t>
  </si>
  <si>
    <t>Alat tidak boleh digunakan pada instalasi tanpa dilengkapi grounding</t>
  </si>
  <si>
    <t>II. Pemeriksaan Kondisi Fisik dan Fungsi Komponen Alat</t>
  </si>
  <si>
    <t>II. Pemeriksaan Kondisi Fisik dan Fungsi Alat</t>
  </si>
  <si>
    <t>III. Hasil Pengukuran Keselamatan Listrik</t>
  </si>
  <si>
    <t>III. Pengujian Keselamatan Listrik</t>
  </si>
  <si>
    <t xml:space="preserve">IV. Hasil Pengukuran </t>
  </si>
  <si>
    <t>IV. Pengujian Kinerja</t>
  </si>
  <si>
    <t>'Alat yang dikalibrasi melebihi batas toleransi dan dinyatakan TIDAK LAIK PAKAI, dimana hasil atau skor akhir dibawah 70% berdasarkan Keputusan Direktur Jenderal Pelayanan Kesehatan No : HK.02.02/V/5771/2018</t>
  </si>
  <si>
    <t>'Alat yang dikalibrasi dalam batas toleransi dan dinyatakan LAIK PAKAI, dimana hasil atau skor akhir sama dengan atau melampaui 70% berdasarkan Keputusan Direktur Jenderal Pelayanan Kesehatan No : HK.02.02/V/0412/2020</t>
  </si>
  <si>
    <t>Hasil pengukuran suhu ke Sistem Internasional ( SI ) melalui Pusat Penelitian Metrologi - LIPI</t>
  </si>
  <si>
    <t>Hasil pengujian kinerja suhu ke Sistem Internasional ( SI ) melalui Pusat Penelitian Metrologi - LIPI</t>
  </si>
  <si>
    <t xml:space="preserve">MK.028-18 </t>
  </si>
  <si>
    <t xml:space="preserve">MK 028-18 </t>
  </si>
  <si>
    <t>SH.LHK - 028-18 / Rev  : 0</t>
  </si>
  <si>
    <t>SH.LHK - 028-18 / Rev  : 1</t>
  </si>
  <si>
    <t xml:space="preserve">2. Kelembaban Relatif </t>
  </si>
  <si>
    <t>2. Kelembaban</t>
  </si>
  <si>
    <t>16 Maret 2021</t>
  </si>
  <si>
    <t>Nilai NC blm masuk skoring</t>
  </si>
  <si>
    <t>Sdh diperbaiki</t>
  </si>
  <si>
    <t>2 Juli 2021</t>
  </si>
  <si>
    <t>Update sertifikat ESA, datalogger</t>
  </si>
  <si>
    <t>Done</t>
  </si>
  <si>
    <t>Fauzan</t>
  </si>
  <si>
    <t>Update sertifikat ESA, datalogger, thermohygro</t>
  </si>
  <si>
    <t>10 Agustus 2021</t>
  </si>
  <si>
    <t>Penulisan sertifikat tertelusur salah untuk octtemp 878 (Lipi)
Penulisan sertifikat tertelusur salah untuk ESA 620 1834020 (Caltek)</t>
  </si>
  <si>
    <t>Tertelusur ke Kaliman</t>
  </si>
  <si>
    <t>Venna</t>
  </si>
  <si>
    <t>23-12-21</t>
  </si>
  <si>
    <t>skoring koreksi tidak abs</t>
  </si>
  <si>
    <t>sudah di perbaiki</t>
  </si>
  <si>
    <t>ojan</t>
  </si>
  <si>
    <t>7 Januari 2021</t>
  </si>
  <si>
    <t>LK kurang Rapi</t>
  </si>
  <si>
    <t>LK lebih rapi dari sebelumnya</t>
  </si>
  <si>
    <t>Zaen</t>
  </si>
  <si>
    <t>Alat yang dikalibrasi dalam batas toleransi dan dinyatakan (LAIK PAKAI / TIDAK LAIK PAKAI)*</t>
  </si>
  <si>
    <t>Belum terdapat</t>
  </si>
  <si>
    <t>menambah list alat HIOKI 8410 (Monitor) : 200812984, 210368323, 210368324</t>
  </si>
  <si>
    <t>menambah list alat modul wireless hioki</t>
  </si>
  <si>
    <t>menambanh nilai ketidakpastian pada tegangan jala-jala</t>
  </si>
  <si>
    <t>11 Juli 2022</t>
  </si>
  <si>
    <t>Skoring Kelistrikan</t>
  </si>
  <si>
    <t>Diman</t>
  </si>
  <si>
    <t>Penambahan kolom toleransi pada LK (Rev.1)</t>
  </si>
  <si>
    <t>25 Juli 2022</t>
  </si>
  <si>
    <t>-</t>
  </si>
  <si>
    <t>Update Sertifikat HIOKI 200936001 tahun 2021</t>
  </si>
  <si>
    <t>27 Juli 2022</t>
  </si>
  <si>
    <t>Update Sertifikat KIMO 15062873, 15062875 tahun 2021</t>
  </si>
  <si>
    <t>Update sertifikat ESA 908, 030 tahun 2022</t>
  </si>
  <si>
    <t>28 Juli 2022</t>
  </si>
  <si>
    <t>Hasil pengujian kinerja suhu ke Sistem Internasional ( SI ) melalui PT. Kaliman ( LK-032-IDN )</t>
  </si>
  <si>
    <t>Hasil pengujian kinerja suhu tertelusur ke Satuan SI melalui PT. Kaliman ( LK-032-IDN )</t>
  </si>
  <si>
    <t>29 Juli 2022</t>
  </si>
  <si>
    <t>Skoring Akhir                                                         IF(AND(ID!R16=1),O45+O34+O25,IF(AND(ID!R16=0,'Lembar Penyelia'!O33=0),50%,"cek"))</t>
  </si>
  <si>
    <t>SUM(O23,O24,O34,O45)</t>
  </si>
  <si>
    <t>1.8.2022</t>
  </si>
  <si>
    <t>Update Sertifikat HIOKI, Model : LR 8510, SN : 210746054 tahun 2022</t>
  </si>
  <si>
    <t>12.1.2023</t>
  </si>
  <si>
    <t>U95 pada sheet [Data Standar] ngelink ke nilai koreksi                      HLOOKUP($B$258,$B$155:$R$169,14,0)</t>
  </si>
  <si>
    <t>HLOOKUP($B$258,$B$155:$R$169,14,0)</t>
  </si>
  <si>
    <t>Ketidakpastian 2AP (Auto)</t>
  </si>
  <si>
    <t>Koreksi mengikuti digit ketidakpastian (Auto)</t>
  </si>
  <si>
    <t>Update Sertifkat Octemp 270, 878</t>
  </si>
  <si>
    <t>Input Data Hasil Kalibrasi Sterilisator Kering</t>
  </si>
  <si>
    <t xml:space="preserve">Merek                                     </t>
  </si>
  <si>
    <t>memmert</t>
  </si>
  <si>
    <t xml:space="preserve">Model/Tipe                         </t>
  </si>
  <si>
    <t>INB 400</t>
  </si>
  <si>
    <t xml:space="preserve">No. Seri                                  </t>
  </si>
  <si>
    <t>E406.0655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</si>
  <si>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</si>
  <si>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</si>
  <si>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20 Mei 2019</t>
  </si>
  <si>
    <t xml:space="preserve">Tanggal Kalibrasi                              </t>
  </si>
  <si>
    <t>20 Mei 2021</t>
  </si>
  <si>
    <t xml:space="preserve">Tempat Kalibrasi                              </t>
  </si>
  <si>
    <t>Laboratorium</t>
  </si>
  <si>
    <t>Rata-rata</t>
  </si>
  <si>
    <t>deviasi</t>
  </si>
  <si>
    <t xml:space="preserve">Nama Ruang                                         </t>
  </si>
  <si>
    <t xml:space="preserve">Metode Kerja                    </t>
  </si>
  <si>
    <t xml:space="preserve">MK 044-18 </t>
  </si>
  <si>
    <t xml:space="preserve">2. Kelembaban </t>
  </si>
  <si>
    <t>3. Tegangan jala-jala            :</t>
  </si>
  <si>
    <t>Volt</t>
  </si>
  <si>
    <t>G</t>
  </si>
  <si>
    <t>NC</t>
  </si>
  <si>
    <t xml:space="preserve">1. Fisik             </t>
  </si>
  <si>
    <t>Baik</t>
  </si>
  <si>
    <t xml:space="preserve">2. Fungsi        </t>
  </si>
  <si>
    <t>Resistansi pembumian protektif (kabel dapat dilepas)</t>
  </si>
  <si>
    <t>Arus bocor peralatan untuk peralatan elektromedik kelas II</t>
  </si>
  <si>
    <t>Resistansi pembumian protektif (kabel tidak dapat dilepas)</t>
  </si>
  <si>
    <t>Tidak Baik</t>
  </si>
  <si>
    <t>OL</t>
  </si>
  <si>
    <t>NG</t>
  </si>
  <si>
    <t>Tidak terdapat instalasi grounding di ruangan</t>
  </si>
  <si>
    <t>Lebar                         (m)</t>
  </si>
  <si>
    <t>Tinggi    (m)</t>
  </si>
  <si>
    <t>Vol</t>
  </si>
  <si>
    <t xml:space="preserve">G R A D I N G   F A C T O R </t>
  </si>
  <si>
    <t>fm</t>
  </si>
  <si>
    <t>D = 30</t>
  </si>
  <si>
    <t>D = 100</t>
  </si>
  <si>
    <t>D = 300</t>
  </si>
  <si>
    <t>D = 1000</t>
  </si>
  <si>
    <t>Δt                              (°C)</t>
  </si>
  <si>
    <t>Penunjukkan Standar   (°C)</t>
  </si>
  <si>
    <t>Penunjukkan Indikator</t>
  </si>
  <si>
    <t>Suhu Ruang</t>
  </si>
  <si>
    <t>stdev (°C)</t>
  </si>
  <si>
    <t>diff (°C)</t>
  </si>
  <si>
    <t>Rata-Rata (°C)</t>
  </si>
  <si>
    <t>diff                (°C)</t>
  </si>
  <si>
    <t>midrange               (°C)</t>
  </si>
  <si>
    <t>midrange terkoreksi     (°C)</t>
  </si>
  <si>
    <t>Koreksi</t>
  </si>
  <si>
    <t>Suhu Sterilisator dari penunjukkan indikator</t>
  </si>
  <si>
    <t>Suhu STERILISATOR dari pengukuran</t>
  </si>
  <si>
    <t>Variasi suhu spasial</t>
  </si>
  <si>
    <t>Variasi suhu temporal</t>
  </si>
  <si>
    <t>Variasi Total</t>
  </si>
  <si>
    <t>Kestabilan</t>
  </si>
  <si>
    <t>Akurasi</t>
  </si>
  <si>
    <t>V. Keterangan</t>
  </si>
  <si>
    <t>VI. Alat Ukur yang digunakan</t>
  </si>
  <si>
    <t>Wireless Temperature Recorder : Merek : HIOKI, Model : LR 8510, SN : 200936001</t>
  </si>
  <si>
    <t>Temperature Recorder, Merek : HIOKI, Model : LR 8410, SN : 200812985</t>
  </si>
  <si>
    <t>Electrical Safety Analyzer, Merek : Fluke, Model : ESA 615, SN : 4669058</t>
  </si>
  <si>
    <t>Thermohygrolight, Merek : EXTECH, Model : SD700, SN : A.100617</t>
  </si>
  <si>
    <t>VII. Kesimpulan</t>
  </si>
  <si>
    <t>Wardimanul Abrar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</si>
  <si>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</si>
  <si>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</si>
  <si>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</si>
  <si>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</si>
  <si>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</si>
  <si>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</si>
  <si>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</si>
  <si>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</si>
  <si>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</si>
  <si>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</si>
  <si>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</si>
  <si>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t>u</t>
    </r>
    <r>
      <rPr>
        <vertAlign val="subscript"/>
        <sz val="11"/>
        <rFont val="Arial"/>
        <family val="2"/>
      </rPr>
      <t>i</t>
    </r>
  </si>
  <si>
    <r>
      <t>c</t>
    </r>
    <r>
      <rPr>
        <vertAlign val="subscript"/>
        <sz val="11"/>
        <rFont val="Arial"/>
        <family val="2"/>
      </rPr>
      <t>i</t>
    </r>
  </si>
  <si>
    <r>
      <t>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</si>
  <si>
    <r>
      <t>v</t>
    </r>
    <r>
      <rPr>
        <vertAlign val="subscript"/>
        <sz val="11"/>
        <rFont val="Arial"/>
        <family val="2"/>
      </rPr>
      <t>i</t>
    </r>
  </si>
  <si>
    <r>
      <t>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  <r>
      <rPr>
        <vertAlign val="superscript"/>
        <sz val="11"/>
        <rFont val="Arial"/>
        <family val="2"/>
      </rPr>
      <t>2</t>
    </r>
  </si>
  <si>
    <r>
      <t>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>/v</t>
    </r>
    <r>
      <rPr>
        <vertAlign val="subscript"/>
        <sz val="11"/>
        <rFont val="Arial"/>
        <family val="2"/>
      </rPr>
      <t>i</t>
    </r>
  </si>
  <si>
    <t>1. Repeatibility</t>
  </si>
  <si>
    <r>
      <t>○</t>
    </r>
    <r>
      <rPr>
        <sz val="11"/>
        <rFont val="Arial"/>
        <family val="2"/>
      </rPr>
      <t>C</t>
    </r>
  </si>
  <si>
    <t>Normal</t>
  </si>
  <si>
    <t>2. Sertifikat Standar TC-K</t>
  </si>
  <si>
    <t>3. Drift Std.</t>
  </si>
  <si>
    <t>Rect</t>
  </si>
  <si>
    <t>4. Resolusi Alat</t>
  </si>
  <si>
    <t>5. Variasi Spasial</t>
  </si>
  <si>
    <t>6. Variasi Temporal</t>
  </si>
  <si>
    <t>7. Variasi Penunjukkan Indikator</t>
  </si>
  <si>
    <t>KTP Gabungan Uc</t>
  </si>
  <si>
    <t>Derajat kebebasan effektif</t>
  </si>
  <si>
    <t>Faktor cakupan pada veff dan 95%</t>
  </si>
  <si>
    <t>Hasil U95</t>
  </si>
  <si>
    <t>Desimal</t>
  </si>
  <si>
    <t>Hasil 2-SD</t>
  </si>
  <si>
    <t>CMC</t>
  </si>
  <si>
    <t>KTP U(95) = k x uc</t>
  </si>
  <si>
    <t>V A L I D A S I</t>
  </si>
  <si>
    <r>
      <t>u</t>
    </r>
    <r>
      <rPr>
        <vertAlign val="subscript"/>
        <sz val="11"/>
        <color rgb="FFFF0000"/>
        <rFont val="Arial"/>
        <family val="2"/>
      </rPr>
      <t>i</t>
    </r>
  </si>
  <si>
    <r>
      <t>c</t>
    </r>
    <r>
      <rPr>
        <vertAlign val="subscript"/>
        <sz val="11"/>
        <color rgb="FFFF0000"/>
        <rFont val="Arial"/>
        <family val="2"/>
      </rPr>
      <t>i</t>
    </r>
  </si>
  <si>
    <r>
      <t>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</si>
  <si>
    <r>
      <t>v</t>
    </r>
    <r>
      <rPr>
        <vertAlign val="subscript"/>
        <sz val="11"/>
        <color rgb="FFFF0000"/>
        <rFont val="Arial"/>
        <family val="2"/>
      </rPr>
      <t>i</t>
    </r>
  </si>
  <si>
    <r>
      <t>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  <r>
      <rPr>
        <vertAlign val="superscript"/>
        <sz val="11"/>
        <color rgb="FFFF0000"/>
        <rFont val="Arial"/>
        <family val="2"/>
      </rPr>
      <t>2</t>
    </r>
  </si>
  <si>
    <r>
      <t>(u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)</t>
    </r>
    <r>
      <rPr>
        <vertAlign val="superscript"/>
        <sz val="11"/>
        <color rgb="FFFF0000"/>
        <rFont val="Arial"/>
        <family val="2"/>
      </rPr>
      <t>4</t>
    </r>
    <r>
      <rPr>
        <sz val="11"/>
        <color rgb="FFFF0000"/>
        <rFont val="Arial"/>
        <family val="2"/>
      </rPr>
      <t>/v</t>
    </r>
    <r>
      <rPr>
        <vertAlign val="subscript"/>
        <sz val="11"/>
        <color rgb="FFFF0000"/>
        <rFont val="Arial"/>
        <family val="2"/>
      </rPr>
      <t>i</t>
    </r>
  </si>
  <si>
    <t>1. Sertifikat Standar TC-K</t>
  </si>
  <si>
    <r>
      <t>○</t>
    </r>
    <r>
      <rPr>
        <sz val="11"/>
        <color rgb="FFFF0000"/>
        <rFont val="Arial"/>
        <family val="2"/>
      </rPr>
      <t>C</t>
    </r>
  </si>
  <si>
    <t>2. Drift Std.</t>
  </si>
  <si>
    <t>3. Resolusi Alat</t>
  </si>
  <si>
    <t>4. Variasi Spasial</t>
  </si>
  <si>
    <t>5. Variasi Temporal</t>
  </si>
  <si>
    <t>6. Variasi Penunjukkan Indikator</t>
  </si>
  <si>
    <t>Hasil Kalibrasi Sterilisator Kering</t>
  </si>
  <si>
    <t xml:space="preserve">Merek                                 </t>
  </si>
  <si>
    <t xml:space="preserve">Model/Tipe                        </t>
  </si>
  <si>
    <t xml:space="preserve">No. Seri                               </t>
  </si>
  <si>
    <t>Terkoreksi</t>
  </si>
  <si>
    <t>Toleransi</t>
  </si>
  <si>
    <t>Tidak terdapat grounding di ruangan</t>
  </si>
  <si>
    <t xml:space="preserve">Tanggal Kalibrasi                             </t>
  </si>
  <si>
    <t>Kelas I</t>
  </si>
  <si>
    <t>Input NC</t>
  </si>
  <si>
    <t>Tidak dilakukan pengujian keselamatan listrik karena alat menggunakan panel</t>
  </si>
  <si>
    <t xml:space="preserve">Tempat Kalibrasi                            </t>
  </si>
  <si>
    <t xml:space="preserve">Nama Ruang                                   </t>
  </si>
  <si>
    <t>Resistansi pembumian protektif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</si>
  <si>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</si>
  <si>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</si>
  <si>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</si>
  <si>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</si>
  <si>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</si>
  <si>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</si>
  <si>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 xml:space="preserve">1. Suhu                            </t>
  </si>
  <si>
    <t xml:space="preserve">1. Fisik          </t>
  </si>
  <si>
    <t xml:space="preserve">2. Fungsi      </t>
  </si>
  <si>
    <t>Parameter</t>
  </si>
  <si>
    <t>Pengujian Keselamatan Kelistrikan</t>
  </si>
  <si>
    <t>Fisik</t>
  </si>
  <si>
    <t>Fungsi</t>
  </si>
  <si>
    <r>
      <t>µ</t>
    </r>
    <r>
      <rPr>
        <sz val="11"/>
        <rFont val="Arial"/>
        <family val="2"/>
      </rPr>
      <t>A</t>
    </r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</si>
  <si>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</si>
  <si>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</si>
  <si>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</si>
  <si>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</si>
  <si>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</si>
  <si>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t>m</t>
    </r>
    <r>
      <rPr>
        <vertAlign val="superscript"/>
        <sz val="11"/>
        <rFont val="Arial"/>
        <family val="2"/>
      </rPr>
      <t>3</t>
    </r>
  </si>
  <si>
    <t xml:space="preserve">Δt             </t>
  </si>
  <si>
    <r>
      <t>R</t>
    </r>
    <r>
      <rPr>
        <vertAlign val="subscript"/>
        <sz val="11"/>
        <rFont val="Arial"/>
        <family val="2"/>
      </rPr>
      <t xml:space="preserve">0                          </t>
    </r>
  </si>
  <si>
    <t>Setting    (°C)</t>
  </si>
  <si>
    <t>Penunjukan Alat           (°C)</t>
  </si>
  <si>
    <t>Hasil Pengukuran   (°C)</t>
  </si>
  <si>
    <t>Ketidakpastian  (°C)</t>
  </si>
  <si>
    <t xml:space="preserve">Suhu Terukur </t>
  </si>
  <si>
    <t>Variasi spasial</t>
  </si>
  <si>
    <t>Variasi temporal</t>
  </si>
  <si>
    <t>Akurasi suhu     ± 5°C         Variasi total       ≤ 10°C</t>
  </si>
  <si>
    <t xml:space="preserve">Akurasi </t>
  </si>
  <si>
    <t>SKORING</t>
  </si>
  <si>
    <t>Tidak dapat dilakukan pengujian keselamatan kelistrikan</t>
  </si>
  <si>
    <t>Tidak terdapat grounding</t>
  </si>
  <si>
    <t>Hasil Pengujian Arus Bocor peralatan untuk peralatan elektromedik kelas I melebihi toleransi</t>
  </si>
  <si>
    <t>Nama</t>
  </si>
  <si>
    <t>Paraf</t>
  </si>
  <si>
    <t>Skor Akhir</t>
  </si>
  <si>
    <t>Dibuat :</t>
  </si>
  <si>
    <t>Diperiksa :</t>
  </si>
  <si>
    <t xml:space="preserve">Merek                            </t>
  </si>
  <si>
    <t xml:space="preserve">No. Seri                         </t>
  </si>
  <si>
    <t xml:space="preserve">Tanggal Kalibrasi                                 </t>
  </si>
  <si>
    <t xml:space="preserve">Tempat Kalibrasi                                  </t>
  </si>
  <si>
    <t xml:space="preserve">Metode Kerja                </t>
  </si>
  <si>
    <t xml:space="preserve">I. </t>
  </si>
  <si>
    <t xml:space="preserve">1. Fisik         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</si>
  <si>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</si>
  <si>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</si>
  <si>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</si>
  <si>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</si>
  <si>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</si>
  <si>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</si>
  <si>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</si>
  <si>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>Setting                         (°C)</t>
  </si>
  <si>
    <t>Penunjukan Alat                    (°C)</t>
  </si>
  <si>
    <t>Ketidakpastian Pengukuran      (°C)</t>
  </si>
  <si>
    <t>±</t>
  </si>
  <si>
    <t xml:space="preserve">VI. </t>
  </si>
  <si>
    <t xml:space="preserve">VII. </t>
  </si>
  <si>
    <t>Menyetujui ,</t>
  </si>
  <si>
    <t>Farid Wajidi, SKM</t>
  </si>
  <si>
    <t>NIP 196712101990031000</t>
  </si>
  <si>
    <t>Kepala Instalasi Laboratorium</t>
  </si>
  <si>
    <t>Choirul Huda, S.Tr.Kes</t>
  </si>
  <si>
    <t>NIP 198008062010121001</t>
  </si>
  <si>
    <t>Pengujian dan Kalibrasi</t>
  </si>
  <si>
    <t>Halaman 2 dari 2 Halaman</t>
  </si>
  <si>
    <t xml:space="preserve">D R I F T  S T A N D A R </t>
  </si>
  <si>
    <t>CH 1</t>
  </si>
  <si>
    <t>Thermocouple Data Logger, Merek : MADGETECH, Model : OctTemp 2000, SN : P40270</t>
  </si>
  <si>
    <t>validasi</t>
  </si>
  <si>
    <t>Thermocouple Data Logger, Merek : MADGETECH, Model : OctTemp 2000, SN : P41878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</si>
  <si>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</si>
  <si>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</si>
  <si>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</si>
  <si>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</si>
  <si>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</si>
  <si>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</si>
  <si>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</si>
  <si>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</si>
  <si>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</si>
  <si>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</si>
  <si>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</si>
  <si>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U95</t>
  </si>
  <si>
    <t>CH 11</t>
  </si>
  <si>
    <t>CH 12</t>
  </si>
  <si>
    <t>DATA STANDAR</t>
  </si>
  <si>
    <t>Drifft</t>
  </si>
  <si>
    <t>D R I F T</t>
  </si>
  <si>
    <t>Kumpulan DRIFT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</si>
  <si>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</si>
  <si>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</si>
  <si>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</si>
  <si>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Drift Max</t>
  </si>
  <si>
    <t>U95 max</t>
  </si>
  <si>
    <t>INTERPOLASI MIN 1</t>
  </si>
  <si>
    <t>Suhu Terukur</t>
  </si>
  <si>
    <t>Suhu Terkoreksi</t>
  </si>
  <si>
    <t>koreksi</t>
  </si>
  <si>
    <t>Validasi</t>
  </si>
  <si>
    <t>INTERPOLASI MAX 1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</si>
  <si>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</si>
  <si>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</si>
  <si>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</si>
  <si>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</si>
  <si>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</si>
  <si>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</si>
  <si>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</si>
  <si>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</si>
  <si>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</si>
  <si>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</si>
  <si>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INTERPOLASI MIN 2</t>
  </si>
  <si>
    <t>INTERPOLASI MAX 2</t>
  </si>
  <si>
    <t>INTERPOLASI MIN 3</t>
  </si>
  <si>
    <t>INTERPOLASI MAX 3</t>
  </si>
  <si>
    <t>INTERPOLASI MIN 4</t>
  </si>
  <si>
    <t>INTERPOLASI MAX 4</t>
  </si>
  <si>
    <t>INTERPOLASI MIN 5</t>
  </si>
  <si>
    <t>INTERPOLASI MAX 5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</si>
  <si>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</si>
  <si>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</si>
  <si>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</si>
  <si>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</si>
  <si>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</si>
  <si>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</si>
  <si>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</si>
  <si>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</si>
  <si>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</si>
  <si>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</si>
  <si>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</si>
  <si>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</si>
  <si>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</si>
  <si>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</si>
  <si>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</si>
  <si>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</si>
  <si>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</si>
  <si>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</si>
  <si>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</si>
  <si>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</si>
  <si>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</si>
  <si>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</si>
  <si>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</si>
  <si>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</si>
  <si>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</si>
  <si>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</si>
  <si>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</si>
  <si>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</si>
  <si>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</si>
  <si>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</si>
  <si>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</si>
  <si>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</si>
  <si>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</si>
  <si>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</si>
  <si>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</si>
  <si>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</si>
  <si>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</si>
  <si>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</si>
  <si>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</si>
  <si>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</si>
  <si>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</si>
  <si>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</si>
  <si>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</si>
  <si>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</si>
  <si>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</si>
  <si>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</si>
  <si>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</si>
  <si>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</si>
  <si>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</si>
  <si>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</si>
  <si>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</si>
  <si>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</si>
  <si>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</si>
  <si>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</si>
  <si>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</si>
  <si>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</si>
  <si>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</si>
  <si>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</si>
  <si>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A.100618</t>
  </si>
  <si>
    <t>Thermohygrolight, Merek : EXTECH, Model : SD700, SN : A.100615</t>
  </si>
  <si>
    <t>INPUT DATA SERTIFIKAT ESA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</si>
  <si>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</si>
  <si>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</si>
  <si>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</si>
  <si>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</si>
  <si>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</si>
  <si>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</si>
  <si>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</si>
  <si>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</si>
  <si>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Pembacaan Standar</t>
  </si>
  <si>
    <t>Pembacaan terkoreksi</t>
  </si>
  <si>
    <t>Hasil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</si>
  <si>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</si>
  <si>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</si>
  <si>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</si>
  <si>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</si>
  <si>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</si>
  <si>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</si>
  <si>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</si>
  <si>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</si>
  <si>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</si>
  <si>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</si>
  <si>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</si>
  <si>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Azhar Alamsyah</t>
  </si>
  <si>
    <t>Hasil pengujian kinerja suhu tertelusur ke Satuan SI melalui Laboratorium SNSU-BSN</t>
  </si>
  <si>
    <t>Choirul Huda</t>
  </si>
  <si>
    <t>Dewi Nofitasari</t>
  </si>
  <si>
    <t>Donny Martha</t>
  </si>
  <si>
    <t>Wireless Temperature Recorder : Merek : HIOKI, Model : LR 8510, SN : 200936000</t>
  </si>
  <si>
    <t>Fatimah Novrianisa</t>
  </si>
  <si>
    <t>Gusti Arya Dinata</t>
  </si>
  <si>
    <t>Wireless Temperature Recorder : Merek : HIOKI, Model : LR 8510, SN : 200821397</t>
  </si>
  <si>
    <t>Hamdan Syarif</t>
  </si>
  <si>
    <t>Wireless Temperature Recorder : Merek : HIOKI, Model : LR 8510, SN : 210411983</t>
  </si>
  <si>
    <t>Hary Ernanto</t>
  </si>
  <si>
    <t>Wireless Temperature Recorder : Merek : HIOKI, Model : LR 8510, SN : 210411984</t>
  </si>
  <si>
    <t>Isra Mahensa</t>
  </si>
  <si>
    <t>Wireless Temperature Recorder : Merek : HIOKI, Model : LR 8510, SN : 210411985</t>
  </si>
  <si>
    <t>Muhammad Alpian Hadi</t>
  </si>
  <si>
    <t>Wireless Temperature Recorder : Merek : HIOKI, Model : LR 8510, SN : 210746054</t>
  </si>
  <si>
    <t>Muhammad Arrizal Septiawan</t>
  </si>
  <si>
    <t>Wireless Temperature Recorder : Merek : HIOKI, Model : LR 8510, SN : 210746055</t>
  </si>
  <si>
    <t>Muhammad Ihsan Ilyas</t>
  </si>
  <si>
    <t>Wireless Temperature Recorder : Merek : HIOKI, Model : LR 8510, SN : 210746056</t>
  </si>
  <si>
    <t>Muhammad Iqbal Saiful Rahman</t>
  </si>
  <si>
    <t>Muhammad Irfan Husnuzhzhan</t>
  </si>
  <si>
    <t>Temperature Recorder, Merek : HIOKI, Model : LR 8410, SN : 200812984</t>
  </si>
  <si>
    <t>Muhammad Zaenuri Sugiasmoro</t>
  </si>
  <si>
    <t>Rangga Setya Hantoko</t>
  </si>
  <si>
    <t>Temperature Recorder, Merek : HIOKI, Model : LR 8410, SN : 210368322</t>
  </si>
  <si>
    <t>Ryan Rama Chaesar R</t>
  </si>
  <si>
    <t>Temperature Recorder, Merek : HIOKI, Model : LR 8410, SN : 210368323</t>
  </si>
  <si>
    <t>Septia Khairunnisa</t>
  </si>
  <si>
    <t>Temperature Recorder, Merek : HIOKI, Model : LR 8410, SN : 210368324</t>
  </si>
  <si>
    <t>Sholihatussa'diah</t>
  </si>
  <si>
    <t>Siti Fathul Jannah</t>
  </si>
  <si>
    <t>Taufik Priawan</t>
  </si>
  <si>
    <t>Venna Filosofia</t>
  </si>
  <si>
    <t>Vikki Akhsanudin Nurkholis</t>
  </si>
  <si>
    <t>Yurdha Algifari</t>
  </si>
  <si>
    <t xml:space="preserve">Nomor Sertifikat : 30 /      /      -       / E - </t>
  </si>
  <si>
    <t xml:space="preserve">Nomor Surat Keterangan : 30 /        /        -      / E - </t>
  </si>
  <si>
    <t>Alat yang diuji dalam batas toleransi dan dinyatakan LAIK PAKAI, dimana hasil atau skor akhir sama dengan atau melampaui 70% berdasarkan Keputusan Direktur Jenderal Pelayanan Kesehatan No : HK.02.02 / V / 0412 / 2020</t>
  </si>
  <si>
    <t>Alat yang diuji melebihi batas toleransi dan dinyatakan TIDAK LAIK PAKAI, dimana hasil atau skor akhir dibawah 70% berdasarkan Keputusan Direktur Jenderal Pelayanan Kesehatan No : HK.02.02 / V / 0412 / 2020</t>
  </si>
  <si>
    <t>OK</t>
  </si>
  <si>
    <t>Wireless Temperature Recorder : Merek : HIOKI, Model : LR 8510, SN : 200821396</t>
  </si>
  <si>
    <t>JOSS</t>
  </si>
  <si>
    <t>12.4.2023</t>
  </si>
  <si>
    <t>Update thermohygro EXTECH (A100617), (A100616), (A100618), KIMO (14082463), (15062875), (1562874)</t>
  </si>
  <si>
    <t>Wireless Temperature Recorder (Modul) : Merek : HIOKI, Model : LR 8510, SN : 210411983, 210411984, 210411985</t>
  </si>
  <si>
    <t>Wireless Temperature Recorder (Modul) : Merek : HIOKI, Model : LR 8510, SN : 200936000, 200936001</t>
  </si>
  <si>
    <t>Wireless Temperature Recorder (Modul) : Merek : HIOKI, Model : LR 8510, SN :  200821396, 200821397</t>
  </si>
  <si>
    <t>Temperature Recorder (Monitor) : Merek : HIOKI, Model : LR 8410, SN :  210368322, 210368323, 210368324</t>
  </si>
  <si>
    <t>Temperature Recorder (Monitor) : Merek : HIOKI, Model : LR 8410, SN : 200812984, 200812985</t>
  </si>
  <si>
    <t>14.4.2023</t>
  </si>
  <si>
    <t>Update YOKOGAWA (S5T810599)</t>
  </si>
  <si>
    <t>Update Thermhygro EXTECH (A100586), (A100615)</t>
  </si>
  <si>
    <t>Update Octemp (270 dan 878) tahun 2022</t>
  </si>
  <si>
    <t>9.5.2023</t>
  </si>
  <si>
    <t>Update HIOKI (210411983), ( 210411984)</t>
  </si>
  <si>
    <t>diMAN</t>
  </si>
  <si>
    <t>ESA 615 (4670010), ESA 615 (3699030), ESA 615 (3148908)</t>
  </si>
  <si>
    <t>13.4.2023</t>
  </si>
  <si>
    <t>Update HIOKI (200821397), (200936001)</t>
  </si>
  <si>
    <t>update thermohygro 611.873.051.605.609</t>
  </si>
  <si>
    <t>update ESA 2853077, 4669058</t>
  </si>
  <si>
    <t>25.5.2023</t>
  </si>
  <si>
    <t>Rev 21 : 25.5.2023</t>
  </si>
  <si>
    <t>(Rentang Ukur Akreditasi : 150 °C - 200 °C)</t>
  </si>
  <si>
    <r>
      <t>°</t>
    </r>
    <r>
      <rPr>
        <sz val="12"/>
        <rFont val="Arial"/>
        <family val="2"/>
      </rPr>
      <t>C</t>
    </r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</si>
  <si>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</si>
  <si>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</si>
  <si>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INTERPOLASI JALA-JALA LISTRIK</t>
  </si>
  <si>
    <t>Tegangan jala-jala listrik</t>
  </si>
  <si>
    <t>Tahanan isolasi kabel catu daya</t>
  </si>
  <si>
    <t>INTERPOLASI R ISO</t>
  </si>
  <si>
    <t>Arus bocor</t>
  </si>
  <si>
    <t>INTERPOLASI PEMBUMIAN PROTEKTIF</t>
  </si>
  <si>
    <t>Tegangan U 95</t>
  </si>
  <si>
    <t>INTERPOLASI ARUS BOCOR</t>
  </si>
  <si>
    <t xml:space="preserve"> ) </t>
  </si>
  <si>
    <t>Hasil pengukuran keselamatan listrik tertelusur ke Satuan Internasional ( SI ) melalui PT. Kaliman</t>
  </si>
  <si>
    <t>Nomor Surat Keterangan : 47 / M -</t>
  </si>
  <si>
    <t>1 / IX - 20 / E - 024.34 DL</t>
  </si>
  <si>
    <t>Nomor Sertifikat : 47 /</t>
  </si>
  <si>
    <t>T7</t>
  </si>
  <si>
    <t>18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</si>
</sst>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0.000"/>
    <numFmt numFmtId="165" formatCode="0.00000000000"/>
    <numFmt numFmtId="166" formatCode="0.0"/>
    <numFmt numFmtId="167" formatCode="0.0000"/>
    <numFmt numFmtId="168" formatCode="0.0\ \ &quot;%RH&quot;"/>
    <numFmt numFmtId="169" formatCode="0.00000"/>
    <numFmt numFmtId="170" formatCode="0.00_ "/>
    <numFmt numFmtId="171" formatCode="0_ "/>
    <numFmt numFmtId="172" formatCode="0.0\ \ \ \ \ &quot;±&quot;"/>
    <numFmt numFmtId="173" formatCode="0.0\ \ &quot;°&quot;\C"/>
    <numFmt numFmtId="174" formatCode="0.000%"/>
    <numFmt numFmtId="175" formatCode="0.0\ \V\o\l\t"/>
    <numFmt numFmtId="176" formatCode="0.0_ "/>
    <numFmt numFmtId="177" formatCode="0.00000000"/>
    <numFmt numFmtId="178" formatCode="0.000_ "/>
    <numFmt numFmtId="179" formatCode="&quot;±&quot;\ 0.00"/>
    <numFmt numFmtId="180" formatCode="0.0000000000000"/>
    <numFmt numFmtId="181" formatCode="0.0\ &quot;MΩ&quot;"/>
    <numFmt numFmtId="182" formatCode="0.0\ &quot;MΩ&quot;"/>
    <numFmt numFmtId="183" formatCode="0.000\ &quot;Ω&quot;"/>
    <numFmt numFmtId="184" formatCode="0.0\ \µ\A"/>
    <numFmt numFmtId="185" formatCode="[$-421]dd\ mmmm\ yyyy;@"/>
    <numFmt numFmtId="186" formatCode="\≤\ 0.000\ &quot;Ω&quot;"/>
    <numFmt numFmtId="187" formatCode="\≤\ 0.0\ &quot;Ω&quot;"/>
    <numFmt numFmtId="188" formatCode="0.000000"/>
    <numFmt numFmtId="189" formatCode="0.0000000000"/>
    <numFmt numFmtId="190" formatCode="\≤\ 0\ \µ\A"/>
    <numFmt numFmtId="191" formatCode="\&gt;\ 0\ &quot;MΩ&quot;"/>
    <numFmt numFmtId="192" formatCode="0.0E+00"/>
    <numFmt numFmtId="193" formatCode="0.0000000"/>
  </numFmts>
  <fonts count="102">
    <font>
      <sz val="10"/>
      <name val="Arial"/>
      <charset val="134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vertAlign val="subscript"/>
      <sz val="12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u/>
      <sz val="11"/>
      <name val="Arial"/>
      <family val="2"/>
    </font>
    <font>
      <vertAlign val="subscript"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vertAlign val="subscript"/>
      <sz val="11"/>
      <color rgb="FFFF0000"/>
      <name val="Arial"/>
      <family val="2"/>
    </font>
    <font>
      <vertAlign val="superscript"/>
      <sz val="11"/>
      <color rgb="FFFF0000"/>
      <name val="Arial"/>
      <family val="2"/>
    </font>
    <font>
      <sz val="11"/>
      <color rgb="FFFFFFFF"/>
      <name val="Courier New"/>
      <family val="3"/>
    </font>
    <font>
      <b/>
      <i/>
      <sz val="11"/>
      <name val="Arial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 tint="-0.34998626667073579"/>
      <name val="Arial"/>
      <family val="2"/>
    </font>
    <font>
      <b/>
      <sz val="11"/>
      <color theme="1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b/>
      <sz val="12"/>
      <name val="Calibri"/>
      <family val="2"/>
    </font>
    <font>
      <u/>
      <sz val="4"/>
      <name val="Calibri"/>
      <family val="2"/>
      <scheme val="minor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sz val="14"/>
      <color rgb="FFFFFF00"/>
      <name val="Arial"/>
      <family val="2"/>
    </font>
    <font>
      <b/>
      <sz val="16"/>
      <color rgb="FFFFFF00"/>
      <name val="Arial"/>
      <family val="2"/>
    </font>
    <font>
      <b/>
      <sz val="18"/>
      <name val="Arial"/>
      <family val="2"/>
    </font>
    <font>
      <sz val="13"/>
      <color rgb="FFFF0000"/>
      <name val="Arial"/>
      <family val="2"/>
    </font>
    <font>
      <sz val="10"/>
      <color theme="0"/>
      <name val="Arial"/>
      <family val="2"/>
    </font>
    <font>
      <sz val="11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30"/>
      <name val="Calibri"/>
      <family val="2"/>
      <scheme val="minor"/>
    </font>
    <font>
      <sz val="24"/>
      <name val="Arial"/>
      <family val="2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u/>
      <sz val="10"/>
      <color rgb="FFFF0000"/>
      <name val="Arial"/>
      <family val="2"/>
    </font>
    <font>
      <b/>
      <sz val="16"/>
      <color indexed="81"/>
      <name val="Tahoma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568FD4"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45" fillId="0" borderId="0">
      <protection locked="0"/>
    </xf>
    <xf numFmtId="0" fontId="45" fillId="0" borderId="0">
      <protection locked="0"/>
    </xf>
    <xf numFmtId="0" fontId="59" fillId="23" borderId="0" applyNumberFormat="0" applyBorder="0" applyAlignment="0" applyProtection="0"/>
    <xf numFmtId="0" fontId="45" fillId="0" borderId="0"/>
    <xf numFmtId="0" fontId="45" fillId="0" borderId="0"/>
    <xf numFmtId="0" fontId="45" fillId="0" borderId="0"/>
  </cellStyleXfs>
  <cellXfs count="1385">
    <xf numFmtId="0" fontId="0" fillId="0" borderId="0" xfId="0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>
      <alignment vertical="center"/>
    </xf>
    <xf numFmtId="0" fontId="25" fillId="11" borderId="0" xfId="0" applyFont="1" applyFill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164" fontId="25" fillId="0" borderId="0" xfId="0" applyNumberFormat="1" applyFont="1" applyAlignment="1" applyProtection="1">
      <alignment horizontal="right" vertical="center"/>
      <protection locked="0"/>
    </xf>
    <xf numFmtId="166" fontId="25" fillId="0" borderId="0" xfId="0" applyNumberFormat="1" applyFont="1" applyAlignment="1" applyProtection="1">
      <alignment horizontal="right" vertical="center"/>
      <protection locked="0"/>
    </xf>
    <xf numFmtId="2" fontId="33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left" vertical="center"/>
    </xf>
    <xf numFmtId="167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64" fontId="33" fillId="0" borderId="0" xfId="0" applyNumberFormat="1" applyFont="1" applyAlignment="1">
      <alignment horizontal="right" vertical="center"/>
    </xf>
    <xf numFmtId="0" fontId="33" fillId="0" borderId="0" xfId="0" applyFont="1">
      <alignment vertical="center"/>
    </xf>
    <xf numFmtId="0" fontId="33" fillId="11" borderId="0" xfId="0" applyFont="1" applyFill="1">
      <alignment vertical="center"/>
    </xf>
    <xf numFmtId="0" fontId="33" fillId="11" borderId="0" xfId="0" applyFont="1" applyFill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33" fillId="11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3" fillId="11" borderId="0" xfId="0" applyFont="1" applyFill="1">
      <alignment vertical="center"/>
    </xf>
    <xf numFmtId="0" fontId="41" fillId="0" borderId="0" xfId="0" applyFont="1" applyAlignment="1">
      <alignment vertical="center" wrapText="1"/>
    </xf>
    <xf numFmtId="0" fontId="33" fillId="0" borderId="30" xfId="0" applyFont="1" applyBorder="1">
      <alignment vertical="center"/>
    </xf>
    <xf numFmtId="0" fontId="33" fillId="0" borderId="59" xfId="0" applyFont="1" applyBorder="1">
      <alignment vertical="center"/>
    </xf>
    <xf numFmtId="166" fontId="33" fillId="0" borderId="3" xfId="0" applyNumberFormat="1" applyFont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3" fillId="0" borderId="0" xfId="0" applyFont="1" applyProtection="1">
      <alignment vertical="center"/>
      <protection locked="0"/>
    </xf>
    <xf numFmtId="0" fontId="3" fillId="11" borderId="0" xfId="0" applyFont="1" applyFill="1" applyProtection="1">
      <alignment vertical="center"/>
      <protection locked="0"/>
    </xf>
    <xf numFmtId="0" fontId="33" fillId="11" borderId="0" xfId="0" applyFont="1" applyFill="1" applyProtection="1">
      <alignment vertical="center"/>
      <protection locked="0"/>
    </xf>
    <xf numFmtId="166" fontId="33" fillId="0" borderId="0" xfId="0" applyNumberFormat="1" applyFont="1">
      <alignment vertical="center"/>
    </xf>
    <xf numFmtId="166" fontId="3" fillId="0" borderId="0" xfId="0" applyNumberFormat="1" applyFont="1">
      <alignment vertical="center"/>
    </xf>
    <xf numFmtId="0" fontId="39" fillId="0" borderId="0" xfId="0" applyFont="1" applyProtection="1">
      <alignment vertical="center"/>
      <protection locked="0"/>
    </xf>
    <xf numFmtId="166" fontId="33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33" fillId="0" borderId="63" xfId="0" applyFont="1" applyBorder="1">
      <alignment vertical="center"/>
    </xf>
    <xf numFmtId="0" fontId="39" fillId="0" borderId="0" xfId="0" applyFont="1">
      <alignment vertical="center"/>
    </xf>
    <xf numFmtId="0" fontId="3" fillId="11" borderId="0" xfId="0" applyFont="1" applyFill="1" applyAlignment="1">
      <alignment horizontal="center" vertical="center"/>
    </xf>
    <xf numFmtId="0" fontId="33" fillId="13" borderId="0" xfId="0" applyFont="1" applyFill="1" applyAlignment="1" applyProtection="1">
      <alignment horizontal="left" vertical="center"/>
      <protection locked="0"/>
    </xf>
    <xf numFmtId="0" fontId="33" fillId="13" borderId="0" xfId="0" applyFont="1" applyFill="1" applyProtection="1">
      <alignment vertical="center"/>
      <protection locked="0"/>
    </xf>
    <xf numFmtId="0" fontId="33" fillId="13" borderId="0" xfId="0" applyFont="1" applyFill="1">
      <alignment vertical="center"/>
    </xf>
    <xf numFmtId="0" fontId="33" fillId="13" borderId="0" xfId="0" applyFont="1" applyFill="1" applyAlignment="1">
      <alignment horizontal="left" vertical="center"/>
    </xf>
    <xf numFmtId="0" fontId="40" fillId="13" borderId="0" xfId="0" applyFont="1" applyFill="1" applyProtection="1">
      <alignment vertical="center"/>
      <protection locked="0"/>
    </xf>
    <xf numFmtId="0" fontId="33" fillId="13" borderId="0" xfId="0" applyFont="1" applyFill="1" applyAlignment="1">
      <alignment horizontal="right" vertical="center"/>
    </xf>
    <xf numFmtId="0" fontId="33" fillId="11" borderId="3" xfId="0" applyFont="1" applyFill="1" applyBorder="1" applyAlignment="1">
      <alignment horizontal="center" vertical="center"/>
    </xf>
    <xf numFmtId="0" fontId="33" fillId="11" borderId="3" xfId="0" applyFont="1" applyFill="1" applyBorder="1">
      <alignment vertical="center"/>
    </xf>
    <xf numFmtId="0" fontId="33" fillId="11" borderId="0" xfId="0" applyFont="1" applyFill="1" applyAlignment="1">
      <alignment vertical="center" wrapText="1"/>
    </xf>
    <xf numFmtId="166" fontId="33" fillId="0" borderId="16" xfId="0" applyNumberFormat="1" applyFont="1" applyBorder="1" applyAlignment="1">
      <alignment horizontal="center" vertical="center"/>
    </xf>
    <xf numFmtId="166" fontId="33" fillId="11" borderId="50" xfId="0" applyNumberFormat="1" applyFont="1" applyFill="1" applyBorder="1">
      <alignment vertical="center"/>
    </xf>
    <xf numFmtId="0" fontId="25" fillId="0" borderId="38" xfId="0" applyFont="1" applyBorder="1" applyAlignment="1" applyProtection="1">
      <alignment horizontal="left" vertical="center"/>
      <protection locked="0"/>
    </xf>
    <xf numFmtId="0" fontId="33" fillId="0" borderId="30" xfId="0" applyFont="1" applyBorder="1" applyAlignment="1">
      <alignment horizontal="center" vertical="center"/>
    </xf>
    <xf numFmtId="0" fontId="33" fillId="0" borderId="49" xfId="0" applyFont="1" applyBorder="1">
      <alignment vertical="center"/>
    </xf>
    <xf numFmtId="0" fontId="25" fillId="3" borderId="38" xfId="0" applyFont="1" applyFill="1" applyBorder="1">
      <alignment vertical="center"/>
    </xf>
    <xf numFmtId="0" fontId="33" fillId="0" borderId="33" xfId="0" applyFont="1" applyBorder="1" applyAlignment="1">
      <alignment horizontal="center" vertical="center"/>
    </xf>
    <xf numFmtId="1" fontId="33" fillId="0" borderId="51" xfId="0" applyNumberFormat="1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53" xfId="0" applyFont="1" applyBorder="1">
      <alignment vertical="center"/>
    </xf>
    <xf numFmtId="0" fontId="33" fillId="0" borderId="53" xfId="0" applyFont="1" applyBorder="1" applyAlignment="1">
      <alignment horizontal="center" vertical="center"/>
    </xf>
    <xf numFmtId="0" fontId="33" fillId="0" borderId="61" xfId="0" applyFont="1" applyBorder="1">
      <alignment vertical="center"/>
    </xf>
    <xf numFmtId="1" fontId="33" fillId="0" borderId="57" xfId="0" applyNumberFormat="1" applyFont="1" applyBorder="1" applyAlignment="1">
      <alignment horizontal="center" vertical="center"/>
    </xf>
    <xf numFmtId="0" fontId="33" fillId="0" borderId="58" xfId="0" applyFont="1" applyBorder="1">
      <alignment vertical="center"/>
    </xf>
    <xf numFmtId="0" fontId="33" fillId="0" borderId="59" xfId="0" applyFont="1" applyBorder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0" fontId="3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Protection="1">
      <alignment vertical="center"/>
      <protection locked="0"/>
    </xf>
    <xf numFmtId="0" fontId="25" fillId="0" borderId="49" xfId="0" applyFont="1" applyBorder="1" applyAlignment="1">
      <alignment horizontal="center" vertical="center"/>
    </xf>
    <xf numFmtId="0" fontId="33" fillId="13" borderId="52" xfId="0" applyFont="1" applyFill="1" applyBorder="1" applyAlignment="1" applyProtection="1">
      <alignment horizontal="right" vertical="center"/>
      <protection locked="0"/>
    </xf>
    <xf numFmtId="0" fontId="33" fillId="0" borderId="61" xfId="0" applyFont="1" applyBorder="1" applyAlignment="1">
      <alignment horizontal="left" vertical="center"/>
    </xf>
    <xf numFmtId="0" fontId="33" fillId="13" borderId="58" xfId="0" applyFont="1" applyFill="1" applyBorder="1" applyAlignment="1" applyProtection="1">
      <alignment horizontal="right" vertical="center"/>
      <protection locked="0"/>
    </xf>
    <xf numFmtId="0" fontId="33" fillId="0" borderId="63" xfId="0" applyFont="1" applyBorder="1" applyAlignment="1">
      <alignment horizontal="left" vertical="center"/>
    </xf>
    <xf numFmtId="0" fontId="42" fillId="0" borderId="0" xfId="0" applyFont="1">
      <alignment vertical="center"/>
    </xf>
    <xf numFmtId="167" fontId="33" fillId="0" borderId="0" xfId="0" applyNumberFormat="1" applyFont="1" applyAlignment="1">
      <alignment horizontal="right" vertical="center"/>
    </xf>
    <xf numFmtId="164" fontId="33" fillId="0" borderId="43" xfId="0" applyNumberFormat="1" applyFont="1" applyBorder="1" applyAlignment="1">
      <alignment horizontal="center" vertical="center"/>
    </xf>
    <xf numFmtId="167" fontId="33" fillId="0" borderId="72" xfId="0" applyNumberFormat="1" applyFont="1" applyBorder="1" applyAlignment="1">
      <alignment horizontal="center" vertical="center" wrapText="1"/>
    </xf>
    <xf numFmtId="167" fontId="33" fillId="0" borderId="35" xfId="0" applyNumberFormat="1" applyFont="1" applyBorder="1" applyAlignment="1">
      <alignment horizontal="center" vertical="center"/>
    </xf>
    <xf numFmtId="166" fontId="33" fillId="0" borderId="64" xfId="0" applyNumberFormat="1" applyFont="1" applyBorder="1" applyAlignment="1">
      <alignment horizontal="center" vertical="center"/>
    </xf>
    <xf numFmtId="166" fontId="33" fillId="0" borderId="21" xfId="0" applyNumberFormat="1" applyFont="1" applyBorder="1" applyAlignment="1">
      <alignment horizontal="center" vertical="center"/>
    </xf>
    <xf numFmtId="166" fontId="33" fillId="0" borderId="49" xfId="0" applyNumberFormat="1" applyFont="1" applyBorder="1" applyAlignment="1">
      <alignment horizontal="center" vertical="center"/>
    </xf>
    <xf numFmtId="167" fontId="33" fillId="15" borderId="0" xfId="0" applyNumberFormat="1" applyFont="1" applyFill="1" applyAlignment="1">
      <alignment horizontal="right" vertical="center"/>
    </xf>
    <xf numFmtId="1" fontId="33" fillId="15" borderId="74" xfId="0" applyNumberFormat="1" applyFont="1" applyFill="1" applyBorder="1" applyAlignment="1">
      <alignment horizontal="center" vertical="center"/>
    </xf>
    <xf numFmtId="167" fontId="33" fillId="16" borderId="0" xfId="0" applyNumberFormat="1" applyFont="1" applyFill="1" applyAlignment="1">
      <alignment horizontal="right" vertical="center"/>
    </xf>
    <xf numFmtId="1" fontId="33" fillId="16" borderId="74" xfId="0" applyNumberFormat="1" applyFont="1" applyFill="1" applyBorder="1" applyAlignment="1">
      <alignment horizontal="center" vertical="center"/>
    </xf>
    <xf numFmtId="0" fontId="33" fillId="15" borderId="49" xfId="0" applyFont="1" applyFill="1" applyBorder="1" applyAlignment="1">
      <alignment horizontal="center" vertical="center"/>
    </xf>
    <xf numFmtId="167" fontId="33" fillId="17" borderId="0" xfId="0" applyNumberFormat="1" applyFont="1" applyFill="1" applyAlignment="1">
      <alignment horizontal="right" vertical="center"/>
    </xf>
    <xf numFmtId="1" fontId="33" fillId="17" borderId="74" xfId="0" applyNumberFormat="1" applyFont="1" applyFill="1" applyBorder="1" applyAlignment="1">
      <alignment horizontal="center" vertical="center"/>
    </xf>
    <xf numFmtId="0" fontId="33" fillId="16" borderId="49" xfId="0" applyFont="1" applyFill="1" applyBorder="1" applyAlignment="1">
      <alignment horizontal="center" vertical="center"/>
    </xf>
    <xf numFmtId="167" fontId="33" fillId="18" borderId="0" xfId="0" applyNumberFormat="1" applyFont="1" applyFill="1" applyAlignment="1">
      <alignment horizontal="right" vertical="center"/>
    </xf>
    <xf numFmtId="1" fontId="33" fillId="18" borderId="74" xfId="0" applyNumberFormat="1" applyFont="1" applyFill="1" applyBorder="1" applyAlignment="1">
      <alignment horizontal="center" vertical="center"/>
    </xf>
    <xf numFmtId="0" fontId="33" fillId="17" borderId="49" xfId="0" applyFont="1" applyFill="1" applyBorder="1" applyAlignment="1">
      <alignment horizontal="center" vertical="center"/>
    </xf>
    <xf numFmtId="167" fontId="33" fillId="19" borderId="0" xfId="0" applyNumberFormat="1" applyFont="1" applyFill="1" applyAlignment="1">
      <alignment horizontal="right" vertical="center"/>
    </xf>
    <xf numFmtId="1" fontId="33" fillId="19" borderId="75" xfId="0" applyNumberFormat="1" applyFont="1" applyFill="1" applyBorder="1" applyAlignment="1">
      <alignment horizontal="center" vertical="center"/>
    </xf>
    <xf numFmtId="0" fontId="33" fillId="18" borderId="71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1" fontId="33" fillId="0" borderId="21" xfId="0" applyNumberFormat="1" applyFont="1" applyBorder="1" applyAlignment="1">
      <alignment horizontal="center" vertical="center"/>
    </xf>
    <xf numFmtId="1" fontId="33" fillId="0" borderId="22" xfId="0" applyNumberFormat="1" applyFont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1" fontId="33" fillId="0" borderId="23" xfId="0" applyNumberFormat="1" applyFont="1" applyBorder="1" applyAlignment="1">
      <alignment horizontal="center" vertical="center"/>
    </xf>
    <xf numFmtId="166" fontId="33" fillId="0" borderId="23" xfId="0" applyNumberFormat="1" applyFont="1" applyBorder="1" applyAlignment="1">
      <alignment horizontal="center" vertical="center"/>
    </xf>
    <xf numFmtId="2" fontId="33" fillId="0" borderId="25" xfId="0" applyNumberFormat="1" applyFont="1" applyBorder="1" applyAlignment="1">
      <alignment horizontal="center" vertical="center"/>
    </xf>
    <xf numFmtId="167" fontId="33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Protection="1">
      <alignment vertical="center"/>
      <protection locked="0"/>
    </xf>
    <xf numFmtId="0" fontId="40" fillId="0" borderId="0" xfId="0" applyFont="1" applyProtection="1">
      <alignment vertical="center"/>
      <protection locked="0"/>
    </xf>
    <xf numFmtId="2" fontId="33" fillId="0" borderId="0" xfId="0" applyNumberFormat="1" applyFont="1">
      <alignment vertical="center"/>
    </xf>
    <xf numFmtId="0" fontId="40" fillId="0" borderId="0" xfId="0" applyFont="1">
      <alignment vertical="center"/>
    </xf>
    <xf numFmtId="170" fontId="33" fillId="0" borderId="0" xfId="0" applyNumberFormat="1" applyFont="1">
      <alignment vertical="center"/>
    </xf>
    <xf numFmtId="166" fontId="33" fillId="11" borderId="0" xfId="0" applyNumberFormat="1" applyFont="1" applyFill="1" applyAlignment="1">
      <alignment horizontal="right" vertical="center"/>
    </xf>
    <xf numFmtId="2" fontId="33" fillId="11" borderId="0" xfId="0" applyNumberFormat="1" applyFont="1" applyFill="1">
      <alignment vertical="center"/>
    </xf>
    <xf numFmtId="166" fontId="33" fillId="11" borderId="0" xfId="0" applyNumberFormat="1" applyFont="1" applyFill="1">
      <alignment vertical="center"/>
    </xf>
    <xf numFmtId="0" fontId="42" fillId="11" borderId="0" xfId="0" applyFont="1" applyFill="1" applyAlignment="1" applyProtection="1">
      <alignment horizontal="center" vertical="center"/>
      <protection locked="0"/>
    </xf>
    <xf numFmtId="164" fontId="33" fillId="11" borderId="0" xfId="0" applyNumberFormat="1" applyFont="1" applyFill="1" applyAlignment="1">
      <alignment horizontal="right" vertical="center"/>
    </xf>
    <xf numFmtId="0" fontId="17" fillId="0" borderId="3" xfId="0" quotePrefix="1" applyFont="1" applyBorder="1">
      <alignment vertical="center"/>
    </xf>
    <xf numFmtId="2" fontId="33" fillId="0" borderId="0" xfId="0" applyNumberFormat="1" applyFont="1" applyAlignment="1" applyProtection="1">
      <alignment horizontal="center" vertical="center"/>
      <protection locked="0"/>
    </xf>
    <xf numFmtId="2" fontId="33" fillId="13" borderId="0" xfId="0" applyNumberFormat="1" applyFont="1" applyFill="1" applyProtection="1">
      <alignment vertical="center"/>
      <protection locked="0"/>
    </xf>
    <xf numFmtId="0" fontId="39" fillId="11" borderId="0" xfId="0" applyFont="1" applyFill="1" applyAlignment="1">
      <alignment horizontal="center" vertical="center"/>
    </xf>
    <xf numFmtId="0" fontId="33" fillId="0" borderId="38" xfId="0" applyFont="1" applyBorder="1">
      <alignment vertical="center"/>
    </xf>
    <xf numFmtId="0" fontId="25" fillId="0" borderId="65" xfId="0" applyFont="1" applyBorder="1" applyAlignment="1">
      <alignment horizontal="left" vertical="center"/>
    </xf>
    <xf numFmtId="0" fontId="25" fillId="0" borderId="49" xfId="0" applyFont="1" applyBorder="1" applyAlignment="1">
      <alignment horizontal="left" vertical="center" wrapText="1"/>
    </xf>
    <xf numFmtId="0" fontId="25" fillId="3" borderId="48" xfId="0" applyFont="1" applyFill="1" applyBorder="1">
      <alignment vertical="center"/>
    </xf>
    <xf numFmtId="0" fontId="37" fillId="0" borderId="49" xfId="0" applyFont="1" applyBorder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11" borderId="0" xfId="0" applyFont="1" applyFill="1">
      <alignment vertical="center"/>
    </xf>
    <xf numFmtId="0" fontId="25" fillId="11" borderId="0" xfId="0" applyFont="1" applyFill="1" applyAlignment="1">
      <alignment horizontal="right" vertical="center"/>
    </xf>
    <xf numFmtId="0" fontId="25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25" fillId="0" borderId="30" xfId="0" applyFont="1" applyBorder="1">
      <alignment vertical="center"/>
    </xf>
    <xf numFmtId="0" fontId="25" fillId="0" borderId="49" xfId="0" applyFont="1" applyBorder="1">
      <alignment vertical="center"/>
    </xf>
    <xf numFmtId="166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34" fillId="0" borderId="0" xfId="0" applyFont="1" applyAlignment="1" applyProtection="1">
      <alignment horizontal="left" vertical="center"/>
      <protection locked="0"/>
    </xf>
    <xf numFmtId="0" fontId="38" fillId="11" borderId="0" xfId="0" applyFont="1" applyFill="1" applyAlignment="1" applyProtection="1">
      <alignment horizontal="center" vertical="center"/>
      <protection locked="0"/>
    </xf>
    <xf numFmtId="166" fontId="25" fillId="0" borderId="0" xfId="0" applyNumberFormat="1" applyFont="1" applyAlignment="1" applyProtection="1">
      <alignment horizontal="left" vertical="center"/>
      <protection locked="0"/>
    </xf>
    <xf numFmtId="166" fontId="25" fillId="0" borderId="0" xfId="0" applyNumberFormat="1" applyFont="1" applyAlignment="1" applyProtection="1">
      <alignment horizontal="left" vertical="center" wrapText="1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34" fillId="11" borderId="0" xfId="0" applyFont="1" applyFill="1">
      <alignment vertical="center"/>
    </xf>
    <xf numFmtId="166" fontId="25" fillId="0" borderId="0" xfId="0" applyNumberFormat="1" applyFont="1" applyAlignment="1">
      <alignment horizontal="left" vertical="center"/>
    </xf>
    <xf numFmtId="166" fontId="25" fillId="0" borderId="0" xfId="0" applyNumberFormat="1" applyFont="1" applyAlignment="1">
      <alignment horizontal="right" vertical="center"/>
    </xf>
    <xf numFmtId="0" fontId="25" fillId="11" borderId="0" xfId="0" applyFont="1" applyFill="1" applyAlignment="1">
      <alignment horizontal="left" vertical="center"/>
    </xf>
    <xf numFmtId="9" fontId="25" fillId="0" borderId="0" xfId="0" applyNumberFormat="1" applyFont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2" fontId="25" fillId="0" borderId="3" xfId="0" applyNumberFormat="1" applyFont="1" applyBorder="1" applyAlignment="1">
      <alignment horizontal="center" vertical="center"/>
    </xf>
    <xf numFmtId="180" fontId="25" fillId="0" borderId="3" xfId="0" applyNumberFormat="1" applyFont="1" applyBorder="1" applyAlignment="1">
      <alignment horizontal="center" vertical="center"/>
    </xf>
    <xf numFmtId="167" fontId="25" fillId="0" borderId="3" xfId="0" applyNumberFormat="1" applyFont="1" applyBorder="1" applyAlignment="1">
      <alignment horizontal="center" vertical="center"/>
    </xf>
    <xf numFmtId="1" fontId="25" fillId="0" borderId="3" xfId="0" applyNumberFormat="1" applyFont="1" applyBorder="1" applyAlignment="1">
      <alignment horizontal="center" vertical="center"/>
    </xf>
    <xf numFmtId="169" fontId="25" fillId="0" borderId="3" xfId="0" applyNumberFormat="1" applyFont="1" applyBorder="1" applyAlignment="1">
      <alignment horizontal="center" vertical="center"/>
    </xf>
    <xf numFmtId="169" fontId="25" fillId="0" borderId="3" xfId="0" applyNumberFormat="1" applyFont="1" applyBorder="1">
      <alignment vertical="center"/>
    </xf>
    <xf numFmtId="2" fontId="25" fillId="0" borderId="3" xfId="0" applyNumberFormat="1" applyFont="1" applyBorder="1">
      <alignment vertical="center"/>
    </xf>
    <xf numFmtId="2" fontId="34" fillId="0" borderId="3" xfId="0" applyNumberFormat="1" applyFont="1" applyBorder="1">
      <alignment vertical="center"/>
    </xf>
    <xf numFmtId="0" fontId="52" fillId="5" borderId="0" xfId="0" applyFont="1" applyFill="1">
      <alignment vertical="center"/>
    </xf>
    <xf numFmtId="0" fontId="52" fillId="5" borderId="0" xfId="0" applyFont="1" applyFill="1" applyAlignment="1">
      <alignment horizontal="center" vertical="center"/>
    </xf>
    <xf numFmtId="0" fontId="53" fillId="5" borderId="0" xfId="0" applyFont="1" applyFill="1">
      <alignment vertical="center"/>
    </xf>
    <xf numFmtId="0" fontId="52" fillId="5" borderId="29" xfId="0" applyFont="1" applyFill="1" applyBorder="1">
      <alignment vertical="center"/>
    </xf>
    <xf numFmtId="0" fontId="52" fillId="5" borderId="30" xfId="0" applyFont="1" applyFill="1" applyBorder="1">
      <alignment vertical="center"/>
    </xf>
    <xf numFmtId="0" fontId="52" fillId="5" borderId="41" xfId="0" applyFont="1" applyFill="1" applyBorder="1">
      <alignment vertical="center"/>
    </xf>
    <xf numFmtId="0" fontId="55" fillId="5" borderId="49" xfId="0" applyFont="1" applyFill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167" fontId="52" fillId="5" borderId="3" xfId="0" applyNumberFormat="1" applyFont="1" applyFill="1" applyBorder="1" applyAlignment="1">
      <alignment horizontal="center" vertical="center"/>
    </xf>
    <xf numFmtId="167" fontId="52" fillId="0" borderId="3" xfId="0" applyNumberFormat="1" applyFont="1" applyBorder="1" applyAlignment="1">
      <alignment horizontal="center" vertical="center"/>
    </xf>
    <xf numFmtId="1" fontId="52" fillId="5" borderId="3" xfId="0" applyNumberFormat="1" applyFont="1" applyFill="1" applyBorder="1" applyAlignment="1">
      <alignment horizontal="center" vertical="center"/>
    </xf>
    <xf numFmtId="169" fontId="52" fillId="0" borderId="3" xfId="0" applyNumberFormat="1" applyFont="1" applyBorder="1" applyAlignment="1">
      <alignment horizontal="center" vertical="center"/>
    </xf>
    <xf numFmtId="169" fontId="52" fillId="0" borderId="23" xfId="0" applyNumberFormat="1" applyFont="1" applyBorder="1" applyAlignment="1">
      <alignment horizontal="center" vertical="center"/>
    </xf>
    <xf numFmtId="0" fontId="55" fillId="5" borderId="3" xfId="0" applyFont="1" applyFill="1" applyBorder="1" applyAlignment="1">
      <alignment horizontal="center" vertical="center"/>
    </xf>
    <xf numFmtId="0" fontId="52" fillId="5" borderId="29" xfId="0" applyFont="1" applyFill="1" applyBorder="1" applyAlignment="1">
      <alignment horizontal="left" vertical="center"/>
    </xf>
    <xf numFmtId="0" fontId="52" fillId="5" borderId="30" xfId="0" applyFont="1" applyFill="1" applyBorder="1" applyAlignment="1">
      <alignment horizontal="left" vertical="center"/>
    </xf>
    <xf numFmtId="0" fontId="52" fillId="5" borderId="41" xfId="0" applyFont="1" applyFill="1" applyBorder="1" applyAlignment="1">
      <alignment horizontal="left" vertical="center"/>
    </xf>
    <xf numFmtId="167" fontId="52" fillId="10" borderId="3" xfId="0" applyNumberFormat="1" applyFont="1" applyFill="1" applyBorder="1" applyAlignment="1">
      <alignment horizontal="center" vertical="center"/>
    </xf>
    <xf numFmtId="0" fontId="55" fillId="5" borderId="71" xfId="0" applyFont="1" applyFill="1" applyBorder="1" applyAlignment="1">
      <alignment horizontal="center" vertical="center"/>
    </xf>
    <xf numFmtId="0" fontId="52" fillId="5" borderId="25" xfId="0" applyFont="1" applyFill="1" applyBorder="1" applyAlignment="1">
      <alignment horizontal="center" vertical="center"/>
    </xf>
    <xf numFmtId="167" fontId="52" fillId="5" borderId="25" xfId="0" applyNumberFormat="1" applyFont="1" applyFill="1" applyBorder="1" applyAlignment="1">
      <alignment horizontal="center" vertical="center"/>
    </xf>
    <xf numFmtId="0" fontId="55" fillId="5" borderId="25" xfId="0" applyFont="1" applyFill="1" applyBorder="1" applyAlignment="1">
      <alignment horizontal="center" vertical="center"/>
    </xf>
    <xf numFmtId="167" fontId="52" fillId="0" borderId="12" xfId="0" applyNumberFormat="1" applyFont="1" applyBorder="1">
      <alignment vertical="center"/>
    </xf>
    <xf numFmtId="167" fontId="52" fillId="0" borderId="14" xfId="0" applyNumberFormat="1" applyFont="1" applyBorder="1">
      <alignment vertical="center"/>
    </xf>
    <xf numFmtId="0" fontId="52" fillId="5" borderId="18" xfId="0" applyFont="1" applyFill="1" applyBorder="1">
      <alignment vertical="center"/>
    </xf>
    <xf numFmtId="167" fontId="52" fillId="0" borderId="23" xfId="0" applyNumberFormat="1" applyFont="1" applyBorder="1">
      <alignment vertical="center"/>
    </xf>
    <xf numFmtId="2" fontId="52" fillId="5" borderId="18" xfId="0" applyNumberFormat="1" applyFont="1" applyFill="1" applyBorder="1">
      <alignment vertical="center"/>
    </xf>
    <xf numFmtId="1" fontId="52" fillId="0" borderId="23" xfId="0" applyNumberFormat="1" applyFont="1" applyBorder="1" applyAlignment="1">
      <alignment horizontal="right"/>
    </xf>
    <xf numFmtId="2" fontId="53" fillId="5" borderId="24" xfId="0" applyNumberFormat="1" applyFont="1" applyFill="1" applyBorder="1">
      <alignment vertical="center"/>
    </xf>
    <xf numFmtId="2" fontId="53" fillId="2" borderId="26" xfId="0" applyNumberFormat="1" applyFont="1" applyFill="1" applyBorder="1">
      <alignment vertical="center"/>
    </xf>
    <xf numFmtId="164" fontId="25" fillId="0" borderId="0" xfId="0" applyNumberFormat="1" applyFont="1">
      <alignment vertical="center"/>
    </xf>
    <xf numFmtId="0" fontId="34" fillId="12" borderId="0" xfId="0" applyFont="1" applyFill="1">
      <alignment vertical="center"/>
    </xf>
    <xf numFmtId="165" fontId="34" fillId="0" borderId="0" xfId="0" applyNumberFormat="1" applyFont="1">
      <alignment vertical="center"/>
    </xf>
    <xf numFmtId="0" fontId="25" fillId="5" borderId="0" xfId="0" applyFont="1" applyFill="1">
      <alignment vertical="center"/>
    </xf>
    <xf numFmtId="164" fontId="25" fillId="5" borderId="0" xfId="0" applyNumberFormat="1" applyFont="1" applyFill="1">
      <alignment vertical="center"/>
    </xf>
    <xf numFmtId="2" fontId="25" fillId="0" borderId="0" xfId="0" applyNumberFormat="1" applyFont="1">
      <alignment vertical="center"/>
    </xf>
    <xf numFmtId="2" fontId="34" fillId="0" borderId="0" xfId="0" applyNumberFormat="1" applyFont="1" applyAlignment="1">
      <alignment horizontal="center" vertical="center"/>
    </xf>
    <xf numFmtId="2" fontId="25" fillId="11" borderId="0" xfId="0" applyNumberFormat="1" applyFont="1" applyFill="1" applyAlignment="1">
      <alignment horizontal="center" vertical="center"/>
    </xf>
    <xf numFmtId="2" fontId="25" fillId="11" borderId="0" xfId="0" applyNumberFormat="1" applyFont="1" applyFill="1">
      <alignment vertical="center"/>
    </xf>
    <xf numFmtId="0" fontId="34" fillId="11" borderId="0" xfId="0" applyFont="1" applyFill="1" applyAlignment="1">
      <alignment horizontal="center" vertical="center"/>
    </xf>
    <xf numFmtId="2" fontId="34" fillId="11" borderId="0" xfId="0" applyNumberFormat="1" applyFont="1" applyFill="1" applyAlignment="1">
      <alignment horizontal="center" vertical="center"/>
    </xf>
    <xf numFmtId="0" fontId="38" fillId="0" borderId="0" xfId="0" applyFont="1">
      <alignment vertical="center"/>
    </xf>
    <xf numFmtId="0" fontId="50" fillId="11" borderId="0" xfId="0" applyFont="1" applyFill="1">
      <alignment vertical="center"/>
    </xf>
    <xf numFmtId="0" fontId="25" fillId="0" borderId="0" xfId="0" applyFont="1" applyAlignment="1">
      <alignment horizontal="right" vertical="center"/>
    </xf>
    <xf numFmtId="0" fontId="25" fillId="0" borderId="38" xfId="0" applyFont="1" applyBorder="1">
      <alignment vertical="center"/>
    </xf>
    <xf numFmtId="9" fontId="25" fillId="0" borderId="3" xfId="0" applyNumberFormat="1" applyFont="1" applyBorder="1">
      <alignment vertical="center"/>
    </xf>
    <xf numFmtId="0" fontId="25" fillId="0" borderId="50" xfId="0" applyFont="1" applyBorder="1">
      <alignment vertical="center"/>
    </xf>
    <xf numFmtId="0" fontId="25" fillId="0" borderId="66" xfId="0" applyFont="1" applyBorder="1">
      <alignment vertical="center"/>
    </xf>
    <xf numFmtId="2" fontId="25" fillId="0" borderId="0" xfId="0" applyNumberFormat="1" applyFont="1" applyAlignment="1">
      <alignment horizontal="right" vertical="center"/>
    </xf>
    <xf numFmtId="167" fontId="25" fillId="0" borderId="0" xfId="0" applyNumberFormat="1" applyFont="1">
      <alignment vertical="center"/>
    </xf>
    <xf numFmtId="0" fontId="25" fillId="0" borderId="21" xfId="0" applyFont="1" applyBorder="1" applyAlignment="1">
      <alignment horizontal="right" vertical="center"/>
    </xf>
    <xf numFmtId="0" fontId="25" fillId="0" borderId="3" xfId="0" applyFont="1" applyBorder="1">
      <alignment vertical="center"/>
    </xf>
    <xf numFmtId="0" fontId="25" fillId="0" borderId="67" xfId="0" applyFont="1" applyBorder="1">
      <alignment vertical="center"/>
    </xf>
    <xf numFmtId="2" fontId="25" fillId="0" borderId="68" xfId="0" applyNumberFormat="1" applyFont="1" applyBorder="1">
      <alignment vertical="center"/>
    </xf>
    <xf numFmtId="166" fontId="25" fillId="0" borderId="69" xfId="0" applyNumberFormat="1" applyFont="1" applyBorder="1">
      <alignment vertical="center"/>
    </xf>
    <xf numFmtId="0" fontId="25" fillId="0" borderId="3" xfId="0" applyFont="1" applyBorder="1" applyAlignment="1">
      <alignment horizontal="right" vertical="center"/>
    </xf>
    <xf numFmtId="174" fontId="25" fillId="0" borderId="3" xfId="0" applyNumberFormat="1" applyFont="1" applyBorder="1">
      <alignment vertical="center"/>
    </xf>
    <xf numFmtId="0" fontId="25" fillId="0" borderId="54" xfId="0" applyFont="1" applyBorder="1">
      <alignment vertical="center"/>
    </xf>
    <xf numFmtId="2" fontId="25" fillId="0" borderId="56" xfId="0" applyNumberFormat="1" applyFont="1" applyBorder="1">
      <alignment vertical="center"/>
    </xf>
    <xf numFmtId="0" fontId="25" fillId="0" borderId="62" xfId="0" applyFont="1" applyBorder="1">
      <alignment vertical="center"/>
    </xf>
    <xf numFmtId="174" fontId="25" fillId="0" borderId="0" xfId="0" applyNumberFormat="1" applyFont="1">
      <alignment vertical="center"/>
    </xf>
    <xf numFmtId="0" fontId="25" fillId="0" borderId="57" xfId="0" applyFont="1" applyBorder="1">
      <alignment vertical="center"/>
    </xf>
    <xf numFmtId="2" fontId="25" fillId="0" borderId="59" xfId="0" applyNumberFormat="1" applyFont="1" applyBorder="1">
      <alignment vertical="center"/>
    </xf>
    <xf numFmtId="0" fontId="25" fillId="0" borderId="63" xfId="0" applyFont="1" applyBorder="1">
      <alignment vertical="center"/>
    </xf>
    <xf numFmtId="9" fontId="25" fillId="0" borderId="0" xfId="0" applyNumberFormat="1" applyFont="1">
      <alignment vertical="center"/>
    </xf>
    <xf numFmtId="0" fontId="25" fillId="0" borderId="68" xfId="0" applyFont="1" applyBorder="1">
      <alignment vertical="center"/>
    </xf>
    <xf numFmtId="0" fontId="25" fillId="0" borderId="69" xfId="0" applyFont="1" applyBorder="1">
      <alignment vertical="center"/>
    </xf>
    <xf numFmtId="0" fontId="25" fillId="0" borderId="59" xfId="0" applyFont="1" applyBorder="1">
      <alignment vertical="center"/>
    </xf>
    <xf numFmtId="0" fontId="34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166" fontId="25" fillId="0" borderId="0" xfId="0" applyNumberFormat="1" applyFont="1">
      <alignment vertical="center"/>
    </xf>
    <xf numFmtId="0" fontId="34" fillId="11" borderId="0" xfId="0" applyFont="1" applyFill="1" applyProtection="1">
      <alignment vertical="center"/>
      <protection locked="0"/>
    </xf>
    <xf numFmtId="0" fontId="25" fillId="11" borderId="0" xfId="0" applyFont="1" applyFill="1" applyProtection="1">
      <alignment vertical="center"/>
      <protection locked="0"/>
    </xf>
    <xf numFmtId="166" fontId="25" fillId="0" borderId="0" xfId="0" applyNumberFormat="1" applyFont="1" applyProtection="1">
      <alignment vertical="center"/>
      <protection locked="0"/>
    </xf>
    <xf numFmtId="166" fontId="34" fillId="0" borderId="0" xfId="0" applyNumberFormat="1" applyFont="1" applyProtection="1">
      <alignment vertical="center"/>
      <protection locked="0"/>
    </xf>
    <xf numFmtId="9" fontId="25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164" fontId="39" fillId="0" borderId="0" xfId="0" applyNumberFormat="1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167" fontId="58" fillId="0" borderId="0" xfId="0" applyNumberFormat="1" applyFont="1" applyProtection="1">
      <alignment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167" fontId="58" fillId="0" borderId="0" xfId="0" applyNumberFormat="1" applyFont="1">
      <alignment vertical="center"/>
    </xf>
    <xf numFmtId="0" fontId="45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3" fillId="0" borderId="0" xfId="0" applyFont="1" applyAlignment="1"/>
    <xf numFmtId="0" fontId="33" fillId="11" borderId="0" xfId="0" applyFont="1" applyFill="1" applyAlignment="1"/>
    <xf numFmtId="0" fontId="33" fillId="11" borderId="0" xfId="0" applyFont="1" applyFill="1" applyAlignment="1">
      <alignment horizontal="right"/>
    </xf>
    <xf numFmtId="0" fontId="33" fillId="0" borderId="53" xfId="0" applyFont="1" applyBorder="1" applyAlignment="1"/>
    <xf numFmtId="0" fontId="33" fillId="11" borderId="53" xfId="0" applyFont="1" applyFill="1" applyBorder="1" applyAlignment="1"/>
    <xf numFmtId="0" fontId="33" fillId="11" borderId="53" xfId="0" applyFont="1" applyFill="1" applyBorder="1" applyAlignment="1">
      <alignment horizontal="right"/>
    </xf>
    <xf numFmtId="0" fontId="33" fillId="0" borderId="56" xfId="0" applyFont="1" applyBorder="1" applyAlignment="1"/>
    <xf numFmtId="0" fontId="33" fillId="11" borderId="56" xfId="0" applyFont="1" applyFill="1" applyBorder="1" applyAlignment="1"/>
    <xf numFmtId="0" fontId="33" fillId="11" borderId="56" xfId="0" applyFont="1" applyFill="1" applyBorder="1" applyAlignment="1">
      <alignment horizontal="right"/>
    </xf>
    <xf numFmtId="0" fontId="33" fillId="11" borderId="56" xfId="0" applyFont="1" applyFill="1" applyBorder="1">
      <alignment vertical="center"/>
    </xf>
    <xf numFmtId="0" fontId="33" fillId="11" borderId="56" xfId="0" applyFont="1" applyFill="1" applyBorder="1" applyAlignment="1">
      <alignment horizontal="right" vertical="center"/>
    </xf>
    <xf numFmtId="0" fontId="33" fillId="0" borderId="0" xfId="0" applyFont="1" applyAlignment="1">
      <alignment horizontal="left"/>
    </xf>
    <xf numFmtId="0" fontId="3" fillId="11" borderId="0" xfId="0" applyFont="1" applyFill="1" applyAlignment="1"/>
    <xf numFmtId="0" fontId="33" fillId="0" borderId="0" xfId="0" applyFont="1" applyAlignment="1">
      <alignment horizontal="right"/>
    </xf>
    <xf numFmtId="0" fontId="33" fillId="11" borderId="0" xfId="0" applyFont="1" applyFill="1" applyAlignment="1">
      <alignment horizontal="left"/>
    </xf>
    <xf numFmtId="0" fontId="33" fillId="0" borderId="26" xfId="0" applyFont="1" applyBorder="1" applyAlignment="1"/>
    <xf numFmtId="0" fontId="3" fillId="0" borderId="0" xfId="0" applyFont="1" applyAlignment="1"/>
    <xf numFmtId="0" fontId="40" fillId="0" borderId="0" xfId="0" applyFont="1" applyAlignment="1">
      <alignment horizontal="left"/>
    </xf>
    <xf numFmtId="0" fontId="33" fillId="0" borderId="59" xfId="0" applyFont="1" applyBorder="1" applyAlignment="1"/>
    <xf numFmtId="0" fontId="33" fillId="0" borderId="59" xfId="0" applyFont="1" applyBorder="1" applyAlignment="1">
      <alignment horizontal="center"/>
    </xf>
    <xf numFmtId="0" fontId="33" fillId="0" borderId="63" xfId="0" applyFont="1" applyBorder="1" applyAlignment="1"/>
    <xf numFmtId="0" fontId="33" fillId="0" borderId="58" xfId="0" applyFont="1" applyBorder="1" applyAlignment="1"/>
    <xf numFmtId="0" fontId="33" fillId="0" borderId="51" xfId="0" applyFont="1" applyBorder="1" applyAlignment="1">
      <alignment horizontal="center"/>
    </xf>
    <xf numFmtId="0" fontId="33" fillId="0" borderId="53" xfId="0" applyFont="1" applyBorder="1" applyAlignment="1">
      <alignment horizontal="center"/>
    </xf>
    <xf numFmtId="0" fontId="33" fillId="0" borderId="61" xfId="0" applyFont="1" applyBorder="1" applyAlignment="1"/>
    <xf numFmtId="0" fontId="33" fillId="0" borderId="52" xfId="0" applyFont="1" applyBorder="1" applyAlignment="1"/>
    <xf numFmtId="0" fontId="33" fillId="0" borderId="61" xfId="0" applyFont="1" applyBorder="1" applyAlignment="1">
      <alignment horizontal="center" vertical="center"/>
    </xf>
    <xf numFmtId="1" fontId="33" fillId="0" borderId="57" xfId="0" applyNumberFormat="1" applyFont="1" applyBorder="1" applyAlignment="1">
      <alignment horizontal="center"/>
    </xf>
    <xf numFmtId="0" fontId="33" fillId="0" borderId="79" xfId="0" applyFont="1" applyBorder="1" applyAlignment="1">
      <alignment horizontal="center" vertical="center"/>
    </xf>
    <xf numFmtId="164" fontId="33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76" xfId="0" applyFont="1" applyBorder="1" applyAlignment="1">
      <alignment horizontal="center" vertical="center" wrapText="1"/>
    </xf>
    <xf numFmtId="0" fontId="33" fillId="0" borderId="78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/>
    </xf>
    <xf numFmtId="0" fontId="33" fillId="0" borderId="78" xfId="0" applyFont="1" applyBorder="1" applyAlignment="1">
      <alignment horizontal="center" vertical="center"/>
    </xf>
    <xf numFmtId="166" fontId="33" fillId="0" borderId="0" xfId="0" applyNumberFormat="1" applyFont="1" applyAlignment="1">
      <alignment horizontal="right"/>
    </xf>
    <xf numFmtId="166" fontId="33" fillId="0" borderId="0" xfId="0" applyNumberFormat="1" applyFont="1" applyAlignment="1"/>
    <xf numFmtId="167" fontId="33" fillId="0" borderId="0" xfId="0" applyNumberFormat="1" applyFont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22" borderId="0" xfId="2" applyFont="1" applyFill="1">
      <protection locked="0"/>
    </xf>
    <xf numFmtId="166" fontId="3" fillId="0" borderId="0" xfId="0" applyNumberFormat="1" applyFont="1" applyAlignment="1">
      <alignment horizontal="left"/>
    </xf>
    <xf numFmtId="166" fontId="33" fillId="0" borderId="0" xfId="0" applyNumberFormat="1" applyFont="1" applyAlignment="1">
      <alignment horizontal="left"/>
    </xf>
    <xf numFmtId="0" fontId="42" fillId="11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3" fillId="0" borderId="81" xfId="0" applyFont="1" applyBorder="1" applyAlignment="1"/>
    <xf numFmtId="0" fontId="33" fillId="3" borderId="0" xfId="0" applyFont="1" applyFill="1" applyProtection="1">
      <alignment vertical="center"/>
      <protection locked="0"/>
    </xf>
    <xf numFmtId="0" fontId="40" fillId="11" borderId="0" xfId="0" applyFont="1" applyFill="1">
      <alignment vertical="center"/>
    </xf>
    <xf numFmtId="0" fontId="33" fillId="0" borderId="52" xfId="0" applyFont="1" applyBorder="1" applyAlignment="1">
      <alignment horizontal="left" vertical="center"/>
    </xf>
    <xf numFmtId="0" fontId="33" fillId="0" borderId="53" xfId="0" applyFont="1" applyBorder="1" applyAlignment="1">
      <alignment horizontal="left" vertical="center"/>
    </xf>
    <xf numFmtId="166" fontId="33" fillId="0" borderId="52" xfId="0" applyNumberFormat="1" applyFont="1" applyBorder="1" applyAlignment="1">
      <alignment horizontal="right" vertical="center"/>
    </xf>
    <xf numFmtId="1" fontId="33" fillId="0" borderId="54" xfId="0" applyNumberFormat="1" applyFont="1" applyBorder="1" applyAlignment="1">
      <alignment horizontal="center" vertical="center"/>
    </xf>
    <xf numFmtId="0" fontId="33" fillId="0" borderId="55" xfId="0" applyFont="1" applyBorder="1" applyAlignment="1">
      <alignment horizontal="left" vertical="center"/>
    </xf>
    <xf numFmtId="0" fontId="33" fillId="0" borderId="56" xfId="0" applyFont="1" applyBorder="1" applyAlignment="1">
      <alignment horizontal="left" vertical="center"/>
    </xf>
    <xf numFmtId="0" fontId="33" fillId="0" borderId="56" xfId="0" applyFont="1" applyBorder="1">
      <alignment vertical="center"/>
    </xf>
    <xf numFmtId="0" fontId="33" fillId="0" borderId="62" xfId="0" applyFont="1" applyBorder="1" applyAlignment="1">
      <alignment horizontal="left" vertical="center"/>
    </xf>
    <xf numFmtId="166" fontId="33" fillId="0" borderId="55" xfId="0" applyNumberFormat="1" applyFont="1" applyBorder="1" applyAlignment="1">
      <alignment horizontal="right" vertical="center"/>
    </xf>
    <xf numFmtId="0" fontId="33" fillId="0" borderId="58" xfId="0" applyFont="1" applyBorder="1" applyAlignment="1">
      <alignment horizontal="left" vertical="center"/>
    </xf>
    <xf numFmtId="0" fontId="33" fillId="0" borderId="59" xfId="0" applyFont="1" applyBorder="1" applyAlignment="1">
      <alignment horizontal="left" vertical="center"/>
    </xf>
    <xf numFmtId="166" fontId="33" fillId="0" borderId="58" xfId="0" applyNumberFormat="1" applyFont="1" applyBorder="1" applyAlignment="1">
      <alignment horizontal="right" vertical="center"/>
    </xf>
    <xf numFmtId="0" fontId="42" fillId="0" borderId="0" xfId="0" applyFont="1" applyAlignment="1">
      <alignment horizontal="left" vertical="center"/>
    </xf>
    <xf numFmtId="167" fontId="33" fillId="0" borderId="0" xfId="0" applyNumberFormat="1" applyFont="1">
      <alignment vertical="center"/>
    </xf>
    <xf numFmtId="0" fontId="33" fillId="0" borderId="47" xfId="0" applyFont="1" applyBorder="1">
      <alignment vertical="center"/>
    </xf>
    <xf numFmtId="170" fontId="33" fillId="0" borderId="3" xfId="0" applyNumberFormat="1" applyFont="1" applyBorder="1" applyAlignment="1">
      <alignment horizontal="center" vertical="center"/>
    </xf>
    <xf numFmtId="166" fontId="3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166" fontId="33" fillId="0" borderId="0" xfId="0" applyNumberFormat="1" applyFont="1" applyAlignment="1" applyProtection="1">
      <alignment horizontal="right" vertical="center"/>
      <protection locked="0"/>
    </xf>
    <xf numFmtId="166" fontId="33" fillId="0" borderId="0" xfId="0" applyNumberFormat="1" applyFont="1" applyAlignment="1">
      <alignment horizontal="right" vertical="center"/>
    </xf>
    <xf numFmtId="0" fontId="33" fillId="11" borderId="0" xfId="0" applyFont="1" applyFill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6" fontId="33" fillId="0" borderId="0" xfId="0" applyNumberFormat="1" applyFont="1" applyProtection="1">
      <alignment vertical="center"/>
      <protection locked="0"/>
    </xf>
    <xf numFmtId="166" fontId="3" fillId="0" borderId="0" xfId="0" applyNumberFormat="1" applyFont="1" applyProtection="1">
      <alignment vertical="center"/>
      <protection locked="0"/>
    </xf>
    <xf numFmtId="0" fontId="33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 applyProtection="1">
      <alignment horizontal="left" vertical="center" wrapText="1"/>
      <protection locked="0"/>
    </xf>
    <xf numFmtId="166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7" fontId="3" fillId="0" borderId="0" xfId="0" applyNumberFormat="1" applyFont="1" applyProtection="1">
      <alignment vertical="center"/>
      <protection locked="0"/>
    </xf>
    <xf numFmtId="164" fontId="33" fillId="0" borderId="0" xfId="0" applyNumberFormat="1" applyFont="1" applyProtection="1">
      <alignment vertical="center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167" fontId="33" fillId="0" borderId="0" xfId="0" applyNumberFormat="1" applyFont="1" applyProtection="1">
      <alignment vertical="center"/>
      <protection locked="0"/>
    </xf>
    <xf numFmtId="0" fontId="64" fillId="0" borderId="3" xfId="0" applyFont="1" applyBorder="1" applyAlignment="1">
      <alignment horizontal="center" vertical="center"/>
    </xf>
    <xf numFmtId="185" fontId="45" fillId="0" borderId="3" xfId="0" applyNumberFormat="1" applyFont="1" applyBorder="1" applyAlignment="1">
      <alignment horizontal="center" vertical="center"/>
    </xf>
    <xf numFmtId="185" fontId="64" fillId="0" borderId="3" xfId="0" applyNumberFormat="1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 wrapText="1"/>
    </xf>
    <xf numFmtId="9" fontId="33" fillId="0" borderId="0" xfId="0" applyNumberFormat="1" applyFont="1">
      <alignment vertical="center"/>
    </xf>
    <xf numFmtId="0" fontId="64" fillId="5" borderId="3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0" fontId="56" fillId="0" borderId="0" xfId="0" applyFont="1">
      <alignment vertical="center"/>
    </xf>
    <xf numFmtId="164" fontId="39" fillId="0" borderId="0" xfId="0" applyNumberFormat="1" applyFont="1">
      <alignment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2" fontId="0" fillId="3" borderId="0" xfId="0" applyNumberFormat="1" applyFill="1" applyAlignment="1">
      <alignment horizontal="center"/>
    </xf>
    <xf numFmtId="2" fontId="11" fillId="3" borderId="3" xfId="0" applyNumberFormat="1" applyFont="1" applyFill="1" applyBorder="1" applyAlignment="1">
      <alignment horizontal="center"/>
    </xf>
    <xf numFmtId="2" fontId="11" fillId="3" borderId="48" xfId="0" applyNumberFormat="1" applyFont="1" applyFill="1" applyBorder="1" applyAlignment="1">
      <alignment horizontal="center" vertical="center"/>
    </xf>
    <xf numFmtId="2" fontId="11" fillId="3" borderId="34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0" fontId="0" fillId="0" borderId="3" xfId="0" applyBorder="1">
      <alignment vertical="center"/>
    </xf>
    <xf numFmtId="0" fontId="67" fillId="0" borderId="0" xfId="0" applyFont="1">
      <alignment vertical="center"/>
    </xf>
    <xf numFmtId="0" fontId="33" fillId="11" borderId="11" xfId="0" applyFont="1" applyFill="1" applyBorder="1" applyAlignment="1">
      <alignment horizontal="center"/>
    </xf>
    <xf numFmtId="0" fontId="33" fillId="0" borderId="3" xfId="0" applyFont="1" applyBorder="1" applyAlignment="1"/>
    <xf numFmtId="0" fontId="2" fillId="11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3" fillId="0" borderId="49" xfId="0" applyFont="1" applyBorder="1" applyAlignment="1"/>
    <xf numFmtId="0" fontId="29" fillId="11" borderId="0" xfId="0" applyFont="1" applyFill="1" applyAlignment="1">
      <alignment horizontal="center" vertical="center"/>
    </xf>
    <xf numFmtId="9" fontId="29" fillId="0" borderId="0" xfId="0" applyNumberFormat="1" applyFont="1" applyAlignment="1">
      <alignment horizontal="center"/>
    </xf>
    <xf numFmtId="0" fontId="6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9" fillId="11" borderId="0" xfId="0" applyFont="1" applyFill="1" applyAlignment="1">
      <alignment horizontal="left" vertical="center"/>
    </xf>
    <xf numFmtId="0" fontId="69" fillId="11" borderId="0" xfId="0" applyFont="1" applyFill="1" applyAlignment="1"/>
    <xf numFmtId="0" fontId="33" fillId="0" borderId="39" xfId="0" applyFont="1" applyBorder="1" applyAlignment="1"/>
    <xf numFmtId="0" fontId="33" fillId="0" borderId="40" xfId="0" applyFont="1" applyBorder="1" applyAlignment="1"/>
    <xf numFmtId="0" fontId="33" fillId="0" borderId="81" xfId="0" applyFont="1" applyBorder="1" applyAlignment="1">
      <alignment horizontal="center"/>
    </xf>
    <xf numFmtId="0" fontId="33" fillId="11" borderId="73" xfId="0" applyFont="1" applyFill="1" applyBorder="1" applyAlignment="1"/>
    <xf numFmtId="0" fontId="33" fillId="11" borderId="75" xfId="0" applyFont="1" applyFill="1" applyBorder="1" applyAlignment="1">
      <alignment horizontal="left"/>
    </xf>
    <xf numFmtId="0" fontId="33" fillId="0" borderId="23" xfId="0" applyFont="1" applyBorder="1">
      <alignment vertical="center"/>
    </xf>
    <xf numFmtId="0" fontId="42" fillId="0" borderId="49" xfId="0" applyFont="1" applyBorder="1">
      <alignment vertical="center"/>
    </xf>
    <xf numFmtId="0" fontId="33" fillId="0" borderId="74" xfId="0" applyFont="1" applyBorder="1" applyAlignment="1">
      <alignment horizontal="center"/>
    </xf>
    <xf numFmtId="0" fontId="33" fillId="0" borderId="75" xfId="0" applyFont="1" applyBorder="1" applyAlignment="1">
      <alignment horizontal="center"/>
    </xf>
    <xf numFmtId="0" fontId="33" fillId="0" borderId="18" xfId="0" applyFont="1" applyBorder="1">
      <alignment vertical="center"/>
    </xf>
    <xf numFmtId="0" fontId="33" fillId="0" borderId="18" xfId="0" applyFont="1" applyBorder="1" applyAlignment="1"/>
    <xf numFmtId="0" fontId="33" fillId="0" borderId="23" xfId="0" applyFont="1" applyBorder="1" applyAlignment="1">
      <alignment horizontal="center" vertical="center"/>
    </xf>
    <xf numFmtId="0" fontId="33" fillId="0" borderId="73" xfId="0" applyFont="1" applyBorder="1" applyAlignment="1">
      <alignment horizontal="center"/>
    </xf>
    <xf numFmtId="0" fontId="3" fillId="0" borderId="81" xfId="0" applyFont="1" applyBorder="1" applyAlignment="1">
      <alignment horizontal="center" vertical="center" wrapText="1"/>
    </xf>
    <xf numFmtId="1" fontId="33" fillId="0" borderId="0" xfId="0" applyNumberFormat="1" applyFont="1" applyAlignment="1">
      <alignment horizontal="center"/>
    </xf>
    <xf numFmtId="0" fontId="33" fillId="0" borderId="8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0" borderId="72" xfId="0" applyFont="1" applyBorder="1" applyAlignment="1">
      <alignment horizontal="center" vertical="center"/>
    </xf>
    <xf numFmtId="0" fontId="33" fillId="0" borderId="35" xfId="0" applyFont="1" applyBorder="1">
      <alignment vertical="center"/>
    </xf>
    <xf numFmtId="0" fontId="33" fillId="0" borderId="77" xfId="0" applyFont="1" applyBorder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3" fillId="0" borderId="22" xfId="0" applyFont="1" applyBorder="1" applyAlignment="1"/>
    <xf numFmtId="0" fontId="33" fillId="0" borderId="23" xfId="0" applyFont="1" applyBorder="1" applyAlignment="1"/>
    <xf numFmtId="164" fontId="33" fillId="0" borderId="64" xfId="0" applyNumberFormat="1" applyFont="1" applyBorder="1">
      <alignment vertical="center"/>
    </xf>
    <xf numFmtId="164" fontId="33" fillId="0" borderId="49" xfId="0" applyNumberFormat="1" applyFont="1" applyBorder="1">
      <alignment vertical="center"/>
    </xf>
    <xf numFmtId="164" fontId="33" fillId="0" borderId="71" xfId="0" applyNumberFormat="1" applyFont="1" applyBorder="1">
      <alignment vertical="center"/>
    </xf>
    <xf numFmtId="164" fontId="33" fillId="0" borderId="44" xfId="0" applyNumberFormat="1" applyFont="1" applyBorder="1">
      <alignment vertical="center"/>
    </xf>
    <xf numFmtId="164" fontId="33" fillId="0" borderId="22" xfId="0" applyNumberFormat="1" applyFont="1" applyBorder="1">
      <alignment vertical="center"/>
    </xf>
    <xf numFmtId="164" fontId="33" fillId="0" borderId="18" xfId="0" applyNumberFormat="1" applyFont="1" applyBorder="1">
      <alignment vertical="center"/>
    </xf>
    <xf numFmtId="164" fontId="33" fillId="0" borderId="23" xfId="0" applyNumberFormat="1" applyFont="1" applyBorder="1">
      <alignment vertical="center"/>
    </xf>
    <xf numFmtId="164" fontId="33" fillId="0" borderId="24" xfId="0" applyNumberFormat="1" applyFont="1" applyBorder="1">
      <alignment vertical="center"/>
    </xf>
    <xf numFmtId="164" fontId="33" fillId="0" borderId="26" xfId="0" applyNumberFormat="1" applyFont="1" applyBorder="1">
      <alignment vertical="center"/>
    </xf>
    <xf numFmtId="0" fontId="33" fillId="0" borderId="64" xfId="0" applyFont="1" applyBorder="1" applyAlignment="1"/>
    <xf numFmtId="0" fontId="33" fillId="0" borderId="71" xfId="0" applyFont="1" applyBorder="1" applyAlignment="1"/>
    <xf numFmtId="164" fontId="33" fillId="0" borderId="44" xfId="0" applyNumberFormat="1" applyFont="1" applyBorder="1" applyAlignment="1"/>
    <xf numFmtId="164" fontId="33" fillId="0" borderId="18" xfId="0" applyNumberFormat="1" applyFont="1" applyBorder="1" applyAlignment="1"/>
    <xf numFmtId="164" fontId="33" fillId="0" borderId="24" xfId="0" applyNumberFormat="1" applyFont="1" applyBorder="1" applyAlignment="1"/>
    <xf numFmtId="0" fontId="33" fillId="0" borderId="44" xfId="0" applyFont="1" applyBorder="1" applyAlignment="1"/>
    <xf numFmtId="0" fontId="33" fillId="0" borderId="24" xfId="0" applyFont="1" applyBorder="1" applyAlignment="1"/>
    <xf numFmtId="0" fontId="70" fillId="0" borderId="0" xfId="0" applyFont="1" applyAlignment="1">
      <alignment horizontal="left" vertical="center"/>
    </xf>
    <xf numFmtId="0" fontId="45" fillId="11" borderId="3" xfId="0" applyFont="1" applyFill="1" applyBorder="1" applyAlignment="1">
      <alignment wrapText="1"/>
    </xf>
    <xf numFmtId="0" fontId="45" fillId="0" borderId="0" xfId="0" quotePrefix="1" applyFont="1" applyAlignment="1">
      <alignment horizontal="left" vertical="center"/>
    </xf>
    <xf numFmtId="0" fontId="64" fillId="0" borderId="0" xfId="0" quotePrefix="1" applyFont="1" applyAlignment="1">
      <alignment horizontal="left" vertical="center"/>
    </xf>
    <xf numFmtId="166" fontId="33" fillId="0" borderId="14" xfId="0" applyNumberFormat="1" applyFont="1" applyBorder="1" applyAlignment="1"/>
    <xf numFmtId="166" fontId="33" fillId="0" borderId="26" xfId="0" applyNumberFormat="1" applyFont="1" applyBorder="1" applyAlignment="1"/>
    <xf numFmtId="0" fontId="34" fillId="0" borderId="76" xfId="0" applyFont="1" applyBorder="1" applyAlignment="1">
      <alignment horizontal="center" vertical="center" wrapText="1"/>
    </xf>
    <xf numFmtId="0" fontId="34" fillId="0" borderId="77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73" xfId="0" applyFont="1" applyBorder="1" applyAlignment="1">
      <alignment horizontal="center"/>
    </xf>
    <xf numFmtId="0" fontId="34" fillId="0" borderId="74" xfId="0" applyFont="1" applyBorder="1" applyAlignment="1">
      <alignment horizontal="center"/>
    </xf>
    <xf numFmtId="0" fontId="34" fillId="0" borderId="75" xfId="0" applyFont="1" applyBorder="1" applyAlignment="1">
      <alignment horizontal="center"/>
    </xf>
    <xf numFmtId="166" fontId="34" fillId="0" borderId="12" xfId="0" applyNumberFormat="1" applyFont="1" applyBorder="1" applyAlignment="1"/>
    <xf numFmtId="166" fontId="34" fillId="0" borderId="24" xfId="0" applyNumberFormat="1" applyFont="1" applyBorder="1" applyAlignment="1"/>
    <xf numFmtId="1" fontId="33" fillId="0" borderId="0" xfId="0" applyNumberFormat="1" applyFont="1" applyAlignment="1"/>
    <xf numFmtId="0" fontId="45" fillId="0" borderId="0" xfId="0" applyFont="1">
      <alignment vertical="center"/>
    </xf>
    <xf numFmtId="0" fontId="29" fillId="0" borderId="0" xfId="0" applyFont="1" applyAlignment="1" applyProtection="1">
      <alignment horizontal="left" vertical="center"/>
      <protection locked="0"/>
    </xf>
    <xf numFmtId="2" fontId="0" fillId="25" borderId="3" xfId="0" applyNumberFormat="1" applyFill="1" applyBorder="1" applyAlignment="1">
      <alignment horizontal="center" vertical="center"/>
    </xf>
    <xf numFmtId="2" fontId="45" fillId="25" borderId="3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left" vertical="center"/>
    </xf>
    <xf numFmtId="1" fontId="64" fillId="0" borderId="0" xfId="0" applyNumberFormat="1" applyFont="1" applyAlignment="1">
      <alignment horizontal="left" vertical="center"/>
    </xf>
    <xf numFmtId="2" fontId="8" fillId="26" borderId="25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2" fontId="0" fillId="26" borderId="0" xfId="0" applyNumberFormat="1" applyFill="1">
      <alignment vertical="center"/>
    </xf>
    <xf numFmtId="2" fontId="0" fillId="26" borderId="0" xfId="0" applyNumberFormat="1" applyFill="1" applyAlignment="1">
      <alignment horizontal="center" vertical="center"/>
    </xf>
    <xf numFmtId="2" fontId="23" fillId="26" borderId="0" xfId="0" applyNumberFormat="1" applyFont="1" applyFill="1" applyAlignment="1">
      <alignment horizontal="center" vertical="center"/>
    </xf>
    <xf numFmtId="2" fontId="23" fillId="14" borderId="3" xfId="0" applyNumberFormat="1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" fontId="0" fillId="6" borderId="3" xfId="0" applyNumberFormat="1" applyFill="1" applyBorder="1" applyAlignment="1">
      <alignment horizontal="center"/>
    </xf>
    <xf numFmtId="2" fontId="6" fillId="21" borderId="3" xfId="0" applyNumberFormat="1" applyFont="1" applyFill="1" applyBorder="1" applyAlignment="1"/>
    <xf numFmtId="2" fontId="24" fillId="14" borderId="3" xfId="0" applyNumberFormat="1" applyFont="1" applyFill="1" applyBorder="1" applyAlignment="1"/>
    <xf numFmtId="2" fontId="0" fillId="6" borderId="3" xfId="0" applyNumberFormat="1" applyFill="1" applyBorder="1" applyAlignment="1">
      <alignment horizontal="center" vertical="top" wrapText="1"/>
    </xf>
    <xf numFmtId="2" fontId="0" fillId="6" borderId="3" xfId="0" applyNumberFormat="1" applyFill="1" applyBorder="1" applyAlignment="1">
      <alignment horizontal="center"/>
    </xf>
    <xf numFmtId="2" fontId="24" fillId="14" borderId="3" xfId="0" applyNumberFormat="1" applyFont="1" applyFill="1" applyBorder="1" applyAlignment="1">
      <alignment horizontal="center"/>
    </xf>
    <xf numFmtId="2" fontId="23" fillId="14" borderId="3" xfId="0" applyNumberFormat="1" applyFont="1" applyFill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0" fillId="20" borderId="21" xfId="0" applyNumberFormat="1" applyFill="1" applyBorder="1" applyAlignment="1">
      <alignment horizontal="center"/>
    </xf>
    <xf numFmtId="2" fontId="23" fillId="14" borderId="3" xfId="0" applyNumberFormat="1" applyFont="1" applyFill="1" applyBorder="1" applyAlignment="1">
      <alignment horizontal="center"/>
    </xf>
    <xf numFmtId="2" fontId="23" fillId="26" borderId="0" xfId="0" applyNumberFormat="1" applyFont="1" applyFill="1" applyAlignment="1">
      <alignment horizontal="center"/>
    </xf>
    <xf numFmtId="188" fontId="0" fillId="7" borderId="23" xfId="0" applyNumberFormat="1" applyFill="1" applyBorder="1" applyAlignment="1">
      <alignment horizontal="center" vertical="center"/>
    </xf>
    <xf numFmtId="2" fontId="0" fillId="26" borderId="0" xfId="0" applyNumberFormat="1" applyFill="1" applyAlignment="1">
      <alignment horizontal="center"/>
    </xf>
    <xf numFmtId="2" fontId="0" fillId="26" borderId="0" xfId="0" applyNumberFormat="1" applyFill="1" applyAlignment="1"/>
    <xf numFmtId="2" fontId="8" fillId="26" borderId="0" xfId="0" applyNumberFormat="1" applyFont="1" applyFill="1" applyAlignment="1">
      <alignment horizontal="center" vertical="center"/>
    </xf>
    <xf numFmtId="2" fontId="23" fillId="14" borderId="0" xfId="0" applyNumberFormat="1" applyFont="1" applyFill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/>
    </xf>
    <xf numFmtId="2" fontId="0" fillId="7" borderId="3" xfId="0" applyNumberFormat="1" applyFill="1" applyBorder="1" applyAlignment="1">
      <alignment horizontal="center"/>
    </xf>
    <xf numFmtId="2" fontId="26" fillId="26" borderId="0" xfId="0" applyNumberFormat="1" applyFont="1" applyFill="1" applyAlignment="1"/>
    <xf numFmtId="2" fontId="28" fillId="26" borderId="0" xfId="1" applyNumberFormat="1" applyFont="1" applyFill="1" applyProtection="1"/>
    <xf numFmtId="2" fontId="28" fillId="26" borderId="0" xfId="0" applyNumberFormat="1" applyFont="1" applyFill="1">
      <alignment vertical="center"/>
    </xf>
    <xf numFmtId="2" fontId="27" fillId="26" borderId="0" xfId="0" applyNumberFormat="1" applyFont="1" applyFill="1" applyAlignment="1">
      <alignment horizontal="center" vertical="center"/>
    </xf>
    <xf numFmtId="2" fontId="26" fillId="26" borderId="0" xfId="0" applyNumberFormat="1" applyFont="1" applyFill="1" applyAlignment="1">
      <alignment horizontal="center"/>
    </xf>
    <xf numFmtId="2" fontId="26" fillId="26" borderId="0" xfId="0" applyNumberFormat="1" applyFont="1" applyFill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23" fillId="14" borderId="16" xfId="0" applyNumberFormat="1" applyFont="1" applyFill="1" applyBorder="1" applyAlignment="1">
      <alignment horizontal="center"/>
    </xf>
    <xf numFmtId="2" fontId="23" fillId="14" borderId="16" xfId="0" applyNumberFormat="1" applyFon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20" borderId="33" xfId="0" applyNumberFormat="1" applyFill="1" applyBorder="1" applyAlignment="1">
      <alignment horizontal="center"/>
    </xf>
    <xf numFmtId="2" fontId="0" fillId="26" borderId="23" xfId="0" applyNumberFormat="1" applyFill="1" applyBorder="1" applyAlignment="1">
      <alignment horizontal="center" vertical="center"/>
    </xf>
    <xf numFmtId="2" fontId="72" fillId="27" borderId="0" xfId="0" applyNumberFormat="1" applyFont="1" applyFill="1">
      <alignment vertical="center"/>
    </xf>
    <xf numFmtId="2" fontId="0" fillId="5" borderId="21" xfId="0" applyNumberFormat="1" applyFill="1" applyBorder="1" applyAlignment="1">
      <alignment horizontal="center" vertical="center"/>
    </xf>
    <xf numFmtId="2" fontId="45" fillId="5" borderId="21" xfId="0" applyNumberFormat="1" applyFont="1" applyFill="1" applyBorder="1" applyAlignment="1">
      <alignment horizontal="left" vertical="center" wrapText="1"/>
    </xf>
    <xf numFmtId="2" fontId="0" fillId="5" borderId="21" xfId="0" applyNumberFormat="1" applyFill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center" vertical="center" wrapText="1"/>
    </xf>
    <xf numFmtId="2" fontId="0" fillId="25" borderId="23" xfId="0" applyNumberForma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26" borderId="33" xfId="0" applyNumberFormat="1" applyFill="1" applyBorder="1">
      <alignment vertical="center"/>
    </xf>
    <xf numFmtId="2" fontId="8" fillId="26" borderId="0" xfId="0" applyNumberFormat="1" applyFont="1" applyFill="1">
      <alignment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vertical="center" wrapText="1"/>
    </xf>
    <xf numFmtId="2" fontId="45" fillId="5" borderId="3" xfId="0" applyNumberFormat="1" applyFont="1" applyFill="1" applyBorder="1" applyAlignment="1">
      <alignment horizontal="left" vertical="center" wrapText="1"/>
    </xf>
    <xf numFmtId="2" fontId="0" fillId="5" borderId="3" xfId="0" applyNumberFormat="1" applyFill="1" applyBorder="1" applyAlignment="1">
      <alignment horizontal="center" vertical="center" wrapText="1"/>
    </xf>
    <xf numFmtId="2" fontId="0" fillId="25" borderId="3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45" fillId="0" borderId="0" xfId="0" applyNumberFormat="1" applyFont="1" applyAlignment="1">
      <alignment horizontal="center" vertical="center"/>
    </xf>
    <xf numFmtId="2" fontId="0" fillId="5" borderId="3" xfId="0" applyNumberFormat="1" applyFill="1" applyBorder="1" applyAlignment="1">
      <alignment horizontal="left" vertical="center" wrapText="1"/>
    </xf>
    <xf numFmtId="2" fontId="0" fillId="25" borderId="3" xfId="0" applyNumberFormat="1" applyFill="1" applyBorder="1" applyAlignment="1">
      <alignment horizontal="center"/>
    </xf>
    <xf numFmtId="2" fontId="0" fillId="5" borderId="38" xfId="0" applyNumberFormat="1" applyFill="1" applyBorder="1" applyAlignment="1">
      <alignment horizontal="left" vertical="center" wrapText="1"/>
    </xf>
    <xf numFmtId="2" fontId="0" fillId="25" borderId="38" xfId="0" applyNumberFormat="1" applyFill="1" applyBorder="1" applyAlignment="1">
      <alignment horizontal="center" vertical="center"/>
    </xf>
    <xf numFmtId="2" fontId="45" fillId="5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left" vertical="top" wrapText="1"/>
    </xf>
    <xf numFmtId="2" fontId="8" fillId="28" borderId="0" xfId="0" applyNumberFormat="1" applyFont="1" applyFill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33" fillId="0" borderId="0" xfId="0" applyNumberFormat="1" applyFont="1" applyAlignment="1">
      <alignment horizontal="left" vertical="center"/>
    </xf>
    <xf numFmtId="2" fontId="45" fillId="26" borderId="0" xfId="0" applyNumberFormat="1" applyFont="1" applyFill="1" applyAlignment="1">
      <alignment horizontal="center"/>
    </xf>
    <xf numFmtId="2" fontId="0" fillId="25" borderId="0" xfId="0" applyNumberForma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88" fontId="0" fillId="26" borderId="0" xfId="0" applyNumberFormat="1" applyFill="1" applyAlignment="1">
      <alignment horizontal="center" vertical="center"/>
    </xf>
    <xf numFmtId="2" fontId="33" fillId="26" borderId="0" xfId="0" applyNumberFormat="1" applyFont="1" applyFill="1">
      <alignment vertical="center"/>
    </xf>
    <xf numFmtId="2" fontId="63" fillId="0" borderId="0" xfId="0" applyNumberFormat="1" applyFont="1" applyAlignment="1">
      <alignment horizontal="center" vertical="center" wrapText="1"/>
    </xf>
    <xf numFmtId="2" fontId="64" fillId="29" borderId="0" xfId="0" applyNumberFormat="1" applyFont="1" applyFill="1" applyAlignment="1">
      <alignment vertical="center" wrapText="1"/>
    </xf>
    <xf numFmtId="2" fontId="17" fillId="29" borderId="0" xfId="0" applyNumberFormat="1" applyFont="1" applyFill="1" applyAlignment="1">
      <alignment horizontal="left" vertical="center" wrapText="1"/>
    </xf>
    <xf numFmtId="2" fontId="8" fillId="0" borderId="0" xfId="0" applyNumberFormat="1" applyFont="1" applyAlignment="1">
      <alignment horizontal="center" vertical="center" wrapText="1"/>
    </xf>
    <xf numFmtId="2" fontId="6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top" wrapText="1"/>
    </xf>
    <xf numFmtId="2" fontId="0" fillId="8" borderId="0" xfId="0" applyNumberFormat="1" applyFill="1" applyAlignment="1">
      <alignment horizontal="center" vertical="center"/>
    </xf>
    <xf numFmtId="2" fontId="0" fillId="5" borderId="0" xfId="0" applyNumberFormat="1" applyFill="1">
      <alignment vertical="center"/>
    </xf>
    <xf numFmtId="2" fontId="8" fillId="0" borderId="3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8" fillId="26" borderId="0" xfId="0" applyNumberFormat="1" applyFont="1" applyFill="1" applyAlignment="1">
      <alignment horizontal="center" vertical="top" wrapText="1"/>
    </xf>
    <xf numFmtId="2" fontId="8" fillId="26" borderId="0" xfId="0" applyNumberFormat="1" applyFont="1" applyFill="1" applyAlignment="1">
      <alignment horizontal="center" vertical="center" wrapText="1"/>
    </xf>
    <xf numFmtId="2" fontId="23" fillId="9" borderId="0" xfId="0" applyNumberFormat="1" applyFont="1" applyFill="1" applyAlignment="1">
      <alignment horizontal="center" vertical="center"/>
    </xf>
    <xf numFmtId="2" fontId="45" fillId="0" borderId="0" xfId="2" applyNumberFormat="1">
      <protection locked="0"/>
    </xf>
    <xf numFmtId="2" fontId="31" fillId="0" borderId="0" xfId="0" applyNumberFormat="1" applyFont="1">
      <alignment vertical="center"/>
    </xf>
    <xf numFmtId="2" fontId="31" fillId="0" borderId="0" xfId="0" applyNumberFormat="1" applyFont="1" applyAlignment="1">
      <alignment horizontal="center" vertical="center"/>
    </xf>
    <xf numFmtId="2" fontId="32" fillId="0" borderId="0" xfId="0" applyNumberFormat="1" applyFont="1" applyAlignment="1" applyProtection="1">
      <alignment horizontal="center" vertical="center"/>
      <protection locked="0"/>
    </xf>
    <xf numFmtId="2" fontId="23" fillId="0" borderId="0" xfId="0" applyNumberFormat="1" applyFont="1">
      <alignment vertical="center"/>
    </xf>
    <xf numFmtId="2" fontId="32" fillId="0" borderId="0" xfId="0" applyNumberFormat="1" applyFont="1" applyAlignment="1">
      <alignment horizontal="center" vertical="center"/>
    </xf>
    <xf numFmtId="2" fontId="8" fillId="32" borderId="18" xfId="0" applyNumberFormat="1" applyFont="1" applyFill="1" applyBorder="1" applyAlignment="1">
      <alignment horizontal="center" vertical="center"/>
    </xf>
    <xf numFmtId="2" fontId="8" fillId="4" borderId="2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45" fillId="4" borderId="3" xfId="0" applyNumberFormat="1" applyFont="1" applyFill="1" applyBorder="1" applyAlignment="1">
      <alignment horizontal="center" vertical="center"/>
    </xf>
    <xf numFmtId="2" fontId="45" fillId="32" borderId="3" xfId="0" applyNumberFormat="1" applyFont="1" applyFill="1" applyBorder="1" applyAlignment="1">
      <alignment horizontal="center"/>
    </xf>
    <xf numFmtId="2" fontId="45" fillId="4" borderId="3" xfId="0" quotePrefix="1" applyNumberFormat="1" applyFont="1" applyFill="1" applyBorder="1" applyAlignment="1">
      <alignment horizontal="center" vertical="center"/>
    </xf>
    <xf numFmtId="2" fontId="8" fillId="32" borderId="24" xfId="0" applyNumberFormat="1" applyFont="1" applyFill="1" applyBorder="1" applyAlignment="1">
      <alignment horizontal="center" vertical="center"/>
    </xf>
    <xf numFmtId="2" fontId="8" fillId="4" borderId="26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45" fillId="4" borderId="3" xfId="0" quotePrefix="1" applyNumberFormat="1" applyFont="1" applyFill="1" applyBorder="1" applyAlignment="1">
      <alignment horizontal="center"/>
    </xf>
    <xf numFmtId="1" fontId="0" fillId="0" borderId="4" xfId="0" applyNumberFormat="1" applyBorder="1" applyAlignment="1"/>
    <xf numFmtId="2" fontId="0" fillId="0" borderId="4" xfId="0" applyNumberFormat="1" applyBorder="1" applyAlignment="1"/>
    <xf numFmtId="2" fontId="0" fillId="0" borderId="9" xfId="0" applyNumberFormat="1" applyBorder="1" applyAlignment="1"/>
    <xf numFmtId="2" fontId="11" fillId="0" borderId="0" xfId="0" applyNumberFormat="1" applyFont="1" applyAlignment="1"/>
    <xf numFmtId="2" fontId="0" fillId="4" borderId="3" xfId="0" applyNumberForma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45" fillId="3" borderId="0" xfId="0" quotePrefix="1" applyNumberFormat="1" applyFont="1" applyFill="1" applyAlignment="1">
      <alignment horizontal="center"/>
    </xf>
    <xf numFmtId="2" fontId="45" fillId="3" borderId="0" xfId="0" applyNumberFormat="1" applyFont="1" applyFill="1" applyAlignment="1">
      <alignment horizontal="center"/>
    </xf>
    <xf numFmtId="2" fontId="0" fillId="3" borderId="0" xfId="0" applyNumberFormat="1" applyFill="1" applyAlignment="1"/>
    <xf numFmtId="1" fontId="6" fillId="4" borderId="3" xfId="0" quotePrefix="1" applyNumberFormat="1" applyFont="1" applyFill="1" applyBorder="1" applyAlignment="1">
      <alignment horizontal="center" vertical="center"/>
    </xf>
    <xf numFmtId="1" fontId="6" fillId="32" borderId="3" xfId="0" applyNumberFormat="1" applyFont="1" applyFill="1" applyBorder="1" applyAlignment="1">
      <alignment horizontal="center" vertical="center"/>
    </xf>
    <xf numFmtId="2" fontId="45" fillId="4" borderId="3" xfId="0" applyNumberFormat="1" applyFont="1" applyFill="1" applyBorder="1" applyAlignment="1">
      <alignment horizontal="center"/>
    </xf>
    <xf numFmtId="2" fontId="0" fillId="0" borderId="2" xfId="0" applyNumberFormat="1" applyBorder="1" applyAlignment="1"/>
    <xf numFmtId="2" fontId="45" fillId="0" borderId="0" xfId="0" applyNumberFormat="1" applyFont="1" applyAlignment="1">
      <alignment horizontal="center"/>
    </xf>
    <xf numFmtId="2" fontId="45" fillId="0" borderId="0" xfId="0" quotePrefix="1" applyNumberFormat="1" applyFont="1" applyAlignment="1">
      <alignment horizontal="center"/>
    </xf>
    <xf numFmtId="2" fontId="11" fillId="2" borderId="6" xfId="0" applyNumberFormat="1" applyFont="1" applyFill="1" applyBorder="1" applyAlignment="1"/>
    <xf numFmtId="2" fontId="12" fillId="3" borderId="3" xfId="4" applyNumberFormat="1" applyFont="1" applyFill="1" applyBorder="1" applyAlignment="1">
      <alignment vertical="center"/>
    </xf>
    <xf numFmtId="2" fontId="0" fillId="0" borderId="3" xfId="0" applyNumberFormat="1" applyBorder="1" applyAlignment="1"/>
    <xf numFmtId="2" fontId="12" fillId="3" borderId="2" xfId="4" applyNumberFormat="1" applyFont="1" applyFill="1" applyBorder="1" applyAlignment="1">
      <alignment horizontal="center" vertical="center"/>
    </xf>
    <xf numFmtId="2" fontId="20" fillId="32" borderId="3" xfId="0" applyNumberFormat="1" applyFont="1" applyFill="1" applyBorder="1" applyAlignment="1">
      <alignment horizontal="center" vertical="center"/>
    </xf>
    <xf numFmtId="2" fontId="5" fillId="32" borderId="3" xfId="4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32" borderId="3" xfId="0" applyNumberFormat="1" applyFont="1" applyFill="1" applyBorder="1" applyAlignment="1">
      <alignment horizontal="center" vertical="center"/>
    </xf>
    <xf numFmtId="2" fontId="11" fillId="32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1" fillId="32" borderId="3" xfId="0" applyNumberFormat="1" applyFont="1" applyFill="1" applyBorder="1" applyAlignment="1">
      <alignment horizontal="center"/>
    </xf>
    <xf numFmtId="2" fontId="11" fillId="32" borderId="23" xfId="0" applyNumberFormat="1" applyFont="1" applyFill="1" applyBorder="1" applyAlignment="1">
      <alignment horizontal="center"/>
    </xf>
    <xf numFmtId="2" fontId="8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/>
    </xf>
    <xf numFmtId="2" fontId="11" fillId="32" borderId="25" xfId="0" applyNumberFormat="1" applyFont="1" applyFill="1" applyBorder="1" applyAlignment="1">
      <alignment horizontal="center" vertical="center"/>
    </xf>
    <xf numFmtId="2" fontId="11" fillId="32" borderId="25" xfId="0" applyNumberFormat="1" applyFont="1" applyFill="1" applyBorder="1" applyAlignment="1">
      <alignment horizontal="center"/>
    </xf>
    <xf numFmtId="2" fontId="11" fillId="32" borderId="26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11" fillId="0" borderId="7" xfId="0" applyNumberFormat="1" applyFont="1" applyBorder="1" applyAlignment="1"/>
    <xf numFmtId="2" fontId="11" fillId="3" borderId="3" xfId="0" applyNumberFormat="1" applyFont="1" applyFill="1" applyBorder="1" applyAlignment="1">
      <alignment horizontal="center" vertical="center"/>
    </xf>
    <xf numFmtId="2" fontId="11" fillId="3" borderId="33" xfId="0" applyNumberFormat="1" applyFont="1" applyFill="1" applyBorder="1" applyAlignment="1">
      <alignment horizontal="center" vertical="center"/>
    </xf>
    <xf numFmtId="2" fontId="11" fillId="3" borderId="33" xfId="0" applyNumberFormat="1" applyFont="1" applyFill="1" applyBorder="1" applyAlignment="1">
      <alignment horizontal="center"/>
    </xf>
    <xf numFmtId="2" fontId="11" fillId="3" borderId="34" xfId="0" applyNumberFormat="1" applyFont="1" applyFill="1" applyBorder="1" applyAlignment="1">
      <alignment horizontal="center"/>
    </xf>
    <xf numFmtId="2" fontId="11" fillId="3" borderId="0" xfId="0" applyNumberFormat="1" applyFont="1" applyFill="1" applyAlignment="1"/>
    <xf numFmtId="2" fontId="11" fillId="32" borderId="13" xfId="0" applyNumberFormat="1" applyFont="1" applyFill="1" applyBorder="1" applyAlignment="1">
      <alignment horizontal="center" vertical="center"/>
    </xf>
    <xf numFmtId="2" fontId="11" fillId="32" borderId="13" xfId="0" applyNumberFormat="1" applyFont="1" applyFill="1" applyBorder="1" applyAlignment="1">
      <alignment horizontal="center"/>
    </xf>
    <xf numFmtId="2" fontId="11" fillId="32" borderId="14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2" fontId="11" fillId="32" borderId="26" xfId="0" applyNumberFormat="1" applyFont="1" applyFill="1" applyBorder="1" applyAlignment="1">
      <alignment horizontal="center" vertical="center"/>
    </xf>
    <xf numFmtId="2" fontId="11" fillId="3" borderId="46" xfId="0" applyNumberFormat="1" applyFont="1" applyFill="1" applyBorder="1" applyAlignment="1">
      <alignment horizontal="center" vertical="center"/>
    </xf>
    <xf numFmtId="2" fontId="11" fillId="32" borderId="14" xfId="0" applyNumberFormat="1" applyFont="1" applyFill="1" applyBorder="1" applyAlignment="1">
      <alignment horizontal="center" vertical="center"/>
    </xf>
    <xf numFmtId="2" fontId="11" fillId="3" borderId="47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1" fontId="12" fillId="3" borderId="3" xfId="4" applyNumberFormat="1" applyFont="1" applyFill="1" applyBorder="1" applyAlignment="1">
      <alignment horizontal="center" vertical="center"/>
    </xf>
    <xf numFmtId="1" fontId="12" fillId="3" borderId="12" xfId="4" applyNumberFormat="1" applyFont="1" applyFill="1" applyBorder="1" applyAlignment="1">
      <alignment horizontal="center" vertical="center"/>
    </xf>
    <xf numFmtId="2" fontId="12" fillId="3" borderId="2" xfId="4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5" fillId="3" borderId="3" xfId="4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10" fillId="3" borderId="3" xfId="4" applyNumberFormat="1" applyFont="1" applyFill="1" applyBorder="1" applyAlignment="1">
      <alignment horizontal="center" vertical="center"/>
    </xf>
    <xf numFmtId="2" fontId="11" fillId="3" borderId="18" xfId="0" applyNumberFormat="1" applyFont="1" applyFill="1" applyBorder="1" applyAlignment="1">
      <alignment horizontal="center"/>
    </xf>
    <xf numFmtId="2" fontId="11" fillId="4" borderId="3" xfId="0" applyNumberFormat="1" applyFont="1" applyFill="1" applyBorder="1" applyAlignment="1">
      <alignment horizontal="center"/>
    </xf>
    <xf numFmtId="2" fontId="11" fillId="3" borderId="23" xfId="4" applyNumberFormat="1" applyFont="1" applyFill="1" applyBorder="1" applyAlignment="1">
      <alignment horizontal="center"/>
    </xf>
    <xf numFmtId="2" fontId="45" fillId="0" borderId="24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11" fillId="3" borderId="26" xfId="4" applyNumberFormat="1" applyFont="1" applyFill="1" applyBorder="1" applyAlignment="1">
      <alignment horizontal="center"/>
    </xf>
    <xf numFmtId="2" fontId="11" fillId="3" borderId="4" xfId="4" applyNumberFormat="1" applyFont="1" applyFill="1" applyBorder="1" applyAlignment="1">
      <alignment horizontal="center"/>
    </xf>
    <xf numFmtId="2" fontId="0" fillId="0" borderId="5" xfId="0" applyNumberFormat="1" applyBorder="1" applyAlignment="1"/>
    <xf numFmtId="2" fontId="15" fillId="3" borderId="0" xfId="4" applyNumberFormat="1" applyFont="1" applyFill="1"/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10" fillId="3" borderId="0" xfId="4" applyNumberFormat="1" applyFont="1" applyFill="1"/>
    <xf numFmtId="2" fontId="0" fillId="4" borderId="23" xfId="0" applyNumberFormat="1" applyFill="1" applyBorder="1" applyAlignment="1"/>
    <xf numFmtId="2" fontId="11" fillId="3" borderId="4" xfId="0" applyNumberFormat="1" applyFon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45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1" fillId="32" borderId="3" xfId="0" applyNumberFormat="1" applyFont="1" applyFill="1" applyBorder="1">
      <alignment vertical="center"/>
    </xf>
    <xf numFmtId="1" fontId="11" fillId="32" borderId="3" xfId="0" applyNumberFormat="1" applyFont="1" applyFill="1" applyBorder="1" applyAlignment="1">
      <alignment horizontal="center" vertical="center"/>
    </xf>
    <xf numFmtId="189" fontId="9" fillId="3" borderId="18" xfId="4" applyNumberFormat="1" applyFont="1" applyFill="1" applyBorder="1" applyAlignment="1">
      <alignment horizontal="center" vertical="center"/>
    </xf>
    <xf numFmtId="2" fontId="9" fillId="3" borderId="3" xfId="4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9" fillId="3" borderId="18" xfId="4" applyNumberFormat="1" applyFont="1" applyFill="1" applyBorder="1" applyAlignment="1">
      <alignment horizontal="center" vertical="center"/>
    </xf>
    <xf numFmtId="2" fontId="33" fillId="0" borderId="23" xfId="0" applyNumberFormat="1" applyFont="1" applyBorder="1" applyAlignment="1">
      <alignment horizontal="left" vertical="center"/>
    </xf>
    <xf numFmtId="2" fontId="11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1" fillId="32" borderId="3" xfId="0" applyNumberFormat="1" applyFont="1" applyFill="1" applyBorder="1" applyAlignment="1">
      <alignment horizontal="left" vertical="center"/>
    </xf>
    <xf numFmtId="2" fontId="45" fillId="0" borderId="0" xfId="0" applyNumberFormat="1" applyFont="1" applyAlignment="1"/>
    <xf numFmtId="0" fontId="45" fillId="0" borderId="3" xfId="0" applyFont="1" applyBorder="1" applyAlignment="1">
      <alignment horizontal="left" vertical="center"/>
    </xf>
    <xf numFmtId="0" fontId="45" fillId="0" borderId="0" xfId="0" applyFont="1" applyAlignmen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6" borderId="0" xfId="0" applyFill="1">
      <alignment vertical="center"/>
    </xf>
    <xf numFmtId="0" fontId="45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 wrapText="1"/>
    </xf>
    <xf numFmtId="0" fontId="45" fillId="26" borderId="0" xfId="0" applyFont="1" applyFill="1">
      <alignment vertical="center"/>
    </xf>
    <xf numFmtId="2" fontId="0" fillId="33" borderId="0" xfId="0" applyNumberFormat="1" applyFill="1">
      <alignment vertical="center"/>
    </xf>
    <xf numFmtId="2" fontId="0" fillId="33" borderId="21" xfId="0" applyNumberFormat="1" applyFill="1" applyBorder="1" applyAlignment="1">
      <alignment horizontal="center" vertical="center"/>
    </xf>
    <xf numFmtId="2" fontId="45" fillId="33" borderId="21" xfId="0" applyNumberFormat="1" applyFont="1" applyFill="1" applyBorder="1" applyAlignment="1">
      <alignment horizontal="left" vertical="center" wrapText="1"/>
    </xf>
    <xf numFmtId="2" fontId="45" fillId="33" borderId="60" xfId="0" applyNumberFormat="1" applyFont="1" applyFill="1" applyBorder="1" applyAlignment="1">
      <alignment horizontal="left" vertical="center" wrapText="1"/>
    </xf>
    <xf numFmtId="2" fontId="17" fillId="33" borderId="3" xfId="0" applyNumberFormat="1" applyFont="1" applyFill="1" applyBorder="1" applyAlignment="1">
      <alignment horizontal="left" vertical="center" wrapText="1"/>
    </xf>
    <xf numFmtId="2" fontId="0" fillId="33" borderId="21" xfId="0" applyNumberFormat="1" applyFill="1" applyBorder="1" applyAlignment="1">
      <alignment horizontal="left" vertical="center" wrapText="1"/>
    </xf>
    <xf numFmtId="2" fontId="0" fillId="33" borderId="3" xfId="0" applyNumberFormat="1" applyFill="1" applyBorder="1" applyAlignment="1">
      <alignment horizontal="left" vertical="top" wrapText="1"/>
    </xf>
    <xf numFmtId="2" fontId="0" fillId="33" borderId="0" xfId="0" applyNumberFormat="1" applyFill="1" applyAlignment="1">
      <alignment horizontal="center" vertical="center"/>
    </xf>
    <xf numFmtId="2" fontId="23" fillId="33" borderId="0" xfId="0" applyNumberFormat="1" applyFont="1" applyFill="1" applyAlignment="1">
      <alignment horizontal="center" vertical="center"/>
    </xf>
    <xf numFmtId="2" fontId="0" fillId="33" borderId="0" xfId="0" applyNumberFormat="1" applyFill="1" applyAlignment="1">
      <alignment vertical="top" wrapText="1"/>
    </xf>
    <xf numFmtId="2" fontId="0" fillId="33" borderId="0" xfId="0" applyNumberFormat="1" applyFill="1" applyAlignment="1">
      <alignment horizontal="left" vertical="top" wrapText="1"/>
    </xf>
    <xf numFmtId="2" fontId="0" fillId="33" borderId="0" xfId="0" applyNumberFormat="1" applyFill="1" applyAlignment="1">
      <alignment horizontal="center" vertical="center" wrapText="1"/>
    </xf>
    <xf numFmtId="2" fontId="0" fillId="33" borderId="3" xfId="0" applyNumberFormat="1" applyFill="1" applyBorder="1" applyAlignment="1">
      <alignment horizontal="center" vertical="center"/>
    </xf>
    <xf numFmtId="2" fontId="0" fillId="33" borderId="3" xfId="0" applyNumberFormat="1" applyFill="1" applyBorder="1" applyAlignment="1">
      <alignment vertical="top" wrapText="1"/>
    </xf>
    <xf numFmtId="2" fontId="0" fillId="33" borderId="3" xfId="0" applyNumberFormat="1" applyFill="1" applyBorder="1" applyAlignment="1">
      <alignment vertical="center" wrapText="1"/>
    </xf>
    <xf numFmtId="2" fontId="45" fillId="33" borderId="3" xfId="0" applyNumberFormat="1" applyFont="1" applyFill="1" applyBorder="1" applyAlignment="1">
      <alignment horizontal="left" vertical="center" wrapText="1"/>
    </xf>
    <xf numFmtId="2" fontId="45" fillId="33" borderId="3" xfId="0" applyNumberFormat="1" applyFont="1" applyFill="1" applyBorder="1" applyAlignment="1">
      <alignment horizontal="left" vertical="top" wrapText="1"/>
    </xf>
    <xf numFmtId="2" fontId="0" fillId="33" borderId="3" xfId="0" applyNumberFormat="1" applyFill="1" applyBorder="1" applyAlignment="1">
      <alignment horizontal="center" vertical="center" wrapText="1"/>
    </xf>
    <xf numFmtId="2" fontId="0" fillId="33" borderId="3" xfId="0" applyNumberFormat="1" applyFill="1" applyBorder="1" applyAlignment="1">
      <alignment horizontal="left" vertical="center" wrapText="1"/>
    </xf>
    <xf numFmtId="2" fontId="0" fillId="33" borderId="38" xfId="0" applyNumberFormat="1" applyFill="1" applyBorder="1" applyAlignment="1">
      <alignment horizontal="left" vertical="center" wrapText="1"/>
    </xf>
    <xf numFmtId="2" fontId="45" fillId="33" borderId="3" xfId="0" applyNumberFormat="1" applyFont="1" applyFill="1" applyBorder="1" applyAlignment="1">
      <alignment horizontal="center" vertical="center"/>
    </xf>
    <xf numFmtId="0" fontId="34" fillId="0" borderId="88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75" fillId="5" borderId="3" xfId="0" applyFont="1" applyFill="1" applyBorder="1" applyAlignment="1">
      <alignment horizontal="center" vertical="center"/>
    </xf>
    <xf numFmtId="2" fontId="76" fillId="0" borderId="3" xfId="0" applyNumberFormat="1" applyFont="1" applyBorder="1" applyAlignment="1">
      <alignment horizontal="center" vertical="center"/>
    </xf>
    <xf numFmtId="190" fontId="25" fillId="0" borderId="3" xfId="0" applyNumberFormat="1" applyFont="1" applyBorder="1" applyAlignment="1">
      <alignment horizontal="center" vertical="center"/>
    </xf>
    <xf numFmtId="0" fontId="45" fillId="0" borderId="38" xfId="5" applyBorder="1" applyAlignment="1">
      <alignment vertical="center"/>
    </xf>
    <xf numFmtId="0" fontId="0" fillId="0" borderId="30" xfId="0" applyBorder="1" applyAlignment="1"/>
    <xf numFmtId="0" fontId="0" fillId="0" borderId="49" xfId="0" applyBorder="1" applyAlignment="1"/>
    <xf numFmtId="0" fontId="77" fillId="0" borderId="0" xfId="0" applyFont="1">
      <alignment vertical="center"/>
    </xf>
    <xf numFmtId="0" fontId="45" fillId="0" borderId="60" xfId="5" applyBorder="1" applyAlignment="1">
      <alignment vertical="center"/>
    </xf>
    <xf numFmtId="0" fontId="0" fillId="0" borderId="86" xfId="0" applyBorder="1" applyAlignment="1"/>
    <xf numFmtId="0" fontId="0" fillId="0" borderId="64" xfId="0" applyBorder="1" applyAlignment="1"/>
    <xf numFmtId="0" fontId="76" fillId="0" borderId="3" xfId="0" applyFont="1" applyBorder="1" applyAlignment="1">
      <alignment horizontal="center" vertical="center"/>
    </xf>
    <xf numFmtId="0" fontId="45" fillId="3" borderId="21" xfId="0" applyFont="1" applyFill="1" applyBorder="1">
      <alignment vertical="center"/>
    </xf>
    <xf numFmtId="0" fontId="0" fillId="0" borderId="21" xfId="0" applyBorder="1" applyAlignment="1"/>
    <xf numFmtId="190" fontId="33" fillId="0" borderId="0" xfId="0" applyNumberFormat="1" applyFont="1">
      <alignment vertical="center"/>
    </xf>
    <xf numFmtId="2" fontId="8" fillId="0" borderId="3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/>
    </xf>
    <xf numFmtId="9" fontId="78" fillId="0" borderId="3" xfId="0" applyNumberFormat="1" applyFont="1" applyBorder="1">
      <alignment vertical="center"/>
    </xf>
    <xf numFmtId="9" fontId="79" fillId="0" borderId="0" xfId="0" applyNumberFormat="1" applyFont="1" applyAlignment="1">
      <alignment horizontal="center" vertical="center"/>
    </xf>
    <xf numFmtId="0" fontId="25" fillId="0" borderId="3" xfId="0" applyFont="1" applyBorder="1" applyAlignment="1" applyProtection="1">
      <alignment horizontal="center" vertical="center"/>
      <protection locked="0"/>
    </xf>
    <xf numFmtId="0" fontId="33" fillId="14" borderId="0" xfId="0" applyFont="1" applyFill="1">
      <alignment vertical="center"/>
    </xf>
    <xf numFmtId="0" fontId="33" fillId="14" borderId="0" xfId="0" applyFont="1" applyFill="1" applyAlignment="1">
      <alignment vertical="center" wrapText="1"/>
    </xf>
    <xf numFmtId="166" fontId="33" fillId="14" borderId="0" xfId="0" applyNumberFormat="1" applyFont="1" applyFill="1" applyAlignment="1">
      <alignment horizontal="center" vertical="center"/>
    </xf>
    <xf numFmtId="2" fontId="33" fillId="14" borderId="0" xfId="0" applyNumberFormat="1" applyFont="1" applyFill="1" applyAlignment="1">
      <alignment horizontal="center" vertical="center"/>
    </xf>
    <xf numFmtId="0" fontId="32" fillId="0" borderId="0" xfId="0" applyFont="1">
      <alignment vertical="center"/>
    </xf>
    <xf numFmtId="164" fontId="32" fillId="13" borderId="3" xfId="0" applyNumberFormat="1" applyFont="1" applyFill="1" applyBorder="1" applyAlignment="1" applyProtection="1">
      <alignment horizontal="center" vertical="center"/>
      <protection locked="0"/>
    </xf>
    <xf numFmtId="2" fontId="32" fillId="9" borderId="3" xfId="0" applyNumberFormat="1" applyFont="1" applyFill="1" applyBorder="1" applyAlignment="1" applyProtection="1">
      <alignment horizontal="center" vertical="center"/>
      <protection locked="0"/>
    </xf>
    <xf numFmtId="166" fontId="32" fillId="13" borderId="3" xfId="0" applyNumberFormat="1" applyFont="1" applyFill="1" applyBorder="1" applyAlignment="1" applyProtection="1">
      <alignment horizontal="center" vertical="center"/>
      <protection locked="0"/>
    </xf>
    <xf numFmtId="166" fontId="32" fillId="13" borderId="16" xfId="0" applyNumberFormat="1" applyFont="1" applyFill="1" applyBorder="1" applyAlignment="1" applyProtection="1">
      <alignment horizontal="center" vertical="center"/>
      <protection locked="0"/>
    </xf>
    <xf numFmtId="166" fontId="32" fillId="13" borderId="50" xfId="0" applyNumberFormat="1" applyFont="1" applyFill="1" applyBorder="1" applyAlignment="1" applyProtection="1">
      <alignment horizontal="center" vertical="center"/>
      <protection locked="0"/>
    </xf>
    <xf numFmtId="172" fontId="25" fillId="3" borderId="0" xfId="0" applyNumberFormat="1" applyFont="1" applyFill="1" applyAlignment="1">
      <alignment horizontal="left" vertical="center"/>
    </xf>
    <xf numFmtId="173" fontId="25" fillId="3" borderId="0" xfId="0" applyNumberFormat="1" applyFont="1" applyFill="1" applyAlignment="1">
      <alignment horizontal="left" vertical="center"/>
    </xf>
    <xf numFmtId="0" fontId="35" fillId="3" borderId="0" xfId="0" applyFont="1" applyFill="1">
      <alignment vertical="center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>
      <alignment vertical="center"/>
    </xf>
    <xf numFmtId="168" fontId="25" fillId="3" borderId="0" xfId="0" applyNumberFormat="1" applyFont="1" applyFill="1" applyAlignment="1">
      <alignment horizontal="left" vertical="center"/>
    </xf>
    <xf numFmtId="0" fontId="34" fillId="3" borderId="0" xfId="5" applyFont="1" applyFill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0" fontId="25" fillId="3" borderId="0" xfId="5" quotePrefix="1" applyFont="1" applyFill="1" applyAlignment="1" applyProtection="1">
      <alignment vertical="center"/>
      <protection locked="0"/>
    </xf>
    <xf numFmtId="0" fontId="25" fillId="3" borderId="0" xfId="5" applyFont="1" applyFill="1" applyAlignment="1" applyProtection="1">
      <alignment vertical="center"/>
      <protection locked="0"/>
    </xf>
    <xf numFmtId="2" fontId="8" fillId="34" borderId="3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left" vertical="center" wrapText="1"/>
    </xf>
    <xf numFmtId="0" fontId="45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5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45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7" fontId="52" fillId="14" borderId="33" xfId="0" applyNumberFormat="1" applyFont="1" applyFill="1" applyBorder="1" applyAlignment="1">
      <alignment horizontal="center" vertical="center"/>
    </xf>
    <xf numFmtId="2" fontId="33" fillId="3" borderId="3" xfId="0" applyNumberFormat="1" applyFont="1" applyFill="1" applyBorder="1" applyAlignment="1">
      <alignment horizontal="center" vertical="center"/>
    </xf>
    <xf numFmtId="2" fontId="8" fillId="0" borderId="64" xfId="0" applyNumberFormat="1" applyFont="1" applyBorder="1" applyAlignment="1">
      <alignment horizontal="center" vertical="center"/>
    </xf>
    <xf numFmtId="2" fontId="45" fillId="7" borderId="3" xfId="0" applyNumberFormat="1" applyFont="1" applyFill="1" applyBorder="1" applyAlignment="1">
      <alignment horizontal="center" vertical="center"/>
    </xf>
    <xf numFmtId="2" fontId="0" fillId="7" borderId="38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 wrapText="1"/>
    </xf>
    <xf numFmtId="2" fontId="8" fillId="34" borderId="38" xfId="0" applyNumberFormat="1" applyFont="1" applyFill="1" applyBorder="1" applyAlignment="1">
      <alignment horizontal="center" vertical="center"/>
    </xf>
    <xf numFmtId="2" fontId="8" fillId="0" borderId="0" xfId="0" applyNumberFormat="1" applyFont="1">
      <alignment vertical="center"/>
    </xf>
    <xf numFmtId="2" fontId="84" fillId="0" borderId="0" xfId="0" applyNumberFormat="1" applyFont="1" applyAlignment="1">
      <alignment horizontal="center" vertical="center"/>
    </xf>
    <xf numFmtId="2" fontId="8" fillId="34" borderId="3" xfId="0" applyNumberFormat="1" applyFont="1" applyFill="1" applyBorder="1" applyAlignment="1">
      <alignment horizontal="center"/>
    </xf>
    <xf numFmtId="0" fontId="33" fillId="34" borderId="0" xfId="0" applyFont="1" applyFill="1">
      <alignment vertical="center"/>
    </xf>
    <xf numFmtId="0" fontId="45" fillId="34" borderId="3" xfId="0" applyFont="1" applyFill="1" applyBorder="1" applyAlignment="1">
      <alignment horizontal="left" vertical="center"/>
    </xf>
    <xf numFmtId="0" fontId="0" fillId="34" borderId="0" xfId="0" applyFill="1">
      <alignment vertical="center"/>
    </xf>
    <xf numFmtId="2" fontId="45" fillId="34" borderId="0" xfId="0" applyNumberFormat="1" applyFont="1" applyFill="1" applyAlignment="1"/>
    <xf numFmtId="179" fontId="33" fillId="0" borderId="38" xfId="0" applyNumberFormat="1" applyFont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45" fillId="5" borderId="3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33" fillId="0" borderId="67" xfId="0" applyFont="1" applyBorder="1" applyAlignment="1">
      <alignment horizontal="center" vertical="center"/>
    </xf>
    <xf numFmtId="0" fontId="33" fillId="0" borderId="65" xfId="0" applyFont="1" applyBorder="1">
      <alignment vertical="center"/>
    </xf>
    <xf numFmtId="0" fontId="33" fillId="0" borderId="68" xfId="0" applyFont="1" applyBorder="1">
      <alignment vertical="center"/>
    </xf>
    <xf numFmtId="0" fontId="33" fillId="0" borderId="69" xfId="0" applyFont="1" applyBorder="1">
      <alignment vertical="center"/>
    </xf>
    <xf numFmtId="0" fontId="33" fillId="0" borderId="54" xfId="0" applyFont="1" applyBorder="1" applyAlignment="1">
      <alignment horizontal="center" vertical="center"/>
    </xf>
    <xf numFmtId="0" fontId="33" fillId="0" borderId="62" xfId="0" applyFont="1" applyBorder="1">
      <alignment vertical="center"/>
    </xf>
    <xf numFmtId="0" fontId="33" fillId="0" borderId="57" xfId="0" applyFont="1" applyBorder="1" applyAlignment="1">
      <alignment horizontal="center" vertical="center"/>
    </xf>
    <xf numFmtId="166" fontId="33" fillId="0" borderId="69" xfId="0" applyNumberFormat="1" applyFont="1" applyBorder="1">
      <alignment vertical="center"/>
    </xf>
    <xf numFmtId="0" fontId="25" fillId="0" borderId="65" xfId="0" applyFont="1" applyBorder="1" applyProtection="1">
      <alignment vertical="center"/>
      <protection locked="0"/>
    </xf>
    <xf numFmtId="0" fontId="25" fillId="0" borderId="68" xfId="0" applyFont="1" applyBorder="1" applyProtection="1">
      <alignment vertical="center"/>
      <protection locked="0"/>
    </xf>
    <xf numFmtId="0" fontId="25" fillId="0" borderId="69" xfId="0" applyFont="1" applyBorder="1" applyProtection="1">
      <alignment vertical="center"/>
      <protection locked="0"/>
    </xf>
    <xf numFmtId="0" fontId="25" fillId="0" borderId="67" xfId="0" applyFont="1" applyBorder="1" applyAlignment="1" applyProtection="1">
      <alignment horizontal="center" vertical="center"/>
      <protection locked="0"/>
    </xf>
    <xf numFmtId="0" fontId="25" fillId="0" borderId="57" xfId="0" applyFont="1" applyBorder="1" applyAlignment="1" applyProtection="1">
      <alignment horizontal="center" vertical="center"/>
      <protection locked="0"/>
    </xf>
    <xf numFmtId="0" fontId="85" fillId="0" borderId="0" xfId="0" applyFont="1">
      <alignment vertical="center"/>
    </xf>
    <xf numFmtId="0" fontId="86" fillId="0" borderId="0" xfId="0" applyFont="1">
      <alignment vertical="center"/>
    </xf>
    <xf numFmtId="0" fontId="86" fillId="12" borderId="0" xfId="0" applyFont="1" applyFill="1">
      <alignment vertical="center"/>
    </xf>
    <xf numFmtId="0" fontId="83" fillId="35" borderId="0" xfId="0" applyFont="1" applyFill="1">
      <alignment vertical="center"/>
    </xf>
    <xf numFmtId="0" fontId="87" fillId="0" borderId="0" xfId="0" applyFont="1">
      <alignment vertical="center"/>
    </xf>
    <xf numFmtId="0" fontId="88" fillId="0" borderId="0" xfId="0" applyFont="1">
      <alignment vertical="center"/>
    </xf>
    <xf numFmtId="0" fontId="88" fillId="12" borderId="0" xfId="0" applyFont="1" applyFill="1">
      <alignment vertical="center"/>
    </xf>
    <xf numFmtId="0" fontId="65" fillId="35" borderId="0" xfId="0" applyFont="1" applyFill="1">
      <alignment vertical="center"/>
    </xf>
    <xf numFmtId="3" fontId="64" fillId="0" borderId="3" xfId="0" applyNumberFormat="1" applyFont="1" applyBorder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1" fontId="33" fillId="0" borderId="73" xfId="0" applyNumberFormat="1" applyFont="1" applyBorder="1" applyAlignment="1">
      <alignment horizontal="center" vertical="center"/>
    </xf>
    <xf numFmtId="1" fontId="33" fillId="0" borderId="74" xfId="0" applyNumberFormat="1" applyFont="1" applyBorder="1" applyAlignment="1">
      <alignment horizontal="center" vertical="center"/>
    </xf>
    <xf numFmtId="166" fontId="33" fillId="0" borderId="26" xfId="0" applyNumberFormat="1" applyFont="1" applyBorder="1" applyAlignment="1">
      <alignment horizontal="center" vertical="center"/>
    </xf>
    <xf numFmtId="182" fontId="32" fillId="13" borderId="38" xfId="0" applyNumberFormat="1" applyFont="1" applyFill="1" applyBorder="1" applyAlignment="1" applyProtection="1">
      <alignment horizontal="center" vertical="center"/>
      <protection locked="0"/>
    </xf>
    <xf numFmtId="166" fontId="33" fillId="0" borderId="3" xfId="0" applyNumberFormat="1" applyFont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184" fontId="32" fillId="13" borderId="38" xfId="0" quotePrefix="1" applyNumberFormat="1" applyFont="1" applyFill="1" applyBorder="1" applyAlignment="1" applyProtection="1">
      <alignment horizontal="center" vertical="center"/>
      <protection locked="0"/>
    </xf>
    <xf numFmtId="0" fontId="33" fillId="0" borderId="3" xfId="0" applyFont="1" applyBorder="1" applyAlignment="1">
      <alignment horizontal="center" vertical="center" wrapText="1"/>
    </xf>
    <xf numFmtId="2" fontId="33" fillId="14" borderId="3" xfId="0" applyNumberFormat="1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center"/>
    </xf>
    <xf numFmtId="0" fontId="33" fillId="0" borderId="0" xfId="0" applyFont="1" applyAlignment="1" applyProtection="1">
      <alignment horizontal="center" vertical="center"/>
      <protection locked="0"/>
    </xf>
    <xf numFmtId="166" fontId="33" fillId="0" borderId="0" xfId="0" applyNumberFormat="1" applyFont="1" applyAlignment="1" applyProtection="1">
      <alignment horizontal="left" vertical="center"/>
      <protection locked="0"/>
    </xf>
    <xf numFmtId="0" fontId="33" fillId="0" borderId="0" xfId="0" applyFont="1" applyAlignment="1">
      <alignment horizontal="left" vertical="center"/>
    </xf>
    <xf numFmtId="0" fontId="33" fillId="11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33" fillId="0" borderId="3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33" fillId="0" borderId="21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3" fillId="14" borderId="0" xfId="0" applyFont="1" applyFill="1" applyAlignment="1">
      <alignment horizontal="center" vertical="center"/>
    </xf>
    <xf numFmtId="0" fontId="33" fillId="11" borderId="0" xfId="0" applyFont="1" applyFill="1" applyAlignment="1" applyProtection="1">
      <alignment horizontal="left" vertical="center"/>
      <protection locked="0"/>
    </xf>
    <xf numFmtId="0" fontId="25" fillId="0" borderId="0" xfId="0" applyFont="1" applyAlignment="1"/>
    <xf numFmtId="166" fontId="32" fillId="0" borderId="0" xfId="0" applyNumberFormat="1" applyFont="1" applyAlignment="1">
      <alignment horizontal="left" vertical="center"/>
    </xf>
    <xf numFmtId="173" fontId="33" fillId="0" borderId="0" xfId="0" applyNumberFormat="1" applyFont="1" applyAlignment="1">
      <alignment horizontal="center" vertical="center"/>
    </xf>
    <xf numFmtId="0" fontId="33" fillId="0" borderId="0" xfId="0" applyNumberFormat="1" applyFont="1">
      <alignment vertical="center"/>
    </xf>
    <xf numFmtId="0" fontId="33" fillId="11" borderId="0" xfId="0" applyNumberFormat="1" applyFont="1" applyFill="1">
      <alignment vertical="center"/>
    </xf>
    <xf numFmtId="0" fontId="32" fillId="0" borderId="55" xfId="0" applyFont="1" applyBorder="1">
      <alignment vertical="center"/>
    </xf>
    <xf numFmtId="0" fontId="32" fillId="0" borderId="58" xfId="0" applyFont="1" applyBorder="1">
      <alignment vertical="center"/>
    </xf>
    <xf numFmtId="183" fontId="33" fillId="0" borderId="62" xfId="0" applyNumberFormat="1" applyFont="1" applyBorder="1" applyAlignment="1">
      <alignment vertical="center"/>
    </xf>
    <xf numFmtId="182" fontId="32" fillId="0" borderId="65" xfId="0" applyNumberFormat="1" applyFont="1" applyBorder="1" applyAlignment="1">
      <alignment horizontal="center" vertical="center"/>
    </xf>
    <xf numFmtId="184" fontId="33" fillId="0" borderId="63" xfId="0" applyNumberFormat="1" applyFont="1" applyBorder="1" applyAlignment="1">
      <alignment vertical="center"/>
    </xf>
    <xf numFmtId="184" fontId="32" fillId="0" borderId="58" xfId="0" applyNumberFormat="1" applyFont="1" applyBorder="1" applyAlignment="1">
      <alignment horizontal="center" vertical="center"/>
    </xf>
    <xf numFmtId="182" fontId="17" fillId="0" borderId="69" xfId="0" applyNumberFormat="1" applyFont="1" applyBorder="1" applyAlignment="1">
      <alignment vertical="center"/>
    </xf>
    <xf numFmtId="0" fontId="33" fillId="13" borderId="0" xfId="0" quotePrefix="1" applyFont="1" applyFill="1" applyAlignment="1" applyProtection="1">
      <alignment horizontal="left" vertical="center"/>
      <protection locked="0"/>
    </xf>
    <xf numFmtId="0" fontId="33" fillId="3" borderId="0" xfId="0" applyFont="1" applyFill="1">
      <alignment vertical="center"/>
    </xf>
    <xf numFmtId="0" fontId="33" fillId="13" borderId="0" xfId="0" quotePrefix="1" applyFont="1" applyFill="1" applyProtection="1">
      <alignment vertical="center"/>
      <protection locked="0"/>
    </xf>
    <xf numFmtId="0" fontId="33" fillId="3" borderId="0" xfId="0" applyFont="1" applyFill="1" applyAlignment="1">
      <alignment horizontal="center" vertical="center"/>
    </xf>
    <xf numFmtId="0" fontId="17" fillId="3" borderId="3" xfId="0" quotePrefix="1" applyFont="1" applyFill="1" applyBorder="1">
      <alignment vertical="center"/>
    </xf>
    <xf numFmtId="0" fontId="33" fillId="3" borderId="3" xfId="0" applyFont="1" applyFill="1" applyBorder="1" applyAlignment="1" applyProtection="1">
      <alignment horizontal="center" vertical="center"/>
      <protection locked="0"/>
    </xf>
    <xf numFmtId="9" fontId="33" fillId="3" borderId="0" xfId="0" applyNumberFormat="1" applyFont="1" applyFill="1">
      <alignment vertical="center"/>
    </xf>
    <xf numFmtId="0" fontId="33" fillId="0" borderId="48" xfId="0" applyFont="1" applyBorder="1">
      <alignment vertical="center"/>
    </xf>
    <xf numFmtId="0" fontId="25" fillId="0" borderId="47" xfId="0" applyFont="1" applyBorder="1" applyAlignment="1">
      <alignment horizontal="center" vertical="center"/>
    </xf>
    <xf numFmtId="2" fontId="33" fillId="3" borderId="0" xfId="0" applyNumberFormat="1" applyFont="1" applyFill="1" applyAlignment="1">
      <alignment horizontal="center" vertical="center"/>
    </xf>
    <xf numFmtId="0" fontId="90" fillId="0" borderId="0" xfId="0" applyFont="1">
      <alignment vertical="center"/>
    </xf>
    <xf numFmtId="0" fontId="45" fillId="0" borderId="0" xfId="0" applyFont="1" applyProtection="1">
      <alignment vertical="center"/>
      <protection locked="0"/>
    </xf>
    <xf numFmtId="0" fontId="33" fillId="14" borderId="3" xfId="0" applyFont="1" applyFill="1" applyBorder="1" applyAlignment="1" applyProtection="1">
      <alignment horizontal="center" vertical="center"/>
      <protection locked="0"/>
    </xf>
    <xf numFmtId="170" fontId="33" fillId="14" borderId="3" xfId="0" applyNumberFormat="1" applyFont="1" applyFill="1" applyBorder="1" applyAlignment="1" applyProtection="1">
      <alignment horizontal="center" vertical="center"/>
      <protection locked="0"/>
    </xf>
    <xf numFmtId="170" fontId="33" fillId="14" borderId="0" xfId="0" applyNumberFormat="1" applyFont="1" applyFill="1" applyProtection="1">
      <alignment vertical="center"/>
      <protection locked="0"/>
    </xf>
    <xf numFmtId="2" fontId="33" fillId="14" borderId="3" xfId="0" applyNumberFormat="1" applyFont="1" applyFill="1" applyBorder="1" applyAlignment="1" applyProtection="1">
      <alignment horizontal="center" vertical="center"/>
      <protection locked="0"/>
    </xf>
    <xf numFmtId="166" fontId="32" fillId="13" borderId="0" xfId="0" applyNumberFormat="1" applyFont="1" applyFill="1" applyAlignment="1" applyProtection="1">
      <alignment horizontal="left" vertical="center"/>
      <protection locked="0"/>
    </xf>
    <xf numFmtId="0" fontId="33" fillId="13" borderId="48" xfId="0" applyFont="1" applyFill="1" applyBorder="1" applyAlignment="1" applyProtection="1">
      <alignment horizontal="center" vertical="center"/>
      <protection locked="0"/>
    </xf>
    <xf numFmtId="164" fontId="32" fillId="13" borderId="38" xfId="0" applyNumberFormat="1" applyFont="1" applyFill="1" applyBorder="1" applyAlignment="1" applyProtection="1">
      <alignment horizontal="center" vertical="center"/>
      <protection locked="0"/>
    </xf>
    <xf numFmtId="183" fontId="33" fillId="13" borderId="49" xfId="0" applyNumberFormat="1" applyFont="1" applyFill="1" applyBorder="1" applyAlignment="1" applyProtection="1">
      <alignment horizontal="left" vertical="center"/>
      <protection locked="0"/>
    </xf>
    <xf numFmtId="184" fontId="33" fillId="13" borderId="49" xfId="0" applyNumberFormat="1" applyFont="1" applyFill="1" applyBorder="1" applyAlignment="1" applyProtection="1">
      <alignment vertical="center"/>
      <protection locked="0"/>
    </xf>
    <xf numFmtId="182" fontId="33" fillId="13" borderId="49" xfId="0" applyNumberFormat="1" applyFont="1" applyFill="1" applyBorder="1" applyAlignment="1" applyProtection="1">
      <alignment vertical="center"/>
      <protection locked="0"/>
    </xf>
    <xf numFmtId="0" fontId="45" fillId="0" borderId="0" xfId="2" applyAlignment="1" applyProtection="1">
      <alignment horizontal="left"/>
    </xf>
    <xf numFmtId="0" fontId="45" fillId="0" borderId="0" xfId="2" applyProtection="1"/>
    <xf numFmtId="0" fontId="4" fillId="31" borderId="0" xfId="2" applyFont="1" applyFill="1" applyAlignment="1">
      <alignment horizontal="left" vertical="center"/>
      <protection locked="0"/>
    </xf>
    <xf numFmtId="0" fontId="5" fillId="31" borderId="3" xfId="2" applyFont="1" applyFill="1" applyBorder="1" applyAlignment="1">
      <alignment horizontal="center"/>
      <protection locked="0"/>
    </xf>
    <xf numFmtId="0" fontId="5" fillId="31" borderId="0" xfId="2" applyFont="1" applyFill="1" applyAlignment="1">
      <alignment horizontal="left"/>
      <protection locked="0"/>
    </xf>
    <xf numFmtId="0" fontId="5" fillId="31" borderId="3" xfId="2" applyFont="1" applyFill="1" applyBorder="1" applyAlignment="1">
      <alignment horizontal="center" vertical="center"/>
      <protection locked="0"/>
    </xf>
    <xf numFmtId="0" fontId="6" fillId="31" borderId="3" xfId="2" applyFont="1" applyFill="1" applyBorder="1" applyAlignment="1">
      <alignment horizontal="center" vertical="center"/>
      <protection locked="0"/>
    </xf>
    <xf numFmtId="0" fontId="45" fillId="31" borderId="0" xfId="2" applyFill="1" applyAlignment="1">
      <alignment horizontal="left"/>
      <protection locked="0"/>
    </xf>
    <xf numFmtId="1" fontId="45" fillId="31" borderId="3" xfId="2" applyNumberFormat="1" applyFill="1" applyBorder="1" applyAlignment="1">
      <alignment horizontal="center" vertical="center"/>
      <protection locked="0"/>
    </xf>
    <xf numFmtId="2" fontId="7" fillId="31" borderId="3" xfId="2" quotePrefix="1" applyNumberFormat="1" applyFont="1" applyFill="1" applyBorder="1" applyAlignment="1">
      <alignment horizontal="center" vertical="center"/>
      <protection locked="0"/>
    </xf>
    <xf numFmtId="2" fontId="45" fillId="31" borderId="3" xfId="2" applyNumberFormat="1" applyFill="1" applyBorder="1" applyAlignment="1">
      <alignment horizontal="center"/>
      <protection locked="0"/>
    </xf>
    <xf numFmtId="2" fontId="7" fillId="31" borderId="3" xfId="2" applyNumberFormat="1" applyFont="1" applyFill="1" applyBorder="1" applyAlignment="1">
      <alignment horizontal="center" vertical="center"/>
      <protection locked="0"/>
    </xf>
    <xf numFmtId="2" fontId="45" fillId="31" borderId="3" xfId="2" applyNumberFormat="1" applyFill="1" applyBorder="1" applyAlignment="1">
      <alignment horizontal="center" vertical="center"/>
      <protection locked="0"/>
    </xf>
    <xf numFmtId="0" fontId="9" fillId="31" borderId="3" xfId="2" applyFont="1" applyFill="1" applyBorder="1" applyAlignment="1">
      <alignment horizontal="center" vertical="center"/>
      <protection locked="0"/>
    </xf>
    <xf numFmtId="166" fontId="7" fillId="31" borderId="3" xfId="2" applyNumberFormat="1" applyFont="1" applyFill="1" applyBorder="1" applyAlignment="1">
      <alignment horizontal="center" vertical="center"/>
      <protection locked="0"/>
    </xf>
    <xf numFmtId="2" fontId="45" fillId="31" borderId="3" xfId="2" quotePrefix="1" applyNumberFormat="1" applyFill="1" applyBorder="1" applyAlignment="1">
      <alignment horizontal="center" vertical="center"/>
      <protection locked="0"/>
    </xf>
    <xf numFmtId="0" fontId="45" fillId="31" borderId="3" xfId="2" applyFill="1" applyBorder="1" applyAlignment="1">
      <alignment horizontal="center" vertical="center"/>
      <protection locked="0"/>
    </xf>
    <xf numFmtId="164" fontId="45" fillId="31" borderId="3" xfId="2" quotePrefix="1" applyNumberFormat="1" applyFill="1" applyBorder="1" applyAlignment="1">
      <alignment horizontal="center" vertical="center"/>
      <protection locked="0"/>
    </xf>
    <xf numFmtId="1" fontId="7" fillId="31" borderId="3" xfId="2" quotePrefix="1" applyNumberFormat="1" applyFont="1" applyFill="1" applyBorder="1" applyAlignment="1">
      <alignment horizontal="center" vertical="center"/>
      <protection locked="0"/>
    </xf>
    <xf numFmtId="0" fontId="7" fillId="31" borderId="3" xfId="2" quotePrefix="1" applyFont="1" applyFill="1" applyBorder="1" applyAlignment="1">
      <alignment horizontal="center" vertical="center"/>
      <protection locked="0"/>
    </xf>
    <xf numFmtId="0" fontId="7" fillId="31" borderId="3" xfId="2" applyFont="1" applyFill="1" applyBorder="1" applyAlignment="1">
      <alignment horizontal="center" vertical="center"/>
      <protection locked="0"/>
    </xf>
    <xf numFmtId="166" fontId="45" fillId="31" borderId="3" xfId="2" applyNumberFormat="1" applyFill="1" applyBorder="1" applyAlignment="1">
      <alignment horizontal="center" vertical="center"/>
      <protection locked="0"/>
    </xf>
    <xf numFmtId="164" fontId="45" fillId="31" borderId="3" xfId="2" applyNumberFormat="1" applyFill="1" applyBorder="1" applyAlignment="1">
      <alignment horizontal="center" vertical="center"/>
      <protection locked="0"/>
    </xf>
    <xf numFmtId="0" fontId="23" fillId="31" borderId="0" xfId="2" applyFont="1" applyFill="1" applyAlignment="1">
      <alignment horizontal="left"/>
      <protection locked="0"/>
    </xf>
    <xf numFmtId="167" fontId="45" fillId="31" borderId="3" xfId="2" applyNumberFormat="1" applyFill="1" applyBorder="1" applyAlignment="1">
      <alignment horizontal="center" vertical="center"/>
      <protection locked="0"/>
    </xf>
    <xf numFmtId="0" fontId="23" fillId="31" borderId="3" xfId="2" applyFont="1" applyFill="1" applyBorder="1" applyAlignment="1">
      <alignment horizontal="center" vertical="center"/>
      <protection locked="0"/>
    </xf>
    <xf numFmtId="0" fontId="45" fillId="3" borderId="4" xfId="2" applyFill="1" applyBorder="1">
      <protection locked="0"/>
    </xf>
    <xf numFmtId="0" fontId="45" fillId="3" borderId="0" xfId="2" applyFill="1">
      <protection locked="0"/>
    </xf>
    <xf numFmtId="0" fontId="45" fillId="3" borderId="0" xfId="2" applyFill="1" applyProtection="1"/>
    <xf numFmtId="0" fontId="45" fillId="3" borderId="0" xfId="2" applyFill="1" applyAlignment="1">
      <alignment horizontal="left"/>
      <protection locked="0"/>
    </xf>
    <xf numFmtId="0" fontId="45" fillId="3" borderId="5" xfId="2" applyFill="1" applyBorder="1">
      <protection locked="0"/>
    </xf>
    <xf numFmtId="0" fontId="45" fillId="3" borderId="0" xfId="2" applyFill="1" applyAlignment="1" applyProtection="1">
      <alignment horizontal="left"/>
    </xf>
    <xf numFmtId="0" fontId="8" fillId="31" borderId="0" xfId="2" applyFont="1" applyFill="1" applyAlignment="1">
      <alignment horizontal="left" vertical="center"/>
      <protection locked="0"/>
    </xf>
    <xf numFmtId="0" fontId="5" fillId="31" borderId="21" xfId="2" applyFont="1" applyFill="1" applyBorder="1" applyAlignment="1">
      <alignment horizontal="center"/>
      <protection locked="0"/>
    </xf>
    <xf numFmtId="0" fontId="5" fillId="31" borderId="21" xfId="2" applyFont="1" applyFill="1" applyBorder="1" applyAlignment="1">
      <alignment horizontal="center" vertical="center"/>
      <protection locked="0"/>
    </xf>
    <xf numFmtId="0" fontId="6" fillId="31" borderId="21" xfId="2" applyFont="1" applyFill="1" applyBorder="1" applyAlignment="1">
      <alignment horizontal="center" vertical="center"/>
      <protection locked="0"/>
    </xf>
    <xf numFmtId="0" fontId="45" fillId="31" borderId="3" xfId="2" applyFill="1" applyBorder="1" applyAlignment="1">
      <alignment horizontal="right" vertical="center"/>
      <protection locked="0"/>
    </xf>
    <xf numFmtId="166" fontId="45" fillId="31" borderId="3" xfId="2" applyNumberFormat="1" applyFill="1" applyBorder="1" applyAlignment="1">
      <alignment horizontal="right" vertical="center"/>
      <protection locked="0"/>
    </xf>
    <xf numFmtId="0" fontId="23" fillId="0" borderId="0" xfId="2" applyFont="1" applyAlignment="1" applyProtection="1">
      <alignment horizontal="left"/>
    </xf>
    <xf numFmtId="0" fontId="3" fillId="3" borderId="4" xfId="2" applyFont="1" applyFill="1" applyBorder="1" applyAlignment="1">
      <alignment horizontal="center" vertical="center" wrapText="1"/>
      <protection locked="0"/>
    </xf>
    <xf numFmtId="0" fontId="45" fillId="3" borderId="0" xfId="2" applyFill="1" applyAlignment="1">
      <alignment horizontal="center" vertical="center"/>
      <protection locked="0"/>
    </xf>
    <xf numFmtId="164" fontId="45" fillId="3" borderId="0" xfId="2" applyNumberFormat="1" applyFill="1" applyAlignment="1">
      <alignment horizontal="center" vertical="center"/>
      <protection locked="0"/>
    </xf>
    <xf numFmtId="0" fontId="3" fillId="3" borderId="0" xfId="2" applyFont="1" applyFill="1" applyAlignment="1">
      <alignment horizontal="center" vertical="center" wrapText="1"/>
      <protection locked="0"/>
    </xf>
    <xf numFmtId="0" fontId="45" fillId="3" borderId="0" xfId="2" applyFill="1" applyAlignment="1">
      <alignment horizontal="right" vertical="center"/>
      <protection locked="0"/>
    </xf>
    <xf numFmtId="166" fontId="7" fillId="31" borderId="3" xfId="2" quotePrefix="1" applyNumberFormat="1" applyFont="1" applyFill="1" applyBorder="1" applyAlignment="1">
      <alignment horizontal="center" vertical="center"/>
      <protection locked="0"/>
    </xf>
    <xf numFmtId="2" fontId="45" fillId="31" borderId="16" xfId="2" quotePrefix="1" applyNumberFormat="1" applyFill="1" applyBorder="1" applyAlignment="1">
      <alignment horizontal="center" vertical="center"/>
      <protection locked="0"/>
    </xf>
    <xf numFmtId="2" fontId="45" fillId="31" borderId="21" xfId="2" quotePrefix="1" applyNumberFormat="1" applyFill="1" applyBorder="1" applyAlignment="1">
      <alignment horizontal="center" vertical="center"/>
      <protection locked="0"/>
    </xf>
    <xf numFmtId="0" fontId="45" fillId="0" borderId="0" xfId="2" applyAlignment="1" applyProtection="1">
      <alignment horizontal="center"/>
    </xf>
    <xf numFmtId="192" fontId="45" fillId="31" borderId="3" xfId="2" applyNumberFormat="1" applyFill="1" applyBorder="1" applyAlignment="1">
      <alignment horizontal="center"/>
      <protection locked="0"/>
    </xf>
    <xf numFmtId="164" fontId="45" fillId="31" borderId="3" xfId="2" applyNumberFormat="1" applyFill="1" applyBorder="1" applyAlignment="1">
      <alignment horizontal="center"/>
      <protection locked="0"/>
    </xf>
    <xf numFmtId="1" fontId="45" fillId="31" borderId="3" xfId="2" quotePrefix="1" applyNumberFormat="1" applyFill="1" applyBorder="1" applyAlignment="1">
      <alignment horizontal="center" vertical="center"/>
      <protection locked="0"/>
    </xf>
    <xf numFmtId="166" fontId="45" fillId="31" borderId="3" xfId="2" applyNumberFormat="1" applyFill="1" applyBorder="1" applyAlignment="1">
      <alignment horizontal="center"/>
      <protection locked="0"/>
    </xf>
    <xf numFmtId="166" fontId="45" fillId="31" borderId="3" xfId="2" quotePrefix="1" applyNumberFormat="1" applyFill="1" applyBorder="1" applyAlignment="1">
      <alignment horizontal="center" vertical="center"/>
      <protection locked="0"/>
    </xf>
    <xf numFmtId="167" fontId="45" fillId="31" borderId="3" xfId="2" applyNumberFormat="1" applyFill="1" applyBorder="1" applyAlignment="1">
      <alignment horizontal="center"/>
      <protection locked="0"/>
    </xf>
    <xf numFmtId="169" fontId="45" fillId="31" borderId="3" xfId="2" applyNumberFormat="1" applyFill="1" applyBorder="1" applyAlignment="1">
      <alignment horizontal="center"/>
      <protection locked="0"/>
    </xf>
    <xf numFmtId="0" fontId="45" fillId="31" borderId="3" xfId="2" quotePrefix="1" applyFill="1" applyBorder="1" applyAlignment="1">
      <alignment horizontal="center" vertical="center"/>
      <protection locked="0"/>
    </xf>
    <xf numFmtId="0" fontId="3" fillId="2" borderId="8" xfId="2" applyFont="1" applyFill="1" applyBorder="1" applyAlignment="1">
      <alignment horizontal="center" vertical="center" wrapText="1"/>
      <protection locked="0"/>
    </xf>
    <xf numFmtId="0" fontId="3" fillId="2" borderId="9" xfId="2" applyFont="1" applyFill="1" applyBorder="1" applyAlignment="1">
      <alignment horizontal="center" vertical="center" wrapText="1"/>
      <protection locked="0"/>
    </xf>
    <xf numFmtId="0" fontId="45" fillId="2" borderId="9" xfId="2" applyFill="1" applyBorder="1" applyProtection="1"/>
    <xf numFmtId="0" fontId="3" fillId="2" borderId="9" xfId="2" applyFont="1" applyFill="1" applyBorder="1" applyAlignment="1">
      <alignment horizontal="left" vertical="center" wrapText="1"/>
      <protection locked="0"/>
    </xf>
    <xf numFmtId="0" fontId="45" fillId="2" borderId="9" xfId="2" applyFill="1" applyBorder="1">
      <protection locked="0"/>
    </xf>
    <xf numFmtId="0" fontId="45" fillId="2" borderId="11" xfId="2" applyFill="1" applyBorder="1">
      <protection locked="0"/>
    </xf>
    <xf numFmtId="0" fontId="45" fillId="0" borderId="4" xfId="2" applyBorder="1" applyProtection="1"/>
    <xf numFmtId="0" fontId="45" fillId="0" borderId="0" xfId="2" applyAlignment="1" applyProtection="1">
      <alignment horizontal="center" vertical="center"/>
    </xf>
    <xf numFmtId="0" fontId="17" fillId="3" borderId="0" xfId="2" applyFont="1" applyFill="1" applyAlignment="1" applyProtection="1">
      <alignment vertical="center"/>
    </xf>
    <xf numFmtId="0" fontId="45" fillId="3" borderId="38" xfId="6" applyFill="1" applyBorder="1" applyAlignment="1">
      <alignment horizontal="center" vertical="center"/>
    </xf>
    <xf numFmtId="0" fontId="45" fillId="3" borderId="23" xfId="6" applyFill="1" applyBorder="1" applyAlignment="1">
      <alignment horizontal="center" vertical="center"/>
    </xf>
    <xf numFmtId="0" fontId="45" fillId="3" borderId="2" xfId="2" applyFill="1" applyBorder="1" applyProtection="1"/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45" fillId="3" borderId="29" xfId="6" applyFill="1" applyBorder="1" applyAlignment="1">
      <alignment horizontal="center" vertical="center"/>
    </xf>
    <xf numFmtId="2" fontId="12" fillId="7" borderId="18" xfId="2" applyNumberFormat="1" applyFont="1" applyFill="1" applyBorder="1" applyAlignment="1" applyProtection="1">
      <alignment horizontal="center" vertical="center"/>
    </xf>
    <xf numFmtId="0" fontId="12" fillId="7" borderId="3" xfId="2" applyFont="1" applyFill="1" applyBorder="1" applyAlignment="1" applyProtection="1">
      <alignment horizontal="center" vertical="center"/>
    </xf>
    <xf numFmtId="164" fontId="14" fillId="7" borderId="92" xfId="2" applyNumberFormat="1" applyFont="1" applyFill="1" applyBorder="1" applyAlignment="1" applyProtection="1">
      <alignment horizontal="center"/>
    </xf>
    <xf numFmtId="2" fontId="12" fillId="7" borderId="23" xfId="2" applyNumberFormat="1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2" fontId="45" fillId="3" borderId="38" xfId="6" applyNumberFormat="1" applyFill="1" applyBorder="1" applyAlignment="1">
      <alignment horizontal="center" vertical="center"/>
    </xf>
    <xf numFmtId="2" fontId="14" fillId="7" borderId="92" xfId="2" applyNumberFormat="1" applyFont="1" applyFill="1" applyBorder="1" applyAlignment="1" applyProtection="1">
      <alignment horizontal="center"/>
    </xf>
    <xf numFmtId="166" fontId="23" fillId="3" borderId="12" xfId="2" applyNumberFormat="1" applyFont="1" applyFill="1" applyBorder="1" applyAlignment="1" applyProtection="1">
      <alignment horizontal="center" vertical="center" wrapText="1"/>
    </xf>
    <xf numFmtId="167" fontId="93" fillId="7" borderId="37" xfId="2" applyNumberFormat="1" applyFont="1" applyFill="1" applyBorder="1" applyAlignment="1" applyProtection="1">
      <alignment horizontal="center" vertical="center"/>
    </xf>
    <xf numFmtId="166" fontId="94" fillId="7" borderId="14" xfId="2" applyNumberFormat="1" applyFont="1" applyFill="1" applyBorder="1" applyAlignment="1" applyProtection="1">
      <alignment horizontal="center" vertical="center"/>
    </xf>
    <xf numFmtId="1" fontId="23" fillId="3" borderId="18" xfId="2" applyNumberFormat="1" applyFont="1" applyFill="1" applyBorder="1" applyAlignment="1" applyProtection="1">
      <alignment horizontal="center" vertical="center" wrapText="1"/>
    </xf>
    <xf numFmtId="0" fontId="95" fillId="7" borderId="38" xfId="2" applyFont="1" applyFill="1" applyBorder="1" applyAlignment="1" applyProtection="1">
      <alignment horizontal="center" vertical="center"/>
    </xf>
    <xf numFmtId="164" fontId="94" fillId="7" borderId="23" xfId="2" applyNumberFormat="1" applyFont="1" applyFill="1" applyBorder="1" applyAlignment="1" applyProtection="1">
      <alignment horizontal="center" vertical="center"/>
    </xf>
    <xf numFmtId="164" fontId="12" fillId="7" borderId="18" xfId="2" applyNumberFormat="1" applyFont="1" applyFill="1" applyBorder="1" applyAlignment="1" applyProtection="1">
      <alignment horizontal="center" vertical="center"/>
    </xf>
    <xf numFmtId="164" fontId="12" fillId="7" borderId="3" xfId="2" applyNumberFormat="1" applyFont="1" applyFill="1" applyBorder="1" applyAlignment="1" applyProtection="1">
      <alignment horizontal="center" vertical="center"/>
    </xf>
    <xf numFmtId="164" fontId="12" fillId="7" borderId="23" xfId="2" applyNumberFormat="1" applyFont="1" applyFill="1" applyBorder="1" applyAlignment="1" applyProtection="1">
      <alignment horizontal="center" vertical="center"/>
    </xf>
    <xf numFmtId="167" fontId="93" fillId="7" borderId="38" xfId="2" applyNumberFormat="1" applyFont="1" applyFill="1" applyBorder="1" applyAlignment="1" applyProtection="1">
      <alignment horizontal="center" vertical="center"/>
    </xf>
    <xf numFmtId="167" fontId="93" fillId="7" borderId="82" xfId="2" applyNumberFormat="1" applyFont="1" applyFill="1" applyBorder="1" applyAlignment="1" applyProtection="1">
      <alignment horizontal="center" vertical="center"/>
    </xf>
    <xf numFmtId="166" fontId="94" fillId="7" borderId="23" xfId="2" applyNumberFormat="1" applyFont="1" applyFill="1" applyBorder="1" applyAlignment="1" applyProtection="1">
      <alignment horizontal="center" vertical="center"/>
    </xf>
    <xf numFmtId="166" fontId="12" fillId="7" borderId="18" xfId="2" applyNumberFormat="1" applyFont="1" applyFill="1" applyBorder="1" applyAlignment="1" applyProtection="1">
      <alignment horizontal="center" vertical="center"/>
    </xf>
    <xf numFmtId="2" fontId="12" fillId="7" borderId="3" xfId="2" applyNumberFormat="1" applyFont="1" applyFill="1" applyBorder="1" applyAlignment="1" applyProtection="1">
      <alignment horizontal="center" vertical="center"/>
    </xf>
    <xf numFmtId="0" fontId="45" fillId="7" borderId="81" xfId="2" applyFill="1" applyBorder="1" applyAlignment="1" applyProtection="1">
      <alignment horizontal="center"/>
    </xf>
    <xf numFmtId="166" fontId="23" fillId="3" borderId="29" xfId="2" applyNumberFormat="1" applyFont="1" applyFill="1" applyBorder="1" applyAlignment="1" applyProtection="1">
      <alignment horizontal="center" vertical="center" wrapText="1"/>
    </xf>
    <xf numFmtId="2" fontId="93" fillId="7" borderId="3" xfId="2" applyNumberFormat="1" applyFont="1" applyFill="1" applyBorder="1" applyAlignment="1" applyProtection="1">
      <alignment horizontal="center" vertical="center"/>
    </xf>
    <xf numFmtId="166" fontId="95" fillId="7" borderId="49" xfId="2" applyNumberFormat="1" applyFont="1" applyFill="1" applyBorder="1" applyAlignment="1" applyProtection="1">
      <alignment horizontal="center" vertical="center"/>
    </xf>
    <xf numFmtId="166" fontId="95" fillId="7" borderId="38" xfId="2" applyNumberFormat="1" applyFont="1" applyFill="1" applyBorder="1" applyAlignment="1" applyProtection="1">
      <alignment horizontal="center" vertical="center"/>
    </xf>
    <xf numFmtId="0" fontId="64" fillId="7" borderId="74" xfId="2" applyFont="1" applyFill="1" applyBorder="1" applyAlignment="1" applyProtection="1">
      <alignment horizontal="right"/>
    </xf>
    <xf numFmtId="1" fontId="45" fillId="3" borderId="29" xfId="6" applyNumberFormat="1" applyFill="1" applyBorder="1" applyAlignment="1">
      <alignment horizontal="center" vertical="center"/>
    </xf>
    <xf numFmtId="166" fontId="45" fillId="3" borderId="38" xfId="6" applyNumberFormat="1" applyFill="1" applyBorder="1" applyAlignment="1">
      <alignment horizontal="center" vertical="center"/>
    </xf>
    <xf numFmtId="0" fontId="63" fillId="7" borderId="0" xfId="2" applyFont="1" applyFill="1" applyProtection="1"/>
    <xf numFmtId="2" fontId="93" fillId="7" borderId="0" xfId="2" applyNumberFormat="1" applyFont="1" applyFill="1" applyAlignment="1" applyProtection="1">
      <alignment horizontal="center" vertical="center"/>
    </xf>
    <xf numFmtId="2" fontId="94" fillId="7" borderId="18" xfId="2" applyNumberFormat="1" applyFont="1" applyFill="1" applyBorder="1" applyAlignment="1" applyProtection="1">
      <alignment horizontal="center" vertical="center"/>
    </xf>
    <xf numFmtId="0" fontId="94" fillId="7" borderId="3" xfId="2" applyFont="1" applyFill="1" applyBorder="1" applyAlignment="1" applyProtection="1">
      <alignment horizontal="center" vertical="center"/>
    </xf>
    <xf numFmtId="2" fontId="94" fillId="7" borderId="3" xfId="2" applyNumberFormat="1" applyFont="1" applyFill="1" applyBorder="1" applyAlignment="1" applyProtection="1">
      <alignment horizontal="center" vertical="center"/>
    </xf>
    <xf numFmtId="2" fontId="82" fillId="3" borderId="0" xfId="2" applyNumberFormat="1" applyFont="1" applyFill="1" applyAlignment="1" applyProtection="1">
      <alignment horizontal="center" vertical="center" wrapText="1"/>
    </xf>
    <xf numFmtId="2" fontId="96" fillId="3" borderId="0" xfId="2" applyNumberFormat="1" applyFont="1" applyFill="1" applyAlignment="1" applyProtection="1">
      <alignment horizontal="center" vertical="center"/>
    </xf>
    <xf numFmtId="0" fontId="45" fillId="0" borderId="74" xfId="2" applyBorder="1" applyAlignment="1" applyProtection="1">
      <alignment horizontal="right"/>
    </xf>
    <xf numFmtId="0" fontId="45" fillId="0" borderId="4" xfId="2" applyBorder="1" applyAlignment="1" applyProtection="1">
      <alignment horizontal="left"/>
    </xf>
    <xf numFmtId="0" fontId="82" fillId="3" borderId="0" xfId="2" applyFont="1" applyFill="1" applyProtection="1"/>
    <xf numFmtId="0" fontId="45" fillId="0" borderId="75" xfId="2" applyBorder="1" applyAlignment="1" applyProtection="1">
      <alignment horizontal="right"/>
    </xf>
    <xf numFmtId="0" fontId="45" fillId="0" borderId="5" xfId="2" applyBorder="1" applyAlignment="1" applyProtection="1">
      <alignment horizontal="left"/>
    </xf>
    <xf numFmtId="0" fontId="12" fillId="3" borderId="6" xfId="2" applyFont="1" applyFill="1" applyBorder="1" applyAlignment="1" applyProtection="1">
      <alignment horizontal="left" vertical="center"/>
    </xf>
    <xf numFmtId="0" fontId="12" fillId="3" borderId="7" xfId="2" applyFont="1" applyFill="1" applyBorder="1" applyAlignment="1" applyProtection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</xf>
    <xf numFmtId="0" fontId="45" fillId="3" borderId="7" xfId="2" applyFill="1" applyBorder="1" applyProtection="1"/>
    <xf numFmtId="2" fontId="82" fillId="3" borderId="7" xfId="2" applyNumberFormat="1" applyFont="1" applyFill="1" applyBorder="1" applyAlignment="1" applyProtection="1">
      <alignment horizontal="center" vertical="center"/>
    </xf>
    <xf numFmtId="2" fontId="97" fillId="3" borderId="10" xfId="2" applyNumberFormat="1" applyFont="1" applyFill="1" applyBorder="1" applyAlignment="1" applyProtection="1">
      <alignment horizontal="center" vertical="center"/>
    </xf>
    <xf numFmtId="0" fontId="45" fillId="0" borderId="2" xfId="2" applyBorder="1" applyProtection="1"/>
    <xf numFmtId="0" fontId="12" fillId="3" borderId="0" xfId="2" applyFont="1" applyFill="1" applyAlignment="1" applyProtection="1">
      <alignment horizontal="left" vertical="center"/>
    </xf>
    <xf numFmtId="0" fontId="12" fillId="3" borderId="0" xfId="2" applyFont="1" applyFill="1" applyAlignment="1" applyProtection="1">
      <alignment horizontal="center" vertical="center"/>
    </xf>
    <xf numFmtId="2" fontId="12" fillId="3" borderId="0" xfId="2" applyNumberFormat="1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vertical="center"/>
    </xf>
    <xf numFmtId="0" fontId="15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 vertical="center"/>
    </xf>
    <xf numFmtId="2" fontId="12" fillId="0" borderId="0" xfId="2" applyNumberFormat="1" applyFont="1" applyAlignment="1" applyProtection="1">
      <alignment horizontal="left" vertical="center"/>
    </xf>
    <xf numFmtId="0" fontId="94" fillId="3" borderId="0" xfId="2" applyFont="1" applyFill="1" applyAlignment="1" applyProtection="1">
      <alignment horizontal="left" vertical="center"/>
    </xf>
    <xf numFmtId="0" fontId="94" fillId="3" borderId="0" xfId="2" applyFont="1" applyFill="1" applyAlignment="1" applyProtection="1">
      <alignment horizontal="center" vertical="center"/>
    </xf>
    <xf numFmtId="2" fontId="94" fillId="3" borderId="0" xfId="2" applyNumberFormat="1" applyFont="1" applyFill="1" applyAlignment="1" applyProtection="1">
      <alignment horizontal="center" vertical="center"/>
    </xf>
    <xf numFmtId="0" fontId="8" fillId="3" borderId="0" xfId="2" applyFont="1" applyFill="1" applyAlignment="1" applyProtection="1">
      <alignment wrapText="1"/>
    </xf>
    <xf numFmtId="0" fontId="13" fillId="3" borderId="0" xfId="2" applyFont="1" applyFill="1" applyAlignment="1" applyProtection="1">
      <alignment horizontal="center" vertical="center"/>
    </xf>
    <xf numFmtId="2" fontId="13" fillId="3" borderId="0" xfId="2" applyNumberFormat="1" applyFont="1" applyFill="1" applyAlignment="1" applyProtection="1">
      <alignment horizontal="center" vertical="center"/>
    </xf>
    <xf numFmtId="0" fontId="45" fillId="3" borderId="31" xfId="6" applyFill="1" applyBorder="1" applyAlignment="1">
      <alignment horizontal="center" vertical="center"/>
    </xf>
    <xf numFmtId="166" fontId="45" fillId="3" borderId="93" xfId="6" applyNumberFormat="1" applyFill="1" applyBorder="1" applyAlignment="1">
      <alignment horizontal="center" vertical="center"/>
    </xf>
    <xf numFmtId="2" fontId="45" fillId="3" borderId="93" xfId="6" applyNumberFormat="1" applyFill="1" applyBorder="1" applyAlignment="1">
      <alignment horizontal="center" vertical="center"/>
    </xf>
    <xf numFmtId="0" fontId="45" fillId="3" borderId="26" xfId="6" applyFill="1" applyBorder="1" applyAlignment="1">
      <alignment horizontal="center" vertical="center"/>
    </xf>
    <xf numFmtId="0" fontId="9" fillId="5" borderId="29" xfId="6" applyFont="1" applyFill="1" applyBorder="1"/>
    <xf numFmtId="0" fontId="9" fillId="24" borderId="29" xfId="6" applyFont="1" applyFill="1" applyBorder="1"/>
    <xf numFmtId="0" fontId="9" fillId="24" borderId="30" xfId="6" applyFont="1" applyFill="1" applyBorder="1" applyAlignment="1">
      <alignment horizontal="center" vertical="center"/>
    </xf>
    <xf numFmtId="0" fontId="11" fillId="24" borderId="30" xfId="6" applyFont="1" applyFill="1" applyBorder="1" applyAlignment="1">
      <alignment horizontal="center" vertical="center"/>
    </xf>
    <xf numFmtId="0" fontId="11" fillId="24" borderId="30" xfId="6" applyFont="1" applyFill="1" applyBorder="1" applyAlignment="1">
      <alignment vertical="center"/>
    </xf>
    <xf numFmtId="0" fontId="11" fillId="24" borderId="49" xfId="6" applyFont="1" applyFill="1" applyBorder="1" applyAlignment="1">
      <alignment horizontal="left" vertical="center"/>
    </xf>
    <xf numFmtId="0" fontId="11" fillId="24" borderId="3" xfId="6" applyFont="1" applyFill="1" applyBorder="1" applyAlignment="1">
      <alignment vertical="center"/>
    </xf>
    <xf numFmtId="0" fontId="11" fillId="24" borderId="23" xfId="6" applyFont="1" applyFill="1" applyBorder="1" applyAlignment="1">
      <alignment horizontal="center" vertical="center"/>
    </xf>
    <xf numFmtId="0" fontId="16" fillId="0" borderId="18" xfId="6" applyFont="1" applyBorder="1" applyAlignment="1">
      <alignment horizontal="center" vertical="center"/>
    </xf>
    <xf numFmtId="0" fontId="16" fillId="0" borderId="38" xfId="6" applyFont="1" applyBorder="1"/>
    <xf numFmtId="0" fontId="16" fillId="0" borderId="30" xfId="6" applyFont="1" applyBorder="1" applyAlignment="1">
      <alignment horizontal="left"/>
    </xf>
    <xf numFmtId="0" fontId="16" fillId="0" borderId="30" xfId="6" applyFont="1" applyBorder="1"/>
    <xf numFmtId="0" fontId="16" fillId="0" borderId="41" xfId="6" applyFont="1" applyBorder="1"/>
    <xf numFmtId="0" fontId="45" fillId="0" borderId="0" xfId="2">
      <protection locked="0"/>
    </xf>
    <xf numFmtId="0" fontId="11" fillId="24" borderId="3" xfId="6" applyFont="1" applyFill="1" applyBorder="1" applyAlignment="1">
      <alignment horizontal="right" vertical="center"/>
    </xf>
    <xf numFmtId="0" fontId="30" fillId="3" borderId="31" xfId="6" applyFont="1" applyFill="1" applyBorder="1"/>
    <xf numFmtId="0" fontId="30" fillId="3" borderId="32" xfId="6" applyFont="1" applyFill="1" applyBorder="1"/>
    <xf numFmtId="0" fontId="30" fillId="3" borderId="40" xfId="6" applyFont="1" applyFill="1" applyBorder="1"/>
    <xf numFmtId="0" fontId="9" fillId="3" borderId="0" xfId="6" applyFont="1" applyFill="1"/>
    <xf numFmtId="0" fontId="45" fillId="3" borderId="4" xfId="2" applyFill="1" applyBorder="1" applyProtection="1"/>
    <xf numFmtId="0" fontId="45" fillId="3" borderId="6" xfId="2" applyFill="1" applyBorder="1" applyProtection="1"/>
    <xf numFmtId="164" fontId="23" fillId="3" borderId="18" xfId="2" applyNumberFormat="1" applyFont="1" applyFill="1" applyBorder="1" applyAlignment="1" applyProtection="1">
      <alignment horizontal="center" vertical="center" wrapText="1"/>
    </xf>
    <xf numFmtId="0" fontId="43" fillId="0" borderId="0" xfId="0" applyFont="1" applyAlignment="1">
      <alignment vertical="center"/>
    </xf>
    <xf numFmtId="0" fontId="100" fillId="11" borderId="0" xfId="0" applyFont="1" applyFill="1" applyAlignment="1">
      <alignment horizontal="left" vertical="center"/>
    </xf>
    <xf numFmtId="0" fontId="60" fillId="0" borderId="0" xfId="0" quotePrefix="1" applyFont="1" applyAlignment="1">
      <alignment horizontal="left" vertical="center"/>
    </xf>
    <xf numFmtId="0" fontId="60" fillId="0" borderId="0" xfId="0" quotePrefix="1" applyFont="1">
      <alignment vertical="center"/>
    </xf>
    <xf numFmtId="1" fontId="33" fillId="3" borderId="0" xfId="0" applyNumberFormat="1" applyFont="1" applyFill="1" applyAlignment="1">
      <alignment horizontal="left" vertical="center"/>
    </xf>
    <xf numFmtId="1" fontId="81" fillId="0" borderId="0" xfId="0" applyNumberFormat="1" applyFont="1" applyAlignment="1">
      <alignment horizontal="right" vertical="center"/>
    </xf>
    <xf numFmtId="0" fontId="32" fillId="11" borderId="0" xfId="0" applyFont="1" applyFill="1" applyAlignment="1">
      <alignment horizontal="left" vertical="center"/>
    </xf>
    <xf numFmtId="2" fontId="32" fillId="0" borderId="0" xfId="0" applyNumberFormat="1" applyFont="1">
      <alignment vertical="center"/>
    </xf>
    <xf numFmtId="2" fontId="32" fillId="0" borderId="3" xfId="0" applyNumberFormat="1" applyFont="1" applyBorder="1" applyAlignment="1">
      <alignment horizontal="center" vertical="center"/>
    </xf>
    <xf numFmtId="2" fontId="32" fillId="0" borderId="65" xfId="0" applyNumberFormat="1" applyFont="1" applyBorder="1">
      <alignment vertical="center"/>
    </xf>
    <xf numFmtId="2" fontId="32" fillId="0" borderId="55" xfId="0" applyNumberFormat="1" applyFont="1" applyBorder="1">
      <alignment vertical="center"/>
    </xf>
    <xf numFmtId="2" fontId="32" fillId="0" borderId="58" xfId="0" applyNumberFormat="1" applyFont="1" applyBorder="1">
      <alignment vertical="center"/>
    </xf>
    <xf numFmtId="0" fontId="32" fillId="11" borderId="0" xfId="0" applyFont="1" applyFill="1" applyProtection="1">
      <alignment vertical="center"/>
      <protection locked="0"/>
    </xf>
    <xf numFmtId="166" fontId="32" fillId="0" borderId="0" xfId="0" applyNumberFormat="1" applyFont="1" applyAlignment="1" applyProtection="1">
      <alignment horizontal="left" vertical="center"/>
      <protection locked="0"/>
    </xf>
    <xf numFmtId="167" fontId="25" fillId="2" borderId="3" xfId="0" applyNumberFormat="1" applyFont="1" applyFill="1" applyBorder="1">
      <alignment vertical="center"/>
    </xf>
    <xf numFmtId="180" fontId="25" fillId="2" borderId="3" xfId="0" applyNumberFormat="1" applyFont="1" applyFill="1" applyBorder="1" applyAlignment="1">
      <alignment horizontal="center" vertical="center"/>
    </xf>
    <xf numFmtId="2" fontId="25" fillId="2" borderId="3" xfId="0" applyNumberFormat="1" applyFont="1" applyFill="1" applyBorder="1" applyAlignment="1">
      <alignment horizontal="center" vertical="center"/>
    </xf>
    <xf numFmtId="1" fontId="25" fillId="2" borderId="3" xfId="0" applyNumberFormat="1" applyFont="1" applyFill="1" applyBorder="1" applyAlignment="1">
      <alignment horizontal="right"/>
    </xf>
    <xf numFmtId="2" fontId="66" fillId="2" borderId="3" xfId="0" applyNumberFormat="1" applyFont="1" applyFill="1" applyBorder="1">
      <alignment vertical="center"/>
    </xf>
    <xf numFmtId="0" fontId="53" fillId="2" borderId="0" xfId="0" applyFont="1" applyFill="1">
      <alignment vertical="center"/>
    </xf>
    <xf numFmtId="2" fontId="52" fillId="2" borderId="0" xfId="0" applyNumberFormat="1" applyFont="1" applyFill="1">
      <alignment vertical="center"/>
    </xf>
    <xf numFmtId="0" fontId="52" fillId="2" borderId="0" xfId="0" applyFont="1" applyFill="1">
      <alignment vertical="center"/>
    </xf>
    <xf numFmtId="177" fontId="25" fillId="2" borderId="3" xfId="0" applyNumberFormat="1" applyFont="1" applyFill="1" applyBorder="1">
      <alignment vertical="center"/>
    </xf>
    <xf numFmtId="2" fontId="24" fillId="36" borderId="3" xfId="0" applyNumberFormat="1" applyFont="1" applyFill="1" applyBorder="1" applyAlignment="1">
      <alignment horizontal="center" vertical="center"/>
    </xf>
    <xf numFmtId="2" fontId="23" fillId="5" borderId="3" xfId="0" applyNumberFormat="1" applyFont="1" applyFill="1" applyBorder="1" applyAlignment="1">
      <alignment horizontal="center"/>
    </xf>
    <xf numFmtId="2" fontId="23" fillId="25" borderId="3" xfId="0" applyNumberFormat="1" applyFont="1" applyFill="1" applyBorder="1" applyAlignment="1">
      <alignment horizontal="center"/>
    </xf>
    <xf numFmtId="188" fontId="23" fillId="14" borderId="3" xfId="0" applyNumberFormat="1" applyFont="1" applyFill="1" applyBorder="1" applyAlignment="1">
      <alignment horizontal="center"/>
    </xf>
    <xf numFmtId="2" fontId="23" fillId="36" borderId="3" xfId="0" applyNumberFormat="1" applyFont="1" applyFill="1" applyBorder="1" applyAlignment="1">
      <alignment horizontal="center"/>
    </xf>
    <xf numFmtId="2" fontId="64" fillId="5" borderId="0" xfId="0" applyNumberFormat="1" applyFont="1" applyFill="1" applyAlignment="1">
      <alignment horizontal="center" vertical="center"/>
    </xf>
    <xf numFmtId="188" fontId="101" fillId="2" borderId="3" xfId="0" applyNumberFormat="1" applyFont="1" applyFill="1" applyBorder="1" applyAlignment="1">
      <alignment horizontal="center" vertical="center"/>
    </xf>
    <xf numFmtId="193" fontId="25" fillId="2" borderId="3" xfId="0" applyNumberFormat="1" applyFont="1" applyFill="1" applyBorder="1" applyAlignment="1">
      <alignment horizontal="center" vertical="center"/>
    </xf>
    <xf numFmtId="169" fontId="25" fillId="0" borderId="3" xfId="0" applyNumberFormat="1" applyFont="1" applyFill="1" applyBorder="1" applyAlignment="1">
      <alignment horizontal="center" vertical="center"/>
    </xf>
    <xf numFmtId="167" fontId="25" fillId="0" borderId="3" xfId="0" applyNumberFormat="1" applyFont="1" applyFill="1" applyBorder="1" applyAlignment="1">
      <alignment horizontal="center" vertical="center"/>
    </xf>
    <xf numFmtId="1" fontId="25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180" fontId="25" fillId="0" borderId="3" xfId="0" applyNumberFormat="1" applyFont="1" applyFill="1" applyBorder="1" applyAlignment="1">
      <alignment horizontal="center" vertical="center"/>
    </xf>
    <xf numFmtId="2" fontId="45" fillId="26" borderId="0" xfId="0" applyNumberFormat="1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 applyProtection="1">
      <alignment horizontal="center" vertical="center"/>
      <protection locked="0"/>
    </xf>
    <xf numFmtId="166" fontId="33" fillId="0" borderId="0" xfId="0" applyNumberFormat="1" applyFont="1" applyAlignment="1" applyProtection="1">
      <alignment horizontal="left" vertical="center"/>
      <protection locked="0"/>
    </xf>
    <xf numFmtId="0" fontId="33" fillId="0" borderId="0" xfId="0" applyFont="1" applyAlignment="1">
      <alignment horizontal="left" vertical="center"/>
    </xf>
    <xf numFmtId="0" fontId="33" fillId="11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33" fillId="0" borderId="3" xfId="0" applyFont="1" applyBorder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166" fontId="32" fillId="0" borderId="3" xfId="0" applyNumberFormat="1" applyFont="1" applyBorder="1" applyAlignment="1">
      <alignment horizontal="center" vertical="center"/>
    </xf>
    <xf numFmtId="0" fontId="32" fillId="11" borderId="0" xfId="0" applyFont="1" applyFill="1" applyAlignment="1" applyProtection="1">
      <alignment horizontal="left" vertical="center"/>
      <protection locked="0"/>
    </xf>
    <xf numFmtId="2" fontId="64" fillId="29" borderId="81" xfId="0" applyNumberFormat="1" applyFont="1" applyFill="1" applyBorder="1" applyAlignment="1">
      <alignment vertical="center" wrapText="1"/>
    </xf>
    <xf numFmtId="0" fontId="1" fillId="0" borderId="74" xfId="2" applyFont="1" applyBorder="1" applyAlignment="1" applyProtection="1">
      <alignment horizontal="right"/>
    </xf>
    <xf numFmtId="0" fontId="33" fillId="3" borderId="3" xfId="0" quotePrefix="1" applyFont="1" applyFill="1" applyBorder="1">
      <alignment vertical="center"/>
    </xf>
    <xf numFmtId="164" fontId="32" fillId="0" borderId="65" xfId="0" applyNumberFormat="1" applyFont="1" applyBorder="1" applyAlignment="1">
      <alignment horizontal="center" vertical="center"/>
    </xf>
    <xf numFmtId="0" fontId="32" fillId="0" borderId="0" xfId="0" applyNumberFormat="1" applyFont="1" applyAlignment="1" applyProtection="1">
      <alignment horizontal="right" vertical="center"/>
      <protection locked="0"/>
    </xf>
    <xf numFmtId="0" fontId="32" fillId="0" borderId="0" xfId="0" applyNumberFormat="1" applyFont="1" applyAlignment="1" applyProtection="1">
      <alignment horizontal="left" vertical="center"/>
      <protection locked="0"/>
    </xf>
    <xf numFmtId="0" fontId="33" fillId="0" borderId="0" xfId="0" applyNumberFormat="1" applyFont="1" applyAlignment="1">
      <alignment horizontal="left" vertical="center"/>
    </xf>
    <xf numFmtId="0" fontId="32" fillId="0" borderId="0" xfId="0" applyNumberFormat="1" applyFont="1" applyAlignment="1">
      <alignment horizontal="left" vertical="center"/>
    </xf>
    <xf numFmtId="0" fontId="34" fillId="0" borderId="0" xfId="0" applyFont="1" applyAlignment="1" applyProtection="1">
      <protection locked="0"/>
    </xf>
    <xf numFmtId="0" fontId="33" fillId="11" borderId="0" xfId="0" applyFont="1" applyFill="1" applyAlignment="1" applyProtection="1">
      <alignment vertical="center"/>
      <protection locked="0"/>
    </xf>
    <xf numFmtId="0" fontId="32" fillId="11" borderId="0" xfId="0" applyFont="1" applyFill="1" applyAlignment="1" applyProtection="1">
      <alignment vertical="center"/>
      <protection locked="0"/>
    </xf>
    <xf numFmtId="0" fontId="33" fillId="14" borderId="0" xfId="0" applyFont="1" applyFill="1" applyAlignment="1" applyProtection="1">
      <alignment vertical="center"/>
      <protection locked="0"/>
    </xf>
    <xf numFmtId="0" fontId="29" fillId="0" borderId="0" xfId="0" applyFont="1" applyAlignment="1">
      <alignment horizontal="center" vertical="center" wrapText="1"/>
    </xf>
    <xf numFmtId="0" fontId="34" fillId="0" borderId="83" xfId="0" applyFont="1" applyBorder="1" applyAlignment="1">
      <alignment horizontal="center" vertical="center" wrapText="1"/>
    </xf>
    <xf numFmtId="0" fontId="34" fillId="0" borderId="75" xfId="0" applyFont="1" applyBorder="1" applyAlignment="1">
      <alignment horizontal="center" vertical="center" wrapText="1"/>
    </xf>
    <xf numFmtId="1" fontId="33" fillId="0" borderId="73" xfId="0" applyNumberFormat="1" applyFont="1" applyBorder="1" applyAlignment="1">
      <alignment horizontal="center" vertical="center"/>
    </xf>
    <xf numFmtId="1" fontId="33" fillId="0" borderId="74" xfId="0" applyNumberFormat="1" applyFont="1" applyBorder="1" applyAlignment="1">
      <alignment horizontal="center" vertical="center"/>
    </xf>
    <xf numFmtId="1" fontId="33" fillId="0" borderId="75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 wrapText="1"/>
    </xf>
    <xf numFmtId="0" fontId="33" fillId="0" borderId="78" xfId="0" applyFont="1" applyBorder="1" applyAlignment="1">
      <alignment horizontal="center"/>
    </xf>
    <xf numFmtId="0" fontId="33" fillId="0" borderId="78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vertical="center"/>
    </xf>
    <xf numFmtId="0" fontId="33" fillId="0" borderId="24" xfId="0" applyFont="1" applyBorder="1" applyAlignment="1">
      <alignment horizontal="left" vertical="center"/>
    </xf>
    <xf numFmtId="0" fontId="33" fillId="0" borderId="25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33" fillId="0" borderId="18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2" xfId="0" applyFont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166" fontId="33" fillId="0" borderId="24" xfId="0" applyNumberFormat="1" applyFont="1" applyBorder="1" applyAlignment="1">
      <alignment horizontal="center" vertical="center"/>
    </xf>
    <xf numFmtId="166" fontId="33" fillId="0" borderId="26" xfId="0" applyNumberFormat="1" applyFont="1" applyBorder="1" applyAlignment="1">
      <alignment horizontal="center" vertical="center"/>
    </xf>
    <xf numFmtId="166" fontId="33" fillId="0" borderId="71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3" fillId="0" borderId="12" xfId="0" applyNumberFormat="1" applyFont="1" applyBorder="1" applyAlignment="1">
      <alignment horizontal="center" vertical="center"/>
    </xf>
    <xf numFmtId="166" fontId="33" fillId="0" borderId="14" xfId="0" applyNumberFormat="1" applyFont="1" applyBorder="1" applyAlignment="1">
      <alignment horizontal="center" vertical="center"/>
    </xf>
    <xf numFmtId="166" fontId="33" fillId="0" borderId="70" xfId="0" applyNumberFormat="1" applyFont="1" applyBorder="1" applyAlignment="1">
      <alignment horizontal="center" vertical="center"/>
    </xf>
    <xf numFmtId="0" fontId="42" fillId="0" borderId="57" xfId="0" applyFont="1" applyBorder="1" applyAlignment="1">
      <alignment horizontal="center" vertical="center"/>
    </xf>
    <xf numFmtId="0" fontId="33" fillId="0" borderId="78" xfId="0" applyFont="1" applyBorder="1" applyAlignment="1">
      <alignment horizontal="center" wrapText="1"/>
    </xf>
    <xf numFmtId="164" fontId="33" fillId="0" borderId="0" xfId="0" applyNumberFormat="1" applyFont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42" fillId="0" borderId="51" xfId="0" applyFont="1" applyBorder="1" applyAlignment="1">
      <alignment horizontal="center" vertical="center"/>
    </xf>
    <xf numFmtId="0" fontId="33" fillId="0" borderId="71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6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31" xfId="0" applyFont="1" applyBorder="1" applyAlignment="1">
      <alignment horizontal="right" vertical="center"/>
    </xf>
    <xf numFmtId="0" fontId="33" fillId="0" borderId="40" xfId="0" applyFont="1" applyBorder="1" applyAlignment="1">
      <alignment horizontal="right" vertical="center"/>
    </xf>
    <xf numFmtId="0" fontId="33" fillId="0" borderId="29" xfId="0" applyFont="1" applyBorder="1" applyAlignment="1">
      <alignment horizontal="right" vertical="center"/>
    </xf>
    <xf numFmtId="0" fontId="33" fillId="0" borderId="41" xfId="0" applyFont="1" applyBorder="1" applyAlignment="1">
      <alignment horizontal="right" vertical="center"/>
    </xf>
    <xf numFmtId="0" fontId="33" fillId="0" borderId="84" xfId="0" applyFont="1" applyBorder="1" applyAlignment="1">
      <alignment horizontal="right" vertical="center"/>
    </xf>
    <xf numFmtId="0" fontId="33" fillId="0" borderId="85" xfId="0" applyFont="1" applyBorder="1" applyAlignment="1">
      <alignment horizontal="right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 textRotation="180" wrapText="1"/>
    </xf>
    <xf numFmtId="0" fontId="60" fillId="0" borderId="5" xfId="0" applyFont="1" applyBorder="1" applyAlignment="1">
      <alignment horizontal="center" vertical="center" textRotation="180" wrapText="1"/>
    </xf>
    <xf numFmtId="0" fontId="60" fillId="0" borderId="6" xfId="0" applyFont="1" applyBorder="1" applyAlignment="1">
      <alignment horizontal="center" vertical="center" textRotation="180" wrapText="1"/>
    </xf>
    <xf numFmtId="0" fontId="60" fillId="0" borderId="10" xfId="0" applyFont="1" applyBorder="1" applyAlignment="1">
      <alignment horizontal="center" vertical="center" textRotation="180" wrapText="1"/>
    </xf>
    <xf numFmtId="0" fontId="33" fillId="11" borderId="8" xfId="0" applyFont="1" applyFill="1" applyBorder="1" applyAlignment="1">
      <alignment horizontal="center"/>
    </xf>
    <xf numFmtId="0" fontId="33" fillId="11" borderId="11" xfId="0" applyFont="1" applyFill="1" applyBorder="1" applyAlignment="1">
      <alignment horizontal="center"/>
    </xf>
    <xf numFmtId="0" fontId="3" fillId="0" borderId="76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5" fontId="64" fillId="0" borderId="3" xfId="0" quotePrefix="1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0" borderId="16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33" fillId="0" borderId="3" xfId="0" applyFont="1" applyBorder="1" applyAlignment="1">
      <alignment horizontal="center" vertical="center" wrapText="1"/>
    </xf>
    <xf numFmtId="1" fontId="32" fillId="9" borderId="3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 wrapText="1"/>
    </xf>
    <xf numFmtId="0" fontId="33" fillId="14" borderId="0" xfId="0" applyFont="1" applyFill="1" applyAlignment="1">
      <alignment horizontal="center" vertical="center"/>
    </xf>
    <xf numFmtId="0" fontId="33" fillId="14" borderId="3" xfId="0" applyFont="1" applyFill="1" applyBorder="1" applyAlignment="1">
      <alignment horizontal="center" vertical="center" wrapText="1"/>
    </xf>
    <xf numFmtId="0" fontId="32" fillId="14" borderId="0" xfId="0" applyFont="1" applyFill="1" applyAlignment="1" applyProtection="1">
      <alignment horizontal="left" vertical="center"/>
      <protection locked="0"/>
    </xf>
    <xf numFmtId="0" fontId="89" fillId="23" borderId="3" xfId="3" applyFont="1" applyBorder="1" applyAlignment="1" applyProtection="1">
      <alignment horizontal="center" vertical="center"/>
      <protection locked="0"/>
    </xf>
    <xf numFmtId="186" fontId="25" fillId="0" borderId="3" xfId="0" applyNumberFormat="1" applyFont="1" applyBorder="1" applyAlignment="1">
      <alignment horizontal="center" vertical="center"/>
    </xf>
    <xf numFmtId="0" fontId="52" fillId="3" borderId="38" xfId="0" applyFont="1" applyFill="1" applyBorder="1" applyAlignment="1">
      <alignment horizontal="left" vertical="center"/>
    </xf>
    <xf numFmtId="0" fontId="52" fillId="3" borderId="30" xfId="0" applyFont="1" applyFill="1" applyBorder="1" applyAlignment="1">
      <alignment horizontal="left" vertical="center"/>
    </xf>
    <xf numFmtId="0" fontId="52" fillId="3" borderId="49" xfId="0" applyFont="1" applyFill="1" applyBorder="1" applyAlignment="1">
      <alignment horizontal="left" vertical="center"/>
    </xf>
    <xf numFmtId="166" fontId="33" fillId="11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3" fillId="3" borderId="3" xfId="0" quotePrefix="1" applyFont="1" applyFill="1" applyBorder="1" applyAlignment="1" applyProtection="1">
      <alignment horizontal="center" vertical="center"/>
      <protection locked="0"/>
    </xf>
    <xf numFmtId="0" fontId="33" fillId="3" borderId="3" xfId="0" applyFont="1" applyFill="1" applyBorder="1" applyAlignment="1" applyProtection="1">
      <alignment horizontal="center" vertical="center"/>
      <protection locked="0"/>
    </xf>
    <xf numFmtId="0" fontId="42" fillId="0" borderId="58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170" fontId="33" fillId="14" borderId="3" xfId="0" applyNumberFormat="1" applyFont="1" applyFill="1" applyBorder="1" applyAlignment="1">
      <alignment horizontal="center" vertical="center"/>
    </xf>
    <xf numFmtId="176" fontId="33" fillId="14" borderId="3" xfId="0" applyNumberFormat="1" applyFont="1" applyFill="1" applyBorder="1" applyAlignment="1">
      <alignment horizontal="center" vertical="center"/>
    </xf>
    <xf numFmtId="166" fontId="33" fillId="0" borderId="3" xfId="0" applyNumberFormat="1" applyFont="1" applyBorder="1" applyAlignment="1">
      <alignment horizontal="center" vertical="center"/>
    </xf>
    <xf numFmtId="191" fontId="25" fillId="0" borderId="3" xfId="0" applyNumberFormat="1" applyFont="1" applyBorder="1" applyAlignment="1">
      <alignment horizontal="center" vertical="center"/>
    </xf>
    <xf numFmtId="187" fontId="25" fillId="0" borderId="3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2" fontId="33" fillId="14" borderId="3" xfId="0" applyNumberFormat="1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center"/>
    </xf>
    <xf numFmtId="166" fontId="33" fillId="0" borderId="3" xfId="0" applyNumberFormat="1" applyFont="1" applyBorder="1" applyAlignment="1">
      <alignment horizontal="left" vertical="center"/>
    </xf>
    <xf numFmtId="0" fontId="33" fillId="14" borderId="0" xfId="0" applyFont="1" applyFill="1" applyAlignment="1" applyProtection="1">
      <alignment horizontal="left" vertical="center"/>
      <protection locked="0"/>
    </xf>
    <xf numFmtId="166" fontId="33" fillId="14" borderId="3" xfId="0" applyNumberFormat="1" applyFont="1" applyFill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0" fontId="32" fillId="7" borderId="0" xfId="0" applyFont="1" applyFill="1" applyAlignment="1" applyProtection="1">
      <alignment horizontal="left" vertical="center"/>
      <protection locked="0"/>
    </xf>
    <xf numFmtId="166" fontId="33" fillId="9" borderId="3" xfId="0" applyNumberFormat="1" applyFont="1" applyFill="1" applyBorder="1" applyAlignment="1" applyProtection="1">
      <alignment horizontal="center" vertical="center"/>
      <protection locked="0"/>
    </xf>
    <xf numFmtId="0" fontId="33" fillId="9" borderId="3" xfId="0" applyFont="1" applyFill="1" applyBorder="1" applyAlignment="1" applyProtection="1">
      <alignment horizontal="center" vertical="center"/>
      <protection locked="0"/>
    </xf>
    <xf numFmtId="2" fontId="33" fillId="0" borderId="16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 wrapText="1"/>
    </xf>
    <xf numFmtId="0" fontId="90" fillId="0" borderId="48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164" fontId="33" fillId="0" borderId="3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2" fillId="13" borderId="0" xfId="0" applyFont="1" applyFill="1" applyAlignment="1" applyProtection="1">
      <alignment horizontal="left" vertical="center"/>
      <protection locked="0"/>
    </xf>
    <xf numFmtId="1" fontId="33" fillId="0" borderId="0" xfId="0" applyNumberFormat="1" applyFont="1" applyAlignment="1">
      <alignment horizontal="center" vertical="center"/>
    </xf>
    <xf numFmtId="166" fontId="32" fillId="9" borderId="3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>
      <alignment horizontal="left" vertical="center"/>
    </xf>
    <xf numFmtId="0" fontId="33" fillId="11" borderId="0" xfId="0" applyFont="1" applyFill="1" applyAlignment="1">
      <alignment horizontal="left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3" fillId="3" borderId="0" xfId="0" applyFont="1" applyFill="1" applyAlignment="1">
      <alignment horizontal="center" vertical="center"/>
    </xf>
    <xf numFmtId="178" fontId="33" fillId="3" borderId="0" xfId="0" applyNumberFormat="1" applyFont="1" applyFill="1" applyAlignment="1">
      <alignment horizontal="center" vertical="center"/>
    </xf>
    <xf numFmtId="171" fontId="33" fillId="3" borderId="0" xfId="0" applyNumberFormat="1" applyFont="1" applyFill="1" applyAlignment="1">
      <alignment horizontal="center" vertical="center"/>
    </xf>
    <xf numFmtId="0" fontId="81" fillId="0" borderId="0" xfId="0" applyFont="1" applyAlignment="1" applyProtection="1">
      <alignment horizontal="left" vertical="center"/>
      <protection locked="0"/>
    </xf>
    <xf numFmtId="190" fontId="25" fillId="0" borderId="3" xfId="0" applyNumberFormat="1" applyFont="1" applyBorder="1" applyAlignment="1">
      <alignment horizontal="center" vertical="center"/>
    </xf>
    <xf numFmtId="0" fontId="42" fillId="0" borderId="52" xfId="0" applyFont="1" applyBorder="1" applyAlignment="1">
      <alignment horizontal="center" vertical="center"/>
    </xf>
    <xf numFmtId="0" fontId="42" fillId="0" borderId="61" xfId="0" applyFont="1" applyBorder="1" applyAlignment="1">
      <alignment horizontal="center" vertical="center"/>
    </xf>
    <xf numFmtId="166" fontId="33" fillId="0" borderId="0" xfId="0" applyNumberFormat="1" applyFont="1" applyAlignment="1" applyProtection="1">
      <alignment horizontal="left" vertical="center"/>
      <protection locked="0"/>
    </xf>
    <xf numFmtId="2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1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2" fillId="5" borderId="70" xfId="0" applyFont="1" applyFill="1" applyBorder="1" applyAlignment="1">
      <alignment horizontal="center" vertical="center"/>
    </xf>
    <xf numFmtId="0" fontId="52" fillId="5" borderId="49" xfId="0" applyFont="1" applyFill="1" applyBorder="1" applyAlignment="1">
      <alignment horizontal="center" vertical="center"/>
    </xf>
    <xf numFmtId="0" fontId="52" fillId="5" borderId="13" xfId="0" applyFont="1" applyFill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2" fontId="34" fillId="11" borderId="0" xfId="0" applyNumberFormat="1" applyFont="1" applyFill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32" xfId="0" applyFont="1" applyFill="1" applyBorder="1" applyAlignment="1">
      <alignment horizontal="left" vertical="center"/>
    </xf>
    <xf numFmtId="0" fontId="52" fillId="5" borderId="29" xfId="0" applyFont="1" applyFill="1" applyBorder="1" applyAlignment="1">
      <alignment horizontal="left" vertical="center"/>
    </xf>
    <xf numFmtId="0" fontId="52" fillId="5" borderId="30" xfId="0" applyFont="1" applyFill="1" applyBorder="1" applyAlignment="1">
      <alignment horizontal="left" vertical="center"/>
    </xf>
    <xf numFmtId="0" fontId="52" fillId="5" borderId="41" xfId="0" applyFont="1" applyFill="1" applyBorder="1" applyAlignment="1">
      <alignment horizontal="left" vertical="center"/>
    </xf>
    <xf numFmtId="0" fontId="52" fillId="5" borderId="31" xfId="0" applyFont="1" applyFill="1" applyBorder="1" applyAlignment="1">
      <alignment horizontal="left" vertical="center"/>
    </xf>
    <xf numFmtId="0" fontId="52" fillId="5" borderId="32" xfId="0" applyFont="1" applyFill="1" applyBorder="1" applyAlignment="1">
      <alignment horizontal="left" vertical="center"/>
    </xf>
    <xf numFmtId="0" fontId="52" fillId="5" borderId="40" xfId="0" applyFont="1" applyFill="1" applyBorder="1" applyAlignment="1">
      <alignment horizontal="left" vertical="center"/>
    </xf>
    <xf numFmtId="0" fontId="52" fillId="5" borderId="27" xfId="0" applyFont="1" applyFill="1" applyBorder="1" applyAlignment="1">
      <alignment horizontal="left" vertical="center"/>
    </xf>
    <xf numFmtId="0" fontId="52" fillId="5" borderId="28" xfId="0" applyFont="1" applyFill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52" fillId="5" borderId="20" xfId="0" applyFont="1" applyFill="1" applyBorder="1" applyAlignment="1">
      <alignment horizontal="center" vertical="center"/>
    </xf>
    <xf numFmtId="0" fontId="52" fillId="5" borderId="22" xfId="0" applyFont="1" applyFill="1" applyBorder="1" applyAlignment="1">
      <alignment horizontal="center" vertical="center"/>
    </xf>
    <xf numFmtId="0" fontId="52" fillId="5" borderId="12" xfId="0" applyFont="1" applyFill="1" applyBorder="1" applyAlignment="1">
      <alignment horizontal="center" vertical="center"/>
    </xf>
    <xf numFmtId="0" fontId="52" fillId="5" borderId="14" xfId="0" applyFont="1" applyFill="1" applyBorder="1" applyAlignment="1">
      <alignment horizontal="center" vertical="center"/>
    </xf>
    <xf numFmtId="0" fontId="52" fillId="5" borderId="15" xfId="0" applyFont="1" applyFill="1" applyBorder="1" applyAlignment="1">
      <alignment horizontal="center" vertical="center"/>
    </xf>
    <xf numFmtId="0" fontId="52" fillId="5" borderId="16" xfId="0" applyFont="1" applyFill="1" applyBorder="1" applyAlignment="1">
      <alignment horizontal="center" vertical="center"/>
    </xf>
    <xf numFmtId="0" fontId="52" fillId="5" borderId="17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5" fillId="0" borderId="49" xfId="0" applyFont="1" applyBorder="1" applyAlignment="1">
      <alignment horizontal="left" vertical="center"/>
    </xf>
    <xf numFmtId="0" fontId="25" fillId="0" borderId="16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9" fontId="25" fillId="0" borderId="16" xfId="0" applyNumberFormat="1" applyFont="1" applyBorder="1" applyAlignment="1">
      <alignment horizontal="center" vertical="center"/>
    </xf>
    <xf numFmtId="9" fontId="25" fillId="0" borderId="21" xfId="0" applyNumberFormat="1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179" fontId="33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80" fillId="0" borderId="3" xfId="0" applyNumberFormat="1" applyFont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0" fontId="25" fillId="0" borderId="16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25" fillId="0" borderId="57" xfId="0" applyFont="1" applyBorder="1" applyAlignment="1" applyProtection="1">
      <alignment horizontal="left" vertical="center"/>
      <protection locked="0"/>
    </xf>
    <xf numFmtId="0" fontId="25" fillId="0" borderId="57" xfId="0" applyFont="1" applyBorder="1" applyAlignment="1" applyProtection="1">
      <alignment horizontal="center" vertical="center"/>
      <protection locked="0"/>
    </xf>
    <xf numFmtId="166" fontId="33" fillId="0" borderId="3" xfId="0" applyNumberFormat="1" applyFont="1" applyBorder="1" applyAlignment="1">
      <alignment horizontal="center" vertical="center" wrapText="1"/>
    </xf>
    <xf numFmtId="0" fontId="25" fillId="11" borderId="0" xfId="0" applyFont="1" applyFill="1" applyAlignment="1" applyProtection="1">
      <alignment horizontal="left" vertical="center"/>
      <protection locked="0"/>
    </xf>
    <xf numFmtId="0" fontId="43" fillId="11" borderId="0" xfId="0" applyFont="1" applyFill="1" applyAlignment="1">
      <alignment horizontal="center" vertical="center"/>
    </xf>
    <xf numFmtId="181" fontId="25" fillId="0" borderId="38" xfId="0" applyNumberFormat="1" applyFont="1" applyBorder="1" applyAlignment="1">
      <alignment horizontal="center" vertical="center"/>
    </xf>
    <xf numFmtId="181" fontId="25" fillId="0" borderId="49" xfId="0" applyNumberFormat="1" applyFont="1" applyBorder="1" applyAlignment="1">
      <alignment horizontal="center" vertical="center"/>
    </xf>
    <xf numFmtId="183" fontId="25" fillId="0" borderId="38" xfId="0" applyNumberFormat="1" applyFont="1" applyBorder="1" applyAlignment="1">
      <alignment horizontal="center" vertical="center"/>
    </xf>
    <xf numFmtId="183" fontId="25" fillId="0" borderId="49" xfId="0" applyNumberFormat="1" applyFont="1" applyBorder="1" applyAlignment="1">
      <alignment horizontal="center" vertical="center"/>
    </xf>
    <xf numFmtId="184" fontId="25" fillId="0" borderId="38" xfId="0" applyNumberFormat="1" applyFont="1" applyBorder="1" applyAlignment="1">
      <alignment horizontal="center" vertical="center"/>
    </xf>
    <xf numFmtId="184" fontId="25" fillId="0" borderId="49" xfId="0" applyNumberFormat="1" applyFont="1" applyBorder="1" applyAlignment="1">
      <alignment horizontal="center" vertical="center"/>
    </xf>
    <xf numFmtId="0" fontId="25" fillId="11" borderId="0" xfId="0" applyFont="1" applyFill="1" applyAlignment="1">
      <alignment horizontal="left" vertical="center"/>
    </xf>
    <xf numFmtId="175" fontId="25" fillId="0" borderId="0" xfId="0" applyNumberFormat="1" applyFont="1" applyAlignment="1">
      <alignment horizontal="left" vertical="center"/>
    </xf>
    <xf numFmtId="0" fontId="34" fillId="0" borderId="3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33" fillId="0" borderId="38" xfId="0" applyFont="1" applyBorder="1" applyAlignment="1">
      <alignment horizontal="center"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0" xfId="0" applyFont="1" applyFill="1" applyBorder="1" applyAlignment="1">
      <alignment horizontal="left" vertical="center"/>
    </xf>
    <xf numFmtId="0" fontId="25" fillId="3" borderId="49" xfId="0" applyFont="1" applyFill="1" applyBorder="1" applyAlignment="1">
      <alignment horizontal="left" vertical="center"/>
    </xf>
    <xf numFmtId="0" fontId="25" fillId="0" borderId="3" xfId="0" applyFont="1" applyBorder="1">
      <alignment vertical="center"/>
    </xf>
    <xf numFmtId="0" fontId="34" fillId="0" borderId="38" xfId="5" applyFont="1" applyBorder="1" applyAlignment="1">
      <alignment horizontal="center" vertical="center"/>
    </xf>
    <xf numFmtId="0" fontId="34" fillId="0" borderId="30" xfId="5" applyFont="1" applyBorder="1" applyAlignment="1">
      <alignment horizontal="center" vertical="center"/>
    </xf>
    <xf numFmtId="0" fontId="34" fillId="0" borderId="49" xfId="5" applyFont="1" applyBorder="1" applyAlignment="1">
      <alignment horizontal="center" vertical="center"/>
    </xf>
    <xf numFmtId="0" fontId="74" fillId="5" borderId="3" xfId="0" applyFont="1" applyFill="1" applyBorder="1" applyAlignment="1">
      <alignment horizontal="center" vertical="center"/>
    </xf>
    <xf numFmtId="0" fontId="75" fillId="0" borderId="3" xfId="0" applyFont="1" applyBorder="1" applyAlignment="1">
      <alignment horizontal="center" vertical="center"/>
    </xf>
    <xf numFmtId="166" fontId="3" fillId="0" borderId="38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166" fontId="32" fillId="0" borderId="3" xfId="0" applyNumberFormat="1" applyFont="1" applyBorder="1" applyAlignment="1">
      <alignment horizontal="center" vertical="center"/>
    </xf>
    <xf numFmtId="191" fontId="33" fillId="0" borderId="67" xfId="0" applyNumberFormat="1" applyFont="1" applyBorder="1" applyAlignment="1">
      <alignment horizontal="center" vertical="center"/>
    </xf>
    <xf numFmtId="187" fontId="33" fillId="0" borderId="54" xfId="0" applyNumberFormat="1" applyFont="1" applyBorder="1" applyAlignment="1">
      <alignment horizontal="center" vertical="center"/>
    </xf>
    <xf numFmtId="190" fontId="33" fillId="0" borderId="57" xfId="0" applyNumberFormat="1" applyFont="1" applyBorder="1" applyAlignment="1">
      <alignment horizontal="center" vertical="center"/>
    </xf>
    <xf numFmtId="0" fontId="42" fillId="0" borderId="54" xfId="0" applyFont="1" applyBorder="1" applyAlignment="1">
      <alignment horizontal="center" vertical="center"/>
    </xf>
    <xf numFmtId="0" fontId="91" fillId="3" borderId="4" xfId="2" applyFont="1" applyFill="1" applyBorder="1" applyAlignment="1" applyProtection="1">
      <alignment horizontal="center" vertical="center"/>
    </xf>
    <xf numFmtId="0" fontId="91" fillId="3" borderId="0" xfId="2" applyFont="1" applyFill="1" applyAlignment="1" applyProtection="1">
      <alignment horizontal="center" vertical="center"/>
    </xf>
    <xf numFmtId="0" fontId="91" fillId="3" borderId="5" xfId="2" applyFont="1" applyFill="1" applyBorder="1" applyAlignment="1" applyProtection="1">
      <alignment horizontal="center" vertical="center"/>
    </xf>
    <xf numFmtId="0" fontId="3" fillId="31" borderId="16" xfId="2" applyFont="1" applyFill="1" applyBorder="1" applyAlignment="1">
      <alignment horizontal="center" vertical="center" wrapText="1"/>
      <protection locked="0"/>
    </xf>
    <xf numFmtId="0" fontId="3" fillId="31" borderId="33" xfId="2" applyFont="1" applyFill="1" applyBorder="1" applyAlignment="1">
      <alignment horizontal="center" vertical="center" wrapText="1"/>
      <protection locked="0"/>
    </xf>
    <xf numFmtId="0" fontId="3" fillId="31" borderId="21" xfId="2" applyFont="1" applyFill="1" applyBorder="1" applyAlignment="1">
      <alignment horizontal="center" vertical="center" wrapText="1"/>
      <protection locked="0"/>
    </xf>
    <xf numFmtId="0" fontId="4" fillId="31" borderId="3" xfId="2" applyFont="1" applyFill="1" applyBorder="1" applyAlignment="1">
      <alignment horizontal="center" vertical="center" wrapText="1"/>
      <protection locked="0"/>
    </xf>
    <xf numFmtId="0" fontId="5" fillId="31" borderId="3" xfId="2" applyFont="1" applyFill="1" applyBorder="1" applyAlignment="1">
      <alignment horizontal="center"/>
      <protection locked="0"/>
    </xf>
    <xf numFmtId="0" fontId="6" fillId="31" borderId="38" xfId="2" applyFont="1" applyFill="1" applyBorder="1" applyAlignment="1">
      <alignment horizontal="center" vertical="center" wrapText="1"/>
      <protection locked="0"/>
    </xf>
    <xf numFmtId="0" fontId="6" fillId="31" borderId="30" xfId="2" applyFont="1" applyFill="1" applyBorder="1" applyAlignment="1">
      <alignment horizontal="center" vertical="center" wrapText="1"/>
      <protection locked="0"/>
    </xf>
    <xf numFmtId="0" fontId="6" fillId="31" borderId="49" xfId="2" applyFont="1" applyFill="1" applyBorder="1" applyAlignment="1">
      <alignment horizontal="center" vertical="center" wrapText="1"/>
      <protection locked="0"/>
    </xf>
    <xf numFmtId="0" fontId="6" fillId="31" borderId="38" xfId="2" applyFont="1" applyFill="1" applyBorder="1" applyAlignment="1">
      <alignment horizontal="center" vertical="center"/>
      <protection locked="0"/>
    </xf>
    <xf numFmtId="0" fontId="6" fillId="31" borderId="30" xfId="2" applyFont="1" applyFill="1" applyBorder="1" applyAlignment="1">
      <alignment horizontal="center" vertical="center"/>
      <protection locked="0"/>
    </xf>
    <xf numFmtId="0" fontId="6" fillId="31" borderId="49" xfId="2" applyFont="1" applyFill="1" applyBorder="1" applyAlignment="1">
      <alignment horizontal="center" vertical="center"/>
      <protection locked="0"/>
    </xf>
    <xf numFmtId="0" fontId="8" fillId="31" borderId="3" xfId="2" applyFont="1" applyFill="1" applyBorder="1" applyAlignment="1">
      <alignment horizontal="center" vertical="center" wrapText="1"/>
      <protection locked="0"/>
    </xf>
    <xf numFmtId="0" fontId="5" fillId="31" borderId="21" xfId="2" applyFont="1" applyFill="1" applyBorder="1" applyAlignment="1">
      <alignment horizontal="center"/>
      <protection locked="0"/>
    </xf>
    <xf numFmtId="0" fontId="5" fillId="31" borderId="38" xfId="2" applyFont="1" applyFill="1" applyBorder="1" applyAlignment="1">
      <alignment horizontal="center" vertical="center"/>
      <protection locked="0"/>
    </xf>
    <xf numFmtId="0" fontId="5" fillId="31" borderId="30" xfId="2" applyFont="1" applyFill="1" applyBorder="1" applyAlignment="1">
      <alignment horizontal="center" vertical="center"/>
      <protection locked="0"/>
    </xf>
    <xf numFmtId="0" fontId="5" fillId="31" borderId="49" xfId="2" applyFont="1" applyFill="1" applyBorder="1" applyAlignment="1">
      <alignment horizontal="center" vertical="center"/>
      <protection locked="0"/>
    </xf>
    <xf numFmtId="0" fontId="6" fillId="31" borderId="60" xfId="2" applyFont="1" applyFill="1" applyBorder="1" applyAlignment="1">
      <alignment horizontal="center" vertical="center"/>
      <protection locked="0"/>
    </xf>
    <xf numFmtId="0" fontId="6" fillId="31" borderId="86" xfId="2" applyFont="1" applyFill="1" applyBorder="1" applyAlignment="1">
      <alignment horizontal="center" vertical="center"/>
      <protection locked="0"/>
    </xf>
    <xf numFmtId="0" fontId="6" fillId="31" borderId="64" xfId="2" applyFont="1" applyFill="1" applyBorder="1" applyAlignment="1">
      <alignment horizontal="center" vertical="center"/>
      <protection locked="0"/>
    </xf>
    <xf numFmtId="0" fontId="4" fillId="31" borderId="3" xfId="2" applyFont="1" applyFill="1" applyBorder="1" applyAlignment="1">
      <alignment horizontal="center" vertical="center"/>
      <protection locked="0"/>
    </xf>
    <xf numFmtId="0" fontId="6" fillId="3" borderId="27" xfId="6" applyFont="1" applyFill="1" applyBorder="1" applyAlignment="1">
      <alignment horizontal="center" vertical="center" wrapText="1"/>
    </xf>
    <xf numFmtId="0" fontId="6" fillId="3" borderId="28" xfId="6" applyFont="1" applyFill="1" applyBorder="1" applyAlignment="1">
      <alignment horizontal="center" vertical="center" wrapText="1"/>
    </xf>
    <xf numFmtId="0" fontId="6" fillId="3" borderId="39" xfId="6" applyFont="1" applyFill="1" applyBorder="1" applyAlignment="1">
      <alignment horizontal="center" vertical="center" wrapText="1"/>
    </xf>
    <xf numFmtId="0" fontId="6" fillId="3" borderId="29" xfId="6" applyFont="1" applyFill="1" applyBorder="1" applyAlignment="1">
      <alignment horizontal="center" vertical="center"/>
    </xf>
    <xf numFmtId="0" fontId="6" fillId="3" borderId="30" xfId="6" applyFont="1" applyFill="1" applyBorder="1" applyAlignment="1">
      <alignment horizontal="center" vertical="center"/>
    </xf>
    <xf numFmtId="0" fontId="6" fillId="3" borderId="41" xfId="6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3" borderId="29" xfId="6" applyFont="1" applyFill="1" applyBorder="1" applyAlignment="1">
      <alignment horizontal="center" vertical="center"/>
    </xf>
    <xf numFmtId="0" fontId="8" fillId="3" borderId="30" xfId="6" applyFont="1" applyFill="1" applyBorder="1" applyAlignment="1">
      <alignment horizontal="center" vertical="center"/>
    </xf>
    <xf numFmtId="0" fontId="8" fillId="3" borderId="49" xfId="6" applyFont="1" applyFill="1" applyBorder="1" applyAlignment="1">
      <alignment horizontal="center" vertical="center"/>
    </xf>
    <xf numFmtId="0" fontId="12" fillId="7" borderId="27" xfId="2" applyFont="1" applyFill="1" applyBorder="1" applyAlignment="1" applyProtection="1">
      <alignment horizontal="center" vertical="center"/>
    </xf>
    <xf numFmtId="0" fontId="12" fillId="7" borderId="28" xfId="2" applyFont="1" applyFill="1" applyBorder="1" applyAlignment="1" applyProtection="1">
      <alignment horizontal="center" vertical="center"/>
    </xf>
    <xf numFmtId="0" fontId="12" fillId="7" borderId="39" xfId="2" applyFont="1" applyFill="1" applyBorder="1" applyAlignment="1" applyProtection="1">
      <alignment horizontal="center" vertical="center"/>
    </xf>
    <xf numFmtId="0" fontId="14" fillId="7" borderId="91" xfId="2" applyFont="1" applyFill="1" applyBorder="1" applyAlignment="1" applyProtection="1">
      <alignment horizontal="center" vertical="center" wrapText="1"/>
    </xf>
    <xf numFmtId="0" fontId="14" fillId="7" borderId="46" xfId="2" applyFont="1" applyFill="1" applyBorder="1" applyAlignment="1" applyProtection="1">
      <alignment horizontal="center" vertical="center" wrapText="1"/>
    </xf>
    <xf numFmtId="0" fontId="14" fillId="7" borderId="72" xfId="2" applyFont="1" applyFill="1" applyBorder="1" applyAlignment="1" applyProtection="1">
      <alignment horizontal="center" vertical="center" wrapText="1"/>
    </xf>
    <xf numFmtId="0" fontId="16" fillId="0" borderId="27" xfId="6" applyFont="1" applyBorder="1" applyAlignment="1">
      <alignment horizontal="center"/>
    </xf>
    <xf numFmtId="0" fontId="16" fillId="0" borderId="28" xfId="6" applyFont="1" applyBorder="1" applyAlignment="1">
      <alignment horizontal="center"/>
    </xf>
    <xf numFmtId="0" fontId="16" fillId="0" borderId="39" xfId="6" applyFont="1" applyBorder="1" applyAlignment="1">
      <alignment horizontal="center"/>
    </xf>
    <xf numFmtId="0" fontId="8" fillId="24" borderId="31" xfId="6" applyFont="1" applyFill="1" applyBorder="1" applyAlignment="1">
      <alignment horizontal="center"/>
    </xf>
    <xf numFmtId="0" fontId="8" fillId="24" borderId="32" xfId="6" applyFont="1" applyFill="1" applyBorder="1" applyAlignment="1">
      <alignment horizontal="center"/>
    </xf>
    <xf numFmtId="0" fontId="8" fillId="24" borderId="40" xfId="6" applyFont="1" applyFill="1" applyBorder="1" applyAlignment="1">
      <alignment horizontal="center"/>
    </xf>
    <xf numFmtId="0" fontId="98" fillId="3" borderId="0" xfId="2" applyFont="1" applyFill="1" applyAlignment="1" applyProtection="1">
      <alignment horizontal="left" wrapText="1"/>
    </xf>
    <xf numFmtId="0" fontId="13" fillId="3" borderId="0" xfId="2" applyFont="1" applyFill="1" applyAlignment="1" applyProtection="1">
      <alignment horizontal="center" vertical="center" wrapText="1"/>
    </xf>
    <xf numFmtId="0" fontId="12" fillId="7" borderId="29" xfId="2" applyFont="1" applyFill="1" applyBorder="1" applyAlignment="1" applyProtection="1">
      <alignment horizontal="center" vertical="center" wrapText="1"/>
    </xf>
    <xf numFmtId="0" fontId="12" fillId="7" borderId="30" xfId="2" applyFont="1" applyFill="1" applyBorder="1" applyAlignment="1" applyProtection="1">
      <alignment horizontal="center" vertical="center" wrapText="1"/>
    </xf>
    <xf numFmtId="0" fontId="12" fillId="7" borderId="41" xfId="2" applyFont="1" applyFill="1" applyBorder="1" applyAlignment="1" applyProtection="1">
      <alignment horizontal="center" vertical="center" wrapText="1"/>
    </xf>
    <xf numFmtId="0" fontId="45" fillId="7" borderId="89" xfId="2" applyFill="1" applyBorder="1" applyAlignment="1" applyProtection="1">
      <alignment horizontal="center" wrapText="1"/>
    </xf>
    <xf numFmtId="0" fontId="45" fillId="7" borderId="43" xfId="2" applyFill="1" applyBorder="1" applyAlignment="1" applyProtection="1">
      <alignment horizontal="center" wrapText="1"/>
    </xf>
    <xf numFmtId="0" fontId="94" fillId="7" borderId="29" xfId="2" applyFont="1" applyFill="1" applyBorder="1" applyAlignment="1" applyProtection="1">
      <alignment horizontal="center" vertical="center" wrapText="1"/>
    </xf>
    <xf numFmtId="0" fontId="94" fillId="7" borderId="30" xfId="2" applyFont="1" applyFill="1" applyBorder="1" applyAlignment="1" applyProtection="1">
      <alignment horizontal="center" vertical="center" wrapText="1"/>
    </xf>
    <xf numFmtId="0" fontId="94" fillId="7" borderId="41" xfId="2" applyFont="1" applyFill="1" applyBorder="1" applyAlignment="1" applyProtection="1">
      <alignment horizontal="center" vertical="center" wrapText="1"/>
    </xf>
    <xf numFmtId="0" fontId="92" fillId="3" borderId="89" xfId="6" applyFont="1" applyFill="1" applyBorder="1" applyAlignment="1">
      <alignment horizontal="center" vertical="center" wrapText="1"/>
    </xf>
    <xf numFmtId="0" fontId="92" fillId="3" borderId="90" xfId="6" applyFont="1" applyFill="1" applyBorder="1" applyAlignment="1">
      <alignment horizontal="center" vertical="center" wrapText="1"/>
    </xf>
    <xf numFmtId="0" fontId="92" fillId="3" borderId="43" xfId="6" applyFont="1" applyFill="1" applyBorder="1" applyAlignment="1">
      <alignment horizontal="center" vertical="center" wrapText="1"/>
    </xf>
    <xf numFmtId="0" fontId="14" fillId="7" borderId="19" xfId="2" applyFont="1" applyFill="1" applyBorder="1" applyAlignment="1" applyProtection="1">
      <alignment horizontal="center" vertical="center" wrapText="1"/>
    </xf>
    <xf numFmtId="0" fontId="14" fillId="7" borderId="33" xfId="2" applyFont="1" applyFill="1" applyBorder="1" applyAlignment="1" applyProtection="1">
      <alignment horizontal="center" vertical="center" wrapText="1"/>
    </xf>
    <xf numFmtId="0" fontId="14" fillId="7" borderId="35" xfId="2" applyFont="1" applyFill="1" applyBorder="1" applyAlignment="1" applyProtection="1">
      <alignment horizontal="center" vertical="center" wrapText="1"/>
    </xf>
    <xf numFmtId="0" fontId="8" fillId="7" borderId="20" xfId="2" applyFont="1" applyFill="1" applyBorder="1" applyAlignment="1" applyProtection="1">
      <alignment horizontal="center" vertical="center" wrapText="1"/>
    </xf>
    <xf numFmtId="0" fontId="8" fillId="7" borderId="34" xfId="2" applyFont="1" applyFill="1" applyBorder="1" applyAlignment="1" applyProtection="1">
      <alignment horizontal="center" vertical="center" wrapText="1"/>
    </xf>
    <xf numFmtId="0" fontId="8" fillId="7" borderId="36" xfId="2" applyFont="1" applyFill="1" applyBorder="1" applyAlignment="1" applyProtection="1">
      <alignment horizontal="center" vertical="center" wrapText="1"/>
    </xf>
    <xf numFmtId="2" fontId="72" fillId="27" borderId="0" xfId="0" applyNumberFormat="1" applyFont="1" applyFill="1" applyAlignment="1">
      <alignment horizontal="center" vertical="center"/>
    </xf>
    <xf numFmtId="2" fontId="73" fillId="30" borderId="0" xfId="0" applyNumberFormat="1" applyFont="1" applyFill="1" applyAlignment="1">
      <alignment horizontal="center" vertical="center"/>
    </xf>
    <xf numFmtId="2" fontId="0" fillId="25" borderId="0" xfId="0" applyNumberFormat="1" applyFill="1" applyAlignment="1">
      <alignment horizontal="center" vertical="center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Border="1" applyAlignment="1">
      <alignment horizontal="center" vertical="top" wrapText="1"/>
    </xf>
    <xf numFmtId="2" fontId="8" fillId="0" borderId="16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8" fillId="5" borderId="16" xfId="0" applyNumberFormat="1" applyFont="1" applyFill="1" applyBorder="1" applyAlignment="1">
      <alignment horizontal="center" vertical="center"/>
    </xf>
    <xf numFmtId="2" fontId="8" fillId="5" borderId="21" xfId="0" applyNumberFormat="1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left" vertical="top" wrapText="1"/>
    </xf>
    <xf numFmtId="2" fontId="0" fillId="0" borderId="30" xfId="0" applyNumberForma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2" fontId="71" fillId="27" borderId="0" xfId="0" applyNumberFormat="1" applyFont="1" applyFill="1" applyAlignment="1">
      <alignment horizontal="center" vertical="center"/>
    </xf>
    <xf numFmtId="2" fontId="14" fillId="32" borderId="12" xfId="0" applyNumberFormat="1" applyFont="1" applyFill="1" applyBorder="1" applyAlignment="1">
      <alignment horizontal="center" vertical="center"/>
    </xf>
    <xf numFmtId="2" fontId="14" fillId="32" borderId="14" xfId="0" applyNumberFormat="1" applyFont="1" applyFill="1" applyBorder="1" applyAlignment="1">
      <alignment horizontal="center" vertical="center"/>
    </xf>
    <xf numFmtId="2" fontId="6" fillId="32" borderId="3" xfId="0" applyNumberFormat="1" applyFont="1" applyFill="1" applyBorder="1" applyAlignment="1">
      <alignment horizontal="center" vertical="center"/>
    </xf>
    <xf numFmtId="2" fontId="5" fillId="32" borderId="3" xfId="4" applyNumberFormat="1" applyFont="1" applyFill="1" applyBorder="1" applyAlignment="1">
      <alignment horizontal="center" vertical="center"/>
    </xf>
    <xf numFmtId="2" fontId="19" fillId="32" borderId="3" xfId="4" applyNumberFormat="1" applyFont="1" applyFill="1" applyBorder="1" applyAlignment="1">
      <alignment horizontal="center" vertical="center"/>
    </xf>
    <xf numFmtId="1" fontId="0" fillId="34" borderId="3" xfId="0" applyNumberFormat="1" applyFill="1" applyBorder="1" applyAlignment="1">
      <alignment horizontal="center" vertical="center"/>
    </xf>
    <xf numFmtId="2" fontId="12" fillId="32" borderId="3" xfId="4" applyNumberFormat="1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4" borderId="1" xfId="0" applyNumberFormat="1" applyFill="1" applyBorder="1" applyAlignment="1">
      <alignment horizontal="center" vertical="center"/>
    </xf>
    <xf numFmtId="1" fontId="0" fillId="34" borderId="4" xfId="0" applyNumberFormat="1" applyFill="1" applyBorder="1" applyAlignment="1">
      <alignment horizontal="center" vertical="center"/>
    </xf>
    <xf numFmtId="1" fontId="0" fillId="34" borderId="6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6" fillId="32" borderId="38" xfId="0" applyNumberFormat="1" applyFont="1" applyFill="1" applyBorder="1" applyAlignment="1">
      <alignment horizontal="center" vertical="center"/>
    </xf>
    <xf numFmtId="2" fontId="6" fillId="32" borderId="30" xfId="0" applyNumberFormat="1" applyFont="1" applyFill="1" applyBorder="1" applyAlignment="1">
      <alignment horizontal="center" vertical="center"/>
    </xf>
    <xf numFmtId="2" fontId="6" fillId="32" borderId="49" xfId="0" applyNumberFormat="1" applyFont="1" applyFill="1" applyBorder="1" applyAlignment="1">
      <alignment horizontal="center" vertical="center"/>
    </xf>
    <xf numFmtId="1" fontId="12" fillId="32" borderId="3" xfId="4" applyNumberFormat="1" applyFont="1" applyFill="1" applyBorder="1" applyAlignment="1">
      <alignment horizontal="center" vertical="center"/>
    </xf>
    <xf numFmtId="2" fontId="15" fillId="32" borderId="3" xfId="0" applyNumberFormat="1" applyFont="1" applyFill="1" applyBorder="1" applyAlignment="1">
      <alignment horizontal="center" vertical="center"/>
    </xf>
    <xf numFmtId="2" fontId="15" fillId="32" borderId="3" xfId="0" applyNumberFormat="1" applyFont="1" applyFill="1" applyBorder="1" applyAlignment="1">
      <alignment horizontal="center" vertical="center" wrapText="1"/>
    </xf>
    <xf numFmtId="2" fontId="15" fillId="32" borderId="13" xfId="0" applyNumberFormat="1" applyFont="1" applyFill="1" applyBorder="1" applyAlignment="1">
      <alignment horizontal="center" vertical="center"/>
    </xf>
    <xf numFmtId="2" fontId="15" fillId="32" borderId="13" xfId="0" applyNumberFormat="1" applyFont="1" applyFill="1" applyBorder="1" applyAlignment="1">
      <alignment horizontal="center" vertical="center" wrapText="1"/>
    </xf>
    <xf numFmtId="2" fontId="12" fillId="32" borderId="13" xfId="4" applyNumberFormat="1" applyFont="1" applyFill="1" applyBorder="1" applyAlignment="1">
      <alignment horizontal="center" vertical="center"/>
    </xf>
    <xf numFmtId="2" fontId="12" fillId="32" borderId="14" xfId="4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20" fillId="32" borderId="3" xfId="0" applyNumberFormat="1" applyFont="1" applyFill="1" applyBorder="1" applyAlignment="1">
      <alignment horizontal="center" vertical="center"/>
    </xf>
    <xf numFmtId="2" fontId="20" fillId="32" borderId="82" xfId="0" applyNumberFormat="1" applyFont="1" applyFill="1" applyBorder="1" applyAlignment="1">
      <alignment horizontal="center" vertical="center"/>
    </xf>
    <xf numFmtId="2" fontId="20" fillId="32" borderId="50" xfId="0" applyNumberFormat="1" applyFont="1" applyFill="1" applyBorder="1" applyAlignment="1">
      <alignment horizontal="center" vertical="center"/>
    </xf>
    <xf numFmtId="2" fontId="20" fillId="32" borderId="66" xfId="0" applyNumberFormat="1" applyFont="1" applyFill="1" applyBorder="1" applyAlignment="1">
      <alignment horizontal="center" vertical="center"/>
    </xf>
    <xf numFmtId="2" fontId="20" fillId="32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/>
    </xf>
    <xf numFmtId="2" fontId="11" fillId="32" borderId="3" xfId="0" applyNumberFormat="1" applyFont="1" applyFill="1" applyBorder="1" applyAlignment="1">
      <alignment horizontal="center" vertical="center"/>
    </xf>
    <xf numFmtId="2" fontId="11" fillId="32" borderId="13" xfId="0" applyNumberFormat="1" applyFont="1" applyFill="1" applyBorder="1" applyAlignment="1">
      <alignment horizontal="center" vertical="center"/>
    </xf>
    <xf numFmtId="2" fontId="11" fillId="32" borderId="25" xfId="0" applyNumberFormat="1" applyFont="1" applyFill="1" applyBorder="1" applyAlignment="1">
      <alignment horizontal="center" vertical="center"/>
    </xf>
    <xf numFmtId="2" fontId="11" fillId="32" borderId="16" xfId="0" applyNumberFormat="1" applyFont="1" applyFill="1" applyBorder="1" applyAlignment="1">
      <alignment horizontal="center" vertical="center"/>
    </xf>
    <xf numFmtId="2" fontId="11" fillId="32" borderId="33" xfId="0" applyNumberFormat="1" applyFont="1" applyFill="1" applyBorder="1" applyAlignment="1">
      <alignment horizontal="center" vertical="center"/>
    </xf>
    <xf numFmtId="2" fontId="11" fillId="32" borderId="35" xfId="0" applyNumberFormat="1" applyFont="1" applyFill="1" applyBorder="1" applyAlignment="1">
      <alignment horizontal="center" vertical="center"/>
    </xf>
    <xf numFmtId="2" fontId="11" fillId="32" borderId="19" xfId="0" applyNumberFormat="1" applyFont="1" applyFill="1" applyBorder="1" applyAlignment="1">
      <alignment horizontal="center" vertical="center"/>
    </xf>
    <xf numFmtId="2" fontId="12" fillId="3" borderId="3" xfId="4" applyNumberFormat="1" applyFont="1" applyFill="1" applyBorder="1" applyAlignment="1">
      <alignment horizontal="center" vertical="center" wrapText="1"/>
    </xf>
    <xf numFmtId="2" fontId="12" fillId="3" borderId="13" xfId="4" applyNumberFormat="1" applyFont="1" applyFill="1" applyBorder="1" applyAlignment="1">
      <alignment horizontal="left" vertical="center" wrapText="1"/>
    </xf>
    <xf numFmtId="2" fontId="12" fillId="3" borderId="14" xfId="4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15" fillId="3" borderId="12" xfId="4" applyNumberFormat="1" applyFont="1" applyFill="1" applyBorder="1" applyAlignment="1">
      <alignment horizontal="center" vertical="center"/>
    </xf>
    <xf numFmtId="2" fontId="15" fillId="3" borderId="13" xfId="4" applyNumberFormat="1" applyFont="1" applyFill="1" applyBorder="1" applyAlignment="1">
      <alignment horizontal="center" vertical="center"/>
    </xf>
    <xf numFmtId="2" fontId="15" fillId="3" borderId="14" xfId="4" applyNumberFormat="1" applyFont="1" applyFill="1" applyBorder="1" applyAlignment="1">
      <alignment horizontal="center" vertical="center"/>
    </xf>
    <xf numFmtId="1" fontId="15" fillId="32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4" applyNumberFormat="1" applyFont="1" applyFill="1" applyBorder="1" applyAlignment="1">
      <alignment horizontal="center" vertical="center" wrapText="1"/>
    </xf>
    <xf numFmtId="2" fontId="11" fillId="3" borderId="12" xfId="0" applyNumberFormat="1" applyFont="1" applyFill="1" applyBorder="1" applyAlignment="1">
      <alignment horizontal="center" vertical="center"/>
    </xf>
    <xf numFmtId="2" fontId="11" fillId="3" borderId="18" xfId="0" applyNumberFormat="1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>
      <alignment horizontal="center" vertical="center"/>
    </xf>
    <xf numFmtId="0" fontId="33" fillId="13" borderId="0" xfId="0" applyFont="1" applyFill="1" applyAlignment="1" applyProtection="1">
      <alignment horizontal="left" vertical="center"/>
      <protection locked="0"/>
    </xf>
    <xf numFmtId="1" fontId="0" fillId="0" borderId="3" xfId="0" applyNumberFormat="1" applyBorder="1" applyAlignment="1"/>
  </cellXfs>
  <cellStyles count="7"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FD0AF7F6-A5FE-482E-94DB-A580789A0AFE}"/>
    <cellStyle name="Normal 5 2 2" xfId="6" xr:uid="{432E46F2-148B-43A7-88BF-6EE5AC30D464}"/>
    <cellStyle name="Normal_Daftar kelistrikan (ecg)" xfId="5" xr:uid="{2A1FCABC-918D-4EC0-99EB-6228FA572F14}"/>
  </cellStyles>
  <dxfs count="0"/>
  <tableStyles count="0" defaultTableStyle="TableStyleMedium2" defaultPivotStyle="PivotStyleLight16"/>
  <colors>
    <mruColors>
      <color rgb="FF66FF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35</xdr:row>
      <xdr:rowOff>266179</xdr:rowOff>
    </xdr:from>
    <xdr:to>
      <xdr:col>6</xdr:col>
      <xdr:colOff>409423</xdr:colOff>
      <xdr:row>35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7385050"/>
          <a:ext cx="408940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16847</xdr:colOff>
      <xdr:row>38</xdr:row>
      <xdr:rowOff>75783</xdr:rowOff>
    </xdr:from>
    <xdr:to>
      <xdr:col>5</xdr:col>
      <xdr:colOff>182842</xdr:colOff>
      <xdr:row>45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28574" y="8752192"/>
          <a:ext cx="3571904" cy="1702217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516255</xdr:colOff>
      <xdr:row>38</xdr:row>
      <xdr:rowOff>241935</xdr:rowOff>
    </xdr:from>
    <xdr:to>
      <xdr:col>6</xdr:col>
      <xdr:colOff>414020</xdr:colOff>
      <xdr:row>38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237311</xdr:colOff>
      <xdr:row>52</xdr:row>
      <xdr:rowOff>139600</xdr:rowOff>
    </xdr:from>
    <xdr:to>
      <xdr:col>4</xdr:col>
      <xdr:colOff>416593</xdr:colOff>
      <xdr:row>54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13355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81227</xdr:colOff>
      <xdr:row>42</xdr:row>
      <xdr:rowOff>113674</xdr:rowOff>
    </xdr:from>
    <xdr:to>
      <xdr:col>7</xdr:col>
      <xdr:colOff>166350</xdr:colOff>
      <xdr:row>54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45810" y="9649257"/>
          <a:ext cx="5281540" cy="3124781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2</xdr:col>
      <xdr:colOff>730251</xdr:colOff>
      <xdr:row>7</xdr:row>
      <xdr:rowOff>179918</xdr:rowOff>
    </xdr:from>
    <xdr:to>
      <xdr:col>3</xdr:col>
      <xdr:colOff>1</xdr:colOff>
      <xdr:row>8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20645" y="5918835"/>
          <a:ext cx="80645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45360" y="7357110"/>
          <a:ext cx="124015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40826" y="5824471"/>
          <a:ext cx="2469244" cy="1658697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149802</xdr:rowOff>
    </xdr:from>
    <xdr:to>
      <xdr:col>6</xdr:col>
      <xdr:colOff>152400</xdr:colOff>
      <xdr:row>41</xdr:row>
      <xdr:rowOff>3463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93775" y="5748385"/>
          <a:ext cx="2799292" cy="1758661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wnloads/ECG_Recorder-07-07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28">
          <cell r="I28">
            <v>26.7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X140"/>
  <sheetViews>
    <sheetView showGridLines="0" view="pageBreakPreview" topLeftCell="A63" zoomScale="110" zoomScaleNormal="117" zoomScaleSheetLayoutView="110" workbookViewId="0">
      <selection activeCell="B66" sqref="B66"/>
    </sheetView>
  </sheetViews>
  <sheetFormatPr defaultColWidth="9" defaultRowHeight="15.5"/>
  <cols>
    <col min="1" max="1" width="4.453125" style="16" customWidth="1"/>
    <col min="2" max="2" width="10.54296875" style="245" customWidth="1"/>
    <col min="3" max="3" width="16.7265625" style="245" customWidth="1"/>
    <col min="4" max="13" width="10.7265625" style="245" customWidth="1"/>
    <col min="14" max="14" width="7.26953125" style="245" customWidth="1"/>
    <col min="15" max="15" width="4" style="245" customWidth="1"/>
    <col min="16" max="18" width="9.1796875" style="245" customWidth="1"/>
    <col min="19" max="19" width="19.54296875" style="245" customWidth="1"/>
    <col min="20" max="20" width="14.1796875" style="245" customWidth="1"/>
    <col min="21" max="257" width="9.1796875" style="245" customWidth="1"/>
    <col min="258" max="16384" width="9" style="16"/>
  </cols>
  <sheetData>
    <row r="1" spans="1:15" ht="19.5" customHeight="1">
      <c r="A1" s="1057" t="s">
        <v>0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  <c r="O1" s="350"/>
    </row>
    <row r="2" spans="1:15" ht="18.75" customHeight="1">
      <c r="A2" s="1058" t="s">
        <v>1</v>
      </c>
      <c r="B2" s="1058"/>
      <c r="C2" s="1058"/>
      <c r="D2" s="1058"/>
      <c r="E2" s="1058"/>
      <c r="F2" s="1058"/>
      <c r="G2" s="1058"/>
      <c r="H2" s="1058"/>
      <c r="I2" s="1058"/>
      <c r="J2" s="1058"/>
      <c r="K2" s="1058"/>
      <c r="L2" s="1058"/>
      <c r="M2" s="1058"/>
      <c r="N2" s="1058"/>
      <c r="O2" s="17"/>
    </row>
    <row r="3" spans="1:15" ht="18.75" customHeight="1">
      <c r="B3" s="39"/>
      <c r="C3" s="39"/>
      <c r="D3" s="39"/>
      <c r="E3" s="39"/>
      <c r="F3" s="39"/>
      <c r="G3" s="39"/>
      <c r="H3" s="39"/>
      <c r="I3" s="39"/>
      <c r="J3" s="39"/>
    </row>
    <row r="4" spans="1:15" ht="18" customHeight="1">
      <c r="B4" s="246" t="s">
        <v>2</v>
      </c>
      <c r="D4" s="247" t="s">
        <v>3</v>
      </c>
      <c r="E4" s="248"/>
      <c r="F4" s="248"/>
      <c r="G4" s="249"/>
      <c r="H4" s="250"/>
      <c r="I4" s="248"/>
    </row>
    <row r="5" spans="1:15" ht="18" customHeight="1">
      <c r="B5" s="17" t="s">
        <v>4</v>
      </c>
      <c r="D5" s="18" t="s">
        <v>3</v>
      </c>
      <c r="E5" s="251"/>
      <c r="F5" s="251"/>
      <c r="G5" s="252"/>
      <c r="H5" s="253"/>
      <c r="I5" s="251"/>
    </row>
    <row r="6" spans="1:15" ht="18" customHeight="1">
      <c r="B6" s="17" t="s">
        <v>5</v>
      </c>
      <c r="D6" s="18" t="s">
        <v>3</v>
      </c>
      <c r="E6" s="251"/>
      <c r="F6" s="251"/>
      <c r="G6" s="254"/>
      <c r="H6" s="255"/>
      <c r="I6" s="251"/>
    </row>
    <row r="7" spans="1:15" ht="18" customHeight="1">
      <c r="B7" s="17" t="s">
        <v>6</v>
      </c>
      <c r="D7" s="18" t="s">
        <v>3</v>
      </c>
      <c r="E7" s="251"/>
      <c r="F7" s="252"/>
      <c r="G7" s="252"/>
      <c r="H7" s="253"/>
      <c r="I7" s="251"/>
    </row>
    <row r="8" spans="1:15" ht="18" customHeight="1">
      <c r="B8" s="246" t="s">
        <v>7</v>
      </c>
      <c r="D8" s="18" t="s">
        <v>3</v>
      </c>
      <c r="E8" s="251"/>
      <c r="F8" s="252"/>
      <c r="G8" s="252"/>
      <c r="H8" s="253"/>
      <c r="I8" s="251"/>
    </row>
    <row r="9" spans="1:15" ht="18" customHeight="1">
      <c r="B9" s="246" t="s">
        <v>8</v>
      </c>
      <c r="D9" s="18" t="s">
        <v>3</v>
      </c>
      <c r="E9" s="251"/>
      <c r="F9" s="252"/>
      <c r="G9" s="252"/>
      <c r="H9" s="253"/>
      <c r="I9" s="251"/>
    </row>
    <row r="10" spans="1:15" ht="18" customHeight="1">
      <c r="B10" s="246" t="s">
        <v>9</v>
      </c>
      <c r="D10" s="18" t="s">
        <v>3</v>
      </c>
      <c r="E10" s="251"/>
      <c r="F10" s="252"/>
      <c r="G10" s="252"/>
      <c r="H10" s="253"/>
      <c r="I10" s="251"/>
    </row>
    <row r="11" spans="1:15" ht="18" customHeight="1">
      <c r="B11" s="17" t="s">
        <v>10</v>
      </c>
      <c r="D11" s="18" t="s">
        <v>3</v>
      </c>
      <c r="E11" s="251"/>
      <c r="F11" s="252"/>
      <c r="G11" s="252"/>
      <c r="H11" s="253"/>
      <c r="I11" s="251"/>
    </row>
    <row r="12" spans="1:15" ht="14.25" customHeight="1" thickBot="1">
      <c r="B12" s="246"/>
      <c r="C12" s="246"/>
      <c r="D12" s="247"/>
      <c r="E12" s="246"/>
      <c r="F12" s="246"/>
      <c r="G12" s="246"/>
      <c r="H12" s="246"/>
      <c r="I12" s="246"/>
      <c r="J12" s="256"/>
    </row>
    <row r="13" spans="1:15" ht="15.75" customHeight="1" thickBot="1">
      <c r="A13" s="351" t="s">
        <v>11</v>
      </c>
      <c r="B13" s="257" t="s">
        <v>12</v>
      </c>
      <c r="C13" s="257"/>
      <c r="D13" s="258"/>
      <c r="E13" s="361" t="s">
        <v>13</v>
      </c>
      <c r="F13" s="348" t="s">
        <v>14</v>
      </c>
      <c r="G13" s="246"/>
      <c r="H13" s="246"/>
      <c r="I13" s="246"/>
      <c r="J13" s="16"/>
    </row>
    <row r="14" spans="1:15" ht="18" customHeight="1">
      <c r="B14" s="20" t="s">
        <v>15</v>
      </c>
      <c r="C14" s="16"/>
      <c r="D14" s="258"/>
      <c r="E14" s="362"/>
      <c r="F14" s="359"/>
      <c r="G14" s="357" t="s">
        <v>16</v>
      </c>
      <c r="J14" s="16"/>
    </row>
    <row r="15" spans="1:15" ht="16.5" customHeight="1" thickBot="1">
      <c r="B15" s="259" t="s">
        <v>17</v>
      </c>
      <c r="C15" s="16"/>
      <c r="D15" s="258"/>
      <c r="E15" s="363"/>
      <c r="F15" s="360"/>
      <c r="G15" s="358" t="s">
        <v>18</v>
      </c>
      <c r="J15" s="16"/>
    </row>
    <row r="16" spans="1:15" ht="16.5" customHeight="1" thickBot="1">
      <c r="B16" s="259" t="s">
        <v>19</v>
      </c>
      <c r="C16" s="16"/>
      <c r="D16" s="258"/>
      <c r="E16" s="1080"/>
      <c r="F16" s="1081"/>
      <c r="G16" s="358" t="s">
        <v>20</v>
      </c>
    </row>
    <row r="17" spans="1:15" ht="7.5" customHeight="1">
      <c r="B17" s="261"/>
      <c r="C17" s="261"/>
      <c r="D17" s="261"/>
      <c r="E17" s="246"/>
      <c r="J17" s="262"/>
    </row>
    <row r="18" spans="1:15" ht="19.5" customHeight="1">
      <c r="A18" s="351" t="s">
        <v>21</v>
      </c>
      <c r="B18" s="21" t="s">
        <v>22</v>
      </c>
      <c r="G18" s="262"/>
      <c r="I18" s="256"/>
      <c r="K18" s="353" t="s">
        <v>23</v>
      </c>
    </row>
    <row r="19" spans="1:15" ht="21" customHeight="1">
      <c r="B19" s="245" t="s">
        <v>24</v>
      </c>
      <c r="C19" s="16"/>
      <c r="D19" s="245" t="s">
        <v>25</v>
      </c>
      <c r="F19" s="1030" t="s">
        <v>26</v>
      </c>
      <c r="G19" s="1030"/>
      <c r="H19" s="1030"/>
      <c r="I19" s="1030"/>
      <c r="J19" s="1030"/>
      <c r="K19" s="354">
        <v>0.05</v>
      </c>
    </row>
    <row r="20" spans="1:15" ht="15.75" customHeight="1">
      <c r="B20" s="245" t="s">
        <v>27</v>
      </c>
      <c r="C20" s="16"/>
      <c r="D20" s="245" t="s">
        <v>25</v>
      </c>
      <c r="F20" s="1030"/>
      <c r="G20" s="1030"/>
      <c r="H20" s="1030"/>
      <c r="I20" s="1030"/>
      <c r="J20" s="1030"/>
      <c r="K20" s="354">
        <v>0.05</v>
      </c>
    </row>
    <row r="21" spans="1:15" ht="11.25" customHeight="1">
      <c r="C21" s="16"/>
      <c r="F21" s="355"/>
      <c r="G21" s="355"/>
      <c r="H21" s="355"/>
      <c r="I21" s="355"/>
      <c r="J21" s="355"/>
      <c r="K21" s="354"/>
    </row>
    <row r="22" spans="1:15" ht="18.75" customHeight="1" thickBot="1">
      <c r="A22" s="351" t="s">
        <v>28</v>
      </c>
      <c r="B22" s="21" t="s">
        <v>29</v>
      </c>
      <c r="E22" s="246"/>
      <c r="J22" s="262"/>
    </row>
    <row r="23" spans="1:15" ht="38.25" customHeight="1" thickBot="1">
      <c r="B23" s="372" t="s">
        <v>30</v>
      </c>
      <c r="C23" s="1082" t="s">
        <v>31</v>
      </c>
      <c r="D23" s="1083"/>
      <c r="E23" s="1083"/>
      <c r="F23" s="1083"/>
      <c r="G23" s="1083"/>
      <c r="H23" s="1083"/>
      <c r="I23" s="1084"/>
      <c r="J23" s="1082" t="s">
        <v>32</v>
      </c>
      <c r="K23" s="1084"/>
      <c r="L23" s="1085" t="s">
        <v>33</v>
      </c>
      <c r="M23" s="1084"/>
      <c r="N23" s="356" t="s">
        <v>23</v>
      </c>
    </row>
    <row r="24" spans="1:15" ht="15.75" customHeight="1">
      <c r="B24" s="371">
        <v>1</v>
      </c>
      <c r="C24" s="1040" t="s">
        <v>34</v>
      </c>
      <c r="D24" s="1041"/>
      <c r="E24" s="1041"/>
      <c r="F24" s="1041"/>
      <c r="G24" s="1041"/>
      <c r="H24" s="1041"/>
      <c r="I24" s="1042"/>
      <c r="J24" s="1070" t="s">
        <v>35</v>
      </c>
      <c r="K24" s="1071"/>
      <c r="L24" s="1064" t="s">
        <v>36</v>
      </c>
      <c r="M24" s="1065"/>
      <c r="N24" s="354">
        <v>0.1</v>
      </c>
    </row>
    <row r="25" spans="1:15" ht="15.75" customHeight="1">
      <c r="B25" s="366">
        <v>2</v>
      </c>
      <c r="C25" s="1037" t="s">
        <v>37</v>
      </c>
      <c r="D25" s="1038"/>
      <c r="E25" s="1038"/>
      <c r="F25" s="1038"/>
      <c r="G25" s="1038"/>
      <c r="H25" s="1038"/>
      <c r="I25" s="1039"/>
      <c r="J25" s="1068" t="s">
        <v>38</v>
      </c>
      <c r="K25" s="1069"/>
      <c r="L25" s="1062" t="s">
        <v>39</v>
      </c>
      <c r="M25" s="1063"/>
      <c r="N25" s="354">
        <v>0.1</v>
      </c>
    </row>
    <row r="26" spans="1:15" ht="15.75" hidden="1" customHeight="1">
      <c r="B26" s="366">
        <v>4</v>
      </c>
      <c r="C26" s="368" t="s">
        <v>40</v>
      </c>
      <c r="D26" s="349"/>
      <c r="E26" s="349"/>
      <c r="F26" s="349"/>
      <c r="G26" s="283"/>
      <c r="H26" s="349"/>
      <c r="I26" s="364"/>
      <c r="J26" s="369"/>
      <c r="K26" s="370" t="s">
        <v>41</v>
      </c>
      <c r="L26" s="365"/>
      <c r="M26" s="364"/>
      <c r="N26" s="354">
        <v>0.13300000000000001</v>
      </c>
      <c r="O26" s="245" t="s">
        <v>42</v>
      </c>
    </row>
    <row r="27" spans="1:15" ht="15.75" customHeight="1" thickBot="1">
      <c r="B27" s="367">
        <v>3</v>
      </c>
      <c r="C27" s="1034" t="s">
        <v>43</v>
      </c>
      <c r="D27" s="1035"/>
      <c r="E27" s="1035"/>
      <c r="F27" s="1035"/>
      <c r="G27" s="1035"/>
      <c r="H27" s="1035"/>
      <c r="I27" s="1036"/>
      <c r="J27" s="1066" t="s">
        <v>44</v>
      </c>
      <c r="K27" s="1067"/>
      <c r="L27" s="1060" t="s">
        <v>45</v>
      </c>
      <c r="M27" s="1061"/>
      <c r="N27" s="354">
        <v>0.2</v>
      </c>
    </row>
    <row r="28" spans="1:15" ht="15.75" hidden="1" customHeight="1">
      <c r="B28" s="267">
        <v>7</v>
      </c>
      <c r="C28" s="57"/>
      <c r="D28" s="248"/>
      <c r="E28" s="248"/>
      <c r="F28" s="248"/>
      <c r="G28" s="268"/>
      <c r="H28" s="269"/>
      <c r="I28" s="270"/>
      <c r="J28" s="271"/>
      <c r="K28" s="1059"/>
      <c r="L28" s="1059"/>
    </row>
    <row r="29" spans="1:15" ht="20.149999999999999" hidden="1" customHeight="1">
      <c r="B29" s="272">
        <v>8</v>
      </c>
      <c r="C29" s="62"/>
      <c r="D29" s="263"/>
      <c r="E29" s="263"/>
      <c r="F29" s="263"/>
      <c r="G29" s="264"/>
      <c r="H29" s="265"/>
      <c r="I29" s="266"/>
      <c r="J29" s="273"/>
      <c r="K29" s="1054"/>
      <c r="L29" s="1054"/>
    </row>
    <row r="30" spans="1:15" ht="15" customHeight="1">
      <c r="B30" s="373"/>
      <c r="C30" s="16"/>
      <c r="G30" s="275"/>
      <c r="J30" s="374"/>
      <c r="K30" s="375"/>
      <c r="L30" s="375"/>
    </row>
    <row r="31" spans="1:15" ht="20.149999999999999" customHeight="1">
      <c r="A31" s="351" t="s">
        <v>46</v>
      </c>
      <c r="B31" s="21" t="s">
        <v>47</v>
      </c>
      <c r="K31" s="274"/>
      <c r="L31" s="274"/>
    </row>
    <row r="32" spans="1:15" ht="20.149999999999999" customHeight="1" thickBot="1">
      <c r="B32" s="245" t="s">
        <v>48</v>
      </c>
      <c r="K32" s="274"/>
      <c r="L32" s="274"/>
    </row>
    <row r="33" spans="2:13" ht="38.25" customHeight="1" thickBot="1">
      <c r="B33" s="276" t="s">
        <v>49</v>
      </c>
      <c r="C33" s="277" t="s">
        <v>50</v>
      </c>
      <c r="D33" s="277" t="s">
        <v>51</v>
      </c>
      <c r="E33" s="378" t="s">
        <v>52</v>
      </c>
      <c r="F33" s="16"/>
      <c r="G33" s="14"/>
      <c r="H33" s="14"/>
      <c r="K33" s="13"/>
      <c r="L33" s="1056"/>
      <c r="M33" s="1056"/>
    </row>
    <row r="34" spans="2:13" ht="30" customHeight="1" thickBot="1">
      <c r="B34" s="376"/>
      <c r="C34" s="377"/>
      <c r="D34" s="95"/>
      <c r="E34" s="96"/>
      <c r="F34" s="13"/>
      <c r="G34" s="275"/>
      <c r="H34" s="275"/>
      <c r="K34" s="274"/>
      <c r="L34" s="274"/>
    </row>
    <row r="35" spans="2:13" ht="20.149999999999999" customHeight="1" thickBot="1">
      <c r="B35" s="245" t="s">
        <v>53</v>
      </c>
      <c r="K35" s="274"/>
      <c r="L35" s="274"/>
    </row>
    <row r="36" spans="2:13" ht="36.75" customHeight="1">
      <c r="B36" s="276" t="s">
        <v>54</v>
      </c>
      <c r="C36" s="277" t="s">
        <v>55</v>
      </c>
      <c r="D36" s="1032" t="s">
        <v>56</v>
      </c>
      <c r="E36" s="1032"/>
      <c r="F36" s="1055" t="s">
        <v>57</v>
      </c>
      <c r="G36" s="1031"/>
      <c r="H36" s="1032" t="s">
        <v>58</v>
      </c>
      <c r="I36" s="1032"/>
      <c r="J36" s="1033"/>
    </row>
    <row r="37" spans="2:13" ht="23.25" customHeight="1">
      <c r="B37" s="278">
        <v>5</v>
      </c>
      <c r="C37" s="279">
        <v>10</v>
      </c>
      <c r="D37" s="1031"/>
      <c r="E37" s="1031"/>
      <c r="F37" s="1031"/>
      <c r="G37" s="1031"/>
      <c r="H37" s="1032"/>
      <c r="I37" s="1032"/>
      <c r="J37" s="1033"/>
      <c r="K37" s="280"/>
      <c r="L37" s="280"/>
    </row>
    <row r="38" spans="2:13" ht="20.149999999999999" customHeight="1">
      <c r="B38" s="245" t="s">
        <v>59</v>
      </c>
      <c r="K38" s="281"/>
      <c r="L38" s="281"/>
    </row>
    <row r="39" spans="2:13" ht="20.149999999999999" customHeight="1">
      <c r="K39" s="281"/>
      <c r="L39" s="281"/>
    </row>
    <row r="40" spans="2:13" ht="20.149999999999999" customHeight="1">
      <c r="K40" s="281"/>
      <c r="L40" s="281"/>
    </row>
    <row r="41" spans="2:13" ht="20.149999999999999" customHeight="1">
      <c r="K41" s="281"/>
      <c r="L41" s="281"/>
    </row>
    <row r="42" spans="2:13" ht="20.149999999999999" customHeight="1"/>
    <row r="43" spans="2:13" ht="20.149999999999999" customHeight="1"/>
    <row r="44" spans="2:13" ht="20.149999999999999" customHeight="1"/>
    <row r="45" spans="2:13" ht="20.149999999999999" customHeight="1"/>
    <row r="46" spans="2:13" ht="20.149999999999999" customHeight="1">
      <c r="H46" s="13"/>
      <c r="I46" s="13"/>
      <c r="J46" s="13"/>
    </row>
    <row r="47" spans="2:13" ht="20.149999999999999" customHeight="1">
      <c r="H47" s="16"/>
      <c r="I47" s="16"/>
      <c r="J47" s="16"/>
    </row>
    <row r="48" spans="2:13" ht="20.149999999999999" customHeight="1">
      <c r="H48" s="16"/>
      <c r="I48" s="16"/>
      <c r="J48" s="16"/>
    </row>
    <row r="49" spans="8:10" ht="20.149999999999999" customHeight="1">
      <c r="H49" s="16"/>
      <c r="I49" s="16"/>
      <c r="J49" s="16"/>
    </row>
    <row r="50" spans="8:10" ht="20.149999999999999" customHeight="1"/>
    <row r="51" spans="8:10" ht="20.149999999999999" customHeight="1"/>
    <row r="52" spans="8:10" ht="20.149999999999999" customHeight="1"/>
    <row r="53" spans="8:10" ht="20.149999999999999" customHeight="1"/>
    <row r="54" spans="8:10" ht="20.149999999999999" customHeight="1"/>
    <row r="55" spans="8:10" ht="20.149999999999999" customHeight="1"/>
    <row r="56" spans="8:10" ht="20.149999999999999" customHeight="1"/>
    <row r="57" spans="8:10" ht="20.149999999999999" customHeight="1"/>
    <row r="58" spans="8:10" ht="20.149999999999999" customHeight="1"/>
    <row r="59" spans="8:10" ht="20.149999999999999" customHeight="1"/>
    <row r="60" spans="8:10" ht="20.149999999999999" customHeight="1"/>
    <row r="61" spans="8:10" ht="20.149999999999999" customHeight="1"/>
    <row r="62" spans="8:10" ht="20.149999999999999" customHeight="1"/>
    <row r="63" spans="8:10" ht="20.149999999999999" customHeight="1"/>
    <row r="64" spans="8:10" ht="20.149999999999999" hidden="1" customHeight="1"/>
    <row r="65" spans="1:20" ht="20.149999999999999" customHeight="1">
      <c r="B65" s="245" t="s">
        <v>60</v>
      </c>
      <c r="E65" s="282"/>
      <c r="F65" s="282"/>
      <c r="G65" s="282"/>
      <c r="H65" s="282"/>
      <c r="I65" s="282"/>
      <c r="J65" s="282"/>
      <c r="K65" s="282"/>
    </row>
    <row r="66" spans="1:20" ht="20.149999999999999" customHeight="1" thickBot="1">
      <c r="B66" s="769" t="s">
        <v>580</v>
      </c>
      <c r="E66" s="282"/>
      <c r="F66" s="282"/>
      <c r="G66" s="282"/>
      <c r="H66" s="282"/>
      <c r="I66" s="282"/>
      <c r="J66" s="282"/>
      <c r="K66" s="282"/>
    </row>
    <row r="67" spans="1:20" ht="20.149999999999999" customHeight="1" thickBot="1">
      <c r="B67" s="1025" t="s">
        <v>61</v>
      </c>
      <c r="C67" s="1025" t="s">
        <v>62</v>
      </c>
      <c r="D67" s="1043" t="s">
        <v>63</v>
      </c>
      <c r="E67" s="1044"/>
      <c r="F67" s="1044"/>
      <c r="G67" s="1044"/>
      <c r="H67" s="1044"/>
      <c r="I67" s="1044"/>
      <c r="J67" s="1044"/>
      <c r="K67" s="1044"/>
      <c r="L67" s="1044"/>
      <c r="M67" s="1045"/>
      <c r="N67" s="1072" t="s">
        <v>64</v>
      </c>
      <c r="O67" s="1073"/>
    </row>
    <row r="68" spans="1:20" ht="39" customHeight="1" thickBot="1">
      <c r="B68" s="1026"/>
      <c r="C68" s="1026"/>
      <c r="D68" s="405" t="s">
        <v>65</v>
      </c>
      <c r="E68" s="406" t="s">
        <v>66</v>
      </c>
      <c r="F68" s="407" t="s">
        <v>67</v>
      </c>
      <c r="G68" s="406" t="s">
        <v>68</v>
      </c>
      <c r="H68" s="405" t="s">
        <v>69</v>
      </c>
      <c r="I68" s="406" t="s">
        <v>70</v>
      </c>
      <c r="J68" s="405" t="s">
        <v>71</v>
      </c>
      <c r="K68" s="406" t="s">
        <v>72</v>
      </c>
      <c r="L68" s="408" t="s">
        <v>73</v>
      </c>
      <c r="M68" s="651" t="s">
        <v>74</v>
      </c>
      <c r="N68" s="1074"/>
      <c r="O68" s="1075"/>
      <c r="P68" s="16"/>
      <c r="Q68" s="16"/>
      <c r="R68" s="16"/>
    </row>
    <row r="69" spans="1:20" ht="27" customHeight="1">
      <c r="B69" s="1027"/>
      <c r="C69" s="409" t="s">
        <v>75</v>
      </c>
      <c r="D69" s="386"/>
      <c r="E69" s="387"/>
      <c r="F69" s="383"/>
      <c r="G69" s="387"/>
      <c r="H69" s="394"/>
      <c r="I69" s="381"/>
      <c r="J69" s="397"/>
      <c r="K69" s="381"/>
      <c r="L69" s="392"/>
      <c r="M69" s="381"/>
      <c r="N69" s="1076" t="s">
        <v>76</v>
      </c>
      <c r="O69" s="1077"/>
      <c r="P69" s="16"/>
      <c r="Q69" s="16"/>
      <c r="R69" s="16"/>
    </row>
    <row r="70" spans="1:20" ht="27" customHeight="1">
      <c r="B70" s="1028"/>
      <c r="C70" s="410" t="s">
        <v>77</v>
      </c>
      <c r="D70" s="388"/>
      <c r="E70" s="389"/>
      <c r="F70" s="384"/>
      <c r="G70" s="389"/>
      <c r="H70" s="395"/>
      <c r="I70" s="382"/>
      <c r="J70" s="369"/>
      <c r="K70" s="382"/>
      <c r="L70" s="352"/>
      <c r="M70" s="382"/>
      <c r="N70" s="1076"/>
      <c r="O70" s="1077"/>
      <c r="P70" s="16"/>
      <c r="Q70" s="16"/>
      <c r="R70" s="16"/>
    </row>
    <row r="71" spans="1:20" ht="27" customHeight="1">
      <c r="B71" s="1028"/>
      <c r="C71" s="410" t="s">
        <v>78</v>
      </c>
      <c r="D71" s="388"/>
      <c r="E71" s="389"/>
      <c r="F71" s="384"/>
      <c r="G71" s="389"/>
      <c r="H71" s="395"/>
      <c r="I71" s="382"/>
      <c r="J71" s="369"/>
      <c r="K71" s="382"/>
      <c r="L71" s="352"/>
      <c r="M71" s="382"/>
      <c r="N71" s="1076"/>
      <c r="O71" s="1077"/>
      <c r="P71" s="16"/>
      <c r="Q71" s="16"/>
      <c r="R71" s="16"/>
      <c r="S71" s="261"/>
      <c r="T71" s="261"/>
    </row>
    <row r="72" spans="1:20" ht="27" customHeight="1">
      <c r="B72" s="1028"/>
      <c r="C72" s="410" t="s">
        <v>79</v>
      </c>
      <c r="D72" s="388"/>
      <c r="E72" s="389"/>
      <c r="F72" s="384"/>
      <c r="G72" s="389"/>
      <c r="H72" s="395"/>
      <c r="I72" s="382"/>
      <c r="J72" s="369"/>
      <c r="K72" s="382"/>
      <c r="L72" s="352"/>
      <c r="M72" s="382"/>
      <c r="N72" s="1076"/>
      <c r="O72" s="1077"/>
      <c r="R72" s="261"/>
      <c r="S72" s="261"/>
      <c r="T72" s="261"/>
    </row>
    <row r="73" spans="1:20" ht="27" customHeight="1">
      <c r="B73" s="1028"/>
      <c r="C73" s="410" t="s">
        <v>80</v>
      </c>
      <c r="D73" s="388"/>
      <c r="E73" s="389"/>
      <c r="F73" s="384"/>
      <c r="G73" s="389"/>
      <c r="H73" s="395"/>
      <c r="I73" s="382"/>
      <c r="J73" s="369"/>
      <c r="K73" s="382"/>
      <c r="L73" s="352"/>
      <c r="M73" s="382"/>
      <c r="N73" s="1076"/>
      <c r="O73" s="1077"/>
    </row>
    <row r="74" spans="1:20" ht="27" customHeight="1">
      <c r="B74" s="1028"/>
      <c r="C74" s="410" t="s">
        <v>81</v>
      </c>
      <c r="D74" s="388"/>
      <c r="E74" s="389"/>
      <c r="F74" s="384"/>
      <c r="G74" s="389"/>
      <c r="H74" s="395"/>
      <c r="I74" s="382"/>
      <c r="J74" s="369"/>
      <c r="K74" s="382"/>
      <c r="L74" s="352"/>
      <c r="M74" s="382"/>
      <c r="N74" s="1076"/>
      <c r="O74" s="1077"/>
    </row>
    <row r="75" spans="1:20" ht="27" customHeight="1">
      <c r="B75" s="1028"/>
      <c r="C75" s="410" t="s">
        <v>82</v>
      </c>
      <c r="D75" s="388"/>
      <c r="E75" s="389"/>
      <c r="F75" s="384"/>
      <c r="G75" s="389"/>
      <c r="H75" s="395"/>
      <c r="I75" s="382"/>
      <c r="J75" s="369"/>
      <c r="K75" s="382"/>
      <c r="L75" s="352"/>
      <c r="M75" s="382"/>
      <c r="N75" s="1076"/>
      <c r="O75" s="1077"/>
      <c r="S75" s="419"/>
      <c r="T75" s="420"/>
    </row>
    <row r="76" spans="1:20" ht="27" customHeight="1" thickBot="1">
      <c r="B76" s="1029"/>
      <c r="C76" s="411" t="s">
        <v>83</v>
      </c>
      <c r="D76" s="390"/>
      <c r="E76" s="391"/>
      <c r="F76" s="385"/>
      <c r="G76" s="391"/>
      <c r="H76" s="396"/>
      <c r="I76" s="260"/>
      <c r="J76" s="398"/>
      <c r="K76" s="260"/>
      <c r="L76" s="393"/>
      <c r="M76" s="260"/>
      <c r="N76" s="1078"/>
      <c r="O76" s="1079"/>
      <c r="S76" s="419"/>
      <c r="T76" s="420"/>
    </row>
    <row r="77" spans="1:20" ht="27" customHeight="1">
      <c r="B77" s="412" t="s">
        <v>84</v>
      </c>
      <c r="C77" s="403"/>
      <c r="D77" s="1051"/>
      <c r="E77" s="1052"/>
      <c r="F77" s="1053"/>
      <c r="G77" s="1052"/>
      <c r="H77" s="281"/>
      <c r="I77" s="1049"/>
      <c r="J77" s="1049"/>
      <c r="K77" s="1049"/>
      <c r="L77" s="1049"/>
      <c r="M77" s="1049"/>
      <c r="S77" s="419"/>
      <c r="T77" s="420"/>
    </row>
    <row r="78" spans="1:20" ht="27" customHeight="1" thickBot="1">
      <c r="B78" s="413" t="s">
        <v>85</v>
      </c>
      <c r="C78" s="404"/>
      <c r="D78" s="1046"/>
      <c r="E78" s="1047"/>
      <c r="F78" s="1048"/>
      <c r="G78" s="1047"/>
      <c r="H78" s="281"/>
      <c r="I78" s="1049"/>
      <c r="J78" s="1049"/>
      <c r="K78" s="1049"/>
      <c r="L78" s="1049"/>
      <c r="M78" s="1049"/>
      <c r="S78" s="419"/>
      <c r="T78" s="420"/>
    </row>
    <row r="79" spans="1:20">
      <c r="S79" s="419"/>
      <c r="T79" s="420"/>
    </row>
    <row r="80" spans="1:20">
      <c r="A80" s="351" t="s">
        <v>86</v>
      </c>
      <c r="B80" s="1050" t="s">
        <v>87</v>
      </c>
      <c r="C80" s="1050"/>
      <c r="S80" s="419"/>
      <c r="T80" s="420"/>
    </row>
    <row r="81" spans="1:20">
      <c r="B81" s="259" t="s">
        <v>88</v>
      </c>
      <c r="S81" s="419"/>
      <c r="T81" s="420"/>
    </row>
    <row r="82" spans="1:20"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S82" s="419"/>
      <c r="T82" s="420"/>
    </row>
    <row r="83" spans="1:20"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S83" s="419"/>
      <c r="T83" s="420"/>
    </row>
    <row r="84" spans="1:20"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S84" s="419"/>
      <c r="T84" s="420"/>
    </row>
    <row r="85" spans="1:20">
      <c r="B85" s="248"/>
      <c r="C85" s="248"/>
      <c r="D85" s="248"/>
      <c r="E85" s="248"/>
      <c r="F85" s="248"/>
      <c r="G85" s="248"/>
      <c r="H85" s="248"/>
      <c r="I85" s="248"/>
      <c r="J85" s="248"/>
      <c r="K85" s="248"/>
    </row>
    <row r="86" spans="1:20">
      <c r="B86" s="259"/>
    </row>
    <row r="87" spans="1:20" ht="16" thickBot="1">
      <c r="A87" s="351" t="s">
        <v>89</v>
      </c>
      <c r="B87" s="257" t="s">
        <v>90</v>
      </c>
    </row>
    <row r="88" spans="1:20" ht="16" thickBot="1">
      <c r="B88" s="289"/>
      <c r="C88" s="246" t="s">
        <v>91</v>
      </c>
      <c r="P88" s="401"/>
    </row>
    <row r="89" spans="1:20" ht="16" hidden="1" thickBot="1">
      <c r="B89" s="289"/>
      <c r="C89" s="32" t="s">
        <v>92</v>
      </c>
      <c r="P89" s="401"/>
    </row>
    <row r="90" spans="1:20" ht="16" hidden="1" thickBot="1">
      <c r="B90" s="289"/>
      <c r="C90" s="32" t="s">
        <v>93</v>
      </c>
      <c r="P90" s="402"/>
    </row>
    <row r="91" spans="1:20" ht="16" thickBot="1">
      <c r="B91" s="289"/>
      <c r="C91" s="32" t="s">
        <v>94</v>
      </c>
      <c r="P91" s="402"/>
    </row>
    <row r="92" spans="1:20" ht="16" thickBot="1">
      <c r="B92" s="289"/>
      <c r="C92" s="32" t="s">
        <v>565</v>
      </c>
      <c r="P92" s="402"/>
    </row>
    <row r="93" spans="1:20" ht="16" thickBot="1">
      <c r="B93" s="289"/>
      <c r="C93" s="32" t="s">
        <v>564</v>
      </c>
      <c r="P93" s="402"/>
    </row>
    <row r="94" spans="1:20" ht="16" thickBot="1">
      <c r="B94" s="289"/>
      <c r="C94" s="32" t="s">
        <v>562</v>
      </c>
      <c r="P94" s="402"/>
    </row>
    <row r="95" spans="1:20" ht="16" thickBot="1">
      <c r="B95" s="289"/>
      <c r="C95" s="32" t="s">
        <v>561</v>
      </c>
      <c r="P95" s="402"/>
    </row>
    <row r="96" spans="1:20" ht="16" thickBot="1">
      <c r="B96" s="289"/>
      <c r="C96" s="32" t="s">
        <v>95</v>
      </c>
      <c r="P96" s="402"/>
    </row>
    <row r="97" spans="1:258" ht="16" thickBot="1">
      <c r="B97" s="289"/>
      <c r="C97" s="32" t="s">
        <v>563</v>
      </c>
      <c r="P97" s="402"/>
    </row>
    <row r="98" spans="1:258" ht="16" thickBot="1">
      <c r="B98" s="289"/>
      <c r="C98" s="32" t="s">
        <v>96</v>
      </c>
    </row>
    <row r="99" spans="1:258" ht="16" thickBot="1">
      <c r="B99" s="289"/>
      <c r="C99" s="32" t="s">
        <v>97</v>
      </c>
      <c r="D99" s="16"/>
      <c r="Q99" s="284"/>
      <c r="S99" s="16"/>
      <c r="T99" s="16"/>
      <c r="IX99" s="245"/>
    </row>
    <row r="100" spans="1:258" ht="16" thickBot="1">
      <c r="B100" s="289"/>
      <c r="C100" s="32" t="s">
        <v>98</v>
      </c>
      <c r="D100" s="16"/>
      <c r="Q100" s="284"/>
      <c r="S100" s="16"/>
      <c r="T100" s="16"/>
      <c r="IX100" s="245"/>
    </row>
    <row r="101" spans="1:258" ht="16" thickBot="1">
      <c r="B101" s="289"/>
      <c r="C101" s="245" t="s">
        <v>99</v>
      </c>
      <c r="S101" s="414"/>
      <c r="T101" s="414"/>
    </row>
    <row r="102" spans="1:258" ht="16" thickBot="1">
      <c r="B102" s="289"/>
      <c r="C102" s="290" t="s">
        <v>100</v>
      </c>
      <c r="S102" s="414"/>
    </row>
    <row r="103" spans="1:258" ht="16" thickBot="1">
      <c r="B103" s="289"/>
      <c r="C103" s="245" t="s">
        <v>101</v>
      </c>
      <c r="S103" s="414"/>
    </row>
    <row r="104" spans="1:258" ht="16" thickBot="1">
      <c r="B104" s="289"/>
      <c r="C104" s="245" t="s">
        <v>102</v>
      </c>
      <c r="S104" s="414"/>
    </row>
    <row r="105" spans="1:258">
      <c r="S105" s="414"/>
    </row>
    <row r="106" spans="1:258">
      <c r="A106" s="351" t="s">
        <v>103</v>
      </c>
      <c r="B106" s="33" t="s">
        <v>104</v>
      </c>
      <c r="C106" s="275"/>
      <c r="S106" s="414"/>
    </row>
    <row r="107" spans="1:258">
      <c r="B107" s="246" t="s">
        <v>105</v>
      </c>
      <c r="C107" s="275"/>
      <c r="M107" s="399" t="s">
        <v>26</v>
      </c>
      <c r="S107" s="414"/>
    </row>
    <row r="108" spans="1:258" ht="15.75" customHeight="1">
      <c r="B108" s="32"/>
      <c r="C108" s="275"/>
    </row>
    <row r="109" spans="1:258">
      <c r="A109" s="351" t="s">
        <v>106</v>
      </c>
      <c r="B109" s="285" t="s">
        <v>107</v>
      </c>
      <c r="C109" s="286"/>
    </row>
    <row r="110" spans="1:258">
      <c r="B110" s="248"/>
      <c r="C110" s="248"/>
      <c r="D110" s="248"/>
    </row>
    <row r="112" spans="1:258">
      <c r="B112" s="275"/>
      <c r="C112" s="275"/>
    </row>
    <row r="113" spans="2:5">
      <c r="B113" s="275"/>
      <c r="C113" s="275"/>
    </row>
    <row r="114" spans="2:5">
      <c r="B114" s="32"/>
      <c r="C114" s="275"/>
    </row>
    <row r="115" spans="2:5">
      <c r="B115" s="32"/>
      <c r="C115" s="275"/>
    </row>
    <row r="116" spans="2:5">
      <c r="B116" s="32"/>
      <c r="C116" s="275"/>
    </row>
    <row r="117" spans="2:5">
      <c r="B117" s="32"/>
      <c r="C117" s="275"/>
    </row>
    <row r="118" spans="2:5">
      <c r="B118" s="32"/>
      <c r="C118" s="275"/>
    </row>
    <row r="119" spans="2:5">
      <c r="B119" s="32"/>
      <c r="C119" s="275"/>
    </row>
    <row r="120" spans="2:5">
      <c r="B120" s="32"/>
      <c r="C120" s="275"/>
    </row>
    <row r="121" spans="2:5">
      <c r="B121" s="32"/>
      <c r="C121" s="275"/>
    </row>
    <row r="122" spans="2:5">
      <c r="B122" s="32"/>
      <c r="C122" s="275"/>
    </row>
    <row r="123" spans="2:5">
      <c r="B123" s="286"/>
      <c r="C123" s="286"/>
    </row>
    <row r="124" spans="2:5">
      <c r="B124" s="286"/>
      <c r="C124" s="286"/>
    </row>
    <row r="126" spans="2:5">
      <c r="E126" s="287"/>
    </row>
    <row r="128" spans="2:5">
      <c r="D128" s="287"/>
    </row>
    <row r="129" spans="2:14">
      <c r="D129" s="287"/>
    </row>
    <row r="130" spans="2:14">
      <c r="D130" s="287"/>
    </row>
    <row r="133" spans="2:14" hidden="1"/>
    <row r="135" spans="2:14" hidden="1">
      <c r="B135" s="16"/>
      <c r="C135" s="16"/>
      <c r="D135" s="16"/>
    </row>
    <row r="136" spans="2:14" ht="15" customHeight="1">
      <c r="B136" s="16"/>
      <c r="C136" s="16"/>
      <c r="D136" s="16"/>
      <c r="L136" s="16"/>
    </row>
    <row r="137" spans="2:14">
      <c r="B137" s="380"/>
      <c r="C137" s="380"/>
      <c r="D137" s="16"/>
      <c r="L137" s="16"/>
    </row>
    <row r="138" spans="2:14">
      <c r="D138" s="356" t="s">
        <v>23</v>
      </c>
    </row>
    <row r="139" spans="2:14" ht="16" thickBot="1">
      <c r="B139" s="1024" t="s">
        <v>108</v>
      </c>
      <c r="C139" s="1024"/>
      <c r="D139" s="379">
        <v>0.5</v>
      </c>
      <c r="M139" s="16"/>
    </row>
    <row r="140" spans="2:14" ht="16" thickBot="1">
      <c r="N140" s="289"/>
    </row>
  </sheetData>
  <mergeCells count="39">
    <mergeCell ref="N67:O68"/>
    <mergeCell ref="N69:O76"/>
    <mergeCell ref="E16:F16"/>
    <mergeCell ref="C23:I23"/>
    <mergeCell ref="J23:K23"/>
    <mergeCell ref="L23:M23"/>
    <mergeCell ref="A1:N1"/>
    <mergeCell ref="A2:N2"/>
    <mergeCell ref="K28:L28"/>
    <mergeCell ref="L27:M27"/>
    <mergeCell ref="L25:M25"/>
    <mergeCell ref="L24:M24"/>
    <mergeCell ref="J27:K27"/>
    <mergeCell ref="J25:K25"/>
    <mergeCell ref="J24:K24"/>
    <mergeCell ref="D77:E77"/>
    <mergeCell ref="F77:G77"/>
    <mergeCell ref="I77:M77"/>
    <mergeCell ref="K29:L29"/>
    <mergeCell ref="D36:E36"/>
    <mergeCell ref="F36:G36"/>
    <mergeCell ref="H36:J36"/>
    <mergeCell ref="L33:M33"/>
    <mergeCell ref="B139:C139"/>
    <mergeCell ref="B67:B68"/>
    <mergeCell ref="B69:B76"/>
    <mergeCell ref="C67:C68"/>
    <mergeCell ref="F19:J20"/>
    <mergeCell ref="D37:E37"/>
    <mergeCell ref="F37:G37"/>
    <mergeCell ref="H37:J37"/>
    <mergeCell ref="C27:I27"/>
    <mergeCell ref="C25:I25"/>
    <mergeCell ref="C24:I24"/>
    <mergeCell ref="D67:M67"/>
    <mergeCell ref="D78:E78"/>
    <mergeCell ref="F78:G78"/>
    <mergeCell ref="I78:M78"/>
    <mergeCell ref="B80:C80"/>
  </mergeCells>
  <printOptions horizontalCentered="1"/>
  <pageMargins left="0.511811023622047" right="0.23622047244094499" top="0.511811023622047" bottom="0.23622047244094499" header="0.23622047244094499" footer="0.23622047244094499"/>
  <pageSetup paperSize="9" scale="62" orientation="portrait" r:id="rId1"/>
  <headerFooter>
    <oddHeader>&amp;R&amp;"-,Regular"&amp;8SH.LK -  044-18 / Rev : 1</oddHeader>
  </headerFooter>
  <rowBreaks count="1" manualBreakCount="1">
    <brk id="64" max="1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0B82-08A6-4031-BF34-FE64E75D785D}">
  <sheetPr codeName="Sheet8"/>
  <dimension ref="A1:AL410"/>
  <sheetViews>
    <sheetView topLeftCell="K374" zoomScale="70" zoomScaleNormal="70" workbookViewId="0">
      <selection activeCell="P390" sqref="P390"/>
    </sheetView>
  </sheetViews>
  <sheetFormatPr defaultColWidth="8.7265625" defaultRowHeight="12.5"/>
  <cols>
    <col min="1" max="1" width="9.453125" style="422" bestFit="1" customWidth="1"/>
    <col min="2" max="2" width="8.7265625" style="422"/>
    <col min="3" max="3" width="9.26953125" style="422" bestFit="1" customWidth="1"/>
    <col min="4" max="4" width="8.7265625" style="422"/>
    <col min="5" max="5" width="9.453125" style="422" bestFit="1" customWidth="1"/>
    <col min="6" max="7" width="8.7265625" style="422"/>
    <col min="8" max="8" width="9.453125" style="422" bestFit="1" customWidth="1"/>
    <col min="9" max="17" width="8.7265625" style="422"/>
    <col min="18" max="18" width="10" style="422" bestFit="1" customWidth="1"/>
    <col min="19" max="19" width="8.7265625" style="422"/>
    <col min="20" max="20" width="10" style="422" bestFit="1" customWidth="1"/>
    <col min="21" max="21" width="8.81640625" style="422" customWidth="1"/>
    <col min="22" max="16384" width="8.7265625" style="422"/>
  </cols>
  <sheetData>
    <row r="1" spans="1:24" ht="18" thickBot="1">
      <c r="A1" s="1332" t="s">
        <v>432</v>
      </c>
      <c r="B1" s="1333"/>
      <c r="C1" s="1333"/>
      <c r="D1" s="1333"/>
      <c r="E1" s="1333"/>
      <c r="F1" s="1333"/>
      <c r="G1" s="1333"/>
      <c r="H1" s="1333"/>
      <c r="I1" s="1333"/>
      <c r="J1" s="1333"/>
      <c r="K1" s="1333"/>
      <c r="L1" s="1333"/>
      <c r="M1" s="1333"/>
      <c r="N1" s="1333"/>
      <c r="O1" s="1333"/>
      <c r="P1" s="1333"/>
      <c r="Q1" s="1333"/>
      <c r="R1" s="1333"/>
      <c r="S1" s="1333"/>
      <c r="T1" s="1333"/>
      <c r="U1" s="1333"/>
    </row>
    <row r="2" spans="1:24">
      <c r="A2" s="1330">
        <v>1</v>
      </c>
      <c r="B2" s="1331" t="s">
        <v>433</v>
      </c>
      <c r="C2" s="1331"/>
      <c r="D2" s="1331"/>
      <c r="E2" s="1331"/>
      <c r="F2" s="1331"/>
      <c r="G2" s="1331"/>
      <c r="I2" s="1331" t="str">
        <f>B2</f>
        <v>KOREKSI KIMO THERMOHYGROMETER 15062873</v>
      </c>
      <c r="J2" s="1331"/>
      <c r="K2" s="1331"/>
      <c r="L2" s="1331"/>
      <c r="M2" s="1331"/>
      <c r="N2" s="1331"/>
      <c r="P2" s="1331" t="str">
        <f>I2</f>
        <v>KOREKSI KIMO THERMOHYGROMETER 15062873</v>
      </c>
      <c r="Q2" s="1331"/>
      <c r="R2" s="1331"/>
      <c r="S2" s="1331"/>
      <c r="T2" s="1331"/>
      <c r="U2" s="1331"/>
      <c r="W2" s="1325" t="s">
        <v>396</v>
      </c>
      <c r="X2" s="1326"/>
    </row>
    <row r="3" spans="1:24" ht="13">
      <c r="A3" s="1330"/>
      <c r="B3" s="1327" t="s">
        <v>434</v>
      </c>
      <c r="C3" s="1327"/>
      <c r="D3" s="1327" t="s">
        <v>435</v>
      </c>
      <c r="E3" s="1327"/>
      <c r="F3" s="1327"/>
      <c r="G3" s="1327" t="s">
        <v>385</v>
      </c>
      <c r="I3" s="1327" t="s">
        <v>436</v>
      </c>
      <c r="J3" s="1327"/>
      <c r="K3" s="1327" t="s">
        <v>435</v>
      </c>
      <c r="L3" s="1327"/>
      <c r="M3" s="1327"/>
      <c r="N3" s="1327" t="s">
        <v>385</v>
      </c>
      <c r="P3" s="1327" t="s">
        <v>437</v>
      </c>
      <c r="Q3" s="1327"/>
      <c r="R3" s="1327" t="s">
        <v>435</v>
      </c>
      <c r="S3" s="1327"/>
      <c r="T3" s="1327"/>
      <c r="U3" s="1327" t="s">
        <v>385</v>
      </c>
      <c r="W3" s="519" t="s">
        <v>434</v>
      </c>
      <c r="X3" s="520">
        <v>0.5</v>
      </c>
    </row>
    <row r="4" spans="1:24" ht="14.5">
      <c r="A4" s="1330"/>
      <c r="B4" s="1328" t="s">
        <v>438</v>
      </c>
      <c r="C4" s="1328"/>
      <c r="D4" s="521">
        <v>2023</v>
      </c>
      <c r="E4" s="521">
        <v>2021</v>
      </c>
      <c r="F4" s="521">
        <v>2020</v>
      </c>
      <c r="G4" s="1327"/>
      <c r="I4" s="1329" t="s">
        <v>18</v>
      </c>
      <c r="J4" s="1328"/>
      <c r="K4" s="521">
        <f>D4</f>
        <v>2023</v>
      </c>
      <c r="L4" s="521">
        <f>E4</f>
        <v>2021</v>
      </c>
      <c r="M4" s="521">
        <f>F4</f>
        <v>2020</v>
      </c>
      <c r="N4" s="1327"/>
      <c r="P4" s="1329" t="s">
        <v>439</v>
      </c>
      <c r="Q4" s="1328"/>
      <c r="R4" s="521">
        <f>K4</f>
        <v>2023</v>
      </c>
      <c r="S4" s="521">
        <f>L4</f>
        <v>2021</v>
      </c>
      <c r="T4" s="521">
        <v>2016</v>
      </c>
      <c r="U4" s="1327"/>
      <c r="W4" s="519" t="s">
        <v>18</v>
      </c>
      <c r="X4" s="520">
        <v>2.6</v>
      </c>
    </row>
    <row r="5" spans="1:24" ht="13.5" thickBot="1">
      <c r="A5" s="1330"/>
      <c r="B5" s="667">
        <v>1</v>
      </c>
      <c r="C5" s="522">
        <v>15</v>
      </c>
      <c r="D5" s="523">
        <v>0.3</v>
      </c>
      <c r="E5" s="523">
        <v>0.1</v>
      </c>
      <c r="F5" s="523">
        <v>-0.5</v>
      </c>
      <c r="G5" s="524">
        <f>0.5*(MAX(D5:F5)-MIN(D5:F5))</f>
        <v>0.4</v>
      </c>
      <c r="I5" s="667">
        <v>1</v>
      </c>
      <c r="J5" s="522">
        <v>30</v>
      </c>
      <c r="K5" s="523"/>
      <c r="L5" s="523">
        <v>-14.4</v>
      </c>
      <c r="M5" s="523">
        <v>-6</v>
      </c>
      <c r="N5" s="524">
        <f>0.5*(MAX(K5:M5)-MIN(K5:M5))</f>
        <v>4.2</v>
      </c>
      <c r="P5" s="667">
        <v>1</v>
      </c>
      <c r="Q5" s="522">
        <v>750</v>
      </c>
      <c r="R5" s="525" t="s">
        <v>161</v>
      </c>
      <c r="S5" s="525" t="s">
        <v>161</v>
      </c>
      <c r="T5" s="522">
        <v>9.9999999999999995E-7</v>
      </c>
      <c r="U5" s="524">
        <f>0.5*(MAX(R5:T5)-MIN(R5:T5))</f>
        <v>0</v>
      </c>
      <c r="W5" s="526" t="s">
        <v>439</v>
      </c>
      <c r="X5" s="527">
        <v>0</v>
      </c>
    </row>
    <row r="6" spans="1:24" ht="13">
      <c r="A6" s="1330"/>
      <c r="B6" s="667">
        <v>2</v>
      </c>
      <c r="C6" s="522">
        <v>20</v>
      </c>
      <c r="D6" s="523">
        <v>0</v>
      </c>
      <c r="E6" s="523">
        <v>0.1</v>
      </c>
      <c r="F6" s="523">
        <v>-0.2</v>
      </c>
      <c r="G6" s="524">
        <f t="shared" ref="G6:G11" si="0">0.5*(MAX(D6:F6)-MIN(D6:F6))</f>
        <v>0.15000000000000002</v>
      </c>
      <c r="I6" s="667">
        <v>2</v>
      </c>
      <c r="J6" s="522">
        <v>40</v>
      </c>
      <c r="K6" s="523">
        <v>-5.9</v>
      </c>
      <c r="L6" s="523">
        <v>-11.5</v>
      </c>
      <c r="M6" s="523">
        <v>-5.8</v>
      </c>
      <c r="N6" s="524">
        <f t="shared" ref="N6:N11" si="1">0.5*(MAX(K6:M6)-MIN(K6:M6))</f>
        <v>2.85</v>
      </c>
      <c r="P6" s="667">
        <v>2</v>
      </c>
      <c r="Q6" s="522">
        <v>800</v>
      </c>
      <c r="R6" s="525" t="s">
        <v>161</v>
      </c>
      <c r="S6" s="525" t="s">
        <v>161</v>
      </c>
      <c r="T6" s="522">
        <v>9.9999999999999995E-7</v>
      </c>
      <c r="U6" s="524">
        <f t="shared" ref="U6:U11" si="2">0.5*(MAX(R6:T6)-MIN(R6:T6))</f>
        <v>0</v>
      </c>
    </row>
    <row r="7" spans="1:24" ht="13">
      <c r="A7" s="1330"/>
      <c r="B7" s="667">
        <v>3</v>
      </c>
      <c r="C7" s="522">
        <v>25</v>
      </c>
      <c r="D7" s="523">
        <v>-0.1</v>
      </c>
      <c r="E7" s="523">
        <v>0.1</v>
      </c>
      <c r="F7" s="523">
        <v>9.9999999999999995E-7</v>
      </c>
      <c r="G7" s="524">
        <f t="shared" si="0"/>
        <v>0.1</v>
      </c>
      <c r="I7" s="667">
        <v>3</v>
      </c>
      <c r="J7" s="522">
        <v>50</v>
      </c>
      <c r="K7" s="523">
        <v>-6.6</v>
      </c>
      <c r="L7" s="523">
        <v>-9.1</v>
      </c>
      <c r="M7" s="523">
        <v>-5.3</v>
      </c>
      <c r="N7" s="524">
        <f t="shared" si="1"/>
        <v>1.9</v>
      </c>
      <c r="P7" s="667">
        <v>3</v>
      </c>
      <c r="Q7" s="522">
        <v>850</v>
      </c>
      <c r="R7" s="525" t="s">
        <v>161</v>
      </c>
      <c r="S7" s="525" t="s">
        <v>161</v>
      </c>
      <c r="T7" s="522">
        <v>9.9999999999999995E-7</v>
      </c>
      <c r="U7" s="524">
        <f t="shared" si="2"/>
        <v>0</v>
      </c>
    </row>
    <row r="8" spans="1:24" ht="13">
      <c r="A8" s="1330"/>
      <c r="B8" s="667">
        <v>4</v>
      </c>
      <c r="C8" s="528">
        <v>30</v>
      </c>
      <c r="D8" s="529">
        <v>-0.1</v>
      </c>
      <c r="E8" s="529">
        <v>0</v>
      </c>
      <c r="F8" s="529">
        <v>9.9999999999999995E-7</v>
      </c>
      <c r="G8" s="524">
        <f t="shared" si="0"/>
        <v>5.0000500000000003E-2</v>
      </c>
      <c r="I8" s="667">
        <v>4</v>
      </c>
      <c r="J8" s="528">
        <v>60</v>
      </c>
      <c r="K8" s="529">
        <v>-6</v>
      </c>
      <c r="L8" s="529">
        <v>-6.9</v>
      </c>
      <c r="M8" s="529">
        <v>-4.4000000000000004</v>
      </c>
      <c r="N8" s="524">
        <f t="shared" si="1"/>
        <v>1.25</v>
      </c>
      <c r="P8" s="667">
        <v>4</v>
      </c>
      <c r="Q8" s="528">
        <v>900</v>
      </c>
      <c r="R8" s="529" t="s">
        <v>161</v>
      </c>
      <c r="S8" s="525" t="s">
        <v>161</v>
      </c>
      <c r="T8" s="522">
        <v>9.9999999999999995E-7</v>
      </c>
      <c r="U8" s="524">
        <f t="shared" si="2"/>
        <v>0</v>
      </c>
    </row>
    <row r="9" spans="1:24" ht="13">
      <c r="A9" s="1330"/>
      <c r="B9" s="667">
        <v>5</v>
      </c>
      <c r="C9" s="528">
        <v>35</v>
      </c>
      <c r="D9" s="529">
        <v>0</v>
      </c>
      <c r="E9" s="529">
        <v>-0.2</v>
      </c>
      <c r="F9" s="529">
        <v>-0.1</v>
      </c>
      <c r="G9" s="524">
        <f t="shared" si="0"/>
        <v>0.1</v>
      </c>
      <c r="I9" s="667">
        <v>5</v>
      </c>
      <c r="J9" s="528">
        <v>70</v>
      </c>
      <c r="K9" s="529">
        <v>-4</v>
      </c>
      <c r="L9" s="529">
        <v>-5.0999999999999996</v>
      </c>
      <c r="M9" s="529">
        <v>-3.2</v>
      </c>
      <c r="N9" s="524">
        <f t="shared" si="1"/>
        <v>0.94999999999999973</v>
      </c>
      <c r="P9" s="667">
        <v>5</v>
      </c>
      <c r="Q9" s="528">
        <v>1000</v>
      </c>
      <c r="R9" s="529" t="s">
        <v>161</v>
      </c>
      <c r="S9" s="525" t="s">
        <v>161</v>
      </c>
      <c r="T9" s="522">
        <v>9.9999999999999995E-7</v>
      </c>
      <c r="U9" s="524">
        <f t="shared" si="2"/>
        <v>0</v>
      </c>
    </row>
    <row r="10" spans="1:24" ht="13">
      <c r="A10" s="1330"/>
      <c r="B10" s="667">
        <v>6</v>
      </c>
      <c r="C10" s="528">
        <v>37</v>
      </c>
      <c r="D10" s="529">
        <v>0.1</v>
      </c>
      <c r="E10" s="529">
        <v>-0.3</v>
      </c>
      <c r="F10" s="529">
        <v>-0.2</v>
      </c>
      <c r="G10" s="524">
        <f t="shared" si="0"/>
        <v>0.2</v>
      </c>
      <c r="I10" s="667">
        <v>6</v>
      </c>
      <c r="J10" s="528">
        <v>80</v>
      </c>
      <c r="K10" s="529">
        <v>-0.7</v>
      </c>
      <c r="L10" s="529">
        <v>-3.7</v>
      </c>
      <c r="M10" s="529">
        <v>-1.6</v>
      </c>
      <c r="N10" s="524">
        <f t="shared" si="1"/>
        <v>1.5</v>
      </c>
      <c r="P10" s="667">
        <v>6</v>
      </c>
      <c r="Q10" s="528">
        <v>1005</v>
      </c>
      <c r="R10" s="529" t="s">
        <v>161</v>
      </c>
      <c r="S10" s="525" t="s">
        <v>161</v>
      </c>
      <c r="T10" s="522">
        <v>9.9999999999999995E-7</v>
      </c>
      <c r="U10" s="524">
        <f t="shared" si="2"/>
        <v>0</v>
      </c>
    </row>
    <row r="11" spans="1:24" ht="13.5" thickBot="1">
      <c r="A11" s="1330"/>
      <c r="B11" s="667">
        <v>7</v>
      </c>
      <c r="C11" s="528">
        <v>40</v>
      </c>
      <c r="D11" s="529">
        <v>0.3</v>
      </c>
      <c r="E11" s="529">
        <v>-0.4</v>
      </c>
      <c r="F11" s="529">
        <v>-0.3</v>
      </c>
      <c r="G11" s="524">
        <f t="shared" si="0"/>
        <v>0.35</v>
      </c>
      <c r="I11" s="667">
        <v>7</v>
      </c>
      <c r="J11" s="528">
        <v>90</v>
      </c>
      <c r="K11" s="529">
        <v>4</v>
      </c>
      <c r="L11" s="529">
        <v>-2.7</v>
      </c>
      <c r="M11" s="529">
        <v>0.3</v>
      </c>
      <c r="N11" s="524">
        <f t="shared" si="1"/>
        <v>3.35</v>
      </c>
      <c r="P11" s="667">
        <v>7</v>
      </c>
      <c r="Q11" s="528">
        <v>1020</v>
      </c>
      <c r="R11" s="529" t="s">
        <v>161</v>
      </c>
      <c r="S11" s="525" t="s">
        <v>161</v>
      </c>
      <c r="T11" s="522">
        <v>9.9999999999999995E-7</v>
      </c>
      <c r="U11" s="524">
        <f t="shared" si="2"/>
        <v>0</v>
      </c>
    </row>
    <row r="12" spans="1:24" ht="13.5" thickBot="1">
      <c r="A12" s="530"/>
      <c r="B12" s="531"/>
      <c r="O12" s="532"/>
      <c r="P12" s="533"/>
    </row>
    <row r="13" spans="1:24">
      <c r="A13" s="1330">
        <v>2</v>
      </c>
      <c r="B13" s="1331" t="s">
        <v>440</v>
      </c>
      <c r="C13" s="1331"/>
      <c r="D13" s="1331"/>
      <c r="E13" s="1331"/>
      <c r="F13" s="1331"/>
      <c r="G13" s="1331"/>
      <c r="I13" s="1331" t="str">
        <f>B13</f>
        <v>KOREKSI KIMO THERMOHYGROMETER 15062874</v>
      </c>
      <c r="J13" s="1331"/>
      <c r="K13" s="1331"/>
      <c r="L13" s="1331"/>
      <c r="M13" s="1331"/>
      <c r="N13" s="1331"/>
      <c r="P13" s="1331" t="str">
        <f>I13</f>
        <v>KOREKSI KIMO THERMOHYGROMETER 15062874</v>
      </c>
      <c r="Q13" s="1331"/>
      <c r="R13" s="1331"/>
      <c r="S13" s="1331"/>
      <c r="T13" s="1331"/>
      <c r="U13" s="1331"/>
      <c r="W13" s="1325" t="s">
        <v>396</v>
      </c>
      <c r="X13" s="1326"/>
    </row>
    <row r="14" spans="1:24" ht="13">
      <c r="A14" s="1330"/>
      <c r="B14" s="1327" t="s">
        <v>434</v>
      </c>
      <c r="C14" s="1327"/>
      <c r="D14" s="1327" t="s">
        <v>435</v>
      </c>
      <c r="E14" s="1327"/>
      <c r="F14" s="1327"/>
      <c r="G14" s="1327" t="s">
        <v>385</v>
      </c>
      <c r="I14" s="1327" t="s">
        <v>436</v>
      </c>
      <c r="J14" s="1327"/>
      <c r="K14" s="1327" t="s">
        <v>435</v>
      </c>
      <c r="L14" s="1327"/>
      <c r="M14" s="1327"/>
      <c r="N14" s="1327" t="s">
        <v>385</v>
      </c>
      <c r="P14" s="1327" t="s">
        <v>437</v>
      </c>
      <c r="Q14" s="1327"/>
      <c r="R14" s="1327" t="s">
        <v>435</v>
      </c>
      <c r="S14" s="1327"/>
      <c r="T14" s="1327"/>
      <c r="U14" s="1327" t="s">
        <v>385</v>
      </c>
      <c r="W14" s="519" t="s">
        <v>434</v>
      </c>
      <c r="X14" s="520">
        <v>0.5</v>
      </c>
    </row>
    <row r="15" spans="1:24" ht="14.5">
      <c r="A15" s="1330"/>
      <c r="B15" s="1328" t="s">
        <v>438</v>
      </c>
      <c r="C15" s="1328"/>
      <c r="D15" s="521">
        <v>2023</v>
      </c>
      <c r="E15" s="521">
        <v>2021</v>
      </c>
      <c r="F15" s="521">
        <v>2018</v>
      </c>
      <c r="G15" s="1327"/>
      <c r="I15" s="1329" t="s">
        <v>18</v>
      </c>
      <c r="J15" s="1328"/>
      <c r="K15" s="521">
        <f>D15</f>
        <v>2023</v>
      </c>
      <c r="L15" s="521">
        <f>E15</f>
        <v>2021</v>
      </c>
      <c r="M15" s="521">
        <f>F15</f>
        <v>2018</v>
      </c>
      <c r="N15" s="1327"/>
      <c r="P15" s="1329" t="s">
        <v>439</v>
      </c>
      <c r="Q15" s="1328"/>
      <c r="R15" s="521">
        <f>K15</f>
        <v>2023</v>
      </c>
      <c r="S15" s="521">
        <f>L15</f>
        <v>2021</v>
      </c>
      <c r="T15" s="521">
        <f>M15</f>
        <v>2018</v>
      </c>
      <c r="U15" s="1327"/>
      <c r="W15" s="519" t="s">
        <v>18</v>
      </c>
      <c r="X15" s="520">
        <v>3.3</v>
      </c>
    </row>
    <row r="16" spans="1:24" ht="13.5" thickBot="1">
      <c r="A16" s="1330"/>
      <c r="B16" s="667">
        <v>1</v>
      </c>
      <c r="C16" s="522">
        <v>15</v>
      </c>
      <c r="D16" s="523">
        <v>0.2</v>
      </c>
      <c r="E16" s="523">
        <v>0.4</v>
      </c>
      <c r="F16" s="523">
        <v>9.9999999999999995E-7</v>
      </c>
      <c r="G16" s="524">
        <f>0.5*(MAX(D16:F16)-MIN(D16:F16))</f>
        <v>0.19999950000000002</v>
      </c>
      <c r="I16" s="667">
        <v>1</v>
      </c>
      <c r="J16" s="522">
        <v>35</v>
      </c>
      <c r="K16" s="523">
        <v>-12.6</v>
      </c>
      <c r="L16" s="523">
        <v>-6.9</v>
      </c>
      <c r="M16" s="523">
        <v>-1.6</v>
      </c>
      <c r="N16" s="524">
        <f>0.5*(MAX(K16:M16)-MIN(K16:M16))</f>
        <v>5.5</v>
      </c>
      <c r="P16" s="667">
        <v>1</v>
      </c>
      <c r="Q16" s="522">
        <v>750</v>
      </c>
      <c r="R16" s="525" t="s">
        <v>161</v>
      </c>
      <c r="S16" s="525" t="s">
        <v>161</v>
      </c>
      <c r="T16" s="522" t="s">
        <v>161</v>
      </c>
      <c r="U16" s="524">
        <f>0.5*(MAX(R16:T16)-MIN(R16:T16))</f>
        <v>0</v>
      </c>
      <c r="W16" s="526" t="s">
        <v>439</v>
      </c>
      <c r="X16" s="527">
        <v>0</v>
      </c>
    </row>
    <row r="17" spans="1:24" ht="13">
      <c r="A17" s="1330"/>
      <c r="B17" s="667">
        <v>2</v>
      </c>
      <c r="C17" s="522">
        <v>20</v>
      </c>
      <c r="D17" s="523">
        <v>0.2</v>
      </c>
      <c r="E17" s="523">
        <v>0.7</v>
      </c>
      <c r="F17" s="523">
        <v>-0.1</v>
      </c>
      <c r="G17" s="524">
        <f t="shared" ref="G17:G22" si="3">0.5*(MAX(D17:F17)-MIN(D17:F17))</f>
        <v>0.39999999999999997</v>
      </c>
      <c r="I17" s="667">
        <v>2</v>
      </c>
      <c r="J17" s="522">
        <v>40</v>
      </c>
      <c r="K17" s="523">
        <v>-10.3</v>
      </c>
      <c r="L17" s="523">
        <v>-6.2</v>
      </c>
      <c r="M17" s="523">
        <v>-1.6</v>
      </c>
      <c r="N17" s="524">
        <f t="shared" ref="N17:N22" si="4">0.5*(MAX(K17:M17)-MIN(K17:M17))</f>
        <v>4.3500000000000005</v>
      </c>
      <c r="P17" s="667">
        <v>2</v>
      </c>
      <c r="Q17" s="522">
        <v>800</v>
      </c>
      <c r="R17" s="525" t="s">
        <v>161</v>
      </c>
      <c r="S17" s="525" t="s">
        <v>161</v>
      </c>
      <c r="T17" s="522" t="s">
        <v>161</v>
      </c>
      <c r="U17" s="524">
        <f t="shared" ref="U17:U22" si="5">0.5*(MAX(R17:T17)-MIN(R17:T17))</f>
        <v>0</v>
      </c>
    </row>
    <row r="18" spans="1:24" ht="13">
      <c r="A18" s="1330"/>
      <c r="B18" s="667">
        <v>3</v>
      </c>
      <c r="C18" s="522">
        <v>25</v>
      </c>
      <c r="D18" s="523">
        <v>0.3</v>
      </c>
      <c r="E18" s="523">
        <v>0.5</v>
      </c>
      <c r="F18" s="523">
        <v>-0.2</v>
      </c>
      <c r="G18" s="524">
        <f t="shared" si="3"/>
        <v>0.35</v>
      </c>
      <c r="I18" s="667">
        <v>3</v>
      </c>
      <c r="J18" s="522">
        <v>50</v>
      </c>
      <c r="K18" s="523">
        <v>-8</v>
      </c>
      <c r="L18" s="523">
        <v>-5.3</v>
      </c>
      <c r="M18" s="523">
        <v>-1.5</v>
      </c>
      <c r="N18" s="524">
        <f t="shared" si="4"/>
        <v>3.25</v>
      </c>
      <c r="P18" s="667">
        <v>3</v>
      </c>
      <c r="Q18" s="522">
        <v>850</v>
      </c>
      <c r="R18" s="525" t="s">
        <v>161</v>
      </c>
      <c r="S18" s="525" t="s">
        <v>161</v>
      </c>
      <c r="T18" s="522" t="s">
        <v>161</v>
      </c>
      <c r="U18" s="524">
        <f t="shared" si="5"/>
        <v>0</v>
      </c>
    </row>
    <row r="19" spans="1:24" ht="13">
      <c r="A19" s="1330"/>
      <c r="B19" s="667">
        <v>4</v>
      </c>
      <c r="C19" s="528">
        <v>30</v>
      </c>
      <c r="D19" s="529">
        <v>0.4</v>
      </c>
      <c r="E19" s="529">
        <v>0.2</v>
      </c>
      <c r="F19" s="529">
        <v>-0.3</v>
      </c>
      <c r="G19" s="524">
        <f t="shared" si="3"/>
        <v>0.35</v>
      </c>
      <c r="I19" s="667">
        <v>4</v>
      </c>
      <c r="J19" s="528">
        <v>60</v>
      </c>
      <c r="K19" s="529">
        <v>-5.7</v>
      </c>
      <c r="L19" s="529">
        <v>-4</v>
      </c>
      <c r="M19" s="529">
        <v>-1.3</v>
      </c>
      <c r="N19" s="524">
        <f t="shared" si="4"/>
        <v>2.2000000000000002</v>
      </c>
      <c r="P19" s="667">
        <v>4</v>
      </c>
      <c r="Q19" s="528">
        <v>900</v>
      </c>
      <c r="R19" s="529" t="s">
        <v>161</v>
      </c>
      <c r="S19" s="529" t="s">
        <v>161</v>
      </c>
      <c r="T19" s="522" t="s">
        <v>161</v>
      </c>
      <c r="U19" s="524">
        <f t="shared" si="5"/>
        <v>0</v>
      </c>
    </row>
    <row r="20" spans="1:24" ht="13">
      <c r="A20" s="1330"/>
      <c r="B20" s="667">
        <v>5</v>
      </c>
      <c r="C20" s="528">
        <v>35</v>
      </c>
      <c r="D20" s="529">
        <v>0.5</v>
      </c>
      <c r="E20" s="529">
        <v>-0.1</v>
      </c>
      <c r="F20" s="529">
        <v>-0.3</v>
      </c>
      <c r="G20" s="524">
        <f t="shared" si="3"/>
        <v>0.4</v>
      </c>
      <c r="I20" s="667">
        <v>5</v>
      </c>
      <c r="J20" s="528">
        <v>70</v>
      </c>
      <c r="K20" s="529">
        <v>-3.4</v>
      </c>
      <c r="L20" s="529">
        <v>-2.4</v>
      </c>
      <c r="M20" s="529">
        <v>-1.1000000000000001</v>
      </c>
      <c r="N20" s="524">
        <f t="shared" si="4"/>
        <v>1.1499999999999999</v>
      </c>
      <c r="P20" s="667">
        <v>5</v>
      </c>
      <c r="Q20" s="528">
        <v>1000</v>
      </c>
      <c r="R20" s="529" t="s">
        <v>161</v>
      </c>
      <c r="S20" s="529" t="s">
        <v>161</v>
      </c>
      <c r="T20" s="522" t="s">
        <v>161</v>
      </c>
      <c r="U20" s="524">
        <f t="shared" si="5"/>
        <v>0</v>
      </c>
    </row>
    <row r="21" spans="1:24" ht="13">
      <c r="A21" s="1330"/>
      <c r="B21" s="667">
        <v>6</v>
      </c>
      <c r="C21" s="528">
        <v>37</v>
      </c>
      <c r="D21" s="529">
        <v>0.6</v>
      </c>
      <c r="E21" s="529">
        <v>-0.2</v>
      </c>
      <c r="F21" s="529">
        <v>-0.3</v>
      </c>
      <c r="G21" s="524">
        <f t="shared" si="3"/>
        <v>0.44999999999999996</v>
      </c>
      <c r="I21" s="667">
        <v>6</v>
      </c>
      <c r="J21" s="528">
        <v>80</v>
      </c>
      <c r="K21" s="529">
        <v>-1.1000000000000001</v>
      </c>
      <c r="L21" s="529">
        <v>-0.5</v>
      </c>
      <c r="M21" s="529">
        <v>-0.7</v>
      </c>
      <c r="N21" s="524">
        <f t="shared" si="4"/>
        <v>0.30000000000000004</v>
      </c>
      <c r="P21" s="667">
        <v>6</v>
      </c>
      <c r="Q21" s="528">
        <v>1005</v>
      </c>
      <c r="R21" s="529" t="s">
        <v>161</v>
      </c>
      <c r="S21" s="529" t="s">
        <v>161</v>
      </c>
      <c r="T21" s="522" t="s">
        <v>161</v>
      </c>
      <c r="U21" s="524">
        <f t="shared" si="5"/>
        <v>0</v>
      </c>
    </row>
    <row r="22" spans="1:24" ht="13.5" thickBot="1">
      <c r="A22" s="1330"/>
      <c r="B22" s="667">
        <v>7</v>
      </c>
      <c r="C22" s="528">
        <v>40</v>
      </c>
      <c r="D22" s="529">
        <v>0.6</v>
      </c>
      <c r="E22" s="529">
        <v>-0.1</v>
      </c>
      <c r="F22" s="529">
        <v>-0.3</v>
      </c>
      <c r="G22" s="524">
        <f t="shared" si="3"/>
        <v>0.44999999999999996</v>
      </c>
      <c r="I22" s="667">
        <v>7</v>
      </c>
      <c r="J22" s="528">
        <v>90</v>
      </c>
      <c r="K22" s="529">
        <v>1.2</v>
      </c>
      <c r="L22" s="529">
        <v>1.7</v>
      </c>
      <c r="M22" s="529">
        <v>-0.3</v>
      </c>
      <c r="N22" s="524">
        <f t="shared" si="4"/>
        <v>1</v>
      </c>
      <c r="P22" s="667">
        <v>7</v>
      </c>
      <c r="Q22" s="528">
        <v>1020</v>
      </c>
      <c r="R22" s="529" t="s">
        <v>161</v>
      </c>
      <c r="S22" s="529" t="s">
        <v>161</v>
      </c>
      <c r="T22" s="522" t="s">
        <v>161</v>
      </c>
      <c r="U22" s="524">
        <f t="shared" si="5"/>
        <v>0</v>
      </c>
    </row>
    <row r="23" spans="1:24" ht="13.5" thickBot="1">
      <c r="A23" s="530"/>
      <c r="B23" s="531"/>
      <c r="O23" s="532"/>
      <c r="P23" s="533"/>
    </row>
    <row r="24" spans="1:24">
      <c r="A24" s="1337">
        <v>3</v>
      </c>
      <c r="B24" s="1331" t="s">
        <v>441</v>
      </c>
      <c r="C24" s="1331"/>
      <c r="D24" s="1331"/>
      <c r="E24" s="1331"/>
      <c r="F24" s="1331"/>
      <c r="G24" s="1331"/>
      <c r="I24" s="1331" t="str">
        <f>B24</f>
        <v>KOREKSI KIMO THERMOHYGROMETER 14082463</v>
      </c>
      <c r="J24" s="1331"/>
      <c r="K24" s="1331"/>
      <c r="L24" s="1331"/>
      <c r="M24" s="1331"/>
      <c r="N24" s="1331"/>
      <c r="P24" s="1331" t="str">
        <f>I24</f>
        <v>KOREKSI KIMO THERMOHYGROMETER 14082463</v>
      </c>
      <c r="Q24" s="1331"/>
      <c r="R24" s="1331"/>
      <c r="S24" s="1331"/>
      <c r="T24" s="1331"/>
      <c r="U24" s="1331"/>
      <c r="W24" s="1325" t="s">
        <v>396</v>
      </c>
      <c r="X24" s="1326"/>
    </row>
    <row r="25" spans="1:24" ht="13">
      <c r="A25" s="1338"/>
      <c r="B25" s="1327" t="s">
        <v>434</v>
      </c>
      <c r="C25" s="1327"/>
      <c r="D25" s="1327" t="s">
        <v>435</v>
      </c>
      <c r="E25" s="1327"/>
      <c r="F25" s="1327"/>
      <c r="G25" s="1327" t="s">
        <v>385</v>
      </c>
      <c r="I25" s="1327" t="s">
        <v>436</v>
      </c>
      <c r="J25" s="1327"/>
      <c r="K25" s="1327" t="s">
        <v>435</v>
      </c>
      <c r="L25" s="1327"/>
      <c r="M25" s="1327"/>
      <c r="N25" s="1327" t="s">
        <v>385</v>
      </c>
      <c r="P25" s="1327" t="s">
        <v>437</v>
      </c>
      <c r="Q25" s="1327"/>
      <c r="R25" s="1327" t="s">
        <v>435</v>
      </c>
      <c r="S25" s="1327"/>
      <c r="T25" s="1327"/>
      <c r="U25" s="1327" t="s">
        <v>385</v>
      </c>
      <c r="W25" s="519" t="s">
        <v>434</v>
      </c>
      <c r="X25" s="520">
        <v>0.5</v>
      </c>
    </row>
    <row r="26" spans="1:24" ht="14.5">
      <c r="A26" s="1338"/>
      <c r="B26" s="1328" t="s">
        <v>438</v>
      </c>
      <c r="C26" s="1328"/>
      <c r="D26" s="521">
        <v>2023</v>
      </c>
      <c r="E26" s="521">
        <v>2021</v>
      </c>
      <c r="F26" s="521">
        <v>2018</v>
      </c>
      <c r="G26" s="1327"/>
      <c r="I26" s="1329" t="s">
        <v>18</v>
      </c>
      <c r="J26" s="1328"/>
      <c r="K26" s="521">
        <f>D26</f>
        <v>2023</v>
      </c>
      <c r="L26" s="521">
        <f>E26</f>
        <v>2021</v>
      </c>
      <c r="M26" s="521">
        <f>F26</f>
        <v>2018</v>
      </c>
      <c r="N26" s="1327"/>
      <c r="P26" s="1329" t="s">
        <v>439</v>
      </c>
      <c r="Q26" s="1328"/>
      <c r="R26" s="521">
        <f>K26</f>
        <v>2023</v>
      </c>
      <c r="S26" s="521">
        <f>L26</f>
        <v>2021</v>
      </c>
      <c r="T26" s="521">
        <f>M26</f>
        <v>2018</v>
      </c>
      <c r="U26" s="1327"/>
      <c r="W26" s="519" t="s">
        <v>18</v>
      </c>
      <c r="X26" s="520">
        <v>2.4</v>
      </c>
    </row>
    <row r="27" spans="1:24" ht="13.5" thickBot="1">
      <c r="A27" s="1338"/>
      <c r="B27" s="667">
        <v>1</v>
      </c>
      <c r="C27" s="522">
        <v>15</v>
      </c>
      <c r="D27" s="523">
        <v>0.2</v>
      </c>
      <c r="E27" s="523">
        <v>0.4</v>
      </c>
      <c r="F27" s="523">
        <v>9.9999999999999995E-7</v>
      </c>
      <c r="G27" s="524">
        <f>0.5*(MAX(D27:F27)-MIN(D27:F27))</f>
        <v>0.19999950000000002</v>
      </c>
      <c r="I27" s="667">
        <v>1</v>
      </c>
      <c r="J27" s="522">
        <v>35</v>
      </c>
      <c r="K27" s="523">
        <v>-11.5</v>
      </c>
      <c r="L27" s="523">
        <v>-7.3</v>
      </c>
      <c r="M27" s="523">
        <v>-5.7</v>
      </c>
      <c r="N27" s="524">
        <f>0.5*(MAX(K27:M27)-MIN(K27:M27))</f>
        <v>2.9</v>
      </c>
      <c r="P27" s="667">
        <v>1</v>
      </c>
      <c r="Q27" s="522">
        <v>750</v>
      </c>
      <c r="R27" s="525" t="s">
        <v>161</v>
      </c>
      <c r="S27" s="525" t="s">
        <v>161</v>
      </c>
      <c r="T27" s="522" t="s">
        <v>161</v>
      </c>
      <c r="U27" s="524">
        <f>0.5*(MAX(R27:T27)-MIN(R27:S27))</f>
        <v>0</v>
      </c>
      <c r="W27" s="526" t="s">
        <v>439</v>
      </c>
      <c r="X27" s="527">
        <v>0</v>
      </c>
    </row>
    <row r="28" spans="1:24" ht="13">
      <c r="A28" s="1338"/>
      <c r="B28" s="667">
        <v>2</v>
      </c>
      <c r="C28" s="522">
        <v>20</v>
      </c>
      <c r="D28" s="523">
        <v>0.2</v>
      </c>
      <c r="E28" s="523">
        <v>1</v>
      </c>
      <c r="F28" s="523">
        <v>9.9999999999999995E-7</v>
      </c>
      <c r="G28" s="524">
        <f t="shared" ref="G28:G33" si="6">0.5*(MAX(D28:F28)-MIN(D28:F28))</f>
        <v>0.49999949999999999</v>
      </c>
      <c r="I28" s="667">
        <v>2</v>
      </c>
      <c r="J28" s="522">
        <v>40</v>
      </c>
      <c r="K28" s="523">
        <v>-9.6999999999999993</v>
      </c>
      <c r="L28" s="523">
        <v>-5.9</v>
      </c>
      <c r="M28" s="523">
        <v>-5.3</v>
      </c>
      <c r="N28" s="524">
        <f t="shared" ref="N28:N33" si="7">0.5*(MAX(K28:M28)-MIN(K28:M28))</f>
        <v>2.1999999999999997</v>
      </c>
      <c r="P28" s="667">
        <v>2</v>
      </c>
      <c r="Q28" s="522">
        <v>800</v>
      </c>
      <c r="R28" s="525" t="s">
        <v>161</v>
      </c>
      <c r="S28" s="525" t="s">
        <v>161</v>
      </c>
      <c r="T28" s="522" t="s">
        <v>161</v>
      </c>
      <c r="U28" s="524">
        <f t="shared" ref="U28:U33" si="8">0.5*(MAX(R28:T28)-MIN(R28:S28))</f>
        <v>0</v>
      </c>
    </row>
    <row r="29" spans="1:24" ht="13">
      <c r="A29" s="1338"/>
      <c r="B29" s="667">
        <v>3</v>
      </c>
      <c r="C29" s="522">
        <v>25</v>
      </c>
      <c r="D29" s="523">
        <v>0.3</v>
      </c>
      <c r="E29" s="523">
        <v>0.7</v>
      </c>
      <c r="F29" s="523">
        <v>-0.1</v>
      </c>
      <c r="G29" s="524">
        <f t="shared" si="6"/>
        <v>0.39999999999999997</v>
      </c>
      <c r="I29" s="667">
        <v>3</v>
      </c>
      <c r="J29" s="522">
        <v>50</v>
      </c>
      <c r="K29" s="523">
        <v>-7.9</v>
      </c>
      <c r="L29" s="523">
        <v>-4.5</v>
      </c>
      <c r="M29" s="523">
        <v>-4.9000000000000004</v>
      </c>
      <c r="N29" s="524">
        <f t="shared" si="7"/>
        <v>1.7000000000000002</v>
      </c>
      <c r="P29" s="667">
        <v>3</v>
      </c>
      <c r="Q29" s="522">
        <v>850</v>
      </c>
      <c r="R29" s="525" t="s">
        <v>161</v>
      </c>
      <c r="S29" s="525" t="s">
        <v>161</v>
      </c>
      <c r="T29" s="522" t="s">
        <v>161</v>
      </c>
      <c r="U29" s="524">
        <f t="shared" si="8"/>
        <v>0</v>
      </c>
    </row>
    <row r="30" spans="1:24" ht="13">
      <c r="A30" s="1338"/>
      <c r="B30" s="667">
        <v>4</v>
      </c>
      <c r="C30" s="528">
        <v>30</v>
      </c>
      <c r="D30" s="529">
        <v>0.3</v>
      </c>
      <c r="E30" s="529">
        <v>9.9999999999999995E-7</v>
      </c>
      <c r="F30" s="529">
        <v>-0.3</v>
      </c>
      <c r="G30" s="524">
        <f t="shared" si="6"/>
        <v>0.3</v>
      </c>
      <c r="I30" s="667">
        <v>4</v>
      </c>
      <c r="J30" s="528">
        <v>60</v>
      </c>
      <c r="K30" s="529">
        <v>-6.2</v>
      </c>
      <c r="L30" s="529">
        <v>-3.2</v>
      </c>
      <c r="M30" s="529">
        <v>-4.3</v>
      </c>
      <c r="N30" s="524">
        <f t="shared" si="7"/>
        <v>1.5</v>
      </c>
      <c r="P30" s="667">
        <v>4</v>
      </c>
      <c r="Q30" s="528">
        <v>900</v>
      </c>
      <c r="R30" s="529" t="s">
        <v>161</v>
      </c>
      <c r="S30" s="529" t="s">
        <v>161</v>
      </c>
      <c r="T30" s="522" t="s">
        <v>161</v>
      </c>
      <c r="U30" s="524">
        <f t="shared" si="8"/>
        <v>0</v>
      </c>
    </row>
    <row r="31" spans="1:24" ht="13">
      <c r="A31" s="1338"/>
      <c r="B31" s="667">
        <v>5</v>
      </c>
      <c r="C31" s="528">
        <v>35</v>
      </c>
      <c r="D31" s="529">
        <v>0.3</v>
      </c>
      <c r="E31" s="529">
        <v>-0.3</v>
      </c>
      <c r="F31" s="529">
        <v>-0.5</v>
      </c>
      <c r="G31" s="524">
        <f t="shared" si="6"/>
        <v>0.4</v>
      </c>
      <c r="I31" s="667">
        <v>5</v>
      </c>
      <c r="J31" s="528">
        <v>70</v>
      </c>
      <c r="K31" s="529">
        <v>-4.4000000000000004</v>
      </c>
      <c r="L31" s="529">
        <v>-2</v>
      </c>
      <c r="M31" s="529">
        <v>-3.6</v>
      </c>
      <c r="N31" s="524">
        <f t="shared" si="7"/>
        <v>1.2000000000000002</v>
      </c>
      <c r="P31" s="667">
        <v>5</v>
      </c>
      <c r="Q31" s="528">
        <v>1000</v>
      </c>
      <c r="R31" s="529" t="s">
        <v>161</v>
      </c>
      <c r="S31" s="529" t="s">
        <v>161</v>
      </c>
      <c r="T31" s="522" t="s">
        <v>161</v>
      </c>
      <c r="U31" s="524">
        <f t="shared" si="8"/>
        <v>0</v>
      </c>
    </row>
    <row r="32" spans="1:24" ht="13">
      <c r="A32" s="1338"/>
      <c r="B32" s="667">
        <v>6</v>
      </c>
      <c r="C32" s="528">
        <v>37</v>
      </c>
      <c r="D32" s="529">
        <v>0.3</v>
      </c>
      <c r="E32" s="529">
        <v>-0.2</v>
      </c>
      <c r="F32" s="529">
        <v>-0.6</v>
      </c>
      <c r="G32" s="524">
        <f t="shared" si="6"/>
        <v>0.44999999999999996</v>
      </c>
      <c r="I32" s="667">
        <v>6</v>
      </c>
      <c r="J32" s="528">
        <v>80</v>
      </c>
      <c r="K32" s="529">
        <v>-2.7</v>
      </c>
      <c r="L32" s="529">
        <v>-0.8</v>
      </c>
      <c r="M32" s="529">
        <v>-2.9</v>
      </c>
      <c r="N32" s="524">
        <f t="shared" si="7"/>
        <v>1.0499999999999998</v>
      </c>
      <c r="P32" s="667">
        <v>6</v>
      </c>
      <c r="Q32" s="528">
        <v>1005</v>
      </c>
      <c r="R32" s="529" t="s">
        <v>161</v>
      </c>
      <c r="S32" s="529" t="s">
        <v>161</v>
      </c>
      <c r="T32" s="522" t="s">
        <v>161</v>
      </c>
      <c r="U32" s="524">
        <f t="shared" si="8"/>
        <v>0</v>
      </c>
    </row>
    <row r="33" spans="1:24" ht="13.5" thickBot="1">
      <c r="A33" s="1339"/>
      <c r="B33" s="667">
        <v>7</v>
      </c>
      <c r="C33" s="528">
        <v>40</v>
      </c>
      <c r="D33" s="529">
        <v>0.3</v>
      </c>
      <c r="E33" s="529">
        <v>0.2</v>
      </c>
      <c r="F33" s="529">
        <v>-0.7</v>
      </c>
      <c r="G33" s="524">
        <f t="shared" si="6"/>
        <v>0.5</v>
      </c>
      <c r="I33" s="667">
        <v>7</v>
      </c>
      <c r="J33" s="528">
        <v>90</v>
      </c>
      <c r="K33" s="529">
        <v>-0.9</v>
      </c>
      <c r="L33" s="529">
        <v>0.3</v>
      </c>
      <c r="M33" s="529">
        <v>-2</v>
      </c>
      <c r="N33" s="524">
        <f t="shared" si="7"/>
        <v>1.1499999999999999</v>
      </c>
      <c r="P33" s="667">
        <v>7</v>
      </c>
      <c r="Q33" s="528">
        <v>1020</v>
      </c>
      <c r="R33" s="529" t="s">
        <v>161</v>
      </c>
      <c r="S33" s="529" t="s">
        <v>161</v>
      </c>
      <c r="T33" s="522" t="s">
        <v>161</v>
      </c>
      <c r="U33" s="524">
        <f t="shared" si="8"/>
        <v>0</v>
      </c>
    </row>
    <row r="34" spans="1:24" ht="13.5" thickBot="1">
      <c r="A34" s="530"/>
      <c r="B34" s="531"/>
      <c r="H34" s="503"/>
      <c r="O34" s="532"/>
      <c r="P34" s="533"/>
    </row>
    <row r="35" spans="1:24">
      <c r="A35" s="1334">
        <v>4</v>
      </c>
      <c r="B35" s="1331" t="s">
        <v>442</v>
      </c>
      <c r="C35" s="1331"/>
      <c r="D35" s="1331"/>
      <c r="E35" s="1331"/>
      <c r="F35" s="1331"/>
      <c r="G35" s="1331"/>
      <c r="I35" s="1331" t="str">
        <f>B35</f>
        <v>KOREKSI KIMO THERMOHYGROMETER 15062872</v>
      </c>
      <c r="J35" s="1331"/>
      <c r="K35" s="1331"/>
      <c r="L35" s="1331"/>
      <c r="M35" s="1331"/>
      <c r="N35" s="1331"/>
      <c r="P35" s="1331" t="str">
        <f>I35</f>
        <v>KOREKSI KIMO THERMOHYGROMETER 15062872</v>
      </c>
      <c r="Q35" s="1331"/>
      <c r="R35" s="1331"/>
      <c r="S35" s="1331"/>
      <c r="T35" s="1331"/>
      <c r="U35" s="1331"/>
      <c r="W35" s="1325" t="s">
        <v>396</v>
      </c>
      <c r="X35" s="1326"/>
    </row>
    <row r="36" spans="1:24" ht="13">
      <c r="A36" s="1335"/>
      <c r="B36" s="1327" t="s">
        <v>434</v>
      </c>
      <c r="C36" s="1327"/>
      <c r="D36" s="1327" t="s">
        <v>435</v>
      </c>
      <c r="E36" s="1327"/>
      <c r="F36" s="1327"/>
      <c r="G36" s="1327" t="s">
        <v>385</v>
      </c>
      <c r="I36" s="1327" t="s">
        <v>436</v>
      </c>
      <c r="J36" s="1327"/>
      <c r="K36" s="1327" t="s">
        <v>435</v>
      </c>
      <c r="L36" s="1327"/>
      <c r="M36" s="1327"/>
      <c r="N36" s="1327" t="s">
        <v>385</v>
      </c>
      <c r="P36" s="1327" t="s">
        <v>437</v>
      </c>
      <c r="Q36" s="1327"/>
      <c r="R36" s="1327" t="s">
        <v>435</v>
      </c>
      <c r="S36" s="1327"/>
      <c r="T36" s="1327"/>
      <c r="U36" s="1327" t="s">
        <v>385</v>
      </c>
      <c r="W36" s="519" t="s">
        <v>434</v>
      </c>
      <c r="X36" s="520">
        <v>0.3</v>
      </c>
    </row>
    <row r="37" spans="1:24" ht="14.5">
      <c r="A37" s="1335"/>
      <c r="B37" s="1328" t="s">
        <v>438</v>
      </c>
      <c r="C37" s="1328"/>
      <c r="D37" s="521">
        <v>2019</v>
      </c>
      <c r="E37" s="521">
        <v>2017</v>
      </c>
      <c r="F37" s="521">
        <v>2016</v>
      </c>
      <c r="G37" s="1327"/>
      <c r="I37" s="1329" t="s">
        <v>18</v>
      </c>
      <c r="J37" s="1328"/>
      <c r="K37" s="521">
        <f>D37</f>
        <v>2019</v>
      </c>
      <c r="L37" s="521">
        <f>E37</f>
        <v>2017</v>
      </c>
      <c r="M37" s="521">
        <v>2016</v>
      </c>
      <c r="N37" s="1327"/>
      <c r="P37" s="1329" t="s">
        <v>439</v>
      </c>
      <c r="Q37" s="1328"/>
      <c r="R37" s="521">
        <f>K37</f>
        <v>2019</v>
      </c>
      <c r="S37" s="521">
        <f>L37</f>
        <v>2017</v>
      </c>
      <c r="T37" s="521">
        <v>2016</v>
      </c>
      <c r="U37" s="1327"/>
      <c r="W37" s="519" t="s">
        <v>18</v>
      </c>
      <c r="X37" s="520">
        <v>1.3</v>
      </c>
    </row>
    <row r="38" spans="1:24" ht="13.5" thickBot="1">
      <c r="A38" s="1335"/>
      <c r="B38" s="667">
        <v>1</v>
      </c>
      <c r="C38" s="522">
        <v>15</v>
      </c>
      <c r="D38" s="523">
        <v>-0.2</v>
      </c>
      <c r="E38" s="523">
        <v>-0.1</v>
      </c>
      <c r="F38" s="534"/>
      <c r="G38" s="524">
        <f>0.5*(MAX(D38:F38)-MIN(D38:F38))</f>
        <v>0.05</v>
      </c>
      <c r="I38" s="667">
        <v>1</v>
      </c>
      <c r="J38" s="522">
        <v>35</v>
      </c>
      <c r="K38" s="523">
        <v>-4.5</v>
      </c>
      <c r="L38" s="523">
        <v>-1.7</v>
      </c>
      <c r="M38" s="534"/>
      <c r="N38" s="524">
        <f>0.5*(MAX(K38:M38)-MIN(K38:M38))</f>
        <v>1.4</v>
      </c>
      <c r="P38" s="667">
        <v>1</v>
      </c>
      <c r="Q38" s="522">
        <v>750</v>
      </c>
      <c r="R38" s="525" t="s">
        <v>161</v>
      </c>
      <c r="S38" s="525" t="s">
        <v>161</v>
      </c>
      <c r="T38" s="522">
        <v>9.9999999999999995E-7</v>
      </c>
      <c r="U38" s="524">
        <f>0.5*(MAX(R38:T38)-MIN(R38:T38))</f>
        <v>0</v>
      </c>
      <c r="W38" s="526" t="s">
        <v>439</v>
      </c>
      <c r="X38" s="527">
        <v>0</v>
      </c>
    </row>
    <row r="39" spans="1:24" ht="13">
      <c r="A39" s="1335"/>
      <c r="B39" s="667">
        <v>2</v>
      </c>
      <c r="C39" s="522">
        <v>20</v>
      </c>
      <c r="D39" s="523">
        <v>-0.1</v>
      </c>
      <c r="E39" s="523">
        <v>-0.3</v>
      </c>
      <c r="F39" s="534"/>
      <c r="G39" s="524">
        <f t="shared" ref="G39:G44" si="9">0.5*(MAX(D39:F39)-MIN(D39:F39))</f>
        <v>9.9999999999999992E-2</v>
      </c>
      <c r="I39" s="667">
        <v>2</v>
      </c>
      <c r="J39" s="522">
        <v>40</v>
      </c>
      <c r="K39" s="523">
        <v>-4.4000000000000004</v>
      </c>
      <c r="L39" s="523">
        <v>-1.5</v>
      </c>
      <c r="M39" s="534"/>
      <c r="N39" s="524">
        <f t="shared" ref="N39:N44" si="10">0.5*(MAX(K39:L39)-MIN(K39:L39))</f>
        <v>1.4500000000000002</v>
      </c>
      <c r="P39" s="667">
        <v>2</v>
      </c>
      <c r="Q39" s="522">
        <v>800</v>
      </c>
      <c r="R39" s="525" t="s">
        <v>161</v>
      </c>
      <c r="S39" s="525" t="s">
        <v>161</v>
      </c>
      <c r="T39" s="522">
        <v>9.9999999999999995E-7</v>
      </c>
      <c r="U39" s="524">
        <f t="shared" ref="U39:U44" si="11">0.5*(MAX(R39:T39)-MIN(R39:T39))</f>
        <v>0</v>
      </c>
    </row>
    <row r="40" spans="1:24" ht="13">
      <c r="A40" s="1335"/>
      <c r="B40" s="667">
        <v>3</v>
      </c>
      <c r="C40" s="522">
        <v>25</v>
      </c>
      <c r="D40" s="523">
        <v>-0.1</v>
      </c>
      <c r="E40" s="523">
        <v>-0.5</v>
      </c>
      <c r="F40" s="534"/>
      <c r="G40" s="524">
        <f t="shared" si="9"/>
        <v>0.2</v>
      </c>
      <c r="I40" s="667">
        <v>3</v>
      </c>
      <c r="J40" s="522">
        <v>50</v>
      </c>
      <c r="K40" s="523">
        <v>-4.3</v>
      </c>
      <c r="L40" s="523">
        <v>-1</v>
      </c>
      <c r="M40" s="534"/>
      <c r="N40" s="524">
        <f t="shared" si="10"/>
        <v>1.65</v>
      </c>
      <c r="P40" s="667">
        <v>3</v>
      </c>
      <c r="Q40" s="522">
        <v>850</v>
      </c>
      <c r="R40" s="525" t="s">
        <v>161</v>
      </c>
      <c r="S40" s="525" t="s">
        <v>161</v>
      </c>
      <c r="T40" s="522">
        <v>9.9999999999999995E-7</v>
      </c>
      <c r="U40" s="524">
        <f t="shared" si="11"/>
        <v>0</v>
      </c>
    </row>
    <row r="41" spans="1:24" ht="13">
      <c r="A41" s="1335"/>
      <c r="B41" s="667">
        <v>4</v>
      </c>
      <c r="C41" s="528">
        <v>30</v>
      </c>
      <c r="D41" s="529">
        <v>-0.1</v>
      </c>
      <c r="E41" s="529">
        <v>-0.6</v>
      </c>
      <c r="F41" s="534"/>
      <c r="G41" s="524">
        <f t="shared" si="9"/>
        <v>0.25</v>
      </c>
      <c r="I41" s="667">
        <v>4</v>
      </c>
      <c r="J41" s="528">
        <v>60</v>
      </c>
      <c r="K41" s="529">
        <v>-4.2</v>
      </c>
      <c r="L41" s="529">
        <v>-0.3</v>
      </c>
      <c r="M41" s="534"/>
      <c r="N41" s="524">
        <f t="shared" si="10"/>
        <v>1.9500000000000002</v>
      </c>
      <c r="P41" s="667">
        <v>4</v>
      </c>
      <c r="Q41" s="528">
        <v>900</v>
      </c>
      <c r="R41" s="529" t="s">
        <v>161</v>
      </c>
      <c r="S41" s="529" t="s">
        <v>161</v>
      </c>
      <c r="T41" s="522">
        <v>9.9999999999999995E-7</v>
      </c>
      <c r="U41" s="524">
        <f t="shared" si="11"/>
        <v>0</v>
      </c>
    </row>
    <row r="42" spans="1:24" ht="13">
      <c r="A42" s="1335"/>
      <c r="B42" s="667">
        <v>5</v>
      </c>
      <c r="C42" s="528">
        <v>35</v>
      </c>
      <c r="D42" s="529">
        <v>-0.3</v>
      </c>
      <c r="E42" s="529">
        <v>-0.6</v>
      </c>
      <c r="F42" s="534"/>
      <c r="G42" s="524">
        <f t="shared" si="9"/>
        <v>0.15</v>
      </c>
      <c r="I42" s="667">
        <v>5</v>
      </c>
      <c r="J42" s="528">
        <v>70</v>
      </c>
      <c r="K42" s="529">
        <v>-4</v>
      </c>
      <c r="L42" s="529">
        <v>0.7</v>
      </c>
      <c r="M42" s="534"/>
      <c r="N42" s="524">
        <f t="shared" si="10"/>
        <v>2.35</v>
      </c>
      <c r="P42" s="667">
        <v>5</v>
      </c>
      <c r="Q42" s="528">
        <v>1000</v>
      </c>
      <c r="R42" s="529" t="s">
        <v>161</v>
      </c>
      <c r="S42" s="529" t="s">
        <v>161</v>
      </c>
      <c r="T42" s="522">
        <v>9.9999999999999995E-7</v>
      </c>
      <c r="U42" s="524">
        <f t="shared" si="11"/>
        <v>0</v>
      </c>
    </row>
    <row r="43" spans="1:24" ht="13">
      <c r="A43" s="1335"/>
      <c r="B43" s="667">
        <v>6</v>
      </c>
      <c r="C43" s="528">
        <v>37</v>
      </c>
      <c r="D43" s="529">
        <v>-0.4</v>
      </c>
      <c r="E43" s="529">
        <v>-0.6</v>
      </c>
      <c r="F43" s="534"/>
      <c r="G43" s="524">
        <f t="shared" si="9"/>
        <v>9.9999999999999978E-2</v>
      </c>
      <c r="I43" s="667">
        <v>6</v>
      </c>
      <c r="J43" s="528">
        <v>80</v>
      </c>
      <c r="K43" s="529">
        <v>-3.8</v>
      </c>
      <c r="L43" s="529">
        <v>1.9</v>
      </c>
      <c r="M43" s="534"/>
      <c r="N43" s="524">
        <f t="shared" si="10"/>
        <v>2.8499999999999996</v>
      </c>
      <c r="P43" s="667">
        <v>6</v>
      </c>
      <c r="Q43" s="528">
        <v>1005</v>
      </c>
      <c r="R43" s="529" t="s">
        <v>161</v>
      </c>
      <c r="S43" s="529" t="s">
        <v>161</v>
      </c>
      <c r="T43" s="522">
        <v>9.9999999999999995E-7</v>
      </c>
      <c r="U43" s="524">
        <f t="shared" si="11"/>
        <v>0</v>
      </c>
    </row>
    <row r="44" spans="1:24" ht="13.5" thickBot="1">
      <c r="A44" s="1336"/>
      <c r="B44" s="667">
        <v>7</v>
      </c>
      <c r="C44" s="528">
        <v>40</v>
      </c>
      <c r="D44" s="529">
        <v>-0.5</v>
      </c>
      <c r="E44" s="529">
        <v>-0.6</v>
      </c>
      <c r="F44" s="534"/>
      <c r="G44" s="524">
        <f t="shared" si="9"/>
        <v>4.9999999999999989E-2</v>
      </c>
      <c r="I44" s="667">
        <v>7</v>
      </c>
      <c r="J44" s="528">
        <v>90</v>
      </c>
      <c r="K44" s="529">
        <v>-3.5</v>
      </c>
      <c r="L44" s="529">
        <v>3.3</v>
      </c>
      <c r="M44" s="534"/>
      <c r="N44" s="524">
        <f t="shared" si="10"/>
        <v>3.4</v>
      </c>
      <c r="P44" s="667">
        <v>7</v>
      </c>
      <c r="Q44" s="528">
        <v>1020</v>
      </c>
      <c r="R44" s="529" t="s">
        <v>161</v>
      </c>
      <c r="S44" s="529" t="s">
        <v>161</v>
      </c>
      <c r="T44" s="522">
        <v>9.9999999999999995E-7</v>
      </c>
      <c r="U44" s="524">
        <f t="shared" si="11"/>
        <v>0</v>
      </c>
    </row>
    <row r="45" spans="1:24" ht="13.5" thickBot="1">
      <c r="A45" s="530"/>
      <c r="B45" s="531"/>
      <c r="O45" s="532"/>
      <c r="P45" s="533"/>
    </row>
    <row r="46" spans="1:24">
      <c r="A46" s="1337">
        <v>5</v>
      </c>
      <c r="B46" s="1331" t="s">
        <v>443</v>
      </c>
      <c r="C46" s="1331"/>
      <c r="D46" s="1331"/>
      <c r="E46" s="1331"/>
      <c r="F46" s="1331"/>
      <c r="G46" s="1331"/>
      <c r="I46" s="1331" t="str">
        <f>B46</f>
        <v>KOREKSI KIMO THERMOHYGROMETER 15062875</v>
      </c>
      <c r="J46" s="1331"/>
      <c r="K46" s="1331"/>
      <c r="L46" s="1331"/>
      <c r="M46" s="1331"/>
      <c r="N46" s="1331"/>
      <c r="P46" s="1331" t="str">
        <f>I46</f>
        <v>KOREKSI KIMO THERMOHYGROMETER 15062875</v>
      </c>
      <c r="Q46" s="1331"/>
      <c r="R46" s="1331"/>
      <c r="S46" s="1331"/>
      <c r="T46" s="1331"/>
      <c r="U46" s="1331"/>
      <c r="W46" s="1325" t="s">
        <v>396</v>
      </c>
      <c r="X46" s="1326"/>
    </row>
    <row r="47" spans="1:24" ht="13">
      <c r="A47" s="1338"/>
      <c r="B47" s="1327" t="s">
        <v>434</v>
      </c>
      <c r="C47" s="1327"/>
      <c r="D47" s="1327" t="s">
        <v>435</v>
      </c>
      <c r="E47" s="1327"/>
      <c r="F47" s="1327"/>
      <c r="G47" s="1327" t="s">
        <v>385</v>
      </c>
      <c r="I47" s="1327" t="s">
        <v>436</v>
      </c>
      <c r="J47" s="1327"/>
      <c r="K47" s="1327" t="s">
        <v>435</v>
      </c>
      <c r="L47" s="1327"/>
      <c r="M47" s="1327"/>
      <c r="N47" s="1327" t="s">
        <v>385</v>
      </c>
      <c r="P47" s="1327" t="s">
        <v>437</v>
      </c>
      <c r="Q47" s="1327"/>
      <c r="R47" s="1327" t="s">
        <v>435</v>
      </c>
      <c r="S47" s="1327"/>
      <c r="T47" s="1327"/>
      <c r="U47" s="1327" t="s">
        <v>385</v>
      </c>
      <c r="W47" s="519" t="s">
        <v>434</v>
      </c>
      <c r="X47" s="520">
        <v>0.3</v>
      </c>
    </row>
    <row r="48" spans="1:24" ht="14.5">
      <c r="A48" s="1338"/>
      <c r="B48" s="1328" t="s">
        <v>438</v>
      </c>
      <c r="C48" s="1328"/>
      <c r="D48" s="521">
        <v>2023</v>
      </c>
      <c r="E48" s="521">
        <v>2021</v>
      </c>
      <c r="F48" s="521">
        <v>2020</v>
      </c>
      <c r="G48" s="1327"/>
      <c r="I48" s="1329" t="s">
        <v>18</v>
      </c>
      <c r="J48" s="1328"/>
      <c r="K48" s="521">
        <f>D48</f>
        <v>2023</v>
      </c>
      <c r="L48" s="521">
        <f>E48</f>
        <v>2021</v>
      </c>
      <c r="M48" s="521">
        <f>F48</f>
        <v>2020</v>
      </c>
      <c r="N48" s="1327"/>
      <c r="P48" s="1329" t="s">
        <v>439</v>
      </c>
      <c r="Q48" s="1328"/>
      <c r="R48" s="521">
        <f>K48</f>
        <v>2023</v>
      </c>
      <c r="S48" s="521">
        <f>L48</f>
        <v>2021</v>
      </c>
      <c r="T48" s="521">
        <f>M48</f>
        <v>2020</v>
      </c>
      <c r="U48" s="1327"/>
      <c r="W48" s="519" t="s">
        <v>18</v>
      </c>
      <c r="X48" s="520">
        <v>2.2999999999999998</v>
      </c>
    </row>
    <row r="49" spans="1:24" ht="13.5" thickBot="1">
      <c r="A49" s="1338"/>
      <c r="B49" s="667">
        <v>1</v>
      </c>
      <c r="C49" s="522">
        <v>15</v>
      </c>
      <c r="D49" s="523">
        <v>0.3</v>
      </c>
      <c r="E49" s="523">
        <v>-0.1</v>
      </c>
      <c r="F49" s="523">
        <v>-0.3</v>
      </c>
      <c r="G49" s="524">
        <f>0.5*(MAX(D49:F49)-MIN(D49:F49))</f>
        <v>0.3</v>
      </c>
      <c r="I49" s="667">
        <v>1</v>
      </c>
      <c r="J49" s="522">
        <v>35</v>
      </c>
      <c r="K49" s="523">
        <v>-10.5</v>
      </c>
      <c r="L49" s="523">
        <v>-9.6999999999999993</v>
      </c>
      <c r="M49" s="523">
        <v>-7.7</v>
      </c>
      <c r="N49" s="524">
        <f>0.5*(MAX(K49:M49)-MIN(K49:M49))</f>
        <v>1.4</v>
      </c>
      <c r="P49" s="667">
        <v>1</v>
      </c>
      <c r="Q49" s="522">
        <v>750</v>
      </c>
      <c r="R49" s="525" t="s">
        <v>161</v>
      </c>
      <c r="S49" s="525" t="s">
        <v>161</v>
      </c>
      <c r="T49" s="522" t="s">
        <v>161</v>
      </c>
      <c r="U49" s="524">
        <f>0.5*(MAX(R49:T49)-MIN(R49:T49))</f>
        <v>0</v>
      </c>
      <c r="W49" s="526" t="s">
        <v>439</v>
      </c>
      <c r="X49" s="527">
        <v>0</v>
      </c>
    </row>
    <row r="50" spans="1:24" ht="13">
      <c r="A50" s="1338"/>
      <c r="B50" s="667">
        <v>2</v>
      </c>
      <c r="C50" s="522">
        <v>20</v>
      </c>
      <c r="D50" s="523">
        <v>0.4</v>
      </c>
      <c r="E50" s="523">
        <v>0.1</v>
      </c>
      <c r="F50" s="523">
        <v>0.1</v>
      </c>
      <c r="G50" s="524">
        <f t="shared" ref="G50:G55" si="12">0.5*(MAX(D50:F50)-MIN(D50:F50))</f>
        <v>0.15000000000000002</v>
      </c>
      <c r="I50" s="667">
        <v>2</v>
      </c>
      <c r="J50" s="522">
        <v>40</v>
      </c>
      <c r="K50" s="523">
        <v>-9.6</v>
      </c>
      <c r="L50" s="523">
        <v>-9.6999999999999993</v>
      </c>
      <c r="M50" s="523">
        <v>-7.2</v>
      </c>
      <c r="N50" s="524">
        <f t="shared" ref="N50:N55" si="13">0.5*(MAX(K50:M50)-MIN(K50:M50))</f>
        <v>1.2499999999999996</v>
      </c>
      <c r="P50" s="667">
        <v>2</v>
      </c>
      <c r="Q50" s="522">
        <v>800</v>
      </c>
      <c r="R50" s="525" t="s">
        <v>161</v>
      </c>
      <c r="S50" s="525" t="s">
        <v>161</v>
      </c>
      <c r="T50" s="522" t="s">
        <v>161</v>
      </c>
      <c r="U50" s="524">
        <f t="shared" ref="U50:U55" si="14">0.5*(MAX(R50:T50)-MIN(R50:T50))</f>
        <v>0</v>
      </c>
    </row>
    <row r="51" spans="1:24" ht="13">
      <c r="A51" s="1338"/>
      <c r="B51" s="667">
        <v>3</v>
      </c>
      <c r="C51" s="522">
        <v>25</v>
      </c>
      <c r="D51" s="523">
        <v>0.4</v>
      </c>
      <c r="E51" s="523">
        <v>0.2</v>
      </c>
      <c r="F51" s="523">
        <v>0.4</v>
      </c>
      <c r="G51" s="524">
        <f t="shared" si="12"/>
        <v>0.1</v>
      </c>
      <c r="I51" s="667">
        <v>3</v>
      </c>
      <c r="J51" s="522">
        <v>50</v>
      </c>
      <c r="K51" s="523">
        <v>-8.8000000000000007</v>
      </c>
      <c r="L51" s="523">
        <v>-9.1</v>
      </c>
      <c r="M51" s="523">
        <v>-6.2</v>
      </c>
      <c r="N51" s="524">
        <f t="shared" si="13"/>
        <v>1.4499999999999997</v>
      </c>
      <c r="P51" s="667">
        <v>3</v>
      </c>
      <c r="Q51" s="522">
        <v>850</v>
      </c>
      <c r="R51" s="525" t="s">
        <v>161</v>
      </c>
      <c r="S51" s="525" t="s">
        <v>161</v>
      </c>
      <c r="T51" s="522" t="s">
        <v>161</v>
      </c>
      <c r="U51" s="524">
        <f t="shared" si="14"/>
        <v>0</v>
      </c>
    </row>
    <row r="52" spans="1:24" ht="13">
      <c r="A52" s="1338"/>
      <c r="B52" s="667">
        <v>4</v>
      </c>
      <c r="C52" s="528">
        <v>30</v>
      </c>
      <c r="D52" s="529">
        <v>0.4</v>
      </c>
      <c r="E52" s="529">
        <v>0.1</v>
      </c>
      <c r="F52" s="529">
        <v>0.6</v>
      </c>
      <c r="G52" s="524">
        <f t="shared" si="12"/>
        <v>0.25</v>
      </c>
      <c r="I52" s="667">
        <v>4</v>
      </c>
      <c r="J52" s="528">
        <v>60</v>
      </c>
      <c r="K52" s="529">
        <v>-8</v>
      </c>
      <c r="L52" s="529">
        <v>-7.9</v>
      </c>
      <c r="M52" s="529">
        <v>-5.2</v>
      </c>
      <c r="N52" s="524">
        <f t="shared" si="13"/>
        <v>1.4</v>
      </c>
      <c r="P52" s="667">
        <v>4</v>
      </c>
      <c r="Q52" s="528">
        <v>900</v>
      </c>
      <c r="R52" s="529" t="s">
        <v>161</v>
      </c>
      <c r="S52" s="529" t="s">
        <v>161</v>
      </c>
      <c r="T52" s="522" t="s">
        <v>161</v>
      </c>
      <c r="U52" s="524">
        <f t="shared" si="14"/>
        <v>0</v>
      </c>
    </row>
    <row r="53" spans="1:24" ht="13">
      <c r="A53" s="1338"/>
      <c r="B53" s="667">
        <v>5</v>
      </c>
      <c r="C53" s="528">
        <v>35</v>
      </c>
      <c r="D53" s="529">
        <v>0.4</v>
      </c>
      <c r="E53" s="529">
        <v>0.1</v>
      </c>
      <c r="F53" s="529">
        <v>0.7</v>
      </c>
      <c r="G53" s="524">
        <f t="shared" si="12"/>
        <v>0.3</v>
      </c>
      <c r="I53" s="667">
        <v>5</v>
      </c>
      <c r="J53" s="528">
        <v>70</v>
      </c>
      <c r="K53" s="529">
        <v>-7.1</v>
      </c>
      <c r="L53" s="529">
        <v>-6.1</v>
      </c>
      <c r="M53" s="529">
        <v>-4.0999999999999996</v>
      </c>
      <c r="N53" s="524">
        <f t="shared" si="13"/>
        <v>1.5</v>
      </c>
      <c r="P53" s="667">
        <v>5</v>
      </c>
      <c r="Q53" s="528">
        <v>1000</v>
      </c>
      <c r="R53" s="529" t="s">
        <v>161</v>
      </c>
      <c r="S53" s="529" t="s">
        <v>161</v>
      </c>
      <c r="T53" s="522" t="s">
        <v>161</v>
      </c>
      <c r="U53" s="524">
        <f t="shared" si="14"/>
        <v>0</v>
      </c>
    </row>
    <row r="54" spans="1:24" ht="13">
      <c r="A54" s="1338"/>
      <c r="B54" s="667">
        <v>6</v>
      </c>
      <c r="C54" s="528">
        <v>37</v>
      </c>
      <c r="D54" s="529">
        <v>0.3</v>
      </c>
      <c r="E54" s="529">
        <v>0.1</v>
      </c>
      <c r="F54" s="529">
        <v>0.7</v>
      </c>
      <c r="G54" s="524">
        <f t="shared" si="12"/>
        <v>0.3</v>
      </c>
      <c r="I54" s="667">
        <v>6</v>
      </c>
      <c r="J54" s="528">
        <v>80</v>
      </c>
      <c r="K54" s="529">
        <v>-6.3</v>
      </c>
      <c r="L54" s="529">
        <v>-3.8</v>
      </c>
      <c r="M54" s="529">
        <v>-3</v>
      </c>
      <c r="N54" s="524">
        <f t="shared" si="13"/>
        <v>1.65</v>
      </c>
      <c r="P54" s="667">
        <v>6</v>
      </c>
      <c r="Q54" s="528">
        <v>1005</v>
      </c>
      <c r="R54" s="529" t="s">
        <v>161</v>
      </c>
      <c r="S54" s="529" t="s">
        <v>161</v>
      </c>
      <c r="T54" s="522" t="s">
        <v>161</v>
      </c>
      <c r="U54" s="524">
        <f t="shared" si="14"/>
        <v>0</v>
      </c>
    </row>
    <row r="55" spans="1:24" ht="13.5" thickBot="1">
      <c r="A55" s="1339"/>
      <c r="B55" s="667">
        <v>7</v>
      </c>
      <c r="C55" s="528">
        <v>40</v>
      </c>
      <c r="D55" s="529">
        <v>0.3</v>
      </c>
      <c r="E55" s="529">
        <v>0.2</v>
      </c>
      <c r="F55" s="529">
        <v>0.7</v>
      </c>
      <c r="G55" s="524">
        <f t="shared" si="12"/>
        <v>0.24999999999999997</v>
      </c>
      <c r="I55" s="667">
        <v>7</v>
      </c>
      <c r="J55" s="528">
        <v>90</v>
      </c>
      <c r="K55" s="529">
        <v>-5.4</v>
      </c>
      <c r="L55" s="529">
        <v>-0.8</v>
      </c>
      <c r="M55" s="529">
        <v>-1.8</v>
      </c>
      <c r="N55" s="524">
        <f t="shared" si="13"/>
        <v>2.3000000000000003</v>
      </c>
      <c r="P55" s="667">
        <v>7</v>
      </c>
      <c r="Q55" s="528">
        <v>1020</v>
      </c>
      <c r="R55" s="529" t="s">
        <v>161</v>
      </c>
      <c r="S55" s="529" t="s">
        <v>161</v>
      </c>
      <c r="T55" s="522" t="s">
        <v>161</v>
      </c>
      <c r="U55" s="524">
        <f t="shared" si="14"/>
        <v>0</v>
      </c>
    </row>
    <row r="56" spans="1:24" ht="13.5" thickBot="1">
      <c r="A56" s="535"/>
      <c r="B56" s="341"/>
      <c r="C56" s="341"/>
      <c r="D56" s="341"/>
      <c r="E56" s="536"/>
      <c r="F56" s="537"/>
      <c r="G56" s="538"/>
      <c r="H56" s="341"/>
      <c r="I56" s="341"/>
      <c r="J56" s="341"/>
      <c r="K56" s="536"/>
      <c r="L56" s="537"/>
      <c r="O56" s="532"/>
      <c r="P56" s="533"/>
    </row>
    <row r="57" spans="1:24">
      <c r="A57" s="1340">
        <v>6</v>
      </c>
      <c r="B57" s="1331" t="s">
        <v>444</v>
      </c>
      <c r="C57" s="1331"/>
      <c r="D57" s="1331"/>
      <c r="E57" s="1331"/>
      <c r="F57" s="1331"/>
      <c r="G57" s="1331"/>
      <c r="I57" s="1331" t="str">
        <f>B57</f>
        <v>KOREKSI GREISINGER 34903046</v>
      </c>
      <c r="J57" s="1331"/>
      <c r="K57" s="1331"/>
      <c r="L57" s="1331"/>
      <c r="M57" s="1331"/>
      <c r="N57" s="1331"/>
      <c r="P57" s="1331" t="str">
        <f>I57</f>
        <v>KOREKSI GREISINGER 34903046</v>
      </c>
      <c r="Q57" s="1331"/>
      <c r="R57" s="1331"/>
      <c r="S57" s="1331"/>
      <c r="T57" s="1331"/>
      <c r="U57" s="1331"/>
      <c r="W57" s="1325" t="s">
        <v>396</v>
      </c>
      <c r="X57" s="1326"/>
    </row>
    <row r="58" spans="1:24" ht="13">
      <c r="A58" s="1340"/>
      <c r="B58" s="1327" t="s">
        <v>434</v>
      </c>
      <c r="C58" s="1327"/>
      <c r="D58" s="1327" t="s">
        <v>435</v>
      </c>
      <c r="E58" s="1327"/>
      <c r="F58" s="1327"/>
      <c r="G58" s="1327" t="s">
        <v>385</v>
      </c>
      <c r="I58" s="1327" t="s">
        <v>436</v>
      </c>
      <c r="J58" s="1327"/>
      <c r="K58" s="1327" t="s">
        <v>435</v>
      </c>
      <c r="L58" s="1327"/>
      <c r="M58" s="1327"/>
      <c r="N58" s="1327" t="s">
        <v>385</v>
      </c>
      <c r="P58" s="1327" t="s">
        <v>437</v>
      </c>
      <c r="Q58" s="1327"/>
      <c r="R58" s="1341" t="s">
        <v>435</v>
      </c>
      <c r="S58" s="1342"/>
      <c r="T58" s="1343"/>
      <c r="U58" s="1327" t="s">
        <v>385</v>
      </c>
      <c r="W58" s="519" t="s">
        <v>434</v>
      </c>
      <c r="X58" s="520">
        <v>0.8</v>
      </c>
    </row>
    <row r="59" spans="1:24" ht="14.5">
      <c r="A59" s="1340"/>
      <c r="B59" s="1328" t="s">
        <v>438</v>
      </c>
      <c r="C59" s="1328"/>
      <c r="D59" s="521">
        <v>2019</v>
      </c>
      <c r="E59" s="521">
        <v>2018</v>
      </c>
      <c r="F59" s="521">
        <v>2016</v>
      </c>
      <c r="G59" s="1327"/>
      <c r="I59" s="1329" t="s">
        <v>18</v>
      </c>
      <c r="J59" s="1328"/>
      <c r="K59" s="521">
        <f>D59</f>
        <v>2019</v>
      </c>
      <c r="L59" s="521">
        <f>E59</f>
        <v>2018</v>
      </c>
      <c r="M59" s="521">
        <v>2016</v>
      </c>
      <c r="N59" s="1327"/>
      <c r="P59" s="1329" t="s">
        <v>439</v>
      </c>
      <c r="Q59" s="1328"/>
      <c r="R59" s="521">
        <f>K59</f>
        <v>2019</v>
      </c>
      <c r="S59" s="521">
        <f>L59</f>
        <v>2018</v>
      </c>
      <c r="T59" s="521">
        <v>2016</v>
      </c>
      <c r="U59" s="1327"/>
      <c r="W59" s="519" t="s">
        <v>18</v>
      </c>
      <c r="X59" s="520">
        <v>2.6</v>
      </c>
    </row>
    <row r="60" spans="1:24" ht="13.5" thickBot="1">
      <c r="A60" s="1340"/>
      <c r="B60" s="667">
        <v>1</v>
      </c>
      <c r="C60" s="522">
        <v>15</v>
      </c>
      <c r="D60" s="522">
        <v>0.4</v>
      </c>
      <c r="E60" s="522">
        <v>0.4</v>
      </c>
      <c r="F60" s="534"/>
      <c r="G60" s="524">
        <f>0.5*(MAX(D60:F60)-MIN(D60:F60))</f>
        <v>0</v>
      </c>
      <c r="I60" s="667">
        <v>1</v>
      </c>
      <c r="J60" s="522">
        <v>30</v>
      </c>
      <c r="K60" s="522">
        <v>-1.5</v>
      </c>
      <c r="L60" s="522">
        <v>1.7</v>
      </c>
      <c r="M60" s="534"/>
      <c r="N60" s="524">
        <f>0.5*(MAX(K60:M60)-MIN(K60:M60))</f>
        <v>1.6</v>
      </c>
      <c r="P60" s="667">
        <v>1</v>
      </c>
      <c r="Q60" s="522">
        <v>750</v>
      </c>
      <c r="R60" s="522">
        <v>0.9</v>
      </c>
      <c r="S60" s="522">
        <v>2.1</v>
      </c>
      <c r="T60" s="522">
        <v>9.9999999999999995E-7</v>
      </c>
      <c r="U60" s="524">
        <f>0.5*(MAX(R60:T60)-MIN(R60:T60))</f>
        <v>1.0499995</v>
      </c>
      <c r="W60" s="526" t="s">
        <v>439</v>
      </c>
      <c r="X60" s="527">
        <v>1.6</v>
      </c>
    </row>
    <row r="61" spans="1:24" ht="13">
      <c r="A61" s="1340"/>
      <c r="B61" s="667">
        <v>2</v>
      </c>
      <c r="C61" s="522">
        <v>20</v>
      </c>
      <c r="D61" s="522">
        <v>0.3</v>
      </c>
      <c r="E61" s="522">
        <v>0.2</v>
      </c>
      <c r="F61" s="534"/>
      <c r="G61" s="524">
        <f t="shared" ref="G61:G66" si="15">0.5*(MAX(D61:F61)-MIN(D61:F61))</f>
        <v>4.9999999999999989E-2</v>
      </c>
      <c r="I61" s="667">
        <v>2</v>
      </c>
      <c r="J61" s="522">
        <v>40</v>
      </c>
      <c r="K61" s="522">
        <v>-3.8</v>
      </c>
      <c r="L61" s="522">
        <v>1.5</v>
      </c>
      <c r="M61" s="534"/>
      <c r="N61" s="524">
        <f t="shared" ref="N61:N66" si="16">0.5*(MAX(K61:M61)-MIN(K61:M61))</f>
        <v>2.65</v>
      </c>
      <c r="P61" s="667">
        <v>2</v>
      </c>
      <c r="Q61" s="522">
        <v>800</v>
      </c>
      <c r="R61" s="522">
        <v>0.9</v>
      </c>
      <c r="S61" s="522">
        <v>1.6</v>
      </c>
      <c r="T61" s="522">
        <v>9.9999999999999995E-7</v>
      </c>
      <c r="U61" s="524">
        <f t="shared" ref="U61:U66" si="17">0.5*(MAX(R61:T61)-MIN(R61:T61))</f>
        <v>0.79999950000000009</v>
      </c>
    </row>
    <row r="62" spans="1:24" ht="13">
      <c r="A62" s="1340"/>
      <c r="B62" s="667">
        <v>3</v>
      </c>
      <c r="C62" s="522">
        <v>25</v>
      </c>
      <c r="D62" s="522">
        <v>0.2</v>
      </c>
      <c r="E62" s="522">
        <v>-0.1</v>
      </c>
      <c r="F62" s="534"/>
      <c r="G62" s="524">
        <f t="shared" si="15"/>
        <v>0.15000000000000002</v>
      </c>
      <c r="I62" s="667">
        <v>3</v>
      </c>
      <c r="J62" s="522">
        <v>50</v>
      </c>
      <c r="K62" s="522">
        <v>-5.4</v>
      </c>
      <c r="L62" s="522">
        <v>1.2</v>
      </c>
      <c r="M62" s="534"/>
      <c r="N62" s="524">
        <f t="shared" si="16"/>
        <v>3.3000000000000003</v>
      </c>
      <c r="P62" s="667">
        <v>3</v>
      </c>
      <c r="Q62" s="522">
        <v>850</v>
      </c>
      <c r="R62" s="522">
        <v>0.9</v>
      </c>
      <c r="S62" s="522">
        <v>1.1000000000000001</v>
      </c>
      <c r="T62" s="522">
        <v>9.9999999999999995E-7</v>
      </c>
      <c r="U62" s="524">
        <f t="shared" si="17"/>
        <v>0.54999950000000009</v>
      </c>
    </row>
    <row r="63" spans="1:24" ht="13">
      <c r="A63" s="1340"/>
      <c r="B63" s="667">
        <v>4</v>
      </c>
      <c r="C63" s="528">
        <v>30</v>
      </c>
      <c r="D63" s="528">
        <v>0.1</v>
      </c>
      <c r="E63" s="528">
        <v>-0.5</v>
      </c>
      <c r="F63" s="534"/>
      <c r="G63" s="524">
        <f t="shared" si="15"/>
        <v>0.3</v>
      </c>
      <c r="I63" s="667">
        <v>4</v>
      </c>
      <c r="J63" s="528">
        <v>60</v>
      </c>
      <c r="K63" s="528">
        <v>-6.4</v>
      </c>
      <c r="L63" s="528">
        <v>1.1000000000000001</v>
      </c>
      <c r="M63" s="534"/>
      <c r="N63" s="524">
        <f t="shared" si="16"/>
        <v>3.75</v>
      </c>
      <c r="P63" s="667">
        <v>4</v>
      </c>
      <c r="Q63" s="528">
        <v>900</v>
      </c>
      <c r="R63" s="528">
        <v>0.9</v>
      </c>
      <c r="S63" s="528">
        <v>0.7</v>
      </c>
      <c r="T63" s="522">
        <v>9.9999999999999995E-7</v>
      </c>
      <c r="U63" s="524">
        <f t="shared" si="17"/>
        <v>0.4499995</v>
      </c>
    </row>
    <row r="64" spans="1:24" ht="13">
      <c r="A64" s="1340"/>
      <c r="B64" s="667">
        <v>5</v>
      </c>
      <c r="C64" s="528">
        <v>35</v>
      </c>
      <c r="D64" s="528">
        <v>0.1</v>
      </c>
      <c r="E64" s="528">
        <v>-0.9</v>
      </c>
      <c r="F64" s="534"/>
      <c r="G64" s="524">
        <f t="shared" si="15"/>
        <v>0.5</v>
      </c>
      <c r="I64" s="667">
        <v>5</v>
      </c>
      <c r="J64" s="528">
        <v>70</v>
      </c>
      <c r="K64" s="528">
        <v>-6.7</v>
      </c>
      <c r="L64" s="528">
        <v>0.9</v>
      </c>
      <c r="M64" s="534"/>
      <c r="N64" s="524">
        <f t="shared" si="16"/>
        <v>3.8000000000000003</v>
      </c>
      <c r="P64" s="667">
        <v>5</v>
      </c>
      <c r="Q64" s="528">
        <v>1000</v>
      </c>
      <c r="R64" s="528">
        <v>0.9</v>
      </c>
      <c r="S64" s="528">
        <v>-0.3</v>
      </c>
      <c r="T64" s="522">
        <v>9.9999999999999995E-7</v>
      </c>
      <c r="U64" s="524">
        <f t="shared" si="17"/>
        <v>0.6</v>
      </c>
    </row>
    <row r="65" spans="1:24" ht="13">
      <c r="A65" s="1340"/>
      <c r="B65" s="667">
        <v>6</v>
      </c>
      <c r="C65" s="528">
        <v>37</v>
      </c>
      <c r="D65" s="528">
        <v>0.1</v>
      </c>
      <c r="E65" s="528">
        <v>-1.1000000000000001</v>
      </c>
      <c r="F65" s="534"/>
      <c r="G65" s="524">
        <f t="shared" si="15"/>
        <v>0.60000000000000009</v>
      </c>
      <c r="I65" s="667">
        <v>6</v>
      </c>
      <c r="J65" s="528">
        <v>80</v>
      </c>
      <c r="K65" s="528">
        <v>-6.3</v>
      </c>
      <c r="L65" s="528">
        <v>0.8</v>
      </c>
      <c r="M65" s="534"/>
      <c r="N65" s="524">
        <f t="shared" si="16"/>
        <v>3.55</v>
      </c>
      <c r="P65" s="667">
        <v>6</v>
      </c>
      <c r="Q65" s="528">
        <v>1005</v>
      </c>
      <c r="R65" s="528">
        <v>0.9</v>
      </c>
      <c r="S65" s="528">
        <v>-0.3</v>
      </c>
      <c r="T65" s="522">
        <v>9.9999999999999995E-7</v>
      </c>
      <c r="U65" s="524">
        <f t="shared" si="17"/>
        <v>0.6</v>
      </c>
    </row>
    <row r="66" spans="1:24" ht="13">
      <c r="A66" s="1340"/>
      <c r="B66" s="667">
        <v>7</v>
      </c>
      <c r="C66" s="528">
        <v>40</v>
      </c>
      <c r="D66" s="528">
        <v>0.1</v>
      </c>
      <c r="E66" s="528">
        <v>-1.4</v>
      </c>
      <c r="F66" s="534"/>
      <c r="G66" s="524">
        <f t="shared" si="15"/>
        <v>0.75</v>
      </c>
      <c r="I66" s="667">
        <v>7</v>
      </c>
      <c r="J66" s="528">
        <v>90</v>
      </c>
      <c r="K66" s="528">
        <v>-5.2</v>
      </c>
      <c r="L66" s="528">
        <v>0.7</v>
      </c>
      <c r="M66" s="534"/>
      <c r="N66" s="524">
        <f t="shared" si="16"/>
        <v>2.95</v>
      </c>
      <c r="P66" s="667">
        <v>7</v>
      </c>
      <c r="Q66" s="528">
        <v>1020</v>
      </c>
      <c r="R66" s="528">
        <v>0.9</v>
      </c>
      <c r="S66" s="528">
        <v>9.9999999999999995E-7</v>
      </c>
      <c r="T66" s="522">
        <v>9.9999999999999995E-7</v>
      </c>
      <c r="U66" s="524">
        <f t="shared" si="17"/>
        <v>0.4499995</v>
      </c>
    </row>
    <row r="67" spans="1:24" ht="13.5" thickBot="1">
      <c r="A67" s="535"/>
      <c r="B67" s="341"/>
      <c r="C67" s="341"/>
      <c r="D67" s="341"/>
      <c r="E67" s="536"/>
      <c r="F67" s="537"/>
      <c r="G67" s="538"/>
      <c r="I67" s="341"/>
      <c r="J67" s="341"/>
      <c r="K67" s="341"/>
      <c r="L67" s="536"/>
      <c r="M67" s="537"/>
      <c r="R67" s="533"/>
    </row>
    <row r="68" spans="1:24">
      <c r="A68" s="1340">
        <v>7</v>
      </c>
      <c r="B68" s="1331" t="s">
        <v>445</v>
      </c>
      <c r="C68" s="1331"/>
      <c r="D68" s="1331"/>
      <c r="E68" s="1331"/>
      <c r="F68" s="1331"/>
      <c r="G68" s="1331"/>
      <c r="I68" s="1331" t="str">
        <f>B68</f>
        <v>KOREKSI GREISINGER 34903053</v>
      </c>
      <c r="J68" s="1331"/>
      <c r="K68" s="1331"/>
      <c r="L68" s="1331"/>
      <c r="M68" s="1331"/>
      <c r="N68" s="1331"/>
      <c r="P68" s="1331" t="str">
        <f>I68</f>
        <v>KOREKSI GREISINGER 34903053</v>
      </c>
      <c r="Q68" s="1331"/>
      <c r="R68" s="1331"/>
      <c r="S68" s="1331"/>
      <c r="T68" s="1331"/>
      <c r="U68" s="1331"/>
      <c r="W68" s="1325" t="s">
        <v>396</v>
      </c>
      <c r="X68" s="1326"/>
    </row>
    <row r="69" spans="1:24" ht="13">
      <c r="A69" s="1340"/>
      <c r="B69" s="1327" t="s">
        <v>434</v>
      </c>
      <c r="C69" s="1327"/>
      <c r="D69" s="1327" t="s">
        <v>435</v>
      </c>
      <c r="E69" s="1327"/>
      <c r="F69" s="1327"/>
      <c r="G69" s="1327" t="s">
        <v>385</v>
      </c>
      <c r="I69" s="1327" t="s">
        <v>436</v>
      </c>
      <c r="J69" s="1327"/>
      <c r="K69" s="1327" t="s">
        <v>435</v>
      </c>
      <c r="L69" s="1327"/>
      <c r="M69" s="1327"/>
      <c r="N69" s="1327" t="s">
        <v>385</v>
      </c>
      <c r="P69" s="1327" t="s">
        <v>437</v>
      </c>
      <c r="Q69" s="1327"/>
      <c r="R69" s="1327" t="s">
        <v>435</v>
      </c>
      <c r="S69" s="1327"/>
      <c r="T69" s="1327"/>
      <c r="U69" s="1327" t="s">
        <v>385</v>
      </c>
      <c r="W69" s="519" t="s">
        <v>434</v>
      </c>
      <c r="X69" s="520">
        <v>0.2</v>
      </c>
    </row>
    <row r="70" spans="1:24" ht="14.5">
      <c r="A70" s="1340"/>
      <c r="B70" s="1328" t="s">
        <v>438</v>
      </c>
      <c r="C70" s="1328"/>
      <c r="D70" s="521">
        <v>2021</v>
      </c>
      <c r="E70" s="521">
        <v>2018</v>
      </c>
      <c r="F70" s="521">
        <v>2016</v>
      </c>
      <c r="G70" s="1327"/>
      <c r="I70" s="1329" t="s">
        <v>18</v>
      </c>
      <c r="J70" s="1328"/>
      <c r="K70" s="521">
        <f>D70</f>
        <v>2021</v>
      </c>
      <c r="L70" s="521">
        <f>E70</f>
        <v>2018</v>
      </c>
      <c r="M70" s="521">
        <v>2016</v>
      </c>
      <c r="N70" s="1327"/>
      <c r="P70" s="1329" t="s">
        <v>439</v>
      </c>
      <c r="Q70" s="1328"/>
      <c r="R70" s="521">
        <f>K70</f>
        <v>2021</v>
      </c>
      <c r="S70" s="521">
        <f>L70</f>
        <v>2018</v>
      </c>
      <c r="T70" s="521">
        <v>2016</v>
      </c>
      <c r="U70" s="1327"/>
      <c r="W70" s="519" t="s">
        <v>18</v>
      </c>
      <c r="X70" s="520">
        <v>2.4</v>
      </c>
    </row>
    <row r="71" spans="1:24" ht="13.5" thickBot="1">
      <c r="A71" s="1340"/>
      <c r="B71" s="667">
        <v>1</v>
      </c>
      <c r="C71" s="522">
        <v>15</v>
      </c>
      <c r="D71" s="522">
        <v>0.1</v>
      </c>
      <c r="E71" s="522">
        <v>0.3</v>
      </c>
      <c r="F71" s="534"/>
      <c r="G71" s="524">
        <f>0.5*(MAX(D71:F71)-MIN(D71:F71))</f>
        <v>9.9999999999999992E-2</v>
      </c>
      <c r="I71" s="667">
        <v>1</v>
      </c>
      <c r="J71" s="522">
        <v>30</v>
      </c>
      <c r="K71" s="522">
        <v>-1.9</v>
      </c>
      <c r="L71" s="522">
        <v>1.8</v>
      </c>
      <c r="M71" s="534"/>
      <c r="N71" s="524">
        <f>0.5*(MAX(K71:M71)-MIN(K71:M71))</f>
        <v>1.85</v>
      </c>
      <c r="P71" s="667">
        <v>1</v>
      </c>
      <c r="Q71" s="522">
        <v>750</v>
      </c>
      <c r="R71" s="522">
        <v>9.9999999999999995E-7</v>
      </c>
      <c r="S71" s="522">
        <v>3.2</v>
      </c>
      <c r="T71" s="522">
        <v>9.9999999999999995E-7</v>
      </c>
      <c r="U71" s="524">
        <f>0.5*(MAX(R71:T71)-MIN(R71:T71))</f>
        <v>1.5999995</v>
      </c>
      <c r="W71" s="526" t="s">
        <v>439</v>
      </c>
      <c r="X71" s="527">
        <v>2.4</v>
      </c>
    </row>
    <row r="72" spans="1:24" ht="13">
      <c r="A72" s="1340"/>
      <c r="B72" s="667">
        <v>2</v>
      </c>
      <c r="C72" s="522">
        <v>20</v>
      </c>
      <c r="D72" s="522">
        <v>9.9999999999999995E-7</v>
      </c>
      <c r="E72" s="522">
        <v>0.1</v>
      </c>
      <c r="F72" s="534"/>
      <c r="G72" s="524">
        <f t="shared" ref="G72:G77" si="18">0.5*(MAX(D72:F72)-MIN(D72:F72))</f>
        <v>4.9999500000000002E-2</v>
      </c>
      <c r="I72" s="667">
        <v>2</v>
      </c>
      <c r="J72" s="522">
        <v>40</v>
      </c>
      <c r="K72" s="522">
        <v>-1.9</v>
      </c>
      <c r="L72" s="522">
        <v>1.2</v>
      </c>
      <c r="M72" s="534"/>
      <c r="N72" s="524">
        <f t="shared" ref="N72:N77" si="19">0.5*(MAX(K72:M72)-MIN(K72:M72))</f>
        <v>1.5499999999999998</v>
      </c>
      <c r="P72" s="667">
        <v>2</v>
      </c>
      <c r="Q72" s="522">
        <v>800</v>
      </c>
      <c r="R72" s="522">
        <v>9.9999999999999995E-7</v>
      </c>
      <c r="S72" s="522">
        <v>2.5</v>
      </c>
      <c r="T72" s="522">
        <v>9.9999999999999995E-7</v>
      </c>
      <c r="U72" s="524">
        <f t="shared" ref="U72:U77" si="20">0.5*(MAX(R72:T72)-MIN(R72:T72))</f>
        <v>1.2499994999999999</v>
      </c>
    </row>
    <row r="73" spans="1:24" ht="13">
      <c r="A73" s="1340"/>
      <c r="B73" s="667">
        <v>3</v>
      </c>
      <c r="C73" s="522">
        <v>25</v>
      </c>
      <c r="D73" s="522">
        <v>9.9999999999999995E-7</v>
      </c>
      <c r="E73" s="522">
        <v>-0.2</v>
      </c>
      <c r="F73" s="534"/>
      <c r="G73" s="524">
        <f t="shared" si="18"/>
        <v>0.10000050000000001</v>
      </c>
      <c r="I73" s="667">
        <v>3</v>
      </c>
      <c r="J73" s="522">
        <v>50</v>
      </c>
      <c r="K73" s="522">
        <v>-1.9</v>
      </c>
      <c r="L73" s="522">
        <v>0.8</v>
      </c>
      <c r="M73" s="534"/>
      <c r="N73" s="524">
        <f t="shared" si="19"/>
        <v>1.35</v>
      </c>
      <c r="P73" s="667">
        <v>3</v>
      </c>
      <c r="Q73" s="522">
        <v>850</v>
      </c>
      <c r="R73" s="522">
        <v>9.9999999999999995E-7</v>
      </c>
      <c r="S73" s="522">
        <v>1.7</v>
      </c>
      <c r="T73" s="522">
        <v>9.9999999999999995E-7</v>
      </c>
      <c r="U73" s="524">
        <f t="shared" si="20"/>
        <v>0.84999950000000002</v>
      </c>
    </row>
    <row r="74" spans="1:24" ht="13">
      <c r="A74" s="1340"/>
      <c r="B74" s="667">
        <v>4</v>
      </c>
      <c r="C74" s="528">
        <v>30</v>
      </c>
      <c r="D74" s="522">
        <v>9.9999999999999995E-7</v>
      </c>
      <c r="E74" s="528">
        <v>-0.6</v>
      </c>
      <c r="F74" s="534"/>
      <c r="G74" s="524">
        <f t="shared" si="18"/>
        <v>0.3000005</v>
      </c>
      <c r="I74" s="667">
        <v>4</v>
      </c>
      <c r="J74" s="528">
        <v>60</v>
      </c>
      <c r="K74" s="528">
        <v>-2.1</v>
      </c>
      <c r="L74" s="528">
        <v>0.7</v>
      </c>
      <c r="M74" s="534"/>
      <c r="N74" s="524">
        <f t="shared" si="19"/>
        <v>1.4</v>
      </c>
      <c r="P74" s="667">
        <v>4</v>
      </c>
      <c r="Q74" s="528">
        <v>900</v>
      </c>
      <c r="R74" s="522">
        <v>9.9999999999999995E-7</v>
      </c>
      <c r="S74" s="528">
        <v>1</v>
      </c>
      <c r="T74" s="522">
        <v>9.9999999999999995E-7</v>
      </c>
      <c r="U74" s="524">
        <f t="shared" si="20"/>
        <v>0.49999949999999999</v>
      </c>
    </row>
    <row r="75" spans="1:24" ht="13">
      <c r="A75" s="1340"/>
      <c r="B75" s="667">
        <v>5</v>
      </c>
      <c r="C75" s="528">
        <v>35</v>
      </c>
      <c r="D75" s="522">
        <v>9.9999999999999995E-7</v>
      </c>
      <c r="E75" s="528">
        <v>-1.1000000000000001</v>
      </c>
      <c r="F75" s="534"/>
      <c r="G75" s="524">
        <f t="shared" si="18"/>
        <v>0.5500005</v>
      </c>
      <c r="I75" s="667">
        <v>5</v>
      </c>
      <c r="J75" s="528">
        <v>70</v>
      </c>
      <c r="K75" s="528">
        <v>-2.2999999999999998</v>
      </c>
      <c r="L75" s="528">
        <v>0.9</v>
      </c>
      <c r="M75" s="534"/>
      <c r="N75" s="524">
        <f t="shared" si="19"/>
        <v>1.5999999999999999</v>
      </c>
      <c r="P75" s="667">
        <v>5</v>
      </c>
      <c r="Q75" s="528">
        <v>1000</v>
      </c>
      <c r="R75" s="528">
        <v>-3.9</v>
      </c>
      <c r="S75" s="528">
        <v>-0.4</v>
      </c>
      <c r="T75" s="522">
        <v>9.9999999999999995E-7</v>
      </c>
      <c r="U75" s="524">
        <f t="shared" si="20"/>
        <v>1.9500005</v>
      </c>
    </row>
    <row r="76" spans="1:24" ht="13">
      <c r="A76" s="1340"/>
      <c r="B76" s="667">
        <v>6</v>
      </c>
      <c r="C76" s="528">
        <v>37</v>
      </c>
      <c r="D76" s="522">
        <v>9.9999999999999995E-7</v>
      </c>
      <c r="E76" s="528">
        <v>-1.4</v>
      </c>
      <c r="F76" s="534"/>
      <c r="G76" s="524">
        <f t="shared" si="18"/>
        <v>0.70000049999999991</v>
      </c>
      <c r="I76" s="667">
        <v>6</v>
      </c>
      <c r="J76" s="528">
        <v>80</v>
      </c>
      <c r="K76" s="528">
        <v>-2.6</v>
      </c>
      <c r="L76" s="528">
        <v>1.2</v>
      </c>
      <c r="M76" s="534"/>
      <c r="N76" s="524">
        <f t="shared" si="19"/>
        <v>1.9</v>
      </c>
      <c r="P76" s="667">
        <v>6</v>
      </c>
      <c r="Q76" s="528">
        <v>1005</v>
      </c>
      <c r="R76" s="528">
        <v>-3.8</v>
      </c>
      <c r="S76" s="528">
        <v>-0.5</v>
      </c>
      <c r="T76" s="522">
        <v>9.9999999999999995E-7</v>
      </c>
      <c r="U76" s="524">
        <f t="shared" si="20"/>
        <v>1.9000005</v>
      </c>
    </row>
    <row r="77" spans="1:24" ht="13.5" thickBot="1">
      <c r="A77" s="1340"/>
      <c r="B77" s="667">
        <v>7</v>
      </c>
      <c r="C77" s="528">
        <v>40</v>
      </c>
      <c r="D77" s="528">
        <v>0.1</v>
      </c>
      <c r="E77" s="528">
        <v>-1.7</v>
      </c>
      <c r="F77" s="534"/>
      <c r="G77" s="524">
        <f t="shared" si="18"/>
        <v>0.9</v>
      </c>
      <c r="I77" s="667">
        <v>7</v>
      </c>
      <c r="J77" s="528">
        <v>90</v>
      </c>
      <c r="K77" s="528">
        <v>-3</v>
      </c>
      <c r="L77" s="528">
        <v>1.8</v>
      </c>
      <c r="M77" s="534"/>
      <c r="N77" s="524">
        <f t="shared" si="19"/>
        <v>2.4</v>
      </c>
      <c r="P77" s="667">
        <v>7</v>
      </c>
      <c r="Q77" s="528">
        <v>1020</v>
      </c>
      <c r="R77" s="528">
        <v>-3.8</v>
      </c>
      <c r="S77" s="528">
        <v>9.9999999999999995E-7</v>
      </c>
      <c r="T77" s="522">
        <v>9.9999999999999995E-7</v>
      </c>
      <c r="U77" s="524">
        <f t="shared" si="20"/>
        <v>1.9000005</v>
      </c>
    </row>
    <row r="78" spans="1:24" ht="13.5" thickBot="1">
      <c r="A78" s="535"/>
      <c r="B78" s="341"/>
      <c r="C78" s="341"/>
      <c r="D78" s="341"/>
      <c r="E78" s="536"/>
      <c r="F78" s="537"/>
      <c r="G78" s="538"/>
      <c r="H78" s="341"/>
      <c r="I78" s="341"/>
      <c r="J78" s="341"/>
      <c r="K78" s="536"/>
      <c r="L78" s="537"/>
      <c r="O78" s="532"/>
      <c r="P78" s="533"/>
    </row>
    <row r="79" spans="1:24">
      <c r="A79" s="1330">
        <v>8</v>
      </c>
      <c r="B79" s="1331" t="s">
        <v>446</v>
      </c>
      <c r="C79" s="1331"/>
      <c r="D79" s="1331"/>
      <c r="E79" s="1331"/>
      <c r="F79" s="1331"/>
      <c r="G79" s="1331"/>
      <c r="I79" s="1331" t="str">
        <f>B79</f>
        <v>KOREKSI GREISINGER 34903051</v>
      </c>
      <c r="J79" s="1331"/>
      <c r="K79" s="1331"/>
      <c r="L79" s="1331"/>
      <c r="M79" s="1331"/>
      <c r="N79" s="1331"/>
      <c r="P79" s="1331" t="str">
        <f>I79</f>
        <v>KOREKSI GREISINGER 34903051</v>
      </c>
      <c r="Q79" s="1331"/>
      <c r="R79" s="1331"/>
      <c r="S79" s="1331"/>
      <c r="T79" s="1331"/>
      <c r="U79" s="1331"/>
      <c r="W79" s="1325" t="s">
        <v>396</v>
      </c>
      <c r="X79" s="1326"/>
    </row>
    <row r="80" spans="1:24" ht="13">
      <c r="A80" s="1330"/>
      <c r="B80" s="1327" t="s">
        <v>434</v>
      </c>
      <c r="C80" s="1327"/>
      <c r="D80" s="1327" t="s">
        <v>435</v>
      </c>
      <c r="E80" s="1327"/>
      <c r="F80" s="1327"/>
      <c r="G80" s="1327" t="s">
        <v>385</v>
      </c>
      <c r="I80" s="1327" t="s">
        <v>436</v>
      </c>
      <c r="J80" s="1327"/>
      <c r="K80" s="1327" t="s">
        <v>435</v>
      </c>
      <c r="L80" s="1327"/>
      <c r="M80" s="1327"/>
      <c r="N80" s="1327" t="s">
        <v>385</v>
      </c>
      <c r="P80" s="1327" t="s">
        <v>437</v>
      </c>
      <c r="Q80" s="1327"/>
      <c r="R80" s="1327" t="s">
        <v>435</v>
      </c>
      <c r="S80" s="1327"/>
      <c r="T80" s="1327"/>
      <c r="U80" s="1327" t="s">
        <v>385</v>
      </c>
      <c r="W80" s="519" t="s">
        <v>434</v>
      </c>
      <c r="X80" s="520">
        <v>0.8</v>
      </c>
    </row>
    <row r="81" spans="1:24" ht="14.5">
      <c r="A81" s="1330"/>
      <c r="B81" s="1328" t="s">
        <v>438</v>
      </c>
      <c r="C81" s="1328"/>
      <c r="D81" s="521">
        <v>2023</v>
      </c>
      <c r="E81" s="521">
        <v>2021</v>
      </c>
      <c r="F81" s="521">
        <v>2019</v>
      </c>
      <c r="G81" s="1327"/>
      <c r="I81" s="1329" t="s">
        <v>18</v>
      </c>
      <c r="J81" s="1328"/>
      <c r="K81" s="521">
        <f>D81</f>
        <v>2023</v>
      </c>
      <c r="L81" s="521">
        <f>E81</f>
        <v>2021</v>
      </c>
      <c r="M81" s="521">
        <v>2019</v>
      </c>
      <c r="N81" s="1327"/>
      <c r="P81" s="1329" t="s">
        <v>439</v>
      </c>
      <c r="Q81" s="1328"/>
      <c r="R81" s="521">
        <f>K81</f>
        <v>2023</v>
      </c>
      <c r="S81" s="521">
        <f>L81</f>
        <v>2021</v>
      </c>
      <c r="T81" s="521">
        <v>2019</v>
      </c>
      <c r="U81" s="1327"/>
      <c r="W81" s="519" t="s">
        <v>18</v>
      </c>
      <c r="X81" s="520">
        <v>2.2999999999999998</v>
      </c>
    </row>
    <row r="82" spans="1:24" ht="13.5" thickBot="1">
      <c r="A82" s="1330"/>
      <c r="B82" s="667">
        <v>1</v>
      </c>
      <c r="C82" s="522">
        <v>15</v>
      </c>
      <c r="D82" s="522">
        <v>0.4</v>
      </c>
      <c r="E82" s="522">
        <v>0.1</v>
      </c>
      <c r="F82" s="522">
        <v>9.9999999999999995E-7</v>
      </c>
      <c r="G82" s="524">
        <f>0.5*(MAX(D82:F82)-MIN(D82:F82))</f>
        <v>0.19999950000000002</v>
      </c>
      <c r="I82" s="667">
        <v>1</v>
      </c>
      <c r="J82" s="522">
        <v>30</v>
      </c>
      <c r="K82" s="522"/>
      <c r="L82" s="522">
        <v>-4</v>
      </c>
      <c r="M82" s="522">
        <v>-1.4</v>
      </c>
      <c r="N82" s="524">
        <f>0.5*(MAX(K82:M82)-MIN(K82:M82))</f>
        <v>1.3</v>
      </c>
      <c r="P82" s="667">
        <v>1</v>
      </c>
      <c r="Q82" s="522">
        <v>960</v>
      </c>
      <c r="R82" s="525">
        <v>-1.5</v>
      </c>
      <c r="S82" s="525">
        <v>-4</v>
      </c>
      <c r="T82" s="525">
        <v>9.9999999999999995E-7</v>
      </c>
      <c r="U82" s="524">
        <f>0.5*(MAX(R82:T82)-MIN(R82:T82))</f>
        <v>2.0000005000000001</v>
      </c>
      <c r="W82" s="526" t="s">
        <v>439</v>
      </c>
      <c r="X82" s="527">
        <v>2.5</v>
      </c>
    </row>
    <row r="83" spans="1:24" ht="13">
      <c r="A83" s="1330"/>
      <c r="B83" s="667">
        <v>2</v>
      </c>
      <c r="C83" s="522">
        <v>20</v>
      </c>
      <c r="D83" s="522">
        <v>0.2</v>
      </c>
      <c r="E83" s="522">
        <v>9.9999999999999995E-7</v>
      </c>
      <c r="F83" s="522">
        <v>-0.2</v>
      </c>
      <c r="G83" s="524">
        <f t="shared" ref="G83:G88" si="21">0.5*(MAX(D83:F83)-MIN(D83:F83))</f>
        <v>0.2</v>
      </c>
      <c r="I83" s="667">
        <v>2</v>
      </c>
      <c r="J83" s="522">
        <v>40</v>
      </c>
      <c r="K83" s="522">
        <v>-4.5999999999999996</v>
      </c>
      <c r="L83" s="522">
        <v>-3.8</v>
      </c>
      <c r="M83" s="522">
        <v>-1.2</v>
      </c>
      <c r="N83" s="524">
        <f t="shared" ref="N83:N88" si="22">0.5*(MAX(K83:M83)-MIN(K83:M83))</f>
        <v>1.6999999999999997</v>
      </c>
      <c r="P83" s="667">
        <v>2</v>
      </c>
      <c r="Q83" s="522">
        <v>970</v>
      </c>
      <c r="R83" s="525">
        <v>-1</v>
      </c>
      <c r="S83" s="525">
        <v>-3.9</v>
      </c>
      <c r="T83" s="525">
        <v>9.9999999999999995E-7</v>
      </c>
      <c r="U83" s="524">
        <f t="shared" ref="U83:U88" si="23">0.5*(MAX(R83:T83)-MIN(R83:T83))</f>
        <v>1.9500005</v>
      </c>
    </row>
    <row r="84" spans="1:24" ht="13">
      <c r="A84" s="1330"/>
      <c r="B84" s="667">
        <v>3</v>
      </c>
      <c r="C84" s="522">
        <v>25</v>
      </c>
      <c r="D84" s="522">
        <v>0</v>
      </c>
      <c r="E84" s="522">
        <v>-0.1</v>
      </c>
      <c r="F84" s="522">
        <v>-0.4</v>
      </c>
      <c r="G84" s="524">
        <f t="shared" si="21"/>
        <v>0.2</v>
      </c>
      <c r="I84" s="667">
        <v>3</v>
      </c>
      <c r="J84" s="522">
        <v>50</v>
      </c>
      <c r="K84" s="522">
        <v>-5</v>
      </c>
      <c r="L84" s="522">
        <v>-3.8</v>
      </c>
      <c r="M84" s="522">
        <v>-1.2</v>
      </c>
      <c r="N84" s="524">
        <f t="shared" si="22"/>
        <v>1.9</v>
      </c>
      <c r="P84" s="667">
        <v>3</v>
      </c>
      <c r="Q84" s="522">
        <v>980</v>
      </c>
      <c r="R84" s="525">
        <v>-0.6</v>
      </c>
      <c r="S84" s="525">
        <v>-3.8</v>
      </c>
      <c r="T84" s="525">
        <v>9.9999999999999995E-7</v>
      </c>
      <c r="U84" s="524">
        <f t="shared" si="23"/>
        <v>1.9000005</v>
      </c>
    </row>
    <row r="85" spans="1:24" ht="13">
      <c r="A85" s="1330"/>
      <c r="B85" s="667">
        <v>4</v>
      </c>
      <c r="C85" s="528">
        <v>30</v>
      </c>
      <c r="D85" s="522">
        <v>-0.1</v>
      </c>
      <c r="E85" s="522">
        <v>-0.2</v>
      </c>
      <c r="F85" s="522">
        <v>-0.4</v>
      </c>
      <c r="G85" s="524">
        <f t="shared" si="21"/>
        <v>0.15000000000000002</v>
      </c>
      <c r="I85" s="667">
        <v>4</v>
      </c>
      <c r="J85" s="528">
        <v>60</v>
      </c>
      <c r="K85" s="528">
        <v>-5.6</v>
      </c>
      <c r="L85" s="528">
        <v>-3.9</v>
      </c>
      <c r="M85" s="528">
        <v>-1.1000000000000001</v>
      </c>
      <c r="N85" s="524">
        <f t="shared" si="22"/>
        <v>2.25</v>
      </c>
      <c r="P85" s="667">
        <v>4</v>
      </c>
      <c r="Q85" s="528">
        <v>990</v>
      </c>
      <c r="R85" s="529">
        <v>-0.2</v>
      </c>
      <c r="S85" s="529">
        <v>-3.6</v>
      </c>
      <c r="T85" s="525">
        <v>9.9999999999999995E-7</v>
      </c>
      <c r="U85" s="524">
        <f t="shared" si="23"/>
        <v>1.8000005000000001</v>
      </c>
    </row>
    <row r="86" spans="1:24" ht="13">
      <c r="A86" s="1330"/>
      <c r="B86" s="667">
        <v>5</v>
      </c>
      <c r="C86" s="528">
        <v>35</v>
      </c>
      <c r="D86" s="528">
        <v>-0.1</v>
      </c>
      <c r="E86" s="528">
        <v>-0.1</v>
      </c>
      <c r="F86" s="528">
        <v>-0.5</v>
      </c>
      <c r="G86" s="524">
        <f t="shared" si="21"/>
        <v>0.2</v>
      </c>
      <c r="I86" s="667">
        <v>5</v>
      </c>
      <c r="J86" s="528">
        <v>70</v>
      </c>
      <c r="K86" s="528">
        <v>-6.5</v>
      </c>
      <c r="L86" s="528">
        <v>-4.0999999999999996</v>
      </c>
      <c r="M86" s="528">
        <v>-1.2</v>
      </c>
      <c r="N86" s="524">
        <f t="shared" si="22"/>
        <v>2.65</v>
      </c>
      <c r="P86" s="667">
        <v>5</v>
      </c>
      <c r="Q86" s="528">
        <v>1000</v>
      </c>
      <c r="R86" s="529">
        <v>0.2</v>
      </c>
      <c r="S86" s="529">
        <v>-3.5</v>
      </c>
      <c r="T86" s="529">
        <v>0.2</v>
      </c>
      <c r="U86" s="524">
        <f t="shared" si="23"/>
        <v>1.85</v>
      </c>
    </row>
    <row r="87" spans="1:24" ht="13">
      <c r="A87" s="1330"/>
      <c r="B87" s="667">
        <v>6</v>
      </c>
      <c r="C87" s="528">
        <v>37</v>
      </c>
      <c r="D87" s="528">
        <v>-0.1</v>
      </c>
      <c r="E87" s="528">
        <v>-0.1</v>
      </c>
      <c r="F87" s="528">
        <v>-0.5</v>
      </c>
      <c r="G87" s="524">
        <f t="shared" si="21"/>
        <v>0.2</v>
      </c>
      <c r="I87" s="667">
        <v>6</v>
      </c>
      <c r="J87" s="528">
        <v>80</v>
      </c>
      <c r="K87" s="528">
        <v>-7.6</v>
      </c>
      <c r="L87" s="528">
        <v>-4.5</v>
      </c>
      <c r="M87" s="528">
        <v>-1.2</v>
      </c>
      <c r="N87" s="524">
        <f t="shared" si="22"/>
        <v>3.1999999999999997</v>
      </c>
      <c r="P87" s="667">
        <v>6</v>
      </c>
      <c r="Q87" s="528">
        <v>1010</v>
      </c>
      <c r="R87" s="529">
        <v>0.6</v>
      </c>
      <c r="S87" s="529">
        <v>-3.4</v>
      </c>
      <c r="T87" s="529">
        <v>0.2</v>
      </c>
      <c r="U87" s="524">
        <f t="shared" si="23"/>
        <v>2</v>
      </c>
    </row>
    <row r="88" spans="1:24" ht="13">
      <c r="A88" s="1330"/>
      <c r="B88" s="667">
        <v>7</v>
      </c>
      <c r="C88" s="528">
        <v>40</v>
      </c>
      <c r="D88" s="528">
        <v>-0.1</v>
      </c>
      <c r="E88" s="528">
        <v>9.9999999999999995E-7</v>
      </c>
      <c r="F88" s="528">
        <v>-0.4</v>
      </c>
      <c r="G88" s="524">
        <f t="shared" si="21"/>
        <v>0.2000005</v>
      </c>
      <c r="I88" s="667">
        <v>7</v>
      </c>
      <c r="J88" s="528">
        <v>90</v>
      </c>
      <c r="K88" s="528">
        <v>-9.1</v>
      </c>
      <c r="L88" s="528">
        <v>-4.9000000000000004</v>
      </c>
      <c r="M88" s="528">
        <v>-1.3</v>
      </c>
      <c r="N88" s="524">
        <f t="shared" si="22"/>
        <v>3.9</v>
      </c>
      <c r="P88" s="667">
        <v>7</v>
      </c>
      <c r="Q88" s="528">
        <v>1020</v>
      </c>
      <c r="R88" s="529"/>
      <c r="S88" s="529">
        <v>0</v>
      </c>
      <c r="T88" s="529">
        <v>9.9999999999999995E-7</v>
      </c>
      <c r="U88" s="524">
        <f t="shared" si="23"/>
        <v>4.9999999999999998E-7</v>
      </c>
    </row>
    <row r="89" spans="1:24" ht="13.5" thickBot="1">
      <c r="A89" s="535"/>
      <c r="B89" s="341"/>
      <c r="C89" s="341"/>
      <c r="D89" s="341"/>
      <c r="E89" s="536"/>
      <c r="G89" s="537"/>
      <c r="I89" s="341"/>
      <c r="J89" s="341"/>
      <c r="K89" s="341"/>
      <c r="L89" s="536"/>
      <c r="N89" s="537"/>
      <c r="R89" s="533"/>
    </row>
    <row r="90" spans="1:24">
      <c r="A90" s="1340">
        <v>9</v>
      </c>
      <c r="B90" s="1331" t="s">
        <v>447</v>
      </c>
      <c r="C90" s="1331"/>
      <c r="D90" s="1331"/>
      <c r="E90" s="1331"/>
      <c r="F90" s="1331"/>
      <c r="G90" s="1331"/>
      <c r="I90" s="1331" t="str">
        <f>B90</f>
        <v>KOREKSI GREISINGER 34904091</v>
      </c>
      <c r="J90" s="1331"/>
      <c r="K90" s="1331"/>
      <c r="L90" s="1331"/>
      <c r="M90" s="1331"/>
      <c r="N90" s="1331"/>
      <c r="P90" s="1331" t="str">
        <f>I90</f>
        <v>KOREKSI GREISINGER 34904091</v>
      </c>
      <c r="Q90" s="1331"/>
      <c r="R90" s="1331"/>
      <c r="S90" s="1331"/>
      <c r="T90" s="1331"/>
      <c r="U90" s="1331"/>
      <c r="W90" s="1325" t="s">
        <v>396</v>
      </c>
      <c r="X90" s="1326"/>
    </row>
    <row r="91" spans="1:24" ht="13">
      <c r="A91" s="1340"/>
      <c r="B91" s="1327" t="s">
        <v>434</v>
      </c>
      <c r="C91" s="1327"/>
      <c r="D91" s="1327" t="s">
        <v>435</v>
      </c>
      <c r="E91" s="1327"/>
      <c r="F91" s="1327"/>
      <c r="G91" s="1327" t="s">
        <v>385</v>
      </c>
      <c r="I91" s="1327" t="s">
        <v>436</v>
      </c>
      <c r="J91" s="1327"/>
      <c r="K91" s="1327" t="s">
        <v>435</v>
      </c>
      <c r="L91" s="1327"/>
      <c r="M91" s="1327"/>
      <c r="N91" s="1327" t="s">
        <v>385</v>
      </c>
      <c r="P91" s="1327" t="s">
        <v>437</v>
      </c>
      <c r="Q91" s="1327"/>
      <c r="R91" s="1327" t="s">
        <v>435</v>
      </c>
      <c r="S91" s="1327"/>
      <c r="T91" s="1327"/>
      <c r="U91" s="1327" t="s">
        <v>385</v>
      </c>
      <c r="W91" s="519" t="s">
        <v>434</v>
      </c>
      <c r="X91" s="520">
        <v>0.3</v>
      </c>
    </row>
    <row r="92" spans="1:24" ht="14.5">
      <c r="A92" s="1340"/>
      <c r="B92" s="1328" t="s">
        <v>438</v>
      </c>
      <c r="C92" s="1328"/>
      <c r="D92" s="521">
        <v>2019</v>
      </c>
      <c r="E92" s="539" t="s">
        <v>161</v>
      </c>
      <c r="F92" s="521">
        <v>2016</v>
      </c>
      <c r="G92" s="1327"/>
      <c r="I92" s="1329" t="s">
        <v>18</v>
      </c>
      <c r="J92" s="1328"/>
      <c r="K92" s="540">
        <f>D92</f>
        <v>2019</v>
      </c>
      <c r="L92" s="540" t="str">
        <f>E92</f>
        <v>-</v>
      </c>
      <c r="M92" s="521">
        <v>2016</v>
      </c>
      <c r="N92" s="1327"/>
      <c r="P92" s="1329" t="s">
        <v>439</v>
      </c>
      <c r="Q92" s="1328"/>
      <c r="R92" s="540">
        <f>K92</f>
        <v>2019</v>
      </c>
      <c r="S92" s="540" t="str">
        <f>L92</f>
        <v>-</v>
      </c>
      <c r="T92" s="521">
        <v>2016</v>
      </c>
      <c r="U92" s="1327"/>
      <c r="W92" s="519" t="s">
        <v>18</v>
      </c>
      <c r="X92" s="520">
        <v>2.4</v>
      </c>
    </row>
    <row r="93" spans="1:24" ht="13.5" thickBot="1">
      <c r="A93" s="1340"/>
      <c r="B93" s="667">
        <v>1</v>
      </c>
      <c r="C93" s="522">
        <v>15</v>
      </c>
      <c r="D93" s="523">
        <v>9.9999999999999995E-7</v>
      </c>
      <c r="E93" s="523" t="s">
        <v>161</v>
      </c>
      <c r="F93" s="534"/>
      <c r="G93" s="524">
        <f>0.5*(MAX(D93:F93)-MIN(D93:F93))</f>
        <v>0</v>
      </c>
      <c r="I93" s="667">
        <v>1</v>
      </c>
      <c r="J93" s="522">
        <v>30</v>
      </c>
      <c r="K93" s="523">
        <v>-1.2</v>
      </c>
      <c r="L93" s="523" t="s">
        <v>161</v>
      </c>
      <c r="M93" s="534"/>
      <c r="N93" s="524">
        <f>0.5*(MAX(K93:M93)-MIN(K93:M93))</f>
        <v>0</v>
      </c>
      <c r="P93" s="667">
        <v>1</v>
      </c>
      <c r="Q93" s="522">
        <v>750</v>
      </c>
      <c r="R93" s="525">
        <v>9.9999999999999995E-7</v>
      </c>
      <c r="S93" s="525" t="s">
        <v>161</v>
      </c>
      <c r="T93" s="522">
        <v>9.9999999999999995E-7</v>
      </c>
      <c r="U93" s="524">
        <f>0.5*(MAX(R93:T93)-MIN(R93:T93))</f>
        <v>0</v>
      </c>
      <c r="W93" s="526" t="s">
        <v>439</v>
      </c>
      <c r="X93" s="527">
        <v>2.2000000000000002</v>
      </c>
    </row>
    <row r="94" spans="1:24" ht="13">
      <c r="A94" s="1340"/>
      <c r="B94" s="667">
        <v>2</v>
      </c>
      <c r="C94" s="522">
        <v>20</v>
      </c>
      <c r="D94" s="523">
        <v>-0.2</v>
      </c>
      <c r="E94" s="523" t="s">
        <v>161</v>
      </c>
      <c r="F94" s="534"/>
      <c r="G94" s="524">
        <f t="shared" ref="G94:G99" si="24">0.5*(MAX(D94:F94)-MIN(D94:F94))</f>
        <v>0</v>
      </c>
      <c r="I94" s="667">
        <v>2</v>
      </c>
      <c r="J94" s="522">
        <v>40</v>
      </c>
      <c r="K94" s="523">
        <v>-1</v>
      </c>
      <c r="L94" s="523" t="s">
        <v>161</v>
      </c>
      <c r="M94" s="534"/>
      <c r="N94" s="524">
        <f t="shared" ref="N94:N99" si="25">0.5*(MAX(K94:M94)-MIN(K94:M94))</f>
        <v>0</v>
      </c>
      <c r="P94" s="667">
        <v>2</v>
      </c>
      <c r="Q94" s="522">
        <v>800</v>
      </c>
      <c r="R94" s="525">
        <v>9.9999999999999995E-7</v>
      </c>
      <c r="S94" s="525" t="s">
        <v>161</v>
      </c>
      <c r="T94" s="522">
        <v>9.9999999999999995E-7</v>
      </c>
      <c r="U94" s="524">
        <f t="shared" ref="U94:U99" si="26">0.5*(MAX(R94:T94)-MIN(R94:T94))</f>
        <v>0</v>
      </c>
    </row>
    <row r="95" spans="1:24" ht="13">
      <c r="A95" s="1340"/>
      <c r="B95" s="667">
        <v>3</v>
      </c>
      <c r="C95" s="522">
        <v>25</v>
      </c>
      <c r="D95" s="523">
        <v>-0.4</v>
      </c>
      <c r="E95" s="523" t="s">
        <v>161</v>
      </c>
      <c r="F95" s="534"/>
      <c r="G95" s="524">
        <f t="shared" si="24"/>
        <v>0</v>
      </c>
      <c r="I95" s="667">
        <v>3</v>
      </c>
      <c r="J95" s="522">
        <v>50</v>
      </c>
      <c r="K95" s="523">
        <v>-0.9</v>
      </c>
      <c r="L95" s="523" t="s">
        <v>161</v>
      </c>
      <c r="M95" s="534"/>
      <c r="N95" s="524">
        <f t="shared" si="25"/>
        <v>0</v>
      </c>
      <c r="P95" s="667">
        <v>3</v>
      </c>
      <c r="Q95" s="522">
        <v>850</v>
      </c>
      <c r="R95" s="525">
        <v>9.9999999999999995E-7</v>
      </c>
      <c r="S95" s="525" t="s">
        <v>161</v>
      </c>
      <c r="T95" s="522">
        <v>9.9999999999999995E-7</v>
      </c>
      <c r="U95" s="524">
        <f t="shared" si="26"/>
        <v>0</v>
      </c>
    </row>
    <row r="96" spans="1:24" ht="13">
      <c r="A96" s="1340"/>
      <c r="B96" s="667">
        <v>4</v>
      </c>
      <c r="C96" s="528">
        <v>30</v>
      </c>
      <c r="D96" s="523">
        <v>-0.5</v>
      </c>
      <c r="E96" s="529" t="s">
        <v>161</v>
      </c>
      <c r="F96" s="534"/>
      <c r="G96" s="524">
        <f t="shared" si="24"/>
        <v>0</v>
      </c>
      <c r="I96" s="667">
        <v>4</v>
      </c>
      <c r="J96" s="528">
        <v>60</v>
      </c>
      <c r="K96" s="523">
        <v>-0.8</v>
      </c>
      <c r="L96" s="529" t="s">
        <v>161</v>
      </c>
      <c r="M96" s="534"/>
      <c r="N96" s="524">
        <f t="shared" si="25"/>
        <v>0</v>
      </c>
      <c r="P96" s="667">
        <v>4</v>
      </c>
      <c r="Q96" s="528">
        <v>900</v>
      </c>
      <c r="R96" s="525">
        <v>9.9999999999999995E-7</v>
      </c>
      <c r="S96" s="529" t="s">
        <v>161</v>
      </c>
      <c r="T96" s="522">
        <v>9.9999999999999995E-7</v>
      </c>
      <c r="U96" s="524">
        <f t="shared" si="26"/>
        <v>0</v>
      </c>
    </row>
    <row r="97" spans="1:28" ht="13">
      <c r="A97" s="1340"/>
      <c r="B97" s="667">
        <v>5</v>
      </c>
      <c r="C97" s="528">
        <v>35</v>
      </c>
      <c r="D97" s="523">
        <v>-0.5</v>
      </c>
      <c r="E97" s="529" t="s">
        <v>161</v>
      </c>
      <c r="F97" s="534"/>
      <c r="G97" s="524">
        <f t="shared" si="24"/>
        <v>0</v>
      </c>
      <c r="I97" s="667">
        <v>5</v>
      </c>
      <c r="J97" s="528">
        <v>70</v>
      </c>
      <c r="K97" s="523">
        <v>-0.6</v>
      </c>
      <c r="L97" s="529" t="s">
        <v>161</v>
      </c>
      <c r="M97" s="534"/>
      <c r="N97" s="524">
        <f t="shared" si="25"/>
        <v>0</v>
      </c>
      <c r="P97" s="667">
        <v>5</v>
      </c>
      <c r="Q97" s="528">
        <v>1000</v>
      </c>
      <c r="R97" s="529">
        <v>0.2</v>
      </c>
      <c r="S97" s="529" t="s">
        <v>161</v>
      </c>
      <c r="T97" s="522">
        <v>9.9999999999999995E-7</v>
      </c>
      <c r="U97" s="524">
        <f t="shared" si="26"/>
        <v>9.9999500000000005E-2</v>
      </c>
    </row>
    <row r="98" spans="1:28" ht="13">
      <c r="A98" s="1340"/>
      <c r="B98" s="667">
        <v>6</v>
      </c>
      <c r="C98" s="528">
        <v>37</v>
      </c>
      <c r="D98" s="523">
        <v>-0.5</v>
      </c>
      <c r="E98" s="529" t="s">
        <v>161</v>
      </c>
      <c r="F98" s="534"/>
      <c r="G98" s="524">
        <f t="shared" si="24"/>
        <v>0</v>
      </c>
      <c r="I98" s="667">
        <v>6</v>
      </c>
      <c r="J98" s="528">
        <v>80</v>
      </c>
      <c r="K98" s="523">
        <v>-0.5</v>
      </c>
      <c r="L98" s="529" t="s">
        <v>161</v>
      </c>
      <c r="M98" s="534"/>
      <c r="N98" s="524">
        <f t="shared" si="25"/>
        <v>0</v>
      </c>
      <c r="P98" s="667">
        <v>6</v>
      </c>
      <c r="Q98" s="528">
        <v>1005</v>
      </c>
      <c r="R98" s="529">
        <v>0.2</v>
      </c>
      <c r="S98" s="529" t="s">
        <v>161</v>
      </c>
      <c r="T98" s="522">
        <v>9.9999999999999995E-7</v>
      </c>
      <c r="U98" s="524">
        <f t="shared" si="26"/>
        <v>9.9999500000000005E-2</v>
      </c>
    </row>
    <row r="99" spans="1:28" ht="13">
      <c r="A99" s="1340"/>
      <c r="B99" s="667">
        <v>7</v>
      </c>
      <c r="C99" s="528">
        <v>40</v>
      </c>
      <c r="D99" s="523">
        <v>-0.4</v>
      </c>
      <c r="E99" s="529" t="s">
        <v>161</v>
      </c>
      <c r="F99" s="534"/>
      <c r="G99" s="524">
        <f t="shared" si="24"/>
        <v>0</v>
      </c>
      <c r="I99" s="667">
        <v>7</v>
      </c>
      <c r="J99" s="528">
        <v>90</v>
      </c>
      <c r="K99" s="523">
        <v>-0.2</v>
      </c>
      <c r="L99" s="529" t="s">
        <v>161</v>
      </c>
      <c r="M99" s="534"/>
      <c r="N99" s="524">
        <f t="shared" si="25"/>
        <v>0</v>
      </c>
      <c r="P99" s="667">
        <v>7</v>
      </c>
      <c r="Q99" s="528">
        <v>1020</v>
      </c>
      <c r="R99" s="529">
        <v>9.9999999999999995E-7</v>
      </c>
      <c r="S99" s="529" t="s">
        <v>161</v>
      </c>
      <c r="T99" s="522">
        <v>9.9999999999999995E-7</v>
      </c>
      <c r="U99" s="524">
        <f t="shared" si="26"/>
        <v>0</v>
      </c>
    </row>
    <row r="100" spans="1:28" ht="13.5" thickBot="1">
      <c r="A100" s="535"/>
      <c r="B100" s="341"/>
      <c r="C100" s="341"/>
      <c r="D100" s="341"/>
      <c r="E100" s="536"/>
      <c r="G100" s="537"/>
      <c r="I100" s="341"/>
      <c r="J100" s="341"/>
      <c r="K100" s="341"/>
      <c r="L100" s="536"/>
      <c r="N100" s="537"/>
      <c r="R100" s="533"/>
      <c r="AB100" s="538"/>
    </row>
    <row r="101" spans="1:28">
      <c r="A101" s="1330">
        <v>10</v>
      </c>
      <c r="B101" s="1331" t="s">
        <v>448</v>
      </c>
      <c r="C101" s="1331"/>
      <c r="D101" s="1331"/>
      <c r="E101" s="1331"/>
      <c r="F101" s="1331"/>
      <c r="G101" s="1331"/>
      <c r="I101" s="1331" t="str">
        <f>B101</f>
        <v>KOREKSI Sekonic HE-21.000669</v>
      </c>
      <c r="J101" s="1331"/>
      <c r="K101" s="1331"/>
      <c r="L101" s="1331"/>
      <c r="M101" s="1331"/>
      <c r="N101" s="1331"/>
      <c r="P101" s="1331" t="str">
        <f>I101</f>
        <v>KOREKSI Sekonic HE-21.000669</v>
      </c>
      <c r="Q101" s="1331"/>
      <c r="R101" s="1331"/>
      <c r="S101" s="1331"/>
      <c r="T101" s="1331"/>
      <c r="U101" s="1331"/>
      <c r="W101" s="1325" t="s">
        <v>396</v>
      </c>
      <c r="X101" s="1326"/>
    </row>
    <row r="102" spans="1:28" ht="13">
      <c r="A102" s="1330"/>
      <c r="B102" s="1327" t="s">
        <v>434</v>
      </c>
      <c r="C102" s="1327"/>
      <c r="D102" s="1327" t="s">
        <v>435</v>
      </c>
      <c r="E102" s="1327"/>
      <c r="F102" s="1327"/>
      <c r="G102" s="1327" t="s">
        <v>385</v>
      </c>
      <c r="I102" s="1327" t="s">
        <v>436</v>
      </c>
      <c r="J102" s="1327"/>
      <c r="K102" s="1327" t="s">
        <v>435</v>
      </c>
      <c r="L102" s="1327"/>
      <c r="M102" s="1327"/>
      <c r="N102" s="1327" t="s">
        <v>385</v>
      </c>
      <c r="P102" s="1327" t="s">
        <v>437</v>
      </c>
      <c r="Q102" s="1327"/>
      <c r="R102" s="1327" t="s">
        <v>435</v>
      </c>
      <c r="S102" s="1327"/>
      <c r="T102" s="1327"/>
      <c r="U102" s="1327" t="s">
        <v>385</v>
      </c>
      <c r="W102" s="519" t="s">
        <v>434</v>
      </c>
      <c r="X102" s="520">
        <v>0.3</v>
      </c>
    </row>
    <row r="103" spans="1:28" ht="14.5">
      <c r="A103" s="1330"/>
      <c r="B103" s="1328" t="s">
        <v>438</v>
      </c>
      <c r="C103" s="1328"/>
      <c r="D103" s="521">
        <v>2019</v>
      </c>
      <c r="E103" s="521">
        <v>2016</v>
      </c>
      <c r="F103" s="521">
        <v>2016</v>
      </c>
      <c r="G103" s="1327"/>
      <c r="I103" s="1329" t="s">
        <v>18</v>
      </c>
      <c r="J103" s="1328"/>
      <c r="K103" s="540">
        <f>D103</f>
        <v>2019</v>
      </c>
      <c r="L103" s="540">
        <f>E103</f>
        <v>2016</v>
      </c>
      <c r="M103" s="521">
        <v>2016</v>
      </c>
      <c r="N103" s="1327"/>
      <c r="P103" s="1329" t="s">
        <v>439</v>
      </c>
      <c r="Q103" s="1328"/>
      <c r="R103" s="521">
        <f>K103</f>
        <v>2019</v>
      </c>
      <c r="S103" s="521">
        <f>L103</f>
        <v>2016</v>
      </c>
      <c r="T103" s="521">
        <v>2016</v>
      </c>
      <c r="U103" s="1327"/>
      <c r="W103" s="519" t="s">
        <v>18</v>
      </c>
      <c r="X103" s="520">
        <v>1.5</v>
      </c>
    </row>
    <row r="104" spans="1:28" ht="13.5" thickBot="1">
      <c r="A104" s="1330"/>
      <c r="B104" s="667">
        <v>1</v>
      </c>
      <c r="C104" s="522">
        <v>15</v>
      </c>
      <c r="D104" s="522">
        <v>0.2</v>
      </c>
      <c r="E104" s="522">
        <v>0.2</v>
      </c>
      <c r="F104" s="534"/>
      <c r="G104" s="524">
        <f>0.5*(MAX(D104:F104)-MIN(D104:F104))</f>
        <v>0</v>
      </c>
      <c r="I104" s="667">
        <v>1</v>
      </c>
      <c r="J104" s="523">
        <v>30</v>
      </c>
      <c r="K104" s="522">
        <v>-2.9</v>
      </c>
      <c r="L104" s="522">
        <v>-5.8</v>
      </c>
      <c r="M104" s="534"/>
      <c r="N104" s="524">
        <f>0.5*(MAX(K104:M104)-MIN(K104:M104))</f>
        <v>1.45</v>
      </c>
      <c r="P104" s="667">
        <v>1</v>
      </c>
      <c r="Q104" s="522">
        <v>750</v>
      </c>
      <c r="R104" s="525" t="s">
        <v>161</v>
      </c>
      <c r="S104" s="525" t="s">
        <v>161</v>
      </c>
      <c r="T104" s="522">
        <v>9.9999999999999995E-7</v>
      </c>
      <c r="U104" s="524">
        <f>0.5*(MAX(R104:T104)-MIN(R104:T104))</f>
        <v>0</v>
      </c>
      <c r="W104" s="526" t="s">
        <v>439</v>
      </c>
      <c r="X104" s="527">
        <v>0</v>
      </c>
    </row>
    <row r="105" spans="1:28" ht="13">
      <c r="A105" s="1330"/>
      <c r="B105" s="667">
        <v>2</v>
      </c>
      <c r="C105" s="522">
        <v>20</v>
      </c>
      <c r="D105" s="522">
        <v>0.2</v>
      </c>
      <c r="E105" s="522">
        <v>-0.7</v>
      </c>
      <c r="F105" s="534"/>
      <c r="G105" s="524">
        <f t="shared" ref="G105:G110" si="27">0.5*(MAX(D105:F105)-MIN(D105:F105))</f>
        <v>0.44999999999999996</v>
      </c>
      <c r="I105" s="667">
        <v>2</v>
      </c>
      <c r="J105" s="523">
        <v>40</v>
      </c>
      <c r="K105" s="522">
        <v>-3.3</v>
      </c>
      <c r="L105" s="522">
        <v>-6.4</v>
      </c>
      <c r="M105" s="534"/>
      <c r="N105" s="524">
        <f t="shared" ref="N105:N110" si="28">0.5*(MAX(K105:M105)-MIN(K105:M105))</f>
        <v>1.5500000000000003</v>
      </c>
      <c r="P105" s="667">
        <v>2</v>
      </c>
      <c r="Q105" s="522">
        <v>800</v>
      </c>
      <c r="R105" s="525" t="s">
        <v>161</v>
      </c>
      <c r="S105" s="525" t="s">
        <v>161</v>
      </c>
      <c r="T105" s="522">
        <v>9.9999999999999995E-7</v>
      </c>
      <c r="U105" s="524">
        <f t="shared" ref="U105:U110" si="29">0.5*(MAX(R105:T105)-MIN(R105:T105))</f>
        <v>0</v>
      </c>
    </row>
    <row r="106" spans="1:28" ht="13">
      <c r="A106" s="1330"/>
      <c r="B106" s="667">
        <v>3</v>
      </c>
      <c r="C106" s="522">
        <v>25</v>
      </c>
      <c r="D106" s="522">
        <v>0.1</v>
      </c>
      <c r="E106" s="522">
        <v>-0.5</v>
      </c>
      <c r="F106" s="534"/>
      <c r="G106" s="524">
        <f t="shared" si="27"/>
        <v>0.3</v>
      </c>
      <c r="I106" s="667">
        <v>3</v>
      </c>
      <c r="J106" s="523">
        <v>50</v>
      </c>
      <c r="K106" s="522">
        <v>-3.1</v>
      </c>
      <c r="L106" s="522">
        <v>-6.1</v>
      </c>
      <c r="M106" s="534"/>
      <c r="N106" s="524">
        <f t="shared" si="28"/>
        <v>1.4999999999999998</v>
      </c>
      <c r="P106" s="667">
        <v>3</v>
      </c>
      <c r="Q106" s="522">
        <v>850</v>
      </c>
      <c r="R106" s="525" t="s">
        <v>161</v>
      </c>
      <c r="S106" s="525" t="s">
        <v>161</v>
      </c>
      <c r="T106" s="522">
        <v>9.9999999999999995E-7</v>
      </c>
      <c r="U106" s="524">
        <f t="shared" si="29"/>
        <v>0</v>
      </c>
    </row>
    <row r="107" spans="1:28" ht="13">
      <c r="A107" s="1330"/>
      <c r="B107" s="667">
        <v>4</v>
      </c>
      <c r="C107" s="528">
        <v>30</v>
      </c>
      <c r="D107" s="528">
        <v>0.1</v>
      </c>
      <c r="E107" s="528">
        <v>0.2</v>
      </c>
      <c r="F107" s="534"/>
      <c r="G107" s="524">
        <f t="shared" si="27"/>
        <v>0.05</v>
      </c>
      <c r="I107" s="667">
        <v>4</v>
      </c>
      <c r="J107" s="541">
        <v>60</v>
      </c>
      <c r="K107" s="528">
        <v>-2.1</v>
      </c>
      <c r="L107" s="528">
        <v>-5.6</v>
      </c>
      <c r="M107" s="534"/>
      <c r="N107" s="524">
        <f t="shared" si="28"/>
        <v>1.7499999999999998</v>
      </c>
      <c r="P107" s="667">
        <v>4</v>
      </c>
      <c r="Q107" s="528">
        <v>900</v>
      </c>
      <c r="R107" s="529" t="s">
        <v>161</v>
      </c>
      <c r="S107" s="529" t="s">
        <v>161</v>
      </c>
      <c r="T107" s="522">
        <v>9.9999999999999995E-7</v>
      </c>
      <c r="U107" s="524">
        <f t="shared" si="29"/>
        <v>0</v>
      </c>
    </row>
    <row r="108" spans="1:28" ht="13">
      <c r="A108" s="1330"/>
      <c r="B108" s="667">
        <v>5</v>
      </c>
      <c r="C108" s="528">
        <v>35</v>
      </c>
      <c r="D108" s="528">
        <v>0.2</v>
      </c>
      <c r="E108" s="528">
        <v>0.8</v>
      </c>
      <c r="F108" s="534"/>
      <c r="G108" s="524">
        <f t="shared" si="27"/>
        <v>0.30000000000000004</v>
      </c>
      <c r="I108" s="667">
        <v>5</v>
      </c>
      <c r="J108" s="541">
        <v>70</v>
      </c>
      <c r="K108" s="528">
        <v>-0.3</v>
      </c>
      <c r="L108" s="528">
        <v>-5.0999999999999996</v>
      </c>
      <c r="M108" s="534"/>
      <c r="N108" s="524">
        <f t="shared" si="28"/>
        <v>2.4</v>
      </c>
      <c r="P108" s="667">
        <v>5</v>
      </c>
      <c r="Q108" s="528">
        <v>1000</v>
      </c>
      <c r="R108" s="529" t="s">
        <v>161</v>
      </c>
      <c r="S108" s="529" t="s">
        <v>161</v>
      </c>
      <c r="T108" s="522">
        <v>9.9999999999999995E-7</v>
      </c>
      <c r="U108" s="524">
        <f t="shared" si="29"/>
        <v>0</v>
      </c>
    </row>
    <row r="109" spans="1:28" ht="13">
      <c r="A109" s="1330"/>
      <c r="B109" s="667">
        <v>6</v>
      </c>
      <c r="C109" s="528">
        <v>37</v>
      </c>
      <c r="D109" s="528">
        <v>0.2</v>
      </c>
      <c r="E109" s="528">
        <v>0.4</v>
      </c>
      <c r="F109" s="534"/>
      <c r="G109" s="524">
        <f t="shared" si="27"/>
        <v>0.1</v>
      </c>
      <c r="I109" s="667">
        <v>6</v>
      </c>
      <c r="J109" s="541">
        <v>80</v>
      </c>
      <c r="K109" s="528">
        <v>2.2000000000000002</v>
      </c>
      <c r="L109" s="528">
        <v>-4.7</v>
      </c>
      <c r="M109" s="534"/>
      <c r="N109" s="524">
        <f t="shared" si="28"/>
        <v>3.45</v>
      </c>
      <c r="P109" s="667">
        <v>6</v>
      </c>
      <c r="Q109" s="528">
        <v>1005</v>
      </c>
      <c r="R109" s="529" t="s">
        <v>161</v>
      </c>
      <c r="S109" s="529" t="s">
        <v>161</v>
      </c>
      <c r="T109" s="522">
        <v>9.9999999999999995E-7</v>
      </c>
      <c r="U109" s="524">
        <f t="shared" si="29"/>
        <v>0</v>
      </c>
    </row>
    <row r="110" spans="1:28" ht="13.5" thickBot="1">
      <c r="A110" s="1330"/>
      <c r="B110" s="667">
        <v>7</v>
      </c>
      <c r="C110" s="541">
        <v>40</v>
      </c>
      <c r="D110" s="523">
        <v>0.2</v>
      </c>
      <c r="E110" s="523">
        <v>9.9999999999999995E-7</v>
      </c>
      <c r="F110" s="534"/>
      <c r="G110" s="524">
        <f t="shared" si="27"/>
        <v>9.9999500000000005E-2</v>
      </c>
      <c r="I110" s="667">
        <v>7</v>
      </c>
      <c r="J110" s="541">
        <v>90</v>
      </c>
      <c r="K110" s="541">
        <v>5.4</v>
      </c>
      <c r="L110" s="541">
        <v>9.9999999999999995E-7</v>
      </c>
      <c r="M110" s="534"/>
      <c r="N110" s="524">
        <f t="shared" si="28"/>
        <v>2.6999995000000001</v>
      </c>
      <c r="P110" s="667">
        <v>7</v>
      </c>
      <c r="Q110" s="528">
        <v>1020</v>
      </c>
      <c r="R110" s="529" t="s">
        <v>161</v>
      </c>
      <c r="S110" s="529" t="s">
        <v>161</v>
      </c>
      <c r="T110" s="522">
        <v>9.9999999999999995E-7</v>
      </c>
      <c r="U110" s="524">
        <f t="shared" si="29"/>
        <v>0</v>
      </c>
    </row>
    <row r="111" spans="1:28" ht="13.5" thickBot="1">
      <c r="A111" s="535"/>
      <c r="B111" s="341"/>
      <c r="C111" s="341"/>
      <c r="D111" s="341"/>
      <c r="E111" s="536"/>
      <c r="F111" s="537"/>
      <c r="G111" s="538"/>
      <c r="H111" s="341"/>
      <c r="I111" s="341"/>
      <c r="J111" s="341"/>
      <c r="K111" s="536"/>
      <c r="L111" s="537"/>
      <c r="M111" s="538"/>
      <c r="O111" s="542"/>
      <c r="P111" s="533"/>
    </row>
    <row r="112" spans="1:28">
      <c r="A112" s="1340">
        <v>11</v>
      </c>
      <c r="B112" s="1331" t="s">
        <v>449</v>
      </c>
      <c r="C112" s="1331"/>
      <c r="D112" s="1331"/>
      <c r="E112" s="1331"/>
      <c r="F112" s="1331"/>
      <c r="G112" s="1331"/>
      <c r="I112" s="1331" t="str">
        <f>B112</f>
        <v>KOREKSI Sekonic HE-21.000670</v>
      </c>
      <c r="J112" s="1331"/>
      <c r="K112" s="1331"/>
      <c r="L112" s="1331"/>
      <c r="M112" s="1331"/>
      <c r="N112" s="1331"/>
      <c r="P112" s="1331" t="str">
        <f>I112</f>
        <v>KOREKSI Sekonic HE-21.000670</v>
      </c>
      <c r="Q112" s="1331"/>
      <c r="R112" s="1331"/>
      <c r="S112" s="1331"/>
      <c r="T112" s="1331"/>
      <c r="U112" s="1331"/>
      <c r="W112" s="1325" t="s">
        <v>396</v>
      </c>
      <c r="X112" s="1326"/>
      <c r="AB112" s="542"/>
    </row>
    <row r="113" spans="1:24" ht="13">
      <c r="A113" s="1340"/>
      <c r="B113" s="1327" t="s">
        <v>434</v>
      </c>
      <c r="C113" s="1327"/>
      <c r="D113" s="1327" t="s">
        <v>435</v>
      </c>
      <c r="E113" s="1327"/>
      <c r="F113" s="1327"/>
      <c r="G113" s="1327" t="s">
        <v>385</v>
      </c>
      <c r="I113" s="1327" t="s">
        <v>436</v>
      </c>
      <c r="J113" s="1327"/>
      <c r="K113" s="1327" t="s">
        <v>435</v>
      </c>
      <c r="L113" s="1327"/>
      <c r="M113" s="1327"/>
      <c r="N113" s="1327" t="s">
        <v>385</v>
      </c>
      <c r="P113" s="1327" t="s">
        <v>437</v>
      </c>
      <c r="Q113" s="1327"/>
      <c r="R113" s="1327" t="s">
        <v>435</v>
      </c>
      <c r="S113" s="1327"/>
      <c r="T113" s="1327"/>
      <c r="U113" s="1327" t="s">
        <v>385</v>
      </c>
      <c r="W113" s="519" t="s">
        <v>434</v>
      </c>
      <c r="X113" s="520">
        <v>0.3</v>
      </c>
    </row>
    <row r="114" spans="1:24" ht="14.5">
      <c r="A114" s="1340"/>
      <c r="B114" s="1328" t="s">
        <v>438</v>
      </c>
      <c r="C114" s="1328"/>
      <c r="D114" s="521">
        <v>2020</v>
      </c>
      <c r="E114" s="539">
        <v>2016</v>
      </c>
      <c r="F114" s="521">
        <v>2016</v>
      </c>
      <c r="G114" s="1327"/>
      <c r="I114" s="1329" t="s">
        <v>18</v>
      </c>
      <c r="J114" s="1328"/>
      <c r="K114" s="540">
        <f>D114</f>
        <v>2020</v>
      </c>
      <c r="L114" s="540">
        <f>E114</f>
        <v>2016</v>
      </c>
      <c r="M114" s="521">
        <v>2016</v>
      </c>
      <c r="N114" s="1327"/>
      <c r="P114" s="1329" t="s">
        <v>439</v>
      </c>
      <c r="Q114" s="1328"/>
      <c r="R114" s="540">
        <f>K114</f>
        <v>2020</v>
      </c>
      <c r="S114" s="540">
        <f>L114</f>
        <v>2016</v>
      </c>
      <c r="T114" s="521">
        <v>2016</v>
      </c>
      <c r="U114" s="1327"/>
      <c r="W114" s="519" t="s">
        <v>18</v>
      </c>
      <c r="X114" s="520">
        <v>1.8</v>
      </c>
    </row>
    <row r="115" spans="1:24" ht="13.5" thickBot="1">
      <c r="A115" s="1340"/>
      <c r="B115" s="667">
        <v>1</v>
      </c>
      <c r="C115" s="522">
        <v>15</v>
      </c>
      <c r="D115" s="522">
        <v>0.3</v>
      </c>
      <c r="E115" s="522">
        <v>0.3</v>
      </c>
      <c r="F115" s="534"/>
      <c r="G115" s="524">
        <f>0.5*(MAX(D115:F115)-MIN(D115:F115))</f>
        <v>0</v>
      </c>
      <c r="I115" s="667">
        <v>1</v>
      </c>
      <c r="J115" s="522">
        <v>30</v>
      </c>
      <c r="K115" s="522">
        <v>-5.2</v>
      </c>
      <c r="L115" s="522">
        <v>-6.4</v>
      </c>
      <c r="M115" s="534"/>
      <c r="N115" s="524">
        <f>0.5*(MAX(K115:M115)-MIN(K115:M115))</f>
        <v>0.60000000000000009</v>
      </c>
      <c r="P115" s="667">
        <v>1</v>
      </c>
      <c r="Q115" s="522">
        <v>750</v>
      </c>
      <c r="R115" s="525" t="s">
        <v>161</v>
      </c>
      <c r="S115" s="523" t="s">
        <v>161</v>
      </c>
      <c r="T115" s="522">
        <v>9.9999999999999995E-7</v>
      </c>
      <c r="U115" s="524">
        <f>0.5*(MAX(R115:T115)-MIN(R115:T115))</f>
        <v>0</v>
      </c>
      <c r="W115" s="526" t="s">
        <v>439</v>
      </c>
      <c r="X115" s="527">
        <v>0</v>
      </c>
    </row>
    <row r="116" spans="1:24" ht="13">
      <c r="A116" s="1340"/>
      <c r="B116" s="667">
        <v>2</v>
      </c>
      <c r="C116" s="522">
        <v>20</v>
      </c>
      <c r="D116" s="522">
        <v>0.4</v>
      </c>
      <c r="E116" s="522">
        <v>0.5</v>
      </c>
      <c r="F116" s="534"/>
      <c r="G116" s="524">
        <f t="shared" ref="G116:G121" si="30">0.5*(MAX(D116:F116)-MIN(D116:F116))</f>
        <v>4.9999999999999989E-2</v>
      </c>
      <c r="I116" s="667">
        <v>2</v>
      </c>
      <c r="J116" s="522">
        <v>40</v>
      </c>
      <c r="K116" s="522">
        <v>-5.5</v>
      </c>
      <c r="L116" s="522">
        <v>-5.9</v>
      </c>
      <c r="M116" s="534"/>
      <c r="N116" s="524">
        <f t="shared" ref="N116:N121" si="31">0.5*(MAX(K116:M116)-MIN(K116:M116))</f>
        <v>0.20000000000000018</v>
      </c>
      <c r="P116" s="667">
        <v>2</v>
      </c>
      <c r="Q116" s="522">
        <v>800</v>
      </c>
      <c r="R116" s="525" t="s">
        <v>161</v>
      </c>
      <c r="S116" s="523" t="s">
        <v>161</v>
      </c>
      <c r="T116" s="522">
        <v>9.9999999999999995E-7</v>
      </c>
      <c r="U116" s="524">
        <f t="shared" ref="U116:U121" si="32">0.5*(MAX(R116:T116)-MIN(R116:T116))</f>
        <v>0</v>
      </c>
    </row>
    <row r="117" spans="1:24" ht="13">
      <c r="A117" s="1340"/>
      <c r="B117" s="667">
        <v>3</v>
      </c>
      <c r="C117" s="522">
        <v>25</v>
      </c>
      <c r="D117" s="522">
        <v>0.4</v>
      </c>
      <c r="E117" s="522">
        <v>0.5</v>
      </c>
      <c r="F117" s="534"/>
      <c r="G117" s="524">
        <f t="shared" si="30"/>
        <v>4.9999999999999989E-2</v>
      </c>
      <c r="I117" s="667">
        <v>3</v>
      </c>
      <c r="J117" s="522">
        <v>50</v>
      </c>
      <c r="K117" s="522">
        <v>-5.5</v>
      </c>
      <c r="L117" s="522">
        <v>-5.6</v>
      </c>
      <c r="M117" s="534"/>
      <c r="N117" s="524">
        <f t="shared" si="31"/>
        <v>4.9999999999999822E-2</v>
      </c>
      <c r="P117" s="667">
        <v>3</v>
      </c>
      <c r="Q117" s="522">
        <v>850</v>
      </c>
      <c r="R117" s="525" t="s">
        <v>161</v>
      </c>
      <c r="S117" s="523" t="s">
        <v>161</v>
      </c>
      <c r="T117" s="522">
        <v>9.9999999999999995E-7</v>
      </c>
      <c r="U117" s="524">
        <f t="shared" si="32"/>
        <v>0</v>
      </c>
    </row>
    <row r="118" spans="1:24" ht="13">
      <c r="A118" s="1340"/>
      <c r="B118" s="667">
        <v>4</v>
      </c>
      <c r="C118" s="528">
        <v>30</v>
      </c>
      <c r="D118" s="528">
        <v>0.5</v>
      </c>
      <c r="E118" s="528">
        <v>0.4</v>
      </c>
      <c r="F118" s="534"/>
      <c r="G118" s="524">
        <f t="shared" si="30"/>
        <v>4.9999999999999989E-2</v>
      </c>
      <c r="I118" s="667">
        <v>4</v>
      </c>
      <c r="J118" s="528">
        <v>60</v>
      </c>
      <c r="K118" s="528">
        <v>-4.8</v>
      </c>
      <c r="L118" s="528">
        <v>-4.5</v>
      </c>
      <c r="M118" s="534"/>
      <c r="N118" s="524">
        <f t="shared" si="31"/>
        <v>0.14999999999999991</v>
      </c>
      <c r="P118" s="667">
        <v>4</v>
      </c>
      <c r="Q118" s="528">
        <v>900</v>
      </c>
      <c r="R118" s="529" t="s">
        <v>161</v>
      </c>
      <c r="S118" s="529" t="s">
        <v>161</v>
      </c>
      <c r="T118" s="522">
        <v>9.9999999999999995E-7</v>
      </c>
      <c r="U118" s="524">
        <f t="shared" si="32"/>
        <v>0</v>
      </c>
    </row>
    <row r="119" spans="1:24" ht="13">
      <c r="A119" s="1340"/>
      <c r="B119" s="667">
        <v>5</v>
      </c>
      <c r="C119" s="528">
        <v>35</v>
      </c>
      <c r="D119" s="528">
        <v>0.5</v>
      </c>
      <c r="E119" s="528">
        <v>0.4</v>
      </c>
      <c r="F119" s="534"/>
      <c r="G119" s="524">
        <f t="shared" si="30"/>
        <v>4.9999999999999989E-2</v>
      </c>
      <c r="I119" s="667">
        <v>5</v>
      </c>
      <c r="J119" s="528">
        <v>70</v>
      </c>
      <c r="K119" s="528">
        <v>-3.4</v>
      </c>
      <c r="L119" s="528">
        <v>-1.7</v>
      </c>
      <c r="M119" s="534"/>
      <c r="N119" s="524">
        <f t="shared" si="31"/>
        <v>0.85</v>
      </c>
      <c r="P119" s="667">
        <v>5</v>
      </c>
      <c r="Q119" s="528">
        <v>1000</v>
      </c>
      <c r="R119" s="529" t="s">
        <v>161</v>
      </c>
      <c r="S119" s="529" t="s">
        <v>161</v>
      </c>
      <c r="T119" s="522">
        <v>9.9999999999999995E-7</v>
      </c>
      <c r="U119" s="524">
        <f t="shared" si="32"/>
        <v>0</v>
      </c>
    </row>
    <row r="120" spans="1:24" ht="13">
      <c r="A120" s="1340"/>
      <c r="B120" s="667">
        <v>6</v>
      </c>
      <c r="C120" s="528">
        <v>37</v>
      </c>
      <c r="D120" s="528">
        <v>0.5</v>
      </c>
      <c r="E120" s="528">
        <v>0.5</v>
      </c>
      <c r="F120" s="534"/>
      <c r="G120" s="524">
        <f t="shared" si="30"/>
        <v>0</v>
      </c>
      <c r="I120" s="667">
        <v>6</v>
      </c>
      <c r="J120" s="528">
        <v>80</v>
      </c>
      <c r="K120" s="528">
        <v>-1.4</v>
      </c>
      <c r="L120" s="528">
        <v>2.6</v>
      </c>
      <c r="M120" s="534"/>
      <c r="N120" s="524">
        <f t="shared" si="31"/>
        <v>2</v>
      </c>
      <c r="P120" s="667">
        <v>6</v>
      </c>
      <c r="Q120" s="528">
        <v>1005</v>
      </c>
      <c r="R120" s="529" t="s">
        <v>161</v>
      </c>
      <c r="S120" s="529" t="s">
        <v>161</v>
      </c>
      <c r="T120" s="522">
        <v>9.9999999999999995E-7</v>
      </c>
      <c r="U120" s="524">
        <f t="shared" si="32"/>
        <v>0</v>
      </c>
    </row>
    <row r="121" spans="1:24" ht="13.5" thickBot="1">
      <c r="A121" s="1340"/>
      <c r="B121" s="667">
        <v>7</v>
      </c>
      <c r="C121" s="541">
        <v>40</v>
      </c>
      <c r="D121" s="541">
        <v>0.5</v>
      </c>
      <c r="E121" s="541">
        <v>9.9999999999999995E-7</v>
      </c>
      <c r="F121" s="534"/>
      <c r="G121" s="524">
        <f t="shared" si="30"/>
        <v>0.24999950000000001</v>
      </c>
      <c r="I121" s="667">
        <v>7</v>
      </c>
      <c r="J121" s="541">
        <v>90</v>
      </c>
      <c r="K121" s="541">
        <v>1.3</v>
      </c>
      <c r="L121" s="541">
        <v>9.9999999999999995E-7</v>
      </c>
      <c r="M121" s="534"/>
      <c r="N121" s="524">
        <f t="shared" si="31"/>
        <v>0.64999950000000006</v>
      </c>
      <c r="P121" s="667">
        <v>7</v>
      </c>
      <c r="Q121" s="528">
        <v>1020</v>
      </c>
      <c r="R121" s="529" t="s">
        <v>161</v>
      </c>
      <c r="S121" s="529" t="s">
        <v>161</v>
      </c>
      <c r="T121" s="522">
        <v>9.9999999999999995E-7</v>
      </c>
      <c r="U121" s="524">
        <f t="shared" si="32"/>
        <v>0</v>
      </c>
    </row>
    <row r="122" spans="1:24" ht="13.5" thickBot="1">
      <c r="A122" s="535"/>
      <c r="B122" s="341"/>
      <c r="C122" s="341"/>
      <c r="D122" s="341"/>
      <c r="E122" s="536"/>
      <c r="F122" s="537"/>
      <c r="G122" s="538"/>
      <c r="I122" s="341"/>
      <c r="J122" s="341"/>
      <c r="K122" s="341"/>
      <c r="L122" s="536"/>
      <c r="M122" s="537"/>
      <c r="Q122" s="542"/>
      <c r="R122" s="533"/>
    </row>
    <row r="123" spans="1:24">
      <c r="A123" s="1330">
        <v>12</v>
      </c>
      <c r="B123" s="1331" t="s">
        <v>450</v>
      </c>
      <c r="C123" s="1331"/>
      <c r="D123" s="1331"/>
      <c r="E123" s="1331"/>
      <c r="F123" s="1331"/>
      <c r="G123" s="1331"/>
      <c r="I123" s="1331" t="str">
        <f>B123</f>
        <v>KOREKSI EXTECH A.100586</v>
      </c>
      <c r="J123" s="1331"/>
      <c r="K123" s="1331"/>
      <c r="L123" s="1331"/>
      <c r="M123" s="1331"/>
      <c r="N123" s="1331"/>
      <c r="P123" s="1331" t="str">
        <f>I123</f>
        <v>KOREKSI EXTECH A.100586</v>
      </c>
      <c r="Q123" s="1331"/>
      <c r="R123" s="1331"/>
      <c r="S123" s="1331"/>
      <c r="T123" s="1331"/>
      <c r="U123" s="1331"/>
      <c r="W123" s="1325" t="s">
        <v>396</v>
      </c>
      <c r="X123" s="1326"/>
    </row>
    <row r="124" spans="1:24" ht="13">
      <c r="A124" s="1330"/>
      <c r="B124" s="1327" t="s">
        <v>434</v>
      </c>
      <c r="C124" s="1327"/>
      <c r="D124" s="1327" t="s">
        <v>435</v>
      </c>
      <c r="E124" s="1327"/>
      <c r="F124" s="1327"/>
      <c r="G124" s="1327" t="s">
        <v>385</v>
      </c>
      <c r="I124" s="1327" t="s">
        <v>436</v>
      </c>
      <c r="J124" s="1327"/>
      <c r="K124" s="1327" t="s">
        <v>435</v>
      </c>
      <c r="L124" s="1327"/>
      <c r="M124" s="1327"/>
      <c r="N124" s="1327" t="s">
        <v>385</v>
      </c>
      <c r="P124" s="1327" t="s">
        <v>437</v>
      </c>
      <c r="Q124" s="1327"/>
      <c r="R124" s="1327" t="s">
        <v>435</v>
      </c>
      <c r="S124" s="1327"/>
      <c r="T124" s="1327"/>
      <c r="U124" s="1327" t="s">
        <v>385</v>
      </c>
      <c r="W124" s="519" t="s">
        <v>434</v>
      </c>
      <c r="X124" s="520">
        <v>0.5</v>
      </c>
    </row>
    <row r="125" spans="1:24" ht="14.5">
      <c r="A125" s="1330"/>
      <c r="B125" s="1328" t="s">
        <v>438</v>
      </c>
      <c r="C125" s="1328"/>
      <c r="D125" s="521">
        <v>2023</v>
      </c>
      <c r="E125" s="521">
        <v>2020</v>
      </c>
      <c r="F125" s="521">
        <v>2016</v>
      </c>
      <c r="G125" s="1327"/>
      <c r="I125" s="1329" t="s">
        <v>18</v>
      </c>
      <c r="J125" s="1328"/>
      <c r="K125" s="521">
        <v>2023</v>
      </c>
      <c r="L125" s="521">
        <f>E125</f>
        <v>2020</v>
      </c>
      <c r="M125" s="521">
        <v>2016</v>
      </c>
      <c r="N125" s="1327"/>
      <c r="P125" s="1329" t="s">
        <v>439</v>
      </c>
      <c r="Q125" s="1328"/>
      <c r="R125" s="521">
        <v>2023</v>
      </c>
      <c r="S125" s="521">
        <f>L125</f>
        <v>2020</v>
      </c>
      <c r="T125" s="521">
        <v>2016</v>
      </c>
      <c r="U125" s="1327"/>
      <c r="W125" s="519" t="s">
        <v>18</v>
      </c>
      <c r="X125" s="520">
        <v>2.2999999999999998</v>
      </c>
    </row>
    <row r="126" spans="1:24" ht="13.5" thickBot="1">
      <c r="A126" s="1330"/>
      <c r="B126" s="667">
        <v>1</v>
      </c>
      <c r="C126" s="522">
        <v>15</v>
      </c>
      <c r="D126" s="522">
        <v>0.2</v>
      </c>
      <c r="E126" s="522">
        <v>9.9999999999999995E-7</v>
      </c>
      <c r="F126" s="534"/>
      <c r="G126" s="524">
        <f>0.5*(MAX(D126:F126)-MIN(D126:F126))</f>
        <v>9.9999500000000005E-2</v>
      </c>
      <c r="I126" s="667">
        <v>1</v>
      </c>
      <c r="J126" s="522">
        <v>35</v>
      </c>
      <c r="K126" s="522">
        <v>-3.1</v>
      </c>
      <c r="L126" s="522">
        <v>-0.4</v>
      </c>
      <c r="M126" s="534"/>
      <c r="N126" s="524">
        <f>0.5*(MAX(K126:M126)-MIN(K126:M126))</f>
        <v>1.35</v>
      </c>
      <c r="P126" s="667">
        <v>1</v>
      </c>
      <c r="Q126" s="522">
        <v>960</v>
      </c>
      <c r="R126" s="525">
        <v>4.0999999999999996</v>
      </c>
      <c r="S126" s="525">
        <v>-0.4</v>
      </c>
      <c r="T126" s="534"/>
      <c r="U126" s="524">
        <f>0.5*(MAX(R126:T126)-MIN(R126:T126))</f>
        <v>2.25</v>
      </c>
      <c r="W126" s="526" t="s">
        <v>439</v>
      </c>
      <c r="X126" s="527">
        <v>2.1</v>
      </c>
    </row>
    <row r="127" spans="1:24" ht="13">
      <c r="A127" s="1330"/>
      <c r="B127" s="667">
        <v>2</v>
      </c>
      <c r="C127" s="522">
        <v>20</v>
      </c>
      <c r="D127" s="522">
        <v>0.3</v>
      </c>
      <c r="E127" s="522">
        <v>9.9999999999999995E-7</v>
      </c>
      <c r="F127" s="534"/>
      <c r="G127" s="524">
        <f t="shared" ref="G127:G132" si="33">0.5*(MAX(D127:F127)-MIN(D127:F127))</f>
        <v>0.14999950000000001</v>
      </c>
      <c r="I127" s="667">
        <v>2</v>
      </c>
      <c r="J127" s="522">
        <v>40</v>
      </c>
      <c r="K127" s="522">
        <v>-3.1</v>
      </c>
      <c r="L127" s="522">
        <v>-0.1</v>
      </c>
      <c r="M127" s="534"/>
      <c r="N127" s="524">
        <f t="shared" ref="N127:N132" si="34">0.5*(MAX(K127:M127)-MIN(K127:M127))</f>
        <v>1.5</v>
      </c>
      <c r="P127" s="667">
        <v>2</v>
      </c>
      <c r="Q127" s="522">
        <v>970</v>
      </c>
      <c r="R127" s="525">
        <v>4.0999999999999996</v>
      </c>
      <c r="S127" s="525">
        <v>-0.5</v>
      </c>
      <c r="T127" s="534"/>
      <c r="U127" s="524">
        <f t="shared" ref="U127:U132" si="35">0.5*(MAX(R127:T127)-MIN(R127:T127))</f>
        <v>2.2999999999999998</v>
      </c>
    </row>
    <row r="128" spans="1:24" ht="13">
      <c r="A128" s="1330"/>
      <c r="B128" s="667">
        <v>3</v>
      </c>
      <c r="C128" s="522">
        <v>25</v>
      </c>
      <c r="D128" s="522">
        <v>0.4</v>
      </c>
      <c r="E128" s="522">
        <v>9.9999999999999995E-7</v>
      </c>
      <c r="F128" s="534"/>
      <c r="G128" s="524">
        <f t="shared" si="33"/>
        <v>0.19999950000000002</v>
      </c>
      <c r="I128" s="667">
        <v>3</v>
      </c>
      <c r="J128" s="522">
        <v>50</v>
      </c>
      <c r="K128" s="522">
        <v>-3.2</v>
      </c>
      <c r="L128" s="522">
        <v>9.9999999999999995E-7</v>
      </c>
      <c r="M128" s="534"/>
      <c r="N128" s="524">
        <f t="shared" si="34"/>
        <v>1.6000005000000002</v>
      </c>
      <c r="P128" s="667">
        <v>3</v>
      </c>
      <c r="Q128" s="528">
        <v>980</v>
      </c>
      <c r="R128" s="529">
        <v>4.0999999999999996</v>
      </c>
      <c r="S128" s="529">
        <v>-0.6</v>
      </c>
      <c r="T128" s="534"/>
      <c r="U128" s="524">
        <f t="shared" si="35"/>
        <v>2.3499999999999996</v>
      </c>
    </row>
    <row r="129" spans="1:24" ht="13">
      <c r="A129" s="1330"/>
      <c r="B129" s="667">
        <v>4</v>
      </c>
      <c r="C129" s="528">
        <v>30</v>
      </c>
      <c r="D129" s="528">
        <v>0.5</v>
      </c>
      <c r="E129" s="528">
        <v>-0.1</v>
      </c>
      <c r="F129" s="534"/>
      <c r="G129" s="524">
        <f t="shared" si="33"/>
        <v>0.3</v>
      </c>
      <c r="I129" s="667">
        <v>4</v>
      </c>
      <c r="J129" s="528">
        <v>60</v>
      </c>
      <c r="K129" s="528">
        <v>-3</v>
      </c>
      <c r="L129" s="528">
        <v>9.9999999999999995E-7</v>
      </c>
      <c r="M129" s="534"/>
      <c r="N129" s="524">
        <f t="shared" si="34"/>
        <v>1.5000005000000001</v>
      </c>
      <c r="P129" s="667">
        <v>4</v>
      </c>
      <c r="Q129" s="528">
        <v>990</v>
      </c>
      <c r="R129" s="529">
        <v>4.0999999999999996</v>
      </c>
      <c r="S129" s="529">
        <v>-0.7</v>
      </c>
      <c r="T129" s="534"/>
      <c r="U129" s="524">
        <f t="shared" si="35"/>
        <v>2.4</v>
      </c>
    </row>
    <row r="130" spans="1:24" ht="13">
      <c r="A130" s="1330"/>
      <c r="B130" s="667">
        <v>5</v>
      </c>
      <c r="C130" s="528">
        <v>35</v>
      </c>
      <c r="D130" s="528">
        <v>0.7</v>
      </c>
      <c r="E130" s="528">
        <v>-0.2</v>
      </c>
      <c r="F130" s="534"/>
      <c r="G130" s="524">
        <f t="shared" si="33"/>
        <v>0.44999999999999996</v>
      </c>
      <c r="I130" s="667">
        <v>5</v>
      </c>
      <c r="J130" s="528">
        <v>70</v>
      </c>
      <c r="K130" s="528">
        <v>-2.8</v>
      </c>
      <c r="L130" s="528">
        <v>-0.1</v>
      </c>
      <c r="M130" s="534"/>
      <c r="N130" s="524">
        <f t="shared" si="34"/>
        <v>1.3499999999999999</v>
      </c>
      <c r="P130" s="667">
        <v>5</v>
      </c>
      <c r="Q130" s="528">
        <v>1000</v>
      </c>
      <c r="R130" s="529">
        <v>4.0999999999999996</v>
      </c>
      <c r="S130" s="529">
        <v>-0.8</v>
      </c>
      <c r="T130" s="534"/>
      <c r="U130" s="524">
        <f t="shared" si="35"/>
        <v>2.4499999999999997</v>
      </c>
    </row>
    <row r="131" spans="1:24" ht="13">
      <c r="A131" s="1330"/>
      <c r="B131" s="667">
        <v>6</v>
      </c>
      <c r="C131" s="528">
        <v>37</v>
      </c>
      <c r="D131" s="528">
        <v>0.7</v>
      </c>
      <c r="E131" s="528">
        <v>-0.3</v>
      </c>
      <c r="F131" s="534"/>
      <c r="G131" s="524">
        <f t="shared" si="33"/>
        <v>0.5</v>
      </c>
      <c r="I131" s="667">
        <v>6</v>
      </c>
      <c r="J131" s="528">
        <v>80</v>
      </c>
      <c r="K131" s="528">
        <v>-2.4</v>
      </c>
      <c r="L131" s="528">
        <v>-0.5</v>
      </c>
      <c r="M131" s="534"/>
      <c r="N131" s="524">
        <f t="shared" si="34"/>
        <v>0.95</v>
      </c>
      <c r="P131" s="667">
        <v>6</v>
      </c>
      <c r="Q131" s="528">
        <v>1010</v>
      </c>
      <c r="R131" s="529">
        <v>4.0999999999999996</v>
      </c>
      <c r="S131" s="529">
        <v>-0.8</v>
      </c>
      <c r="T131" s="534"/>
      <c r="U131" s="524">
        <f t="shared" si="35"/>
        <v>2.4499999999999997</v>
      </c>
    </row>
    <row r="132" spans="1:24" ht="13">
      <c r="A132" s="1330"/>
      <c r="B132" s="667">
        <v>7</v>
      </c>
      <c r="C132" s="541">
        <v>40</v>
      </c>
      <c r="D132" s="528">
        <v>0.8</v>
      </c>
      <c r="E132" s="528">
        <v>-0.4</v>
      </c>
      <c r="F132" s="534"/>
      <c r="G132" s="524">
        <f t="shared" si="33"/>
        <v>0.60000000000000009</v>
      </c>
      <c r="I132" s="667">
        <v>7</v>
      </c>
      <c r="J132" s="541">
        <v>90</v>
      </c>
      <c r="K132" s="528">
        <v>-1.8</v>
      </c>
      <c r="L132" s="528">
        <v>-0.9</v>
      </c>
      <c r="M132" s="534"/>
      <c r="N132" s="524">
        <f t="shared" si="34"/>
        <v>0.45</v>
      </c>
      <c r="P132" s="667">
        <v>7</v>
      </c>
      <c r="Q132" s="528">
        <v>1020</v>
      </c>
      <c r="R132" s="529">
        <v>0</v>
      </c>
      <c r="S132" s="529">
        <v>9.9999999999999995E-7</v>
      </c>
      <c r="T132" s="534"/>
      <c r="U132" s="524">
        <f t="shared" si="35"/>
        <v>4.9999999999999998E-7</v>
      </c>
    </row>
    <row r="133" spans="1:24" ht="13" thickBot="1">
      <c r="A133" s="668"/>
      <c r="C133" s="543"/>
      <c r="D133" s="503"/>
      <c r="E133" s="544"/>
      <c r="F133" s="543"/>
      <c r="I133" s="543"/>
      <c r="J133" s="503"/>
      <c r="K133" s="544"/>
      <c r="L133" s="543"/>
      <c r="O133" s="503"/>
      <c r="P133" s="544"/>
      <c r="Q133" s="544"/>
      <c r="R133" s="543"/>
    </row>
    <row r="134" spans="1:24">
      <c r="A134" s="1330">
        <v>13</v>
      </c>
      <c r="B134" s="1331" t="s">
        <v>451</v>
      </c>
      <c r="C134" s="1331"/>
      <c r="D134" s="1331"/>
      <c r="E134" s="1331"/>
      <c r="F134" s="1331"/>
      <c r="G134" s="1331"/>
      <c r="I134" s="1331" t="str">
        <f>B134</f>
        <v>KOREKSI EXTECH A.100605</v>
      </c>
      <c r="J134" s="1331"/>
      <c r="K134" s="1331"/>
      <c r="L134" s="1331"/>
      <c r="M134" s="1331"/>
      <c r="N134" s="1331"/>
      <c r="P134" s="1331" t="str">
        <f>I134</f>
        <v>KOREKSI EXTECH A.100605</v>
      </c>
      <c r="Q134" s="1331"/>
      <c r="R134" s="1331"/>
      <c r="S134" s="1331"/>
      <c r="T134" s="1331"/>
      <c r="U134" s="1331"/>
      <c r="W134" s="1325" t="s">
        <v>396</v>
      </c>
      <c r="X134" s="1326"/>
    </row>
    <row r="135" spans="1:24" ht="13">
      <c r="A135" s="1330"/>
      <c r="B135" s="1327" t="s">
        <v>434</v>
      </c>
      <c r="C135" s="1327"/>
      <c r="D135" s="1327" t="s">
        <v>435</v>
      </c>
      <c r="E135" s="1327"/>
      <c r="F135" s="1327"/>
      <c r="G135" s="1327" t="s">
        <v>385</v>
      </c>
      <c r="I135" s="1327" t="s">
        <v>436</v>
      </c>
      <c r="J135" s="1327"/>
      <c r="K135" s="1327" t="s">
        <v>435</v>
      </c>
      <c r="L135" s="1327"/>
      <c r="M135" s="1327"/>
      <c r="N135" s="1327" t="s">
        <v>385</v>
      </c>
      <c r="P135" s="1327" t="s">
        <v>437</v>
      </c>
      <c r="Q135" s="1327"/>
      <c r="R135" s="1327" t="s">
        <v>435</v>
      </c>
      <c r="S135" s="1327"/>
      <c r="T135" s="1327"/>
      <c r="U135" s="1327" t="s">
        <v>385</v>
      </c>
      <c r="W135" s="519" t="s">
        <v>434</v>
      </c>
      <c r="X135" s="520">
        <v>0.5</v>
      </c>
    </row>
    <row r="136" spans="1:24" ht="14.5">
      <c r="A136" s="1330"/>
      <c r="B136" s="1328" t="s">
        <v>438</v>
      </c>
      <c r="C136" s="1328"/>
      <c r="D136" s="521">
        <v>2023</v>
      </c>
      <c r="E136" s="521">
        <v>2022</v>
      </c>
      <c r="F136" s="521">
        <v>2020</v>
      </c>
      <c r="G136" s="1327"/>
      <c r="I136" s="1329" t="s">
        <v>18</v>
      </c>
      <c r="J136" s="1328"/>
      <c r="K136" s="540">
        <f>D136</f>
        <v>2023</v>
      </c>
      <c r="L136" s="540">
        <f>E136</f>
        <v>2022</v>
      </c>
      <c r="M136" s="521">
        <v>2020</v>
      </c>
      <c r="N136" s="1327"/>
      <c r="P136" s="1329" t="s">
        <v>439</v>
      </c>
      <c r="Q136" s="1328"/>
      <c r="R136" s="540">
        <f>K136</f>
        <v>2023</v>
      </c>
      <c r="S136" s="540">
        <f>L136</f>
        <v>2022</v>
      </c>
      <c r="T136" s="521">
        <v>2020</v>
      </c>
      <c r="U136" s="1327"/>
      <c r="W136" s="519" t="s">
        <v>18</v>
      </c>
      <c r="X136" s="520">
        <v>2.2999999999999998</v>
      </c>
    </row>
    <row r="137" spans="1:24" ht="13.5" thickBot="1">
      <c r="A137" s="1330"/>
      <c r="B137" s="667">
        <v>1</v>
      </c>
      <c r="C137" s="522">
        <v>15</v>
      </c>
      <c r="D137" s="522">
        <v>0.1</v>
      </c>
      <c r="E137" s="522">
        <v>0.5</v>
      </c>
      <c r="F137" s="522">
        <v>-0.7</v>
      </c>
      <c r="G137" s="524">
        <f>0.5*(MAX(D137:F137)-MIN(D137:F137))</f>
        <v>0.6</v>
      </c>
      <c r="I137" s="667">
        <v>1</v>
      </c>
      <c r="J137" s="522">
        <v>30</v>
      </c>
      <c r="K137" s="522"/>
      <c r="L137" s="522">
        <v>-2.2000000000000002</v>
      </c>
      <c r="M137" s="522">
        <v>-1.4</v>
      </c>
      <c r="N137" s="524">
        <f>0.5*(MAX(K137:M137)-MIN(K137:M137))</f>
        <v>0.40000000000000013</v>
      </c>
      <c r="P137" s="667">
        <v>1</v>
      </c>
      <c r="Q137" s="522">
        <v>985</v>
      </c>
      <c r="R137" s="525"/>
      <c r="S137" s="525">
        <v>3.8</v>
      </c>
      <c r="T137" s="525">
        <v>0.9</v>
      </c>
      <c r="U137" s="524">
        <f>0.5*(MAX(R137:T137)-MIN(R137:T137))</f>
        <v>1.45</v>
      </c>
      <c r="W137" s="526" t="s">
        <v>439</v>
      </c>
      <c r="X137" s="527">
        <v>2.4</v>
      </c>
    </row>
    <row r="138" spans="1:24" ht="13">
      <c r="A138" s="1330"/>
      <c r="B138" s="667">
        <v>2</v>
      </c>
      <c r="C138" s="522">
        <v>20</v>
      </c>
      <c r="D138" s="522">
        <v>0.2</v>
      </c>
      <c r="E138" s="522">
        <v>0.2</v>
      </c>
      <c r="F138" s="522">
        <v>-0.4</v>
      </c>
      <c r="G138" s="524">
        <f t="shared" ref="G138:G143" si="36">0.5*(MAX(D138:F138)-MIN(D138:F138))</f>
        <v>0.30000000000000004</v>
      </c>
      <c r="I138" s="667">
        <v>2</v>
      </c>
      <c r="J138" s="522">
        <v>40</v>
      </c>
      <c r="K138" s="522">
        <v>-4</v>
      </c>
      <c r="L138" s="522">
        <v>-2</v>
      </c>
      <c r="M138" s="522">
        <v>-1.3</v>
      </c>
      <c r="N138" s="524">
        <f t="shared" ref="N138:N143" si="37">0.5*(MAX(K138:M138)-MIN(K138:M138))</f>
        <v>1.35</v>
      </c>
      <c r="P138" s="667">
        <v>2</v>
      </c>
      <c r="Q138" s="522">
        <v>990</v>
      </c>
      <c r="R138" s="525">
        <v>3.9</v>
      </c>
      <c r="S138" s="525">
        <v>3.8</v>
      </c>
      <c r="T138" s="525">
        <v>1</v>
      </c>
      <c r="U138" s="524">
        <f t="shared" ref="U138:U143" si="38">0.5*(MAX(R138:T138)-MIN(R138:T138))</f>
        <v>1.45</v>
      </c>
    </row>
    <row r="139" spans="1:24" ht="13">
      <c r="A139" s="1330"/>
      <c r="B139" s="667">
        <v>3</v>
      </c>
      <c r="C139" s="522">
        <v>25</v>
      </c>
      <c r="D139" s="522">
        <v>0.3</v>
      </c>
      <c r="E139" s="522">
        <v>0.1</v>
      </c>
      <c r="F139" s="522">
        <v>-0.2</v>
      </c>
      <c r="G139" s="524">
        <f t="shared" si="36"/>
        <v>0.25</v>
      </c>
      <c r="I139" s="667">
        <v>3</v>
      </c>
      <c r="J139" s="522">
        <v>50</v>
      </c>
      <c r="K139" s="522">
        <v>-3.6</v>
      </c>
      <c r="L139" s="522">
        <v>-1.8</v>
      </c>
      <c r="M139" s="522">
        <v>-1.3</v>
      </c>
      <c r="N139" s="524">
        <f t="shared" si="37"/>
        <v>1.1499999999999999</v>
      </c>
      <c r="P139" s="667">
        <v>3</v>
      </c>
      <c r="Q139" s="528">
        <v>995</v>
      </c>
      <c r="R139" s="529"/>
      <c r="S139" s="529">
        <v>3.7</v>
      </c>
      <c r="T139" s="529">
        <v>1</v>
      </c>
      <c r="U139" s="524">
        <f t="shared" si="38"/>
        <v>1.35</v>
      </c>
    </row>
    <row r="140" spans="1:24" ht="13">
      <c r="A140" s="1330"/>
      <c r="B140" s="667">
        <v>4</v>
      </c>
      <c r="C140" s="528">
        <v>30</v>
      </c>
      <c r="D140" s="528">
        <v>0.4</v>
      </c>
      <c r="E140" s="528">
        <v>-0.1</v>
      </c>
      <c r="F140" s="528">
        <v>0.1</v>
      </c>
      <c r="G140" s="524">
        <f t="shared" si="36"/>
        <v>0.25</v>
      </c>
      <c r="I140" s="667">
        <v>4</v>
      </c>
      <c r="J140" s="528">
        <v>60</v>
      </c>
      <c r="K140" s="528">
        <v>-3.1</v>
      </c>
      <c r="L140" s="528">
        <v>-1.6</v>
      </c>
      <c r="M140" s="528">
        <v>-1.5</v>
      </c>
      <c r="N140" s="524">
        <f t="shared" si="37"/>
        <v>0.8</v>
      </c>
      <c r="P140" s="667">
        <v>4</v>
      </c>
      <c r="Q140" s="528">
        <v>1000</v>
      </c>
      <c r="R140" s="529">
        <v>4.0999999999999996</v>
      </c>
      <c r="S140" s="529">
        <v>3.7</v>
      </c>
      <c r="T140" s="529">
        <v>1.1000000000000001</v>
      </c>
      <c r="U140" s="524">
        <f t="shared" si="38"/>
        <v>1.4999999999999998</v>
      </c>
    </row>
    <row r="141" spans="1:24" ht="13">
      <c r="A141" s="1330"/>
      <c r="B141" s="667">
        <v>5</v>
      </c>
      <c r="C141" s="528">
        <v>35</v>
      </c>
      <c r="D141" s="528">
        <v>0.5</v>
      </c>
      <c r="E141" s="528">
        <v>-0.2</v>
      </c>
      <c r="F141" s="528">
        <v>0.3</v>
      </c>
      <c r="G141" s="524">
        <f t="shared" si="36"/>
        <v>0.35</v>
      </c>
      <c r="I141" s="667">
        <v>5</v>
      </c>
      <c r="J141" s="528">
        <v>70</v>
      </c>
      <c r="K141" s="528">
        <v>-2.2999999999999998</v>
      </c>
      <c r="L141" s="528">
        <v>-1.4</v>
      </c>
      <c r="M141" s="528">
        <v>-1.9</v>
      </c>
      <c r="N141" s="524">
        <f t="shared" si="37"/>
        <v>0.44999999999999996</v>
      </c>
      <c r="P141" s="667">
        <v>5</v>
      </c>
      <c r="Q141" s="528">
        <v>1005</v>
      </c>
      <c r="R141" s="529"/>
      <c r="S141" s="529">
        <v>3.6</v>
      </c>
      <c r="T141" s="529">
        <v>1.1000000000000001</v>
      </c>
      <c r="U141" s="524">
        <f t="shared" si="38"/>
        <v>1.25</v>
      </c>
    </row>
    <row r="142" spans="1:24" ht="13">
      <c r="A142" s="1330"/>
      <c r="B142" s="667">
        <v>6</v>
      </c>
      <c r="C142" s="528">
        <v>37</v>
      </c>
      <c r="D142" s="528">
        <v>0.6</v>
      </c>
      <c r="E142" s="528">
        <v>-0.2</v>
      </c>
      <c r="F142" s="528">
        <v>0.4</v>
      </c>
      <c r="G142" s="524">
        <f t="shared" si="36"/>
        <v>0.4</v>
      </c>
      <c r="I142" s="667">
        <v>6</v>
      </c>
      <c r="J142" s="528">
        <v>80</v>
      </c>
      <c r="K142" s="528">
        <v>-1.5</v>
      </c>
      <c r="L142" s="528">
        <v>-1.2</v>
      </c>
      <c r="M142" s="528">
        <v>-2.5</v>
      </c>
      <c r="N142" s="524">
        <f t="shared" si="37"/>
        <v>0.65</v>
      </c>
      <c r="P142" s="667">
        <v>6</v>
      </c>
      <c r="Q142" s="528">
        <v>1010</v>
      </c>
      <c r="R142" s="529">
        <v>4.3</v>
      </c>
      <c r="S142" s="529">
        <v>3.5</v>
      </c>
      <c r="T142" s="529">
        <v>1.1000000000000001</v>
      </c>
      <c r="U142" s="524">
        <f t="shared" si="38"/>
        <v>1.5999999999999999</v>
      </c>
    </row>
    <row r="143" spans="1:24" ht="13">
      <c r="A143" s="1330"/>
      <c r="B143" s="667">
        <v>7</v>
      </c>
      <c r="C143" s="541">
        <v>40</v>
      </c>
      <c r="D143" s="528">
        <v>0.7</v>
      </c>
      <c r="E143" s="528">
        <v>-0.2</v>
      </c>
      <c r="F143" s="528">
        <v>0.5</v>
      </c>
      <c r="G143" s="524">
        <f t="shared" si="36"/>
        <v>0.44999999999999996</v>
      </c>
      <c r="I143" s="667">
        <v>7</v>
      </c>
      <c r="J143" s="541">
        <v>90</v>
      </c>
      <c r="K143" s="528">
        <v>-0.4</v>
      </c>
      <c r="L143" s="528">
        <v>-1</v>
      </c>
      <c r="M143" s="528">
        <v>-3.2</v>
      </c>
      <c r="N143" s="524">
        <f t="shared" si="37"/>
        <v>1.4000000000000001</v>
      </c>
      <c r="P143" s="667">
        <v>7</v>
      </c>
      <c r="Q143" s="528">
        <v>1020</v>
      </c>
      <c r="R143" s="529"/>
      <c r="S143" s="529">
        <v>9.9999999999999995E-7</v>
      </c>
      <c r="T143" s="529">
        <v>9.9999999999999995E-7</v>
      </c>
      <c r="U143" s="524">
        <f t="shared" si="38"/>
        <v>0</v>
      </c>
    </row>
    <row r="144" spans="1:24" ht="13" thickBot="1">
      <c r="A144" s="668"/>
      <c r="C144" s="543"/>
      <c r="D144" s="503"/>
      <c r="E144" s="544"/>
      <c r="F144" s="543"/>
      <c r="J144" s="543"/>
      <c r="K144" s="503"/>
      <c r="L144" s="544"/>
      <c r="M144" s="543"/>
      <c r="Q144" s="503"/>
      <c r="R144" s="544"/>
      <c r="S144" s="544"/>
      <c r="T144" s="543"/>
    </row>
    <row r="145" spans="1:24">
      <c r="A145" s="1330">
        <v>14</v>
      </c>
      <c r="B145" s="1331" t="s">
        <v>452</v>
      </c>
      <c r="C145" s="1331"/>
      <c r="D145" s="1331"/>
      <c r="E145" s="1331"/>
      <c r="F145" s="1331"/>
      <c r="G145" s="1331"/>
      <c r="I145" s="1331" t="str">
        <f>B145</f>
        <v>KOREKSI EXTECH A.100609</v>
      </c>
      <c r="J145" s="1331"/>
      <c r="K145" s="1331"/>
      <c r="L145" s="1331"/>
      <c r="M145" s="1331"/>
      <c r="N145" s="1331"/>
      <c r="P145" s="1331" t="str">
        <f>I145</f>
        <v>KOREKSI EXTECH A.100609</v>
      </c>
      <c r="Q145" s="1331"/>
      <c r="R145" s="1331"/>
      <c r="S145" s="1331"/>
      <c r="T145" s="1331"/>
      <c r="U145" s="1331"/>
      <c r="W145" s="1325" t="s">
        <v>396</v>
      </c>
      <c r="X145" s="1326"/>
    </row>
    <row r="146" spans="1:24" ht="13">
      <c r="A146" s="1330"/>
      <c r="B146" s="1327" t="s">
        <v>434</v>
      </c>
      <c r="C146" s="1327"/>
      <c r="D146" s="1327" t="s">
        <v>435</v>
      </c>
      <c r="E146" s="1327"/>
      <c r="F146" s="1327"/>
      <c r="G146" s="1327" t="s">
        <v>385</v>
      </c>
      <c r="I146" s="1327" t="s">
        <v>436</v>
      </c>
      <c r="J146" s="1327"/>
      <c r="K146" s="1327" t="s">
        <v>435</v>
      </c>
      <c r="L146" s="1327"/>
      <c r="M146" s="1327"/>
      <c r="N146" s="1327" t="s">
        <v>385</v>
      </c>
      <c r="P146" s="1327" t="s">
        <v>437</v>
      </c>
      <c r="Q146" s="1327"/>
      <c r="R146" s="1327" t="s">
        <v>435</v>
      </c>
      <c r="S146" s="1327"/>
      <c r="T146" s="1327"/>
      <c r="U146" s="1327" t="s">
        <v>385</v>
      </c>
      <c r="W146" s="519" t="s">
        <v>434</v>
      </c>
      <c r="X146" s="520">
        <v>0.6</v>
      </c>
    </row>
    <row r="147" spans="1:24" ht="14.5">
      <c r="A147" s="1330"/>
      <c r="B147" s="1328" t="s">
        <v>438</v>
      </c>
      <c r="C147" s="1328"/>
      <c r="D147" s="521">
        <v>2023</v>
      </c>
      <c r="E147" s="521">
        <v>2022</v>
      </c>
      <c r="F147" s="521">
        <v>2020</v>
      </c>
      <c r="G147" s="1327"/>
      <c r="I147" s="1329" t="s">
        <v>18</v>
      </c>
      <c r="J147" s="1328"/>
      <c r="K147" s="540">
        <f>D147</f>
        <v>2023</v>
      </c>
      <c r="L147" s="540">
        <f>E147</f>
        <v>2022</v>
      </c>
      <c r="M147" s="521">
        <v>2020</v>
      </c>
      <c r="N147" s="1327"/>
      <c r="P147" s="1329" t="s">
        <v>439</v>
      </c>
      <c r="Q147" s="1328"/>
      <c r="R147" s="540">
        <f>K147</f>
        <v>2023</v>
      </c>
      <c r="S147" s="540">
        <f>L147</f>
        <v>2022</v>
      </c>
      <c r="T147" s="521">
        <v>2020</v>
      </c>
      <c r="U147" s="1327"/>
      <c r="W147" s="519" t="s">
        <v>18</v>
      </c>
      <c r="X147" s="520">
        <v>2.2999999999999998</v>
      </c>
    </row>
    <row r="148" spans="1:24" ht="13.5" thickBot="1">
      <c r="A148" s="1330"/>
      <c r="B148" s="667">
        <v>1</v>
      </c>
      <c r="C148" s="522">
        <v>15</v>
      </c>
      <c r="D148" s="522">
        <v>0.1</v>
      </c>
      <c r="E148" s="522">
        <v>0.5</v>
      </c>
      <c r="F148" s="522">
        <v>-0.2</v>
      </c>
      <c r="G148" s="524">
        <f>0.5*(MAX(D148:F148)-MIN(D148:F148))</f>
        <v>0.35</v>
      </c>
      <c r="I148" s="667">
        <v>1</v>
      </c>
      <c r="J148" s="522">
        <v>30</v>
      </c>
      <c r="K148" s="522"/>
      <c r="L148" s="522">
        <v>-0.8</v>
      </c>
      <c r="M148" s="522">
        <v>0.6</v>
      </c>
      <c r="N148" s="524">
        <f>0.5*(MAX(K148:M148)-MIN(K148:M148))</f>
        <v>0.7</v>
      </c>
      <c r="P148" s="667">
        <v>1</v>
      </c>
      <c r="Q148" s="522">
        <v>985</v>
      </c>
      <c r="R148" s="525"/>
      <c r="S148" s="525">
        <v>3.9</v>
      </c>
      <c r="T148" s="525">
        <v>0.9</v>
      </c>
      <c r="U148" s="524">
        <f>0.5*(MAX(R148:T148)-MIN(R148:T148))</f>
        <v>1.5</v>
      </c>
      <c r="W148" s="526" t="s">
        <v>439</v>
      </c>
      <c r="X148" s="527">
        <v>2.5</v>
      </c>
    </row>
    <row r="149" spans="1:24" ht="13">
      <c r="A149" s="1330"/>
      <c r="B149" s="667">
        <v>2</v>
      </c>
      <c r="C149" s="522">
        <v>20</v>
      </c>
      <c r="D149" s="522">
        <v>0.2</v>
      </c>
      <c r="E149" s="522">
        <v>0.2</v>
      </c>
      <c r="F149" s="522">
        <v>-0.1</v>
      </c>
      <c r="G149" s="524">
        <f t="shared" ref="G149:G154" si="39">0.5*(MAX(D149:F149)-MIN(D149:F149))</f>
        <v>0.15000000000000002</v>
      </c>
      <c r="I149" s="667">
        <v>2</v>
      </c>
      <c r="J149" s="522">
        <v>40</v>
      </c>
      <c r="K149" s="522">
        <v>-3.8</v>
      </c>
      <c r="L149" s="522">
        <v>-0.4</v>
      </c>
      <c r="M149" s="522">
        <v>0.3</v>
      </c>
      <c r="N149" s="524">
        <f t="shared" ref="N149:N154" si="40">0.5*(MAX(K149:M149)-MIN(K149:M149))</f>
        <v>2.0499999999999998</v>
      </c>
      <c r="P149" s="667">
        <v>2</v>
      </c>
      <c r="Q149" s="522">
        <v>990</v>
      </c>
      <c r="R149" s="525">
        <v>4</v>
      </c>
      <c r="S149" s="525">
        <v>3.9</v>
      </c>
      <c r="T149" s="525">
        <v>1</v>
      </c>
      <c r="U149" s="524">
        <f t="shared" ref="U149:U154" si="41">0.5*(MAX(R149:T149)-MIN(R149:T149))</f>
        <v>1.5</v>
      </c>
    </row>
    <row r="150" spans="1:24" ht="13">
      <c r="A150" s="1330"/>
      <c r="B150" s="667">
        <v>3</v>
      </c>
      <c r="C150" s="522">
        <v>25</v>
      </c>
      <c r="D150" s="522">
        <v>0.2</v>
      </c>
      <c r="E150" s="522">
        <v>-0.1</v>
      </c>
      <c r="F150" s="522">
        <v>-0.1</v>
      </c>
      <c r="G150" s="524">
        <f t="shared" si="39"/>
        <v>0.15000000000000002</v>
      </c>
      <c r="I150" s="667">
        <v>3</v>
      </c>
      <c r="J150" s="522">
        <v>50</v>
      </c>
      <c r="K150" s="522">
        <v>-2.8</v>
      </c>
      <c r="L150" s="522">
        <v>9.9999999999999995E-7</v>
      </c>
      <c r="M150" s="522">
        <v>-0.2</v>
      </c>
      <c r="N150" s="524">
        <f t="shared" si="40"/>
        <v>1.4000005</v>
      </c>
      <c r="P150" s="667">
        <v>3</v>
      </c>
      <c r="Q150" s="528">
        <v>995</v>
      </c>
      <c r="R150" s="529"/>
      <c r="S150" s="529">
        <v>3.8</v>
      </c>
      <c r="T150" s="529">
        <v>1</v>
      </c>
      <c r="U150" s="524">
        <f t="shared" si="41"/>
        <v>1.4</v>
      </c>
    </row>
    <row r="151" spans="1:24" ht="13">
      <c r="A151" s="1330"/>
      <c r="B151" s="667">
        <v>4</v>
      </c>
      <c r="C151" s="528">
        <v>30</v>
      </c>
      <c r="D151" s="528">
        <v>0.3</v>
      </c>
      <c r="E151" s="528">
        <v>-0.4</v>
      </c>
      <c r="F151" s="528">
        <v>-0.3</v>
      </c>
      <c r="G151" s="524">
        <f t="shared" si="39"/>
        <v>0.35</v>
      </c>
      <c r="I151" s="667">
        <v>4</v>
      </c>
      <c r="J151" s="528">
        <v>60</v>
      </c>
      <c r="K151" s="528">
        <v>-1.8</v>
      </c>
      <c r="L151" s="528">
        <v>0.3</v>
      </c>
      <c r="M151" s="528">
        <v>-0.6</v>
      </c>
      <c r="N151" s="524">
        <f t="shared" si="40"/>
        <v>1.05</v>
      </c>
      <c r="P151" s="667">
        <v>4</v>
      </c>
      <c r="Q151" s="528">
        <v>1000</v>
      </c>
      <c r="R151" s="529">
        <v>4.2</v>
      </c>
      <c r="S151" s="529">
        <v>3.8</v>
      </c>
      <c r="T151" s="529">
        <v>1.1000000000000001</v>
      </c>
      <c r="U151" s="524">
        <f t="shared" si="41"/>
        <v>1.55</v>
      </c>
    </row>
    <row r="152" spans="1:24" ht="13">
      <c r="A152" s="1330"/>
      <c r="B152" s="667">
        <v>5</v>
      </c>
      <c r="C152" s="528">
        <v>35</v>
      </c>
      <c r="D152" s="528">
        <v>0.3</v>
      </c>
      <c r="E152" s="528">
        <v>-0.6</v>
      </c>
      <c r="F152" s="528">
        <v>-0.6</v>
      </c>
      <c r="G152" s="524">
        <f t="shared" si="39"/>
        <v>0.44999999999999996</v>
      </c>
      <c r="I152" s="667">
        <v>5</v>
      </c>
      <c r="J152" s="528">
        <v>70</v>
      </c>
      <c r="K152" s="528">
        <v>-0.6</v>
      </c>
      <c r="L152" s="528">
        <v>0.7</v>
      </c>
      <c r="M152" s="528">
        <v>-0.8</v>
      </c>
      <c r="N152" s="524">
        <f t="shared" si="40"/>
        <v>0.75</v>
      </c>
      <c r="P152" s="667">
        <v>5</v>
      </c>
      <c r="Q152" s="528">
        <v>1005</v>
      </c>
      <c r="R152" s="529"/>
      <c r="S152" s="529">
        <v>3.8</v>
      </c>
      <c r="T152" s="529">
        <v>1.1000000000000001</v>
      </c>
      <c r="U152" s="524">
        <f t="shared" si="41"/>
        <v>1.3499999999999999</v>
      </c>
    </row>
    <row r="153" spans="1:24" ht="13">
      <c r="A153" s="1330"/>
      <c r="B153" s="667">
        <v>6</v>
      </c>
      <c r="C153" s="528">
        <v>37</v>
      </c>
      <c r="D153" s="528">
        <v>0.4</v>
      </c>
      <c r="E153" s="528">
        <v>-0.7</v>
      </c>
      <c r="F153" s="528">
        <v>-0.8</v>
      </c>
      <c r="G153" s="524">
        <f t="shared" si="39"/>
        <v>0.60000000000000009</v>
      </c>
      <c r="I153" s="667">
        <v>6</v>
      </c>
      <c r="J153" s="528">
        <v>80</v>
      </c>
      <c r="K153" s="528">
        <v>0.6</v>
      </c>
      <c r="L153" s="528">
        <v>1.1000000000000001</v>
      </c>
      <c r="M153" s="528">
        <v>-0.9</v>
      </c>
      <c r="N153" s="524">
        <f t="shared" si="40"/>
        <v>1</v>
      </c>
      <c r="P153" s="667">
        <v>6</v>
      </c>
      <c r="Q153" s="528">
        <v>1010</v>
      </c>
      <c r="R153" s="529">
        <v>4.4000000000000004</v>
      </c>
      <c r="S153" s="529">
        <v>3.7</v>
      </c>
      <c r="T153" s="529">
        <v>1.1000000000000001</v>
      </c>
      <c r="U153" s="524">
        <f t="shared" si="41"/>
        <v>1.6500000000000001</v>
      </c>
    </row>
    <row r="154" spans="1:24" ht="13">
      <c r="A154" s="1330"/>
      <c r="B154" s="667">
        <v>7</v>
      </c>
      <c r="C154" s="541">
        <v>40</v>
      </c>
      <c r="D154" s="528">
        <v>0.4</v>
      </c>
      <c r="E154" s="528">
        <v>-0.8</v>
      </c>
      <c r="F154" s="528">
        <v>-1.1000000000000001</v>
      </c>
      <c r="G154" s="524">
        <f t="shared" si="39"/>
        <v>0.75</v>
      </c>
      <c r="I154" s="667">
        <v>7</v>
      </c>
      <c r="J154" s="541">
        <v>90</v>
      </c>
      <c r="K154" s="528">
        <v>1.9</v>
      </c>
      <c r="L154" s="528">
        <v>1.5</v>
      </c>
      <c r="M154" s="528">
        <v>-0.8</v>
      </c>
      <c r="N154" s="524">
        <f t="shared" si="40"/>
        <v>1.35</v>
      </c>
      <c r="P154" s="667">
        <v>7</v>
      </c>
      <c r="Q154" s="528">
        <v>1020</v>
      </c>
      <c r="R154" s="529"/>
      <c r="S154" s="529">
        <v>9.9999999999999995E-7</v>
      </c>
      <c r="T154" s="529">
        <v>9.9999999999999995E-7</v>
      </c>
      <c r="U154" s="524">
        <f t="shared" si="41"/>
        <v>0</v>
      </c>
    </row>
    <row r="155" spans="1:24" ht="13" thickBot="1">
      <c r="A155" s="668"/>
      <c r="C155" s="543"/>
      <c r="D155" s="503"/>
      <c r="E155" s="544"/>
      <c r="F155" s="543"/>
      <c r="J155" s="543"/>
      <c r="K155" s="503"/>
      <c r="L155" s="544"/>
      <c r="M155" s="543"/>
      <c r="Q155" s="503"/>
      <c r="R155" s="544"/>
      <c r="S155" s="544"/>
      <c r="T155" s="543"/>
    </row>
    <row r="156" spans="1:24">
      <c r="A156" s="1330">
        <v>15</v>
      </c>
      <c r="B156" s="1331" t="s">
        <v>453</v>
      </c>
      <c r="C156" s="1331"/>
      <c r="D156" s="1331"/>
      <c r="E156" s="1331"/>
      <c r="F156" s="1331"/>
      <c r="G156" s="1331"/>
      <c r="I156" s="1331" t="str">
        <f>B156</f>
        <v>KOREKSI EXTECH A.100611</v>
      </c>
      <c r="J156" s="1331"/>
      <c r="K156" s="1331"/>
      <c r="L156" s="1331"/>
      <c r="M156" s="1331"/>
      <c r="N156" s="1331"/>
      <c r="P156" s="1331" t="str">
        <f>I156</f>
        <v>KOREKSI EXTECH A.100611</v>
      </c>
      <c r="Q156" s="1331"/>
      <c r="R156" s="1331"/>
      <c r="S156" s="1331"/>
      <c r="T156" s="1331"/>
      <c r="U156" s="1331"/>
      <c r="W156" s="1325" t="s">
        <v>396</v>
      </c>
      <c r="X156" s="1326"/>
    </row>
    <row r="157" spans="1:24" ht="13">
      <c r="A157" s="1330"/>
      <c r="B157" s="1327" t="s">
        <v>434</v>
      </c>
      <c r="C157" s="1327"/>
      <c r="D157" s="1327" t="s">
        <v>435</v>
      </c>
      <c r="E157" s="1327"/>
      <c r="F157" s="1327"/>
      <c r="G157" s="1327" t="s">
        <v>385</v>
      </c>
      <c r="I157" s="1327" t="s">
        <v>436</v>
      </c>
      <c r="J157" s="1327"/>
      <c r="K157" s="1327" t="s">
        <v>435</v>
      </c>
      <c r="L157" s="1327"/>
      <c r="M157" s="1327"/>
      <c r="N157" s="1327" t="s">
        <v>385</v>
      </c>
      <c r="P157" s="1327" t="s">
        <v>437</v>
      </c>
      <c r="Q157" s="1327"/>
      <c r="R157" s="1327" t="s">
        <v>435</v>
      </c>
      <c r="S157" s="1327"/>
      <c r="T157" s="1327"/>
      <c r="U157" s="1327" t="s">
        <v>385</v>
      </c>
      <c r="W157" s="519" t="s">
        <v>434</v>
      </c>
      <c r="X157" s="520">
        <v>0.5</v>
      </c>
    </row>
    <row r="158" spans="1:24" ht="14.5">
      <c r="A158" s="1330"/>
      <c r="B158" s="1328" t="s">
        <v>438</v>
      </c>
      <c r="C158" s="1328"/>
      <c r="D158" s="521">
        <v>2023</v>
      </c>
      <c r="E158" s="521">
        <v>2022</v>
      </c>
      <c r="F158" s="521">
        <v>2020</v>
      </c>
      <c r="G158" s="1327"/>
      <c r="I158" s="1329" t="s">
        <v>18</v>
      </c>
      <c r="J158" s="1328"/>
      <c r="K158" s="540">
        <f>D158</f>
        <v>2023</v>
      </c>
      <c r="L158" s="540">
        <f>E158</f>
        <v>2022</v>
      </c>
      <c r="M158" s="521">
        <v>2020</v>
      </c>
      <c r="N158" s="1327"/>
      <c r="P158" s="1329" t="s">
        <v>439</v>
      </c>
      <c r="Q158" s="1328"/>
      <c r="R158" s="540">
        <f>K158</f>
        <v>2023</v>
      </c>
      <c r="S158" s="540">
        <v>2022</v>
      </c>
      <c r="T158" s="521">
        <v>2020</v>
      </c>
      <c r="U158" s="1327"/>
      <c r="W158" s="519" t="s">
        <v>18</v>
      </c>
      <c r="X158" s="520">
        <v>2.2999999999999998</v>
      </c>
    </row>
    <row r="159" spans="1:24" ht="13.5" thickBot="1">
      <c r="A159" s="1330"/>
      <c r="B159" s="667">
        <v>1</v>
      </c>
      <c r="C159" s="522">
        <v>15</v>
      </c>
      <c r="D159" s="522">
        <v>0.1</v>
      </c>
      <c r="E159" s="522">
        <v>0.6</v>
      </c>
      <c r="F159" s="522">
        <v>-0.6</v>
      </c>
      <c r="G159" s="524">
        <f>0.5*(MAX(D159:F159)-MIN(D159:F159))</f>
        <v>0.6</v>
      </c>
      <c r="I159" s="667">
        <v>1</v>
      </c>
      <c r="J159" s="522">
        <v>30</v>
      </c>
      <c r="K159" s="522">
        <v>-4.0999999999999996</v>
      </c>
      <c r="L159" s="522">
        <v>-2</v>
      </c>
      <c r="M159" s="522">
        <v>-0.4</v>
      </c>
      <c r="N159" s="524">
        <f>0.5*(MAX(K159:M159)-MIN(K159:M159))</f>
        <v>1.8499999999999999</v>
      </c>
      <c r="P159" s="667">
        <v>1</v>
      </c>
      <c r="Q159" s="522">
        <v>980</v>
      </c>
      <c r="R159" s="525">
        <v>4.0999999999999996</v>
      </c>
      <c r="S159" s="525">
        <v>4.3</v>
      </c>
      <c r="T159" s="525">
        <v>0.9</v>
      </c>
      <c r="U159" s="524">
        <f>0.5*(MAX(R159:T159)-MIN(R159:T159))</f>
        <v>1.7</v>
      </c>
      <c r="W159" s="526" t="s">
        <v>439</v>
      </c>
      <c r="X159" s="527">
        <v>2.2999999999999998</v>
      </c>
    </row>
    <row r="160" spans="1:24" ht="13">
      <c r="A160" s="1330"/>
      <c r="B160" s="667">
        <v>2</v>
      </c>
      <c r="C160" s="522">
        <v>20</v>
      </c>
      <c r="D160" s="522">
        <v>0.2</v>
      </c>
      <c r="E160" s="522">
        <v>0.3</v>
      </c>
      <c r="F160" s="522">
        <v>-0.5</v>
      </c>
      <c r="G160" s="524">
        <f t="shared" ref="G160:G165" si="42">0.5*(MAX(D160:F160)-MIN(D160:F160))</f>
        <v>0.4</v>
      </c>
      <c r="I160" s="667">
        <v>2</v>
      </c>
      <c r="J160" s="522">
        <v>40</v>
      </c>
      <c r="K160" s="522">
        <v>-3.8</v>
      </c>
      <c r="L160" s="522">
        <v>-1.7</v>
      </c>
      <c r="M160" s="522">
        <v>-0.3</v>
      </c>
      <c r="N160" s="524">
        <f t="shared" ref="N160:N165" si="43">0.5*(MAX(K160:M160)-MIN(K160:M160))</f>
        <v>1.75</v>
      </c>
      <c r="P160" s="667">
        <v>2</v>
      </c>
      <c r="Q160" s="522">
        <v>990</v>
      </c>
      <c r="R160" s="525">
        <v>4.3</v>
      </c>
      <c r="S160" s="525">
        <v>4.2</v>
      </c>
      <c r="T160" s="525">
        <v>1</v>
      </c>
      <c r="U160" s="524">
        <f t="shared" ref="U160:U165" si="44">0.5*(MAX(R160:T160)-MIN(R160:T160))</f>
        <v>1.65</v>
      </c>
    </row>
    <row r="161" spans="1:24" ht="13">
      <c r="A161" s="1330"/>
      <c r="B161" s="667">
        <v>3</v>
      </c>
      <c r="C161" s="522">
        <v>25</v>
      </c>
      <c r="D161" s="522">
        <v>0.3</v>
      </c>
      <c r="E161" s="522">
        <v>0.2</v>
      </c>
      <c r="F161" s="522">
        <v>-0.4</v>
      </c>
      <c r="G161" s="524">
        <f t="shared" si="42"/>
        <v>0.35</v>
      </c>
      <c r="I161" s="667">
        <v>3</v>
      </c>
      <c r="J161" s="522">
        <v>50</v>
      </c>
      <c r="K161" s="522">
        <v>-3.1</v>
      </c>
      <c r="L161" s="522">
        <v>-1.4</v>
      </c>
      <c r="M161" s="522">
        <v>-0.3</v>
      </c>
      <c r="N161" s="524">
        <f t="shared" si="43"/>
        <v>1.4000000000000001</v>
      </c>
      <c r="P161" s="667">
        <v>3</v>
      </c>
      <c r="Q161" s="528">
        <v>995</v>
      </c>
      <c r="R161" s="529"/>
      <c r="S161" s="529">
        <v>4.0999999999999996</v>
      </c>
      <c r="T161" s="529">
        <v>1</v>
      </c>
      <c r="U161" s="524">
        <f t="shared" si="44"/>
        <v>1.5499999999999998</v>
      </c>
    </row>
    <row r="162" spans="1:24" ht="13">
      <c r="A162" s="1330"/>
      <c r="B162" s="667">
        <v>4</v>
      </c>
      <c r="C162" s="528">
        <v>30</v>
      </c>
      <c r="D162" s="528">
        <v>0.4</v>
      </c>
      <c r="E162" s="528">
        <v>0.4</v>
      </c>
      <c r="F162" s="528">
        <v>-0.2</v>
      </c>
      <c r="G162" s="524">
        <f t="shared" si="42"/>
        <v>0.30000000000000004</v>
      </c>
      <c r="I162" s="667">
        <v>4</v>
      </c>
      <c r="J162" s="528">
        <v>60</v>
      </c>
      <c r="K162" s="528">
        <v>-2.2999999999999998</v>
      </c>
      <c r="L162" s="528">
        <v>-1.1000000000000001</v>
      </c>
      <c r="M162" s="528">
        <v>-0.5</v>
      </c>
      <c r="N162" s="524">
        <f t="shared" si="43"/>
        <v>0.89999999999999991</v>
      </c>
      <c r="P162" s="667">
        <v>4</v>
      </c>
      <c r="Q162" s="528">
        <v>1000</v>
      </c>
      <c r="R162" s="529">
        <v>4.4000000000000004</v>
      </c>
      <c r="S162" s="529">
        <v>4.0999999999999996</v>
      </c>
      <c r="T162" s="529">
        <v>1.1000000000000001</v>
      </c>
      <c r="U162" s="524">
        <f t="shared" si="44"/>
        <v>1.6500000000000001</v>
      </c>
    </row>
    <row r="163" spans="1:24" ht="13">
      <c r="A163" s="1330"/>
      <c r="B163" s="667">
        <v>5</v>
      </c>
      <c r="C163" s="528">
        <v>35</v>
      </c>
      <c r="D163" s="528">
        <v>0.5</v>
      </c>
      <c r="E163" s="528">
        <v>0.8</v>
      </c>
      <c r="F163" s="528">
        <v>-0.1</v>
      </c>
      <c r="G163" s="524">
        <f t="shared" si="42"/>
        <v>0.45</v>
      </c>
      <c r="I163" s="667">
        <v>5</v>
      </c>
      <c r="J163" s="528">
        <v>70</v>
      </c>
      <c r="K163" s="528">
        <v>-1.6</v>
      </c>
      <c r="L163" s="528">
        <v>-0.7</v>
      </c>
      <c r="M163" s="528">
        <v>-0.8</v>
      </c>
      <c r="N163" s="524">
        <f t="shared" si="43"/>
        <v>0.45000000000000007</v>
      </c>
      <c r="P163" s="667">
        <v>5</v>
      </c>
      <c r="Q163" s="528">
        <v>1005</v>
      </c>
      <c r="R163" s="529"/>
      <c r="S163" s="529">
        <v>4</v>
      </c>
      <c r="T163" s="529">
        <v>1.1000000000000001</v>
      </c>
      <c r="U163" s="524">
        <f t="shared" si="44"/>
        <v>1.45</v>
      </c>
    </row>
    <row r="164" spans="1:24" ht="13">
      <c r="A164" s="1330"/>
      <c r="B164" s="667">
        <v>6</v>
      </c>
      <c r="C164" s="528">
        <v>37</v>
      </c>
      <c r="D164" s="528">
        <v>0.5</v>
      </c>
      <c r="E164" s="528">
        <v>1</v>
      </c>
      <c r="F164" s="528">
        <v>-0.1</v>
      </c>
      <c r="G164" s="524">
        <f t="shared" si="42"/>
        <v>0.55000000000000004</v>
      </c>
      <c r="I164" s="667">
        <v>6</v>
      </c>
      <c r="J164" s="528">
        <v>80</v>
      </c>
      <c r="K164" s="528">
        <v>-0.7</v>
      </c>
      <c r="L164" s="528">
        <v>-0.4</v>
      </c>
      <c r="M164" s="528">
        <v>-1.3</v>
      </c>
      <c r="N164" s="524">
        <f t="shared" si="43"/>
        <v>0.45</v>
      </c>
      <c r="P164" s="667">
        <v>6</v>
      </c>
      <c r="Q164" s="528">
        <v>1010</v>
      </c>
      <c r="R164" s="529">
        <v>4.5999999999999996</v>
      </c>
      <c r="S164" s="529">
        <v>3.9</v>
      </c>
      <c r="T164" s="529">
        <v>1.1000000000000001</v>
      </c>
      <c r="U164" s="524">
        <f t="shared" si="44"/>
        <v>1.7499999999999998</v>
      </c>
    </row>
    <row r="165" spans="1:24" ht="13">
      <c r="A165" s="1330"/>
      <c r="B165" s="667">
        <v>7</v>
      </c>
      <c r="C165" s="541">
        <v>40</v>
      </c>
      <c r="D165" s="528">
        <v>0.6</v>
      </c>
      <c r="E165" s="528">
        <v>1.4</v>
      </c>
      <c r="F165" s="528">
        <v>9.9999999999999995E-7</v>
      </c>
      <c r="G165" s="524">
        <f t="shared" si="42"/>
        <v>0.6999995</v>
      </c>
      <c r="I165" s="667">
        <v>7</v>
      </c>
      <c r="J165" s="541">
        <v>90</v>
      </c>
      <c r="K165" s="528">
        <v>0.1</v>
      </c>
      <c r="L165" s="528">
        <v>-0.1</v>
      </c>
      <c r="M165" s="528">
        <v>-2</v>
      </c>
      <c r="N165" s="524">
        <f t="shared" si="43"/>
        <v>1.05</v>
      </c>
      <c r="P165" s="667">
        <v>7</v>
      </c>
      <c r="Q165" s="528">
        <v>1020</v>
      </c>
      <c r="R165" s="529"/>
      <c r="S165" s="529">
        <v>9.9999999999999995E-7</v>
      </c>
      <c r="T165" s="529">
        <v>9.9999999999999995E-7</v>
      </c>
      <c r="U165" s="524">
        <f t="shared" si="44"/>
        <v>0</v>
      </c>
    </row>
    <row r="166" spans="1:24" ht="13" thickBot="1">
      <c r="A166" s="668"/>
      <c r="C166" s="543"/>
      <c r="D166" s="503"/>
      <c r="E166" s="544"/>
      <c r="F166" s="543"/>
      <c r="I166" s="543"/>
      <c r="J166" s="503"/>
      <c r="K166" s="544"/>
      <c r="L166" s="543"/>
      <c r="O166" s="503"/>
      <c r="P166" s="544"/>
      <c r="Q166" s="544"/>
      <c r="R166" s="543"/>
    </row>
    <row r="167" spans="1:24">
      <c r="A167" s="1330">
        <v>16</v>
      </c>
      <c r="B167" s="1331" t="s">
        <v>454</v>
      </c>
      <c r="C167" s="1331"/>
      <c r="D167" s="1331"/>
      <c r="E167" s="1331"/>
      <c r="F167" s="1331"/>
      <c r="G167" s="1331"/>
      <c r="I167" s="1331" t="str">
        <f>B167</f>
        <v>KOREKSI EXTECH A.100616</v>
      </c>
      <c r="J167" s="1331"/>
      <c r="K167" s="1331"/>
      <c r="L167" s="1331"/>
      <c r="M167" s="1331"/>
      <c r="N167" s="1331"/>
      <c r="P167" s="1331" t="str">
        <f>I167</f>
        <v>KOREKSI EXTECH A.100616</v>
      </c>
      <c r="Q167" s="1331"/>
      <c r="R167" s="1331"/>
      <c r="S167" s="1331"/>
      <c r="T167" s="1331"/>
      <c r="U167" s="1331"/>
      <c r="W167" s="1325" t="s">
        <v>396</v>
      </c>
      <c r="X167" s="1326"/>
    </row>
    <row r="168" spans="1:24" ht="13">
      <c r="A168" s="1330"/>
      <c r="B168" s="1327" t="s">
        <v>434</v>
      </c>
      <c r="C168" s="1327"/>
      <c r="D168" s="1327" t="s">
        <v>435</v>
      </c>
      <c r="E168" s="1327"/>
      <c r="F168" s="1327"/>
      <c r="G168" s="1327" t="s">
        <v>385</v>
      </c>
      <c r="I168" s="1327" t="s">
        <v>436</v>
      </c>
      <c r="J168" s="1327"/>
      <c r="K168" s="1327" t="s">
        <v>435</v>
      </c>
      <c r="L168" s="1327"/>
      <c r="M168" s="1327"/>
      <c r="N168" s="1327" t="s">
        <v>385</v>
      </c>
      <c r="P168" s="1327" t="s">
        <v>437</v>
      </c>
      <c r="Q168" s="1327"/>
      <c r="R168" s="1327" t="s">
        <v>435</v>
      </c>
      <c r="S168" s="1327"/>
      <c r="T168" s="1327"/>
      <c r="U168" s="1327" t="s">
        <v>385</v>
      </c>
      <c r="W168" s="519" t="s">
        <v>434</v>
      </c>
      <c r="X168" s="520">
        <v>0.5</v>
      </c>
    </row>
    <row r="169" spans="1:24" ht="14.5">
      <c r="A169" s="1330"/>
      <c r="B169" s="1328" t="s">
        <v>438</v>
      </c>
      <c r="C169" s="1328"/>
      <c r="D169" s="521">
        <v>2023</v>
      </c>
      <c r="E169" s="521">
        <v>2020</v>
      </c>
      <c r="F169" s="521">
        <v>2016</v>
      </c>
      <c r="G169" s="1327"/>
      <c r="I169" s="1329" t="s">
        <v>18</v>
      </c>
      <c r="J169" s="1328"/>
      <c r="K169" s="540">
        <f>D169</f>
        <v>2023</v>
      </c>
      <c r="L169" s="540">
        <f>E169</f>
        <v>2020</v>
      </c>
      <c r="M169" s="521">
        <v>2016</v>
      </c>
      <c r="N169" s="1327"/>
      <c r="P169" s="1329" t="s">
        <v>439</v>
      </c>
      <c r="Q169" s="1328"/>
      <c r="R169" s="540">
        <f>K169</f>
        <v>2023</v>
      </c>
      <c r="S169" s="540">
        <f>L169</f>
        <v>2020</v>
      </c>
      <c r="T169" s="521">
        <v>2016</v>
      </c>
      <c r="U169" s="1327"/>
      <c r="W169" s="519" t="s">
        <v>18</v>
      </c>
      <c r="X169" s="520">
        <v>2.2999999999999998</v>
      </c>
    </row>
    <row r="170" spans="1:24" ht="13.5" thickBot="1">
      <c r="A170" s="1330"/>
      <c r="B170" s="667">
        <v>1</v>
      </c>
      <c r="C170" s="522">
        <v>15</v>
      </c>
      <c r="D170" s="522">
        <v>0.1</v>
      </c>
      <c r="E170" s="522">
        <v>0.1</v>
      </c>
      <c r="F170" s="534"/>
      <c r="G170" s="524">
        <f>0.5*(MAX(D170:F170)-MIN(D170:F170))</f>
        <v>0</v>
      </c>
      <c r="I170" s="667">
        <v>1</v>
      </c>
      <c r="J170" s="522">
        <v>35</v>
      </c>
      <c r="K170" s="522">
        <v>-2.5</v>
      </c>
      <c r="L170" s="522">
        <v>-1.6</v>
      </c>
      <c r="M170" s="534"/>
      <c r="N170" s="524">
        <f>0.5*(MAX(K170:M170)-MIN(K170:M170))</f>
        <v>0.44999999999999996</v>
      </c>
      <c r="P170" s="667">
        <v>1</v>
      </c>
      <c r="Q170" s="522">
        <v>960</v>
      </c>
      <c r="R170" s="525">
        <v>4.5999999999999996</v>
      </c>
      <c r="S170" s="525">
        <v>-2.9</v>
      </c>
      <c r="T170" s="534"/>
      <c r="U170" s="524">
        <f>0.5*(MAX(R170:T170)-MIN(R170:T170))</f>
        <v>3.75</v>
      </c>
      <c r="W170" s="526" t="s">
        <v>439</v>
      </c>
      <c r="X170" s="527">
        <v>2.2000000000000002</v>
      </c>
    </row>
    <row r="171" spans="1:24" ht="13">
      <c r="A171" s="1330"/>
      <c r="B171" s="667">
        <v>2</v>
      </c>
      <c r="C171" s="522">
        <v>20</v>
      </c>
      <c r="D171" s="522">
        <v>0.3</v>
      </c>
      <c r="E171" s="522">
        <v>0.2</v>
      </c>
      <c r="F171" s="534"/>
      <c r="G171" s="524">
        <f t="shared" ref="G171:G176" si="45">0.5*(MAX(D171:F171)-MIN(D171:F171))</f>
        <v>4.9999999999999989E-2</v>
      </c>
      <c r="I171" s="667">
        <v>2</v>
      </c>
      <c r="J171" s="522">
        <v>40</v>
      </c>
      <c r="K171" s="522">
        <v>-2.2999999999999998</v>
      </c>
      <c r="L171" s="522">
        <v>-1.4</v>
      </c>
      <c r="M171" s="534"/>
      <c r="N171" s="524">
        <f t="shared" ref="N171:N176" si="46">0.5*(MAX(K171:M171)-MIN(K171:M171))</f>
        <v>0.44999999999999996</v>
      </c>
      <c r="P171" s="667">
        <v>2</v>
      </c>
      <c r="Q171" s="522">
        <v>970</v>
      </c>
      <c r="R171" s="525">
        <v>4.5</v>
      </c>
      <c r="S171" s="525">
        <v>-2.2999999999999998</v>
      </c>
      <c r="T171" s="534"/>
      <c r="U171" s="524">
        <f t="shared" ref="U171:U176" si="47">0.5*(MAX(R171:T171)-MIN(R171:T171))</f>
        <v>3.4</v>
      </c>
    </row>
    <row r="172" spans="1:24" ht="13">
      <c r="A172" s="1330"/>
      <c r="B172" s="667">
        <v>3</v>
      </c>
      <c r="C172" s="522">
        <v>25</v>
      </c>
      <c r="D172" s="522">
        <v>0.5</v>
      </c>
      <c r="E172" s="522">
        <v>0.2</v>
      </c>
      <c r="F172" s="534"/>
      <c r="G172" s="524">
        <f t="shared" si="45"/>
        <v>0.15</v>
      </c>
      <c r="I172" s="667">
        <v>3</v>
      </c>
      <c r="J172" s="522">
        <v>50</v>
      </c>
      <c r="K172" s="522">
        <v>-2</v>
      </c>
      <c r="L172" s="522">
        <v>-1.4</v>
      </c>
      <c r="M172" s="534"/>
      <c r="N172" s="524">
        <f t="shared" si="46"/>
        <v>0.30000000000000004</v>
      </c>
      <c r="P172" s="667">
        <v>3</v>
      </c>
      <c r="Q172" s="528">
        <v>980</v>
      </c>
      <c r="R172" s="529">
        <v>4.5</v>
      </c>
      <c r="S172" s="529">
        <v>-1.7</v>
      </c>
      <c r="T172" s="534"/>
      <c r="U172" s="524">
        <f t="shared" si="47"/>
        <v>3.1</v>
      </c>
    </row>
    <row r="173" spans="1:24" ht="13">
      <c r="A173" s="1330"/>
      <c r="B173" s="667">
        <v>4</v>
      </c>
      <c r="C173" s="528">
        <v>30</v>
      </c>
      <c r="D173" s="528">
        <v>0.6</v>
      </c>
      <c r="E173" s="528">
        <v>0.2</v>
      </c>
      <c r="F173" s="534"/>
      <c r="G173" s="524">
        <f t="shared" si="45"/>
        <v>0.19999999999999998</v>
      </c>
      <c r="I173" s="667">
        <v>4</v>
      </c>
      <c r="J173" s="528">
        <v>60</v>
      </c>
      <c r="K173" s="528">
        <v>-1.9</v>
      </c>
      <c r="L173" s="528">
        <v>-1.5</v>
      </c>
      <c r="M173" s="534"/>
      <c r="N173" s="524">
        <f t="shared" si="46"/>
        <v>0.19999999999999996</v>
      </c>
      <c r="P173" s="667">
        <v>4</v>
      </c>
      <c r="Q173" s="528">
        <v>990</v>
      </c>
      <c r="R173" s="529">
        <v>4.4000000000000004</v>
      </c>
      <c r="S173" s="529">
        <v>-1.1000000000000001</v>
      </c>
      <c r="T173" s="534"/>
      <c r="U173" s="524">
        <f t="shared" si="47"/>
        <v>2.75</v>
      </c>
    </row>
    <row r="174" spans="1:24" ht="13">
      <c r="A174" s="1330"/>
      <c r="B174" s="667">
        <v>5</v>
      </c>
      <c r="C174" s="528">
        <v>35</v>
      </c>
      <c r="D174" s="528">
        <v>0.6</v>
      </c>
      <c r="E174" s="528">
        <v>0.1</v>
      </c>
      <c r="F174" s="534"/>
      <c r="G174" s="524">
        <f t="shared" si="45"/>
        <v>0.25</v>
      </c>
      <c r="I174" s="667">
        <v>5</v>
      </c>
      <c r="J174" s="528">
        <v>70</v>
      </c>
      <c r="K174" s="528">
        <v>-2.1</v>
      </c>
      <c r="L174" s="528">
        <v>-1.8</v>
      </c>
      <c r="M174" s="534"/>
      <c r="N174" s="524">
        <f t="shared" si="46"/>
        <v>0.15000000000000002</v>
      </c>
      <c r="P174" s="667">
        <v>5</v>
      </c>
      <c r="Q174" s="528">
        <v>1000</v>
      </c>
      <c r="R174" s="529">
        <v>4.3</v>
      </c>
      <c r="S174" s="529">
        <v>-0.4</v>
      </c>
      <c r="T174" s="534"/>
      <c r="U174" s="524">
        <f t="shared" si="47"/>
        <v>2.35</v>
      </c>
    </row>
    <row r="175" spans="1:24" ht="13">
      <c r="A175" s="1330"/>
      <c r="B175" s="667">
        <v>6</v>
      </c>
      <c r="C175" s="528">
        <v>37</v>
      </c>
      <c r="D175" s="528">
        <v>0.6</v>
      </c>
      <c r="E175" s="528">
        <v>9.9999999999999995E-7</v>
      </c>
      <c r="F175" s="534"/>
      <c r="G175" s="524">
        <f t="shared" si="45"/>
        <v>0.29999949999999997</v>
      </c>
      <c r="I175" s="667">
        <v>6</v>
      </c>
      <c r="J175" s="528">
        <v>80</v>
      </c>
      <c r="K175" s="528">
        <v>-2.5</v>
      </c>
      <c r="L175" s="528">
        <v>-2.2999999999999998</v>
      </c>
      <c r="M175" s="534"/>
      <c r="N175" s="524">
        <f t="shared" si="46"/>
        <v>0.10000000000000009</v>
      </c>
      <c r="P175" s="667">
        <v>6</v>
      </c>
      <c r="Q175" s="528">
        <v>1010</v>
      </c>
      <c r="R175" s="529">
        <v>4.3</v>
      </c>
      <c r="S175" s="529">
        <v>-0.4</v>
      </c>
      <c r="T175" s="534"/>
      <c r="U175" s="524">
        <f t="shared" si="47"/>
        <v>2.35</v>
      </c>
    </row>
    <row r="176" spans="1:24" ht="13">
      <c r="A176" s="1330"/>
      <c r="B176" s="667">
        <v>7</v>
      </c>
      <c r="C176" s="541">
        <v>40</v>
      </c>
      <c r="D176" s="528">
        <v>0.6</v>
      </c>
      <c r="E176" s="528">
        <v>9.9999999999999995E-7</v>
      </c>
      <c r="F176" s="534"/>
      <c r="G176" s="524">
        <f t="shared" si="45"/>
        <v>0.29999949999999997</v>
      </c>
      <c r="I176" s="667">
        <v>7</v>
      </c>
      <c r="J176" s="541">
        <v>90</v>
      </c>
      <c r="K176" s="528">
        <v>-3.1</v>
      </c>
      <c r="L176" s="528">
        <v>-3</v>
      </c>
      <c r="M176" s="534"/>
      <c r="N176" s="524">
        <f t="shared" si="46"/>
        <v>5.0000000000000044E-2</v>
      </c>
      <c r="P176" s="667">
        <v>7</v>
      </c>
      <c r="Q176" s="528">
        <v>1020</v>
      </c>
      <c r="R176" s="529">
        <v>0</v>
      </c>
      <c r="S176" s="529">
        <v>9.9999999999999995E-7</v>
      </c>
      <c r="T176" s="534"/>
      <c r="U176" s="524">
        <f t="shared" si="47"/>
        <v>4.9999999999999998E-7</v>
      </c>
    </row>
    <row r="177" spans="1:24" ht="13" thickBot="1">
      <c r="A177" s="668"/>
      <c r="C177" s="543"/>
      <c r="D177" s="503"/>
      <c r="E177" s="544"/>
      <c r="F177" s="543"/>
      <c r="J177" s="543"/>
      <c r="K177" s="503"/>
      <c r="L177" s="544"/>
      <c r="M177" s="543"/>
      <c r="Q177" s="503"/>
      <c r="R177" s="544"/>
      <c r="S177" s="544"/>
      <c r="T177" s="543"/>
    </row>
    <row r="178" spans="1:24">
      <c r="A178" s="1330">
        <v>17</v>
      </c>
      <c r="B178" s="1331" t="s">
        <v>455</v>
      </c>
      <c r="C178" s="1331"/>
      <c r="D178" s="1331"/>
      <c r="E178" s="1331"/>
      <c r="F178" s="1331"/>
      <c r="G178" s="1331"/>
      <c r="I178" s="1331" t="str">
        <f>B178</f>
        <v>KOREKSI EXTECH A.100617</v>
      </c>
      <c r="J178" s="1331"/>
      <c r="K178" s="1331"/>
      <c r="L178" s="1331"/>
      <c r="M178" s="1331"/>
      <c r="N178" s="1331"/>
      <c r="P178" s="1331" t="str">
        <f>I178</f>
        <v>KOREKSI EXTECH A.100617</v>
      </c>
      <c r="Q178" s="1331"/>
      <c r="R178" s="1331"/>
      <c r="S178" s="1331"/>
      <c r="T178" s="1331"/>
      <c r="U178" s="1331"/>
      <c r="W178" s="1325" t="s">
        <v>396</v>
      </c>
      <c r="X178" s="1326"/>
    </row>
    <row r="179" spans="1:24" ht="13">
      <c r="A179" s="1330"/>
      <c r="B179" s="1327" t="s">
        <v>434</v>
      </c>
      <c r="C179" s="1327"/>
      <c r="D179" s="1327" t="s">
        <v>435</v>
      </c>
      <c r="E179" s="1327"/>
      <c r="F179" s="1327"/>
      <c r="G179" s="1327" t="s">
        <v>385</v>
      </c>
      <c r="I179" s="1327" t="s">
        <v>436</v>
      </c>
      <c r="J179" s="1327"/>
      <c r="K179" s="1327" t="s">
        <v>435</v>
      </c>
      <c r="L179" s="1327"/>
      <c r="M179" s="1327"/>
      <c r="N179" s="1327" t="s">
        <v>385</v>
      </c>
      <c r="P179" s="1327" t="s">
        <v>437</v>
      </c>
      <c r="Q179" s="1327"/>
      <c r="R179" s="1327" t="s">
        <v>435</v>
      </c>
      <c r="S179" s="1327"/>
      <c r="T179" s="1327"/>
      <c r="U179" s="1327" t="s">
        <v>385</v>
      </c>
      <c r="W179" s="519" t="s">
        <v>434</v>
      </c>
      <c r="X179" s="520">
        <v>0.8</v>
      </c>
    </row>
    <row r="180" spans="1:24" ht="14.5">
      <c r="A180" s="1330"/>
      <c r="B180" s="1328" t="s">
        <v>438</v>
      </c>
      <c r="C180" s="1328"/>
      <c r="D180" s="521">
        <v>2023</v>
      </c>
      <c r="E180" s="521">
        <v>2020</v>
      </c>
      <c r="F180" s="521">
        <v>2016</v>
      </c>
      <c r="G180" s="1327"/>
      <c r="I180" s="1329" t="s">
        <v>18</v>
      </c>
      <c r="J180" s="1328"/>
      <c r="K180" s="540">
        <f>D180</f>
        <v>2023</v>
      </c>
      <c r="L180" s="540">
        <f>E180</f>
        <v>2020</v>
      </c>
      <c r="M180" s="521">
        <v>2016</v>
      </c>
      <c r="N180" s="1327"/>
      <c r="P180" s="1329" t="s">
        <v>439</v>
      </c>
      <c r="Q180" s="1328"/>
      <c r="R180" s="540">
        <f>K180</f>
        <v>2023</v>
      </c>
      <c r="S180" s="540">
        <f>L180</f>
        <v>2020</v>
      </c>
      <c r="T180" s="521">
        <v>2016</v>
      </c>
      <c r="U180" s="1327"/>
      <c r="W180" s="519" t="s">
        <v>18</v>
      </c>
      <c r="X180" s="520">
        <v>2.2999999999999998</v>
      </c>
    </row>
    <row r="181" spans="1:24" ht="13.5" thickBot="1">
      <c r="A181" s="1330"/>
      <c r="B181" s="667">
        <v>1</v>
      </c>
      <c r="C181" s="522">
        <v>15</v>
      </c>
      <c r="D181" s="522">
        <v>0.2</v>
      </c>
      <c r="E181" s="522">
        <v>0.1</v>
      </c>
      <c r="F181" s="534"/>
      <c r="G181" s="524">
        <f t="shared" ref="G181:G187" si="48">0.5*(MAX(D181:F181)-MIN(D181:F181))</f>
        <v>0.05</v>
      </c>
      <c r="I181" s="667">
        <v>1</v>
      </c>
      <c r="J181" s="522">
        <v>35</v>
      </c>
      <c r="K181" s="522">
        <v>-2.7</v>
      </c>
      <c r="L181" s="522">
        <v>0.1</v>
      </c>
      <c r="M181" s="534"/>
      <c r="N181" s="524">
        <f>0.5*(MAX(K181:M181)-MIN(K181:M181))</f>
        <v>1.4000000000000001</v>
      </c>
      <c r="P181" s="667">
        <v>1</v>
      </c>
      <c r="Q181" s="522">
        <v>960</v>
      </c>
      <c r="R181" s="525">
        <v>4.5999999999999996</v>
      </c>
      <c r="S181" s="525">
        <v>-0.6</v>
      </c>
      <c r="T181" s="534"/>
      <c r="U181" s="524">
        <f>0.5*(MAX(R181:T181)-MIN(R181:T181))</f>
        <v>2.5999999999999996</v>
      </c>
      <c r="W181" s="526" t="s">
        <v>439</v>
      </c>
      <c r="X181" s="527">
        <v>2.1</v>
      </c>
    </row>
    <row r="182" spans="1:24" ht="13">
      <c r="A182" s="1330"/>
      <c r="B182" s="667">
        <v>2</v>
      </c>
      <c r="C182" s="522">
        <v>20</v>
      </c>
      <c r="D182" s="522">
        <v>0.4</v>
      </c>
      <c r="E182" s="522">
        <v>0.1</v>
      </c>
      <c r="F182" s="534"/>
      <c r="G182" s="524">
        <f t="shared" si="48"/>
        <v>0.15000000000000002</v>
      </c>
      <c r="I182" s="667">
        <v>2</v>
      </c>
      <c r="J182" s="522">
        <v>40</v>
      </c>
      <c r="K182" s="522">
        <v>-2.4</v>
      </c>
      <c r="L182" s="522">
        <v>0.2</v>
      </c>
      <c r="M182" s="534"/>
      <c r="N182" s="524">
        <f t="shared" ref="N182:N187" si="49">0.5*(MAX(K182:M182)-MIN(K182:M182))</f>
        <v>1.3</v>
      </c>
      <c r="P182" s="667">
        <v>2</v>
      </c>
      <c r="Q182" s="522">
        <v>970</v>
      </c>
      <c r="R182" s="525">
        <v>4.5</v>
      </c>
      <c r="S182" s="525">
        <v>-0.6</v>
      </c>
      <c r="T182" s="534"/>
      <c r="U182" s="524">
        <f t="shared" ref="U182:U187" si="50">0.5*(MAX(R182:T182)-MIN(R182:T182))</f>
        <v>2.5499999999999998</v>
      </c>
    </row>
    <row r="183" spans="1:24" ht="13">
      <c r="A183" s="1330"/>
      <c r="B183" s="667">
        <v>3</v>
      </c>
      <c r="C183" s="522">
        <v>25</v>
      </c>
      <c r="D183" s="522">
        <v>0.5</v>
      </c>
      <c r="E183" s="522">
        <v>9.9999999999999995E-7</v>
      </c>
      <c r="F183" s="534"/>
      <c r="G183" s="524">
        <f t="shared" si="48"/>
        <v>0.24999950000000001</v>
      </c>
      <c r="I183" s="667">
        <v>3</v>
      </c>
      <c r="J183" s="522">
        <v>50</v>
      </c>
      <c r="K183" s="522">
        <v>-1.9</v>
      </c>
      <c r="L183" s="522">
        <v>0.2</v>
      </c>
      <c r="M183" s="534"/>
      <c r="N183" s="524">
        <f t="shared" si="49"/>
        <v>1.05</v>
      </c>
      <c r="P183" s="667">
        <v>3</v>
      </c>
      <c r="Q183" s="528">
        <v>980</v>
      </c>
      <c r="R183" s="529">
        <v>4.5</v>
      </c>
      <c r="S183" s="529">
        <v>-0.6</v>
      </c>
      <c r="T183" s="534"/>
      <c r="U183" s="524">
        <f t="shared" si="50"/>
        <v>2.5499999999999998</v>
      </c>
    </row>
    <row r="184" spans="1:24" ht="13">
      <c r="A184" s="1330"/>
      <c r="B184" s="667">
        <v>4</v>
      </c>
      <c r="C184" s="528">
        <v>30</v>
      </c>
      <c r="D184" s="528">
        <v>0.6</v>
      </c>
      <c r="E184" s="528">
        <v>-0.2</v>
      </c>
      <c r="F184" s="534"/>
      <c r="G184" s="524">
        <f t="shared" si="48"/>
        <v>0.4</v>
      </c>
      <c r="I184" s="667">
        <v>4</v>
      </c>
      <c r="J184" s="528">
        <v>60</v>
      </c>
      <c r="K184" s="528">
        <v>-1.7</v>
      </c>
      <c r="L184" s="528">
        <v>9.9999999999999995E-7</v>
      </c>
      <c r="M184" s="534"/>
      <c r="N184" s="524">
        <f t="shared" si="49"/>
        <v>0.85000049999999994</v>
      </c>
      <c r="P184" s="667">
        <v>4</v>
      </c>
      <c r="Q184" s="528">
        <v>990</v>
      </c>
      <c r="R184" s="529">
        <v>4.4000000000000004</v>
      </c>
      <c r="S184" s="529">
        <v>-0.6</v>
      </c>
      <c r="T184" s="534"/>
      <c r="U184" s="524">
        <f t="shared" si="50"/>
        <v>2.5</v>
      </c>
    </row>
    <row r="185" spans="1:24" ht="13">
      <c r="A185" s="1330"/>
      <c r="B185" s="667">
        <v>5</v>
      </c>
      <c r="C185" s="528">
        <v>35</v>
      </c>
      <c r="D185" s="528">
        <v>0.7</v>
      </c>
      <c r="E185" s="528">
        <v>-0.5</v>
      </c>
      <c r="F185" s="534"/>
      <c r="G185" s="524">
        <f t="shared" si="48"/>
        <v>0.6</v>
      </c>
      <c r="I185" s="667">
        <v>5</v>
      </c>
      <c r="J185" s="528">
        <v>70</v>
      </c>
      <c r="K185" s="528">
        <v>-1.8</v>
      </c>
      <c r="L185" s="528">
        <v>-0.3</v>
      </c>
      <c r="M185" s="534"/>
      <c r="N185" s="524">
        <f t="shared" si="49"/>
        <v>0.75</v>
      </c>
      <c r="P185" s="667">
        <v>5</v>
      </c>
      <c r="Q185" s="528">
        <v>1000</v>
      </c>
      <c r="R185" s="529">
        <v>4.4000000000000004</v>
      </c>
      <c r="S185" s="529">
        <v>-0.6</v>
      </c>
      <c r="T185" s="534"/>
      <c r="U185" s="524">
        <f t="shared" si="50"/>
        <v>2.5</v>
      </c>
    </row>
    <row r="186" spans="1:24" ht="13">
      <c r="A186" s="1330"/>
      <c r="B186" s="667">
        <v>6</v>
      </c>
      <c r="C186" s="528">
        <v>37</v>
      </c>
      <c r="D186" s="528">
        <v>0.7</v>
      </c>
      <c r="E186" s="528">
        <v>-0.6</v>
      </c>
      <c r="F186" s="534"/>
      <c r="G186" s="524">
        <f t="shared" si="48"/>
        <v>0.64999999999999991</v>
      </c>
      <c r="I186" s="667">
        <v>6</v>
      </c>
      <c r="J186" s="528">
        <v>80</v>
      </c>
      <c r="K186" s="528">
        <v>-2.2000000000000002</v>
      </c>
      <c r="L186" s="528">
        <v>-0.8</v>
      </c>
      <c r="M186" s="534"/>
      <c r="N186" s="524">
        <f t="shared" si="49"/>
        <v>0.70000000000000007</v>
      </c>
      <c r="P186" s="667">
        <v>6</v>
      </c>
      <c r="Q186" s="528">
        <v>1010</v>
      </c>
      <c r="R186" s="529">
        <v>4.4000000000000004</v>
      </c>
      <c r="S186" s="529">
        <v>-0.6</v>
      </c>
      <c r="T186" s="534"/>
      <c r="U186" s="524">
        <f t="shared" si="50"/>
        <v>2.5</v>
      </c>
    </row>
    <row r="187" spans="1:24" ht="13">
      <c r="A187" s="1330"/>
      <c r="B187" s="667">
        <v>7</v>
      </c>
      <c r="C187" s="541">
        <v>40</v>
      </c>
      <c r="D187" s="528">
        <v>0.7</v>
      </c>
      <c r="E187" s="528">
        <v>-0.8</v>
      </c>
      <c r="F187" s="534"/>
      <c r="G187" s="524">
        <f t="shared" si="48"/>
        <v>0.75</v>
      </c>
      <c r="I187" s="667">
        <v>7</v>
      </c>
      <c r="J187" s="541">
        <v>90</v>
      </c>
      <c r="K187" s="528">
        <v>-2.9</v>
      </c>
      <c r="L187" s="528">
        <v>-1.4</v>
      </c>
      <c r="M187" s="534"/>
      <c r="N187" s="524">
        <f t="shared" si="49"/>
        <v>0.75</v>
      </c>
      <c r="P187" s="667">
        <v>7</v>
      </c>
      <c r="Q187" s="528">
        <v>1020</v>
      </c>
      <c r="R187" s="529">
        <v>0</v>
      </c>
      <c r="S187" s="529">
        <v>9.9999999999999995E-7</v>
      </c>
      <c r="T187" s="534"/>
      <c r="U187" s="524">
        <f t="shared" si="50"/>
        <v>4.9999999999999998E-7</v>
      </c>
    </row>
    <row r="188" spans="1:24" ht="13" thickBot="1">
      <c r="A188" s="668"/>
      <c r="C188" s="543"/>
      <c r="D188" s="503"/>
      <c r="E188" s="544"/>
      <c r="F188" s="543"/>
      <c r="J188" s="543"/>
      <c r="K188" s="503"/>
      <c r="L188" s="544"/>
      <c r="M188" s="543"/>
      <c r="Q188" s="503"/>
      <c r="R188" s="544"/>
      <c r="S188" s="544"/>
      <c r="T188" s="543"/>
    </row>
    <row r="189" spans="1:24">
      <c r="A189" s="1330">
        <v>18</v>
      </c>
      <c r="B189" s="1331" t="s">
        <v>456</v>
      </c>
      <c r="C189" s="1331"/>
      <c r="D189" s="1331"/>
      <c r="E189" s="1331"/>
      <c r="F189" s="1331"/>
      <c r="G189" s="1331"/>
      <c r="I189" s="1331" t="str">
        <f>B189</f>
        <v>KOREKSI EXTECH A.100618</v>
      </c>
      <c r="J189" s="1331"/>
      <c r="K189" s="1331"/>
      <c r="L189" s="1331"/>
      <c r="M189" s="1331"/>
      <c r="N189" s="1331"/>
      <c r="P189" s="1331" t="str">
        <f>I189</f>
        <v>KOREKSI EXTECH A.100618</v>
      </c>
      <c r="Q189" s="1331"/>
      <c r="R189" s="1331"/>
      <c r="S189" s="1331"/>
      <c r="T189" s="1331"/>
      <c r="U189" s="1331"/>
      <c r="W189" s="1325" t="s">
        <v>396</v>
      </c>
      <c r="X189" s="1326"/>
    </row>
    <row r="190" spans="1:24" ht="13">
      <c r="A190" s="1330"/>
      <c r="B190" s="1327" t="s">
        <v>434</v>
      </c>
      <c r="C190" s="1327"/>
      <c r="D190" s="1327" t="s">
        <v>435</v>
      </c>
      <c r="E190" s="1327"/>
      <c r="F190" s="1327"/>
      <c r="G190" s="1327" t="s">
        <v>385</v>
      </c>
      <c r="I190" s="1327" t="s">
        <v>436</v>
      </c>
      <c r="J190" s="1327"/>
      <c r="K190" s="1327" t="s">
        <v>435</v>
      </c>
      <c r="L190" s="1327"/>
      <c r="M190" s="1327"/>
      <c r="N190" s="1327" t="s">
        <v>385</v>
      </c>
      <c r="P190" s="1327" t="s">
        <v>437</v>
      </c>
      <c r="Q190" s="1327"/>
      <c r="R190" s="1327" t="s">
        <v>435</v>
      </c>
      <c r="S190" s="1327"/>
      <c r="T190" s="1327"/>
      <c r="U190" s="1327" t="s">
        <v>385</v>
      </c>
      <c r="W190" s="519" t="s">
        <v>434</v>
      </c>
      <c r="X190" s="520">
        <v>0.6</v>
      </c>
    </row>
    <row r="191" spans="1:24" ht="14.5">
      <c r="A191" s="1330"/>
      <c r="B191" s="1328" t="s">
        <v>438</v>
      </c>
      <c r="C191" s="1328"/>
      <c r="D191" s="521">
        <v>2023</v>
      </c>
      <c r="E191" s="521">
        <v>2020</v>
      </c>
      <c r="F191" s="521">
        <v>2016</v>
      </c>
      <c r="G191" s="1327"/>
      <c r="I191" s="1329" t="s">
        <v>18</v>
      </c>
      <c r="J191" s="1328"/>
      <c r="K191" s="540">
        <f>D191</f>
        <v>2023</v>
      </c>
      <c r="L191" s="540">
        <f>E191</f>
        <v>2020</v>
      </c>
      <c r="M191" s="521">
        <v>2016</v>
      </c>
      <c r="N191" s="1327"/>
      <c r="P191" s="1329" t="s">
        <v>439</v>
      </c>
      <c r="Q191" s="1328"/>
      <c r="R191" s="540">
        <f>K191</f>
        <v>2023</v>
      </c>
      <c r="S191" s="540">
        <f>L191</f>
        <v>2020</v>
      </c>
      <c r="T191" s="521">
        <v>2016</v>
      </c>
      <c r="U191" s="1327"/>
      <c r="W191" s="519" t="s">
        <v>18</v>
      </c>
      <c r="X191" s="520">
        <v>2.2999999999999998</v>
      </c>
    </row>
    <row r="192" spans="1:24" ht="13.5" thickBot="1">
      <c r="A192" s="1330"/>
      <c r="B192" s="667">
        <v>1</v>
      </c>
      <c r="C192" s="522">
        <v>15</v>
      </c>
      <c r="D192" s="522">
        <v>0.3</v>
      </c>
      <c r="E192" s="522">
        <v>9.9999999999999995E-7</v>
      </c>
      <c r="F192" s="534"/>
      <c r="G192" s="524">
        <f>0.5*(MAX(D192:F192)-MIN(D192:F192))</f>
        <v>0.14999950000000001</v>
      </c>
      <c r="I192" s="667">
        <v>1</v>
      </c>
      <c r="J192" s="522">
        <v>35</v>
      </c>
      <c r="K192" s="522">
        <v>-3.2</v>
      </c>
      <c r="L192" s="522">
        <v>-0.4</v>
      </c>
      <c r="M192" s="534"/>
      <c r="N192" s="524">
        <f>0.5*(MAX(K192:M192)-MIN(K192:M192))</f>
        <v>1.4000000000000001</v>
      </c>
      <c r="P192" s="667">
        <v>1</v>
      </c>
      <c r="Q192" s="522">
        <v>960</v>
      </c>
      <c r="R192" s="525">
        <v>4.4000000000000004</v>
      </c>
      <c r="S192" s="525">
        <v>-1.5</v>
      </c>
      <c r="T192" s="534"/>
      <c r="U192" s="524">
        <f>0.5*(MAX(R192:T192)-MIN(R192:T192))</f>
        <v>2.95</v>
      </c>
      <c r="W192" s="526" t="s">
        <v>439</v>
      </c>
      <c r="X192" s="527">
        <v>2.1</v>
      </c>
    </row>
    <row r="193" spans="1:24" ht="13">
      <c r="A193" s="1330"/>
      <c r="B193" s="667">
        <v>2</v>
      </c>
      <c r="C193" s="522">
        <v>20</v>
      </c>
      <c r="D193" s="522">
        <v>0.2</v>
      </c>
      <c r="E193" s="522">
        <v>-0.1</v>
      </c>
      <c r="F193" s="534"/>
      <c r="G193" s="524">
        <f t="shared" ref="G193:G198" si="51">0.5*(MAX(D193:F193)-MIN(D193:F193))</f>
        <v>0.15000000000000002</v>
      </c>
      <c r="I193" s="667">
        <v>2</v>
      </c>
      <c r="J193" s="522">
        <v>40</v>
      </c>
      <c r="K193" s="522">
        <v>-2.9</v>
      </c>
      <c r="L193" s="522">
        <v>-0.2</v>
      </c>
      <c r="M193" s="534"/>
      <c r="N193" s="524">
        <f t="shared" ref="N193:N198" si="52">0.5*(MAX(K193:M193)-MIN(K193:M193))</f>
        <v>1.3499999999999999</v>
      </c>
      <c r="P193" s="667">
        <v>2</v>
      </c>
      <c r="Q193" s="522">
        <v>970</v>
      </c>
      <c r="R193" s="525">
        <v>4.4000000000000004</v>
      </c>
      <c r="S193" s="525">
        <v>-1.3</v>
      </c>
      <c r="T193" s="534"/>
      <c r="U193" s="524">
        <f t="shared" ref="U193:U198" si="53">0.5*(MAX(R193:T193)-MIN(R193:T193))</f>
        <v>2.85</v>
      </c>
    </row>
    <row r="194" spans="1:24" ht="13">
      <c r="A194" s="1330"/>
      <c r="B194" s="667">
        <v>3</v>
      </c>
      <c r="C194" s="522">
        <v>25</v>
      </c>
      <c r="D194" s="522">
        <v>0.2</v>
      </c>
      <c r="E194" s="522">
        <v>-0.2</v>
      </c>
      <c r="F194" s="534"/>
      <c r="G194" s="524">
        <f t="shared" si="51"/>
        <v>0.2</v>
      </c>
      <c r="I194" s="667">
        <v>3</v>
      </c>
      <c r="J194" s="522">
        <v>50</v>
      </c>
      <c r="K194" s="522">
        <v>-2.4</v>
      </c>
      <c r="L194" s="522">
        <v>-0.2</v>
      </c>
      <c r="M194" s="534"/>
      <c r="N194" s="524">
        <f t="shared" si="52"/>
        <v>1.0999999999999999</v>
      </c>
      <c r="P194" s="667">
        <v>3</v>
      </c>
      <c r="Q194" s="528">
        <v>980</v>
      </c>
      <c r="R194" s="529">
        <v>4.3</v>
      </c>
      <c r="S194" s="529">
        <v>-1.1000000000000001</v>
      </c>
      <c r="T194" s="534"/>
      <c r="U194" s="524">
        <f t="shared" si="53"/>
        <v>2.7</v>
      </c>
    </row>
    <row r="195" spans="1:24" ht="13">
      <c r="A195" s="1330"/>
      <c r="B195" s="667">
        <v>4</v>
      </c>
      <c r="C195" s="528">
        <v>30</v>
      </c>
      <c r="D195" s="528">
        <v>0.3</v>
      </c>
      <c r="E195" s="528">
        <v>-0.2</v>
      </c>
      <c r="F195" s="534"/>
      <c r="G195" s="524">
        <f t="shared" si="51"/>
        <v>0.25</v>
      </c>
      <c r="I195" s="667">
        <v>4</v>
      </c>
      <c r="J195" s="528">
        <v>60</v>
      </c>
      <c r="K195" s="528">
        <v>-2.1</v>
      </c>
      <c r="L195" s="528">
        <v>-0.2</v>
      </c>
      <c r="M195" s="534"/>
      <c r="N195" s="524">
        <f t="shared" si="52"/>
        <v>0.95000000000000007</v>
      </c>
      <c r="P195" s="667">
        <v>4</v>
      </c>
      <c r="Q195" s="528">
        <v>990</v>
      </c>
      <c r="R195" s="529">
        <v>4.3</v>
      </c>
      <c r="S195" s="529">
        <v>-0.9</v>
      </c>
      <c r="T195" s="534"/>
      <c r="U195" s="524">
        <f t="shared" si="53"/>
        <v>2.6</v>
      </c>
    </row>
    <row r="196" spans="1:24" ht="13">
      <c r="A196" s="1330"/>
      <c r="B196" s="667">
        <v>5</v>
      </c>
      <c r="C196" s="528">
        <v>35</v>
      </c>
      <c r="D196" s="528">
        <v>0.4</v>
      </c>
      <c r="E196" s="528">
        <v>-0.3</v>
      </c>
      <c r="F196" s="534"/>
      <c r="G196" s="524">
        <f t="shared" si="51"/>
        <v>0.35</v>
      </c>
      <c r="I196" s="667">
        <v>5</v>
      </c>
      <c r="J196" s="528">
        <v>70</v>
      </c>
      <c r="K196" s="528">
        <v>-2.2000000000000002</v>
      </c>
      <c r="L196" s="528">
        <v>-0.3</v>
      </c>
      <c r="M196" s="534"/>
      <c r="N196" s="524">
        <f t="shared" si="52"/>
        <v>0.95000000000000007</v>
      </c>
      <c r="P196" s="667">
        <v>5</v>
      </c>
      <c r="Q196" s="528">
        <v>1000</v>
      </c>
      <c r="R196" s="529">
        <v>4.3</v>
      </c>
      <c r="S196" s="529">
        <v>-0.8</v>
      </c>
      <c r="T196" s="534"/>
      <c r="U196" s="524">
        <f t="shared" si="53"/>
        <v>2.5499999999999998</v>
      </c>
    </row>
    <row r="197" spans="1:24" ht="13">
      <c r="A197" s="1330"/>
      <c r="B197" s="667">
        <v>6</v>
      </c>
      <c r="C197" s="528">
        <v>37</v>
      </c>
      <c r="D197" s="528">
        <v>0.4</v>
      </c>
      <c r="E197" s="528">
        <v>-0.3</v>
      </c>
      <c r="F197" s="534"/>
      <c r="G197" s="524">
        <f t="shared" si="51"/>
        <v>0.35</v>
      </c>
      <c r="I197" s="667">
        <v>6</v>
      </c>
      <c r="J197" s="528">
        <v>80</v>
      </c>
      <c r="K197" s="528">
        <v>-2.4</v>
      </c>
      <c r="L197" s="528">
        <v>-0.5</v>
      </c>
      <c r="M197" s="534"/>
      <c r="N197" s="524">
        <f t="shared" si="52"/>
        <v>0.95</v>
      </c>
      <c r="P197" s="667">
        <v>6</v>
      </c>
      <c r="Q197" s="528">
        <v>1010</v>
      </c>
      <c r="R197" s="529">
        <v>4.2</v>
      </c>
      <c r="S197" s="529">
        <v>-0.7</v>
      </c>
      <c r="T197" s="534"/>
      <c r="U197" s="524">
        <f t="shared" si="53"/>
        <v>2.4500000000000002</v>
      </c>
    </row>
    <row r="198" spans="1:24" ht="13">
      <c r="A198" s="1330"/>
      <c r="B198" s="667">
        <v>7</v>
      </c>
      <c r="C198" s="541">
        <v>40</v>
      </c>
      <c r="D198" s="528">
        <v>0.5</v>
      </c>
      <c r="E198" s="528">
        <v>-0.4</v>
      </c>
      <c r="F198" s="534"/>
      <c r="G198" s="524">
        <f t="shared" si="51"/>
        <v>0.45</v>
      </c>
      <c r="I198" s="667">
        <v>7</v>
      </c>
      <c r="J198" s="541">
        <v>90</v>
      </c>
      <c r="K198" s="528">
        <v>-3</v>
      </c>
      <c r="L198" s="528">
        <v>-0.8</v>
      </c>
      <c r="M198" s="534"/>
      <c r="N198" s="524">
        <f t="shared" si="52"/>
        <v>1.1000000000000001</v>
      </c>
      <c r="P198" s="667">
        <v>7</v>
      </c>
      <c r="Q198" s="528">
        <v>1020</v>
      </c>
      <c r="R198" s="529">
        <v>0</v>
      </c>
      <c r="S198" s="529">
        <v>9.9999999999999995E-7</v>
      </c>
      <c r="T198" s="534"/>
      <c r="U198" s="524">
        <f t="shared" si="53"/>
        <v>4.9999999999999998E-7</v>
      </c>
    </row>
    <row r="199" spans="1:24" ht="13" thickBot="1">
      <c r="A199" s="668"/>
      <c r="C199" s="543"/>
      <c r="D199" s="503"/>
      <c r="E199" s="544"/>
      <c r="F199" s="543"/>
      <c r="I199" s="543"/>
      <c r="J199" s="503"/>
      <c r="K199" s="544"/>
      <c r="L199" s="543"/>
      <c r="O199" s="503"/>
      <c r="P199" s="544"/>
      <c r="Q199" s="544"/>
      <c r="R199" s="543"/>
    </row>
    <row r="200" spans="1:24">
      <c r="A200" s="1330">
        <v>19</v>
      </c>
      <c r="B200" s="1331" t="s">
        <v>457</v>
      </c>
      <c r="C200" s="1331"/>
      <c r="D200" s="1331"/>
      <c r="E200" s="1331"/>
      <c r="F200" s="1331"/>
      <c r="G200" s="1331"/>
      <c r="I200" s="1331" t="str">
        <f>B200</f>
        <v>KOREKSI EXTECH A.100615</v>
      </c>
      <c r="J200" s="1331"/>
      <c r="K200" s="1331"/>
      <c r="L200" s="1331"/>
      <c r="M200" s="1331"/>
      <c r="N200" s="1331"/>
      <c r="P200" s="1331" t="str">
        <f>I200</f>
        <v>KOREKSI EXTECH A.100615</v>
      </c>
      <c r="Q200" s="1331"/>
      <c r="R200" s="1331"/>
      <c r="S200" s="1331"/>
      <c r="T200" s="1331"/>
      <c r="U200" s="1331"/>
      <c r="W200" s="1325" t="s">
        <v>396</v>
      </c>
      <c r="X200" s="1326"/>
    </row>
    <row r="201" spans="1:24" ht="13">
      <c r="A201" s="1330"/>
      <c r="B201" s="1327" t="s">
        <v>434</v>
      </c>
      <c r="C201" s="1327"/>
      <c r="D201" s="1327" t="s">
        <v>435</v>
      </c>
      <c r="E201" s="1327"/>
      <c r="F201" s="1327"/>
      <c r="G201" s="1327" t="s">
        <v>385</v>
      </c>
      <c r="I201" s="1327" t="s">
        <v>436</v>
      </c>
      <c r="J201" s="1327"/>
      <c r="K201" s="1327" t="s">
        <v>435</v>
      </c>
      <c r="L201" s="1327"/>
      <c r="M201" s="1327"/>
      <c r="N201" s="1327" t="s">
        <v>385</v>
      </c>
      <c r="P201" s="1327" t="s">
        <v>437</v>
      </c>
      <c r="Q201" s="1327"/>
      <c r="R201" s="1327" t="s">
        <v>435</v>
      </c>
      <c r="S201" s="1327"/>
      <c r="T201" s="1327"/>
      <c r="U201" s="1327" t="s">
        <v>385</v>
      </c>
      <c r="W201" s="519" t="s">
        <v>434</v>
      </c>
      <c r="X201" s="520">
        <v>0.5</v>
      </c>
    </row>
    <row r="202" spans="1:24" ht="14.5">
      <c r="A202" s="1330"/>
      <c r="B202" s="1328" t="s">
        <v>438</v>
      </c>
      <c r="C202" s="1328"/>
      <c r="D202" s="521">
        <v>2023</v>
      </c>
      <c r="E202" s="521">
        <v>2021</v>
      </c>
      <c r="F202" s="521">
        <v>2016</v>
      </c>
      <c r="G202" s="1327"/>
      <c r="I202" s="1329" t="s">
        <v>18</v>
      </c>
      <c r="J202" s="1328"/>
      <c r="K202" s="540">
        <f>D202</f>
        <v>2023</v>
      </c>
      <c r="L202" s="540">
        <f>E202</f>
        <v>2021</v>
      </c>
      <c r="M202" s="521">
        <v>2016</v>
      </c>
      <c r="N202" s="1327"/>
      <c r="P202" s="1329" t="s">
        <v>439</v>
      </c>
      <c r="Q202" s="1328"/>
      <c r="R202" s="540">
        <f>K202</f>
        <v>2023</v>
      </c>
      <c r="S202" s="540">
        <f>L202</f>
        <v>2021</v>
      </c>
      <c r="T202" s="521">
        <v>2016</v>
      </c>
      <c r="U202" s="1327"/>
      <c r="W202" s="519" t="s">
        <v>18</v>
      </c>
      <c r="X202" s="520">
        <v>2.2999999999999998</v>
      </c>
    </row>
    <row r="203" spans="1:24" ht="13.5" thickBot="1">
      <c r="A203" s="1330"/>
      <c r="B203" s="667">
        <v>1</v>
      </c>
      <c r="C203" s="522">
        <v>15</v>
      </c>
      <c r="D203" s="522">
        <v>0.2</v>
      </c>
      <c r="E203" s="522">
        <v>9.9999999999999995E-7</v>
      </c>
      <c r="F203" s="534"/>
      <c r="G203" s="524">
        <f>0.5*(MAX(D203:F203)-MIN(D203:F203))</f>
        <v>9.9999500000000005E-2</v>
      </c>
      <c r="I203" s="667">
        <v>1</v>
      </c>
      <c r="J203" s="522">
        <v>35</v>
      </c>
      <c r="K203" s="522">
        <v>-2.2000000000000002</v>
      </c>
      <c r="L203" s="522">
        <v>-1.5</v>
      </c>
      <c r="M203" s="534"/>
      <c r="N203" s="524">
        <f>0.5*(MAX(K203:M203)-MIN(K203:M203))</f>
        <v>0.35000000000000009</v>
      </c>
      <c r="P203" s="667">
        <v>1</v>
      </c>
      <c r="Q203" s="522">
        <v>750</v>
      </c>
      <c r="R203" s="525">
        <v>4.5</v>
      </c>
      <c r="S203" s="525">
        <v>2.5</v>
      </c>
      <c r="T203" s="534"/>
      <c r="U203" s="524">
        <f>0.5*(MAX(R203:T203)-MIN(R203:T203))</f>
        <v>1</v>
      </c>
      <c r="W203" s="526" t="s">
        <v>439</v>
      </c>
      <c r="X203" s="527">
        <v>2.1</v>
      </c>
    </row>
    <row r="204" spans="1:24" ht="13">
      <c r="A204" s="1330"/>
      <c r="B204" s="667">
        <v>2</v>
      </c>
      <c r="C204" s="522">
        <v>20</v>
      </c>
      <c r="D204" s="522">
        <v>0.3</v>
      </c>
      <c r="E204" s="522">
        <v>0.1</v>
      </c>
      <c r="F204" s="534"/>
      <c r="G204" s="524">
        <f t="shared" ref="G204:G209" si="54">0.5*(MAX(D204:F204)-MIN(D204:F204))</f>
        <v>9.9999999999999992E-2</v>
      </c>
      <c r="I204" s="667">
        <v>2</v>
      </c>
      <c r="J204" s="522">
        <v>40</v>
      </c>
      <c r="K204" s="522">
        <v>-2.4</v>
      </c>
      <c r="L204" s="522">
        <v>-0.8</v>
      </c>
      <c r="M204" s="534"/>
      <c r="N204" s="524">
        <f t="shared" ref="N204:N209" si="55">0.5*(MAX(K204:M204)-MIN(K204:M204))</f>
        <v>0.79999999999999993</v>
      </c>
      <c r="P204" s="667">
        <v>2</v>
      </c>
      <c r="Q204" s="522">
        <v>800</v>
      </c>
      <c r="R204" s="525">
        <v>4.5</v>
      </c>
      <c r="S204" s="525">
        <v>2.5</v>
      </c>
      <c r="T204" s="534"/>
      <c r="U204" s="524">
        <f t="shared" ref="U204:U209" si="56">0.5*(MAX(R204:T204)-MIN(R204:T204))</f>
        <v>1</v>
      </c>
    </row>
    <row r="205" spans="1:24" ht="13">
      <c r="A205" s="1330"/>
      <c r="B205" s="667">
        <v>3</v>
      </c>
      <c r="C205" s="522">
        <v>25</v>
      </c>
      <c r="D205" s="522">
        <v>0.4</v>
      </c>
      <c r="E205" s="522">
        <v>9.9999999999999995E-7</v>
      </c>
      <c r="F205" s="534"/>
      <c r="G205" s="524">
        <f t="shared" si="54"/>
        <v>0.19999950000000002</v>
      </c>
      <c r="I205" s="667">
        <v>3</v>
      </c>
      <c r="J205" s="522">
        <v>50</v>
      </c>
      <c r="K205" s="522">
        <v>-2.7</v>
      </c>
      <c r="L205" s="522">
        <v>-0.2</v>
      </c>
      <c r="M205" s="534"/>
      <c r="N205" s="524">
        <f t="shared" si="55"/>
        <v>1.25</v>
      </c>
      <c r="P205" s="667">
        <v>3</v>
      </c>
      <c r="Q205" s="522">
        <v>850</v>
      </c>
      <c r="R205" s="525">
        <v>4.4000000000000004</v>
      </c>
      <c r="S205" s="525">
        <v>2.4</v>
      </c>
      <c r="T205" s="534"/>
      <c r="U205" s="524">
        <f t="shared" si="56"/>
        <v>1.0000000000000002</v>
      </c>
    </row>
    <row r="206" spans="1:24" ht="13">
      <c r="A206" s="1330"/>
      <c r="B206" s="667">
        <v>4</v>
      </c>
      <c r="C206" s="528">
        <v>30</v>
      </c>
      <c r="D206" s="528">
        <v>0.5</v>
      </c>
      <c r="E206" s="528">
        <v>-0.1</v>
      </c>
      <c r="F206" s="534"/>
      <c r="G206" s="524">
        <f t="shared" si="54"/>
        <v>0.3</v>
      </c>
      <c r="I206" s="667">
        <v>4</v>
      </c>
      <c r="J206" s="528">
        <v>60</v>
      </c>
      <c r="K206" s="528">
        <v>-2.7</v>
      </c>
      <c r="L206" s="528">
        <v>0.4</v>
      </c>
      <c r="M206" s="534"/>
      <c r="N206" s="524">
        <f t="shared" si="55"/>
        <v>1.55</v>
      </c>
      <c r="P206" s="667">
        <v>4</v>
      </c>
      <c r="Q206" s="528">
        <v>900</v>
      </c>
      <c r="R206" s="529">
        <v>4.4000000000000004</v>
      </c>
      <c r="S206" s="529">
        <v>2.2999999999999998</v>
      </c>
      <c r="T206" s="534"/>
      <c r="U206" s="524">
        <f t="shared" si="56"/>
        <v>1.0500000000000003</v>
      </c>
    </row>
    <row r="207" spans="1:24" ht="13">
      <c r="A207" s="1330"/>
      <c r="B207" s="667">
        <v>5</v>
      </c>
      <c r="C207" s="528">
        <v>35</v>
      </c>
      <c r="D207" s="528">
        <v>0.5</v>
      </c>
      <c r="E207" s="528">
        <v>-0.1</v>
      </c>
      <c r="F207" s="534"/>
      <c r="G207" s="524">
        <f t="shared" si="54"/>
        <v>0.3</v>
      </c>
      <c r="I207" s="667">
        <v>5</v>
      </c>
      <c r="J207" s="528">
        <v>70</v>
      </c>
      <c r="K207" s="528">
        <v>-2.6</v>
      </c>
      <c r="L207" s="528">
        <v>-0.7</v>
      </c>
      <c r="M207" s="534"/>
      <c r="N207" s="524">
        <f t="shared" si="55"/>
        <v>0.95000000000000007</v>
      </c>
      <c r="P207" s="667">
        <v>5</v>
      </c>
      <c r="Q207" s="528">
        <v>950</v>
      </c>
      <c r="R207" s="529">
        <v>4.4000000000000004</v>
      </c>
      <c r="S207" s="529">
        <v>2.4</v>
      </c>
      <c r="T207" s="534"/>
      <c r="U207" s="524">
        <f t="shared" si="56"/>
        <v>1.0000000000000002</v>
      </c>
    </row>
    <row r="208" spans="1:24" ht="13">
      <c r="A208" s="1330"/>
      <c r="B208" s="667">
        <v>6</v>
      </c>
      <c r="C208" s="528">
        <v>37</v>
      </c>
      <c r="D208" s="528">
        <v>0.5</v>
      </c>
      <c r="E208" s="528">
        <v>9.9999999999999995E-7</v>
      </c>
      <c r="F208" s="534"/>
      <c r="G208" s="524">
        <f t="shared" si="54"/>
        <v>0.24999950000000001</v>
      </c>
      <c r="I208" s="667">
        <v>6</v>
      </c>
      <c r="J208" s="528">
        <v>80</v>
      </c>
      <c r="K208" s="528">
        <v>-2.2000000000000002</v>
      </c>
      <c r="L208" s="528">
        <v>-0.9</v>
      </c>
      <c r="M208" s="534"/>
      <c r="N208" s="524">
        <f t="shared" si="55"/>
        <v>0.65000000000000013</v>
      </c>
      <c r="P208" s="667">
        <v>6</v>
      </c>
      <c r="Q208" s="528">
        <v>1000</v>
      </c>
      <c r="R208" s="529">
        <v>4.3</v>
      </c>
      <c r="S208" s="529">
        <v>2.2000000000000002</v>
      </c>
      <c r="T208" s="534"/>
      <c r="U208" s="524">
        <f t="shared" si="56"/>
        <v>1.0499999999999998</v>
      </c>
    </row>
    <row r="209" spans="1:31" ht="13">
      <c r="A209" s="1330"/>
      <c r="B209" s="667">
        <v>7</v>
      </c>
      <c r="C209" s="541">
        <v>40</v>
      </c>
      <c r="D209" s="528">
        <v>0.6</v>
      </c>
      <c r="E209" s="528">
        <v>0.2</v>
      </c>
      <c r="F209" s="534"/>
      <c r="G209" s="524">
        <f t="shared" si="54"/>
        <v>0.19999999999999998</v>
      </c>
      <c r="I209" s="667">
        <v>7</v>
      </c>
      <c r="J209" s="541">
        <v>90</v>
      </c>
      <c r="K209" s="528">
        <v>-1.7</v>
      </c>
      <c r="L209" s="528">
        <v>-0.6</v>
      </c>
      <c r="M209" s="534"/>
      <c r="N209" s="524">
        <f t="shared" si="55"/>
        <v>0.55000000000000004</v>
      </c>
      <c r="P209" s="667">
        <v>7</v>
      </c>
      <c r="Q209" s="528">
        <v>1050</v>
      </c>
      <c r="R209" s="529">
        <v>0</v>
      </c>
      <c r="S209" s="529">
        <v>2.2999999999999998</v>
      </c>
      <c r="T209" s="534"/>
      <c r="U209" s="524">
        <f t="shared" si="56"/>
        <v>1.1499999999999999</v>
      </c>
    </row>
    <row r="210" spans="1:31" ht="13" thickBot="1">
      <c r="A210" s="668"/>
      <c r="C210" s="543"/>
      <c r="D210" s="503"/>
      <c r="E210" s="544"/>
      <c r="F210" s="543"/>
      <c r="J210" s="543"/>
      <c r="K210" s="503"/>
      <c r="L210" s="544"/>
      <c r="M210" s="543"/>
      <c r="Q210" s="503"/>
      <c r="R210" s="544"/>
      <c r="S210" s="544"/>
      <c r="T210" s="543"/>
    </row>
    <row r="211" spans="1:31">
      <c r="A211" s="1340">
        <v>20</v>
      </c>
      <c r="B211" s="1344">
        <v>20</v>
      </c>
      <c r="C211" s="1344"/>
      <c r="D211" s="1344"/>
      <c r="E211" s="1344"/>
      <c r="F211" s="1344"/>
      <c r="G211" s="1344"/>
      <c r="H211" s="345"/>
      <c r="I211" s="1344">
        <f>B211</f>
        <v>20</v>
      </c>
      <c r="J211" s="1344"/>
      <c r="K211" s="1344"/>
      <c r="L211" s="1344"/>
      <c r="M211" s="1344"/>
      <c r="N211" s="1344"/>
      <c r="O211" s="345"/>
      <c r="P211" s="1344">
        <f>I211</f>
        <v>20</v>
      </c>
      <c r="Q211" s="1344"/>
      <c r="R211" s="1344"/>
      <c r="S211" s="1344"/>
      <c r="T211" s="1344"/>
      <c r="U211" s="1344"/>
      <c r="W211" s="1325" t="s">
        <v>396</v>
      </c>
      <c r="X211" s="1326"/>
    </row>
    <row r="212" spans="1:31" ht="13">
      <c r="A212" s="1340"/>
      <c r="B212" s="1327" t="s">
        <v>434</v>
      </c>
      <c r="C212" s="1327"/>
      <c r="D212" s="1327" t="s">
        <v>435</v>
      </c>
      <c r="E212" s="1327"/>
      <c r="F212" s="1327"/>
      <c r="G212" s="1327" t="s">
        <v>385</v>
      </c>
      <c r="I212" s="1327" t="s">
        <v>436</v>
      </c>
      <c r="J212" s="1327"/>
      <c r="K212" s="1327" t="s">
        <v>435</v>
      </c>
      <c r="L212" s="1327"/>
      <c r="M212" s="1327"/>
      <c r="N212" s="1327" t="s">
        <v>385</v>
      </c>
      <c r="P212" s="1327" t="s">
        <v>437</v>
      </c>
      <c r="Q212" s="1327"/>
      <c r="R212" s="1327" t="s">
        <v>435</v>
      </c>
      <c r="S212" s="1327"/>
      <c r="T212" s="1327"/>
      <c r="U212" s="1327" t="s">
        <v>385</v>
      </c>
      <c r="W212" s="519" t="s">
        <v>434</v>
      </c>
      <c r="X212" s="520">
        <v>0</v>
      </c>
    </row>
    <row r="213" spans="1:31" ht="14.5">
      <c r="A213" s="1340"/>
      <c r="B213" s="1328" t="s">
        <v>438</v>
      </c>
      <c r="C213" s="1328"/>
      <c r="D213" s="521">
        <v>2017</v>
      </c>
      <c r="E213" s="539" t="s">
        <v>161</v>
      </c>
      <c r="F213" s="521">
        <v>2016</v>
      </c>
      <c r="G213" s="1327"/>
      <c r="I213" s="1329" t="s">
        <v>18</v>
      </c>
      <c r="J213" s="1328"/>
      <c r="K213" s="540">
        <f>D213</f>
        <v>2017</v>
      </c>
      <c r="L213" s="540" t="str">
        <f>E213</f>
        <v>-</v>
      </c>
      <c r="M213" s="521">
        <v>2016</v>
      </c>
      <c r="N213" s="1327"/>
      <c r="P213" s="1329" t="s">
        <v>439</v>
      </c>
      <c r="Q213" s="1328"/>
      <c r="R213" s="540">
        <f>K213</f>
        <v>2017</v>
      </c>
      <c r="S213" s="540" t="str">
        <f>L213</f>
        <v>-</v>
      </c>
      <c r="T213" s="521">
        <v>2016</v>
      </c>
      <c r="U213" s="1327"/>
      <c r="W213" s="519" t="s">
        <v>18</v>
      </c>
      <c r="X213" s="520">
        <v>0</v>
      </c>
    </row>
    <row r="214" spans="1:31" ht="13.5" thickBot="1">
      <c r="A214" s="1340"/>
      <c r="B214" s="667">
        <v>1</v>
      </c>
      <c r="C214" s="522">
        <v>14.8</v>
      </c>
      <c r="D214" s="522">
        <v>9.9999999999999995E-7</v>
      </c>
      <c r="E214" s="523" t="s">
        <v>161</v>
      </c>
      <c r="F214" s="522">
        <v>9.9999999999999995E-7</v>
      </c>
      <c r="G214" s="524">
        <f>0.5*(MAX(D214:F214)-MIN(D214:F214))</f>
        <v>0</v>
      </c>
      <c r="I214" s="667">
        <v>1</v>
      </c>
      <c r="J214" s="522">
        <v>45.7</v>
      </c>
      <c r="K214" s="522">
        <v>9.9999999999999995E-7</v>
      </c>
      <c r="L214" s="523" t="s">
        <v>161</v>
      </c>
      <c r="M214" s="534"/>
      <c r="N214" s="524">
        <f>0.5*(MAX(K214:M214)-MIN(K214:M214))</f>
        <v>0</v>
      </c>
      <c r="P214" s="667">
        <v>1</v>
      </c>
      <c r="Q214" s="522">
        <v>750</v>
      </c>
      <c r="R214" s="525">
        <v>9.9999999999999995E-7</v>
      </c>
      <c r="S214" s="523" t="s">
        <v>161</v>
      </c>
      <c r="T214" s="522">
        <v>9.9999999999999995E-7</v>
      </c>
      <c r="U214" s="524">
        <f>0.5*(MAX(R214:T214)-MIN(R214:T214))</f>
        <v>0</v>
      </c>
      <c r="W214" s="526" t="s">
        <v>439</v>
      </c>
      <c r="X214" s="527">
        <v>0</v>
      </c>
    </row>
    <row r="215" spans="1:31" ht="13">
      <c r="A215" s="1340"/>
      <c r="B215" s="667">
        <v>2</v>
      </c>
      <c r="C215" s="522">
        <v>19.7</v>
      </c>
      <c r="D215" s="522">
        <v>9.9999999999999995E-7</v>
      </c>
      <c r="E215" s="523" t="s">
        <v>161</v>
      </c>
      <c r="F215" s="522">
        <v>9.9999999999999995E-7</v>
      </c>
      <c r="G215" s="524">
        <f t="shared" ref="G215:G220" si="57">0.5*(MAX(D215:F215)-MIN(D215:F215))</f>
        <v>0</v>
      </c>
      <c r="I215" s="667">
        <v>2</v>
      </c>
      <c r="J215" s="522">
        <v>54.3</v>
      </c>
      <c r="K215" s="522">
        <v>9.9999999999999995E-7</v>
      </c>
      <c r="L215" s="523" t="s">
        <v>161</v>
      </c>
      <c r="M215" s="534"/>
      <c r="N215" s="524">
        <f t="shared" ref="N215:N220" si="58">0.5*(MAX(K215:M215)-MIN(K215:M215))</f>
        <v>0</v>
      </c>
      <c r="P215" s="667">
        <v>2</v>
      </c>
      <c r="Q215" s="522">
        <v>800</v>
      </c>
      <c r="R215" s="525">
        <v>9.9999999999999995E-7</v>
      </c>
      <c r="S215" s="523" t="s">
        <v>161</v>
      </c>
      <c r="T215" s="522">
        <v>9.9999999999999995E-7</v>
      </c>
      <c r="U215" s="524">
        <f t="shared" ref="U215:U220" si="59">0.5*(MAX(R215:T215)-MIN(R215:T215))</f>
        <v>0</v>
      </c>
    </row>
    <row r="216" spans="1:31" ht="13">
      <c r="A216" s="1340"/>
      <c r="B216" s="667">
        <v>3</v>
      </c>
      <c r="C216" s="522">
        <v>24.6</v>
      </c>
      <c r="D216" s="522">
        <v>9.9999999999999995E-7</v>
      </c>
      <c r="E216" s="523" t="s">
        <v>161</v>
      </c>
      <c r="F216" s="522">
        <v>9.9999999999999995E-7</v>
      </c>
      <c r="G216" s="524">
        <f t="shared" si="57"/>
        <v>0</v>
      </c>
      <c r="I216" s="667">
        <v>3</v>
      </c>
      <c r="J216" s="522">
        <v>62.5</v>
      </c>
      <c r="K216" s="522">
        <v>9.9999999999999995E-7</v>
      </c>
      <c r="L216" s="523" t="s">
        <v>161</v>
      </c>
      <c r="M216" s="534"/>
      <c r="N216" s="524">
        <f t="shared" si="58"/>
        <v>0</v>
      </c>
      <c r="P216" s="667">
        <v>3</v>
      </c>
      <c r="Q216" s="522">
        <v>850</v>
      </c>
      <c r="R216" s="525">
        <v>9.9999999999999995E-7</v>
      </c>
      <c r="S216" s="523" t="s">
        <v>161</v>
      </c>
      <c r="T216" s="522">
        <v>9.9999999999999995E-7</v>
      </c>
      <c r="U216" s="524">
        <f t="shared" si="59"/>
        <v>0</v>
      </c>
    </row>
    <row r="217" spans="1:31" ht="13">
      <c r="A217" s="1340"/>
      <c r="B217" s="667">
        <v>4</v>
      </c>
      <c r="C217" s="528">
        <v>29.5</v>
      </c>
      <c r="D217" s="522">
        <v>9.9999999999999995E-7</v>
      </c>
      <c r="E217" s="529" t="s">
        <v>161</v>
      </c>
      <c r="F217" s="522">
        <v>9.9999999999999995E-7</v>
      </c>
      <c r="G217" s="524">
        <f t="shared" si="57"/>
        <v>0</v>
      </c>
      <c r="I217" s="667">
        <v>4</v>
      </c>
      <c r="J217" s="528">
        <v>71.5</v>
      </c>
      <c r="K217" s="522">
        <v>9.9999999999999995E-7</v>
      </c>
      <c r="L217" s="529" t="s">
        <v>161</v>
      </c>
      <c r="M217" s="534"/>
      <c r="N217" s="524">
        <f t="shared" si="58"/>
        <v>0</v>
      </c>
      <c r="P217" s="667">
        <v>4</v>
      </c>
      <c r="Q217" s="528">
        <v>900</v>
      </c>
      <c r="R217" s="525">
        <v>9.9999999999999995E-7</v>
      </c>
      <c r="S217" s="529" t="s">
        <v>161</v>
      </c>
      <c r="T217" s="522">
        <v>9.9999999999999995E-7</v>
      </c>
      <c r="U217" s="524">
        <f t="shared" si="59"/>
        <v>0</v>
      </c>
    </row>
    <row r="218" spans="1:31" ht="13">
      <c r="A218" s="1340"/>
      <c r="B218" s="667">
        <v>5</v>
      </c>
      <c r="C218" s="528">
        <v>34.5</v>
      </c>
      <c r="D218" s="522">
        <v>9.9999999999999995E-7</v>
      </c>
      <c r="E218" s="529" t="s">
        <v>161</v>
      </c>
      <c r="F218" s="522">
        <v>9.9999999999999995E-7</v>
      </c>
      <c r="G218" s="524">
        <f t="shared" si="57"/>
        <v>0</v>
      </c>
      <c r="I218" s="667">
        <v>5</v>
      </c>
      <c r="J218" s="528">
        <v>80.8</v>
      </c>
      <c r="K218" s="522">
        <v>9.9999999999999995E-7</v>
      </c>
      <c r="L218" s="529" t="s">
        <v>161</v>
      </c>
      <c r="M218" s="534"/>
      <c r="N218" s="524">
        <f t="shared" si="58"/>
        <v>0</v>
      </c>
      <c r="P218" s="667">
        <v>5</v>
      </c>
      <c r="Q218" s="528">
        <v>1000</v>
      </c>
      <c r="R218" s="525">
        <v>9.9999999999999995E-7</v>
      </c>
      <c r="S218" s="529" t="s">
        <v>161</v>
      </c>
      <c r="T218" s="522">
        <v>9.9999999999999995E-7</v>
      </c>
      <c r="U218" s="524">
        <f t="shared" si="59"/>
        <v>0</v>
      </c>
    </row>
    <row r="219" spans="1:31" ht="13">
      <c r="A219" s="1340"/>
      <c r="B219" s="667">
        <v>6</v>
      </c>
      <c r="C219" s="528">
        <v>39.5</v>
      </c>
      <c r="D219" s="522">
        <v>9.9999999999999995E-7</v>
      </c>
      <c r="E219" s="529" t="s">
        <v>161</v>
      </c>
      <c r="F219" s="522">
        <v>9.9999999999999995E-7</v>
      </c>
      <c r="G219" s="524">
        <f t="shared" si="57"/>
        <v>0</v>
      </c>
      <c r="I219" s="667">
        <v>6</v>
      </c>
      <c r="J219" s="528">
        <v>88.7</v>
      </c>
      <c r="K219" s="522">
        <v>9.9999999999999995E-7</v>
      </c>
      <c r="L219" s="529" t="s">
        <v>161</v>
      </c>
      <c r="M219" s="534"/>
      <c r="N219" s="524">
        <f t="shared" si="58"/>
        <v>0</v>
      </c>
      <c r="P219" s="667">
        <v>6</v>
      </c>
      <c r="Q219" s="528">
        <v>1005</v>
      </c>
      <c r="R219" s="525">
        <v>9.9999999999999995E-7</v>
      </c>
      <c r="S219" s="529" t="s">
        <v>161</v>
      </c>
      <c r="T219" s="522">
        <v>9.9999999999999995E-7</v>
      </c>
      <c r="U219" s="524">
        <f t="shared" si="59"/>
        <v>0</v>
      </c>
    </row>
    <row r="220" spans="1:31" ht="13">
      <c r="A220" s="1340"/>
      <c r="B220" s="667">
        <v>7</v>
      </c>
      <c r="C220" s="541">
        <v>40</v>
      </c>
      <c r="D220" s="522">
        <v>9.9999999999999995E-7</v>
      </c>
      <c r="E220" s="529" t="s">
        <v>161</v>
      </c>
      <c r="F220" s="522">
        <v>9.9999999999999995E-7</v>
      </c>
      <c r="G220" s="524">
        <f t="shared" si="57"/>
        <v>0</v>
      </c>
      <c r="I220" s="667">
        <v>7</v>
      </c>
      <c r="J220" s="541">
        <v>90</v>
      </c>
      <c r="K220" s="522">
        <v>9.9999999999999995E-7</v>
      </c>
      <c r="L220" s="529" t="s">
        <v>161</v>
      </c>
      <c r="M220" s="534"/>
      <c r="N220" s="524">
        <f t="shared" si="58"/>
        <v>0</v>
      </c>
      <c r="P220" s="667">
        <v>7</v>
      </c>
      <c r="Q220" s="528">
        <v>1020</v>
      </c>
      <c r="R220" s="525">
        <v>9.9999999999999995E-7</v>
      </c>
      <c r="S220" s="529" t="s">
        <v>161</v>
      </c>
      <c r="T220" s="522">
        <v>9.9999999999999995E-7</v>
      </c>
      <c r="U220" s="524">
        <f t="shared" si="59"/>
        <v>0</v>
      </c>
    </row>
    <row r="221" spans="1:31" ht="13.5" thickBot="1">
      <c r="A221" s="545"/>
      <c r="B221" s="1360"/>
      <c r="C221" s="1360"/>
      <c r="D221" s="1360"/>
      <c r="E221" s="1360"/>
      <c r="F221" s="1360"/>
      <c r="G221" s="1360"/>
      <c r="H221" s="1360"/>
      <c r="I221" s="1360"/>
      <c r="J221" s="1360"/>
      <c r="K221" s="1360"/>
      <c r="L221" s="1360"/>
      <c r="M221" s="1360"/>
      <c r="N221" s="1360"/>
      <c r="O221" s="1360"/>
      <c r="P221" s="1360"/>
      <c r="Q221" s="1360"/>
      <c r="R221" s="1360"/>
      <c r="S221" s="1360"/>
      <c r="T221" s="1360"/>
      <c r="U221" s="1360"/>
    </row>
    <row r="222" spans="1:31" ht="13" hidden="1">
      <c r="A222" s="533"/>
      <c r="B222" s="533"/>
      <c r="C222" s="533"/>
      <c r="D222" s="533"/>
      <c r="E222" s="533"/>
      <c r="F222" s="533"/>
      <c r="G222" s="533"/>
      <c r="H222" s="533"/>
      <c r="I222" s="533"/>
      <c r="J222" s="533"/>
      <c r="K222" s="533"/>
      <c r="L222" s="533"/>
      <c r="M222" s="533"/>
      <c r="N222" s="533"/>
      <c r="O222" s="533"/>
      <c r="P222" s="533"/>
    </row>
    <row r="223" spans="1:31" ht="12.75" hidden="1" customHeight="1">
      <c r="A223" s="1345" t="s">
        <v>30</v>
      </c>
      <c r="B223" s="1346" t="s">
        <v>458</v>
      </c>
      <c r="C223" s="1331" t="s">
        <v>459</v>
      </c>
      <c r="D223" s="1331"/>
      <c r="E223" s="1331"/>
      <c r="F223" s="1331"/>
      <c r="G223" s="546"/>
      <c r="I223" s="1345" t="s">
        <v>30</v>
      </c>
      <c r="J223" s="1346" t="s">
        <v>458</v>
      </c>
      <c r="K223" s="1331" t="s">
        <v>459</v>
      </c>
      <c r="L223" s="1331"/>
      <c r="M223" s="1331"/>
      <c r="N223" s="1331"/>
      <c r="O223" s="547"/>
      <c r="Q223" s="1347" t="s">
        <v>30</v>
      </c>
      <c r="R223" s="1348" t="s">
        <v>458</v>
      </c>
      <c r="S223" s="1349" t="s">
        <v>459</v>
      </c>
      <c r="T223" s="1349"/>
      <c r="U223" s="1349"/>
      <c r="V223" s="1350"/>
      <c r="Y223" s="1351" t="s">
        <v>396</v>
      </c>
      <c r="Z223" s="1352"/>
      <c r="AE223" s="548"/>
    </row>
    <row r="224" spans="1:31" ht="13.5" hidden="1">
      <c r="A224" s="1345"/>
      <c r="B224" s="1346"/>
      <c r="C224" s="549" t="s">
        <v>434</v>
      </c>
      <c r="D224" s="1353" t="s">
        <v>435</v>
      </c>
      <c r="E224" s="1353"/>
      <c r="F224" s="1353"/>
      <c r="G224" s="1353" t="s">
        <v>385</v>
      </c>
      <c r="I224" s="1345"/>
      <c r="J224" s="1346"/>
      <c r="K224" s="549" t="s">
        <v>436</v>
      </c>
      <c r="L224" s="1353" t="s">
        <v>435</v>
      </c>
      <c r="M224" s="1353"/>
      <c r="N224" s="1353"/>
      <c r="O224" s="1353" t="s">
        <v>385</v>
      </c>
      <c r="Q224" s="1345"/>
      <c r="R224" s="1346"/>
      <c r="S224" s="549" t="s">
        <v>437</v>
      </c>
      <c r="T224" s="1354" t="s">
        <v>435</v>
      </c>
      <c r="U224" s="1355"/>
      <c r="V224" s="1356"/>
      <c r="W224" s="1357" t="s">
        <v>385</v>
      </c>
      <c r="Y224" s="1358" t="s">
        <v>434</v>
      </c>
      <c r="Z224" s="1359"/>
      <c r="AE224" s="533"/>
    </row>
    <row r="225" spans="1:38" ht="14" hidden="1">
      <c r="A225" s="1345"/>
      <c r="B225" s="1346"/>
      <c r="C225" s="550" t="s">
        <v>460</v>
      </c>
      <c r="D225" s="549"/>
      <c r="E225" s="549"/>
      <c r="F225" s="547"/>
      <c r="G225" s="1353"/>
      <c r="I225" s="1345"/>
      <c r="J225" s="1346"/>
      <c r="K225" s="550" t="s">
        <v>18</v>
      </c>
      <c r="L225" s="549"/>
      <c r="M225" s="549"/>
      <c r="N225" s="547"/>
      <c r="O225" s="1353"/>
      <c r="Q225" s="1345"/>
      <c r="R225" s="1346"/>
      <c r="S225" s="550" t="s">
        <v>439</v>
      </c>
      <c r="T225" s="549"/>
      <c r="U225" s="549"/>
      <c r="W225" s="1357"/>
      <c r="Y225" s="551">
        <v>1</v>
      </c>
      <c r="Z225" s="552">
        <f>X3</f>
        <v>0.5</v>
      </c>
      <c r="AE225" s="533"/>
    </row>
    <row r="226" spans="1:38" ht="13" hidden="1">
      <c r="A226" s="1361">
        <v>1</v>
      </c>
      <c r="B226" s="553">
        <v>1</v>
      </c>
      <c r="C226" s="553">
        <f>C5</f>
        <v>15</v>
      </c>
      <c r="D226" s="553">
        <f t="shared" ref="D226:F226" si="60">D5</f>
        <v>0.3</v>
      </c>
      <c r="E226" s="553">
        <f t="shared" si="60"/>
        <v>0.1</v>
      </c>
      <c r="F226" s="553">
        <f t="shared" si="60"/>
        <v>-0.5</v>
      </c>
      <c r="G226" s="553">
        <f>G5</f>
        <v>0.4</v>
      </c>
      <c r="I226" s="1361">
        <v>1</v>
      </c>
      <c r="J226" s="553">
        <v>1</v>
      </c>
      <c r="K226" s="553">
        <f>J5</f>
        <v>30</v>
      </c>
      <c r="L226" s="553">
        <f>K5</f>
        <v>0</v>
      </c>
      <c r="M226" s="553">
        <f>L5</f>
        <v>-14.4</v>
      </c>
      <c r="N226" s="553">
        <f>M5</f>
        <v>-6</v>
      </c>
      <c r="O226" s="553">
        <f>N5</f>
        <v>4.2</v>
      </c>
      <c r="Q226" s="1364">
        <v>1</v>
      </c>
      <c r="R226" s="553">
        <v>1</v>
      </c>
      <c r="S226" s="553">
        <f>Q5</f>
        <v>750</v>
      </c>
      <c r="T226" s="553" t="str">
        <f>R5</f>
        <v>-</v>
      </c>
      <c r="U226" s="553" t="str">
        <f>S5</f>
        <v>-</v>
      </c>
      <c r="V226" s="553">
        <f>T5</f>
        <v>9.9999999999999995E-7</v>
      </c>
      <c r="W226" s="554">
        <f>U5</f>
        <v>0</v>
      </c>
      <c r="Y226" s="555">
        <v>2</v>
      </c>
      <c r="Z226" s="552">
        <f>X14</f>
        <v>0.5</v>
      </c>
      <c r="AE226" s="533"/>
    </row>
    <row r="227" spans="1:38" ht="13" hidden="1">
      <c r="A227" s="1361"/>
      <c r="B227" s="553">
        <v>2</v>
      </c>
      <c r="C227" s="553">
        <f>C16</f>
        <v>15</v>
      </c>
      <c r="D227" s="553">
        <f t="shared" ref="D227:F227" si="61">D16</f>
        <v>0.2</v>
      </c>
      <c r="E227" s="553">
        <f t="shared" si="61"/>
        <v>0.4</v>
      </c>
      <c r="F227" s="553">
        <f t="shared" si="61"/>
        <v>9.9999999999999995E-7</v>
      </c>
      <c r="G227" s="553">
        <f>G16</f>
        <v>0.19999950000000002</v>
      </c>
      <c r="I227" s="1361"/>
      <c r="J227" s="553">
        <v>2</v>
      </c>
      <c r="K227" s="553">
        <f>J16</f>
        <v>35</v>
      </c>
      <c r="L227" s="553">
        <f>K16</f>
        <v>-12.6</v>
      </c>
      <c r="M227" s="553">
        <f>L16</f>
        <v>-6.9</v>
      </c>
      <c r="N227" s="553">
        <f>M16</f>
        <v>-1.6</v>
      </c>
      <c r="O227" s="553">
        <f>N16</f>
        <v>5.5</v>
      </c>
      <c r="Q227" s="1365"/>
      <c r="R227" s="553">
        <v>2</v>
      </c>
      <c r="S227" s="553">
        <f>Q16</f>
        <v>750</v>
      </c>
      <c r="T227" s="553" t="str">
        <f>R16</f>
        <v>-</v>
      </c>
      <c r="U227" s="553" t="str">
        <f>S16</f>
        <v>-</v>
      </c>
      <c r="V227" s="553" t="str">
        <f>T16</f>
        <v>-</v>
      </c>
      <c r="W227" s="554">
        <f>U16</f>
        <v>0</v>
      </c>
      <c r="Y227" s="555">
        <v>3</v>
      </c>
      <c r="Z227" s="556">
        <f>X25</f>
        <v>0.5</v>
      </c>
      <c r="AE227" s="533"/>
    </row>
    <row r="228" spans="1:38" ht="13" hidden="1">
      <c r="A228" s="1361"/>
      <c r="B228" s="553">
        <v>3</v>
      </c>
      <c r="C228" s="553">
        <f>C27</f>
        <v>15</v>
      </c>
      <c r="D228" s="553">
        <f t="shared" ref="D228:F228" si="62">D27</f>
        <v>0.2</v>
      </c>
      <c r="E228" s="553">
        <f t="shared" si="62"/>
        <v>0.4</v>
      </c>
      <c r="F228" s="553">
        <f t="shared" si="62"/>
        <v>9.9999999999999995E-7</v>
      </c>
      <c r="G228" s="553">
        <f>G27</f>
        <v>0.19999950000000002</v>
      </c>
      <c r="I228" s="1361"/>
      <c r="J228" s="553">
        <v>3</v>
      </c>
      <c r="K228" s="553">
        <f>J27</f>
        <v>35</v>
      </c>
      <c r="L228" s="553">
        <f>K27</f>
        <v>-11.5</v>
      </c>
      <c r="M228" s="553">
        <f>L27</f>
        <v>-7.3</v>
      </c>
      <c r="N228" s="553">
        <f>M27</f>
        <v>-5.7</v>
      </c>
      <c r="O228" s="553">
        <f>N27</f>
        <v>2.9</v>
      </c>
      <c r="Q228" s="1365"/>
      <c r="R228" s="553">
        <v>3</v>
      </c>
      <c r="S228" s="553">
        <f>Q27</f>
        <v>750</v>
      </c>
      <c r="T228" s="553" t="str">
        <f>R27</f>
        <v>-</v>
      </c>
      <c r="U228" s="553" t="str">
        <f>S27</f>
        <v>-</v>
      </c>
      <c r="V228" s="553" t="str">
        <f>T27</f>
        <v>-</v>
      </c>
      <c r="W228" s="554">
        <f>U27</f>
        <v>0</v>
      </c>
      <c r="Y228" s="555">
        <v>4</v>
      </c>
      <c r="Z228" s="556">
        <f>X36</f>
        <v>0.3</v>
      </c>
      <c r="AE228" s="533"/>
    </row>
    <row r="229" spans="1:38" ht="13" hidden="1">
      <c r="A229" s="1361"/>
      <c r="B229" s="553">
        <v>4</v>
      </c>
      <c r="C229" s="557">
        <f>C38</f>
        <v>15</v>
      </c>
      <c r="D229" s="557">
        <f t="shared" ref="D229:F229" si="63">D38</f>
        <v>-0.2</v>
      </c>
      <c r="E229" s="557">
        <f t="shared" si="63"/>
        <v>-0.1</v>
      </c>
      <c r="F229" s="557">
        <f t="shared" si="63"/>
        <v>0</v>
      </c>
      <c r="G229" s="557">
        <f>G38</f>
        <v>0.05</v>
      </c>
      <c r="I229" s="1361"/>
      <c r="J229" s="553">
        <v>4</v>
      </c>
      <c r="K229" s="557">
        <f>J38</f>
        <v>35</v>
      </c>
      <c r="L229" s="557">
        <f>K38</f>
        <v>-4.5</v>
      </c>
      <c r="M229" s="557">
        <f>L38</f>
        <v>-1.7</v>
      </c>
      <c r="N229" s="557">
        <f>M38</f>
        <v>0</v>
      </c>
      <c r="O229" s="557">
        <f>N38</f>
        <v>1.4</v>
      </c>
      <c r="Q229" s="1365"/>
      <c r="R229" s="553">
        <v>4</v>
      </c>
      <c r="S229" s="557">
        <f>Q38</f>
        <v>750</v>
      </c>
      <c r="T229" s="557" t="str">
        <f>R38</f>
        <v>-</v>
      </c>
      <c r="U229" s="557" t="str">
        <f>S38</f>
        <v>-</v>
      </c>
      <c r="V229" s="557">
        <f>T38</f>
        <v>9.9999999999999995E-7</v>
      </c>
      <c r="W229" s="558">
        <f>U38</f>
        <v>0</v>
      </c>
      <c r="Y229" s="555">
        <v>5</v>
      </c>
      <c r="Z229" s="556">
        <f>X47</f>
        <v>0.3</v>
      </c>
      <c r="AE229" s="533"/>
    </row>
    <row r="230" spans="1:38" ht="13" hidden="1">
      <c r="A230" s="1361"/>
      <c r="B230" s="553">
        <v>5</v>
      </c>
      <c r="C230" s="557">
        <f>C49</f>
        <v>15</v>
      </c>
      <c r="D230" s="557">
        <f t="shared" ref="D230:F230" si="64">D49</f>
        <v>0.3</v>
      </c>
      <c r="E230" s="557">
        <f t="shared" si="64"/>
        <v>-0.1</v>
      </c>
      <c r="F230" s="557">
        <f t="shared" si="64"/>
        <v>-0.3</v>
      </c>
      <c r="G230" s="557">
        <f>G49</f>
        <v>0.3</v>
      </c>
      <c r="I230" s="1361"/>
      <c r="J230" s="553">
        <v>5</v>
      </c>
      <c r="K230" s="557">
        <f>J49</f>
        <v>35</v>
      </c>
      <c r="L230" s="557">
        <f>K49</f>
        <v>-10.5</v>
      </c>
      <c r="M230" s="557">
        <f>L49</f>
        <v>-9.6999999999999993</v>
      </c>
      <c r="N230" s="557">
        <f>M49</f>
        <v>-7.7</v>
      </c>
      <c r="O230" s="557">
        <f>N49</f>
        <v>1.4</v>
      </c>
      <c r="Q230" s="1365"/>
      <c r="R230" s="553">
        <v>5</v>
      </c>
      <c r="S230" s="557">
        <f>Q49</f>
        <v>750</v>
      </c>
      <c r="T230" s="557" t="str">
        <f>R49</f>
        <v>-</v>
      </c>
      <c r="U230" s="557" t="str">
        <f>S49</f>
        <v>-</v>
      </c>
      <c r="V230" s="557" t="str">
        <f>T49</f>
        <v>-</v>
      </c>
      <c r="W230" s="558">
        <f>U49</f>
        <v>0</v>
      </c>
      <c r="Y230" s="551">
        <v>6</v>
      </c>
      <c r="Z230" s="552">
        <f>X58</f>
        <v>0.8</v>
      </c>
      <c r="AE230" s="533"/>
    </row>
    <row r="231" spans="1:38" ht="13" hidden="1">
      <c r="A231" s="1361"/>
      <c r="B231" s="553">
        <v>6</v>
      </c>
      <c r="C231" s="557">
        <f>C60</f>
        <v>15</v>
      </c>
      <c r="D231" s="557">
        <f t="shared" ref="D231:F231" si="65">D60</f>
        <v>0.4</v>
      </c>
      <c r="E231" s="557">
        <f t="shared" si="65"/>
        <v>0.4</v>
      </c>
      <c r="F231" s="557">
        <f t="shared" si="65"/>
        <v>0</v>
      </c>
      <c r="G231" s="557">
        <f>G60</f>
        <v>0</v>
      </c>
      <c r="I231" s="1361"/>
      <c r="J231" s="553">
        <v>6</v>
      </c>
      <c r="K231" s="557">
        <f>J60</f>
        <v>30</v>
      </c>
      <c r="L231" s="557">
        <f>K60</f>
        <v>-1.5</v>
      </c>
      <c r="M231" s="557">
        <f>L60</f>
        <v>1.7</v>
      </c>
      <c r="N231" s="557">
        <f>M60</f>
        <v>0</v>
      </c>
      <c r="O231" s="557">
        <f>N60</f>
        <v>1.6</v>
      </c>
      <c r="Q231" s="1365"/>
      <c r="R231" s="553">
        <v>6</v>
      </c>
      <c r="S231" s="557">
        <f>Q60</f>
        <v>750</v>
      </c>
      <c r="T231" s="557">
        <f>R60</f>
        <v>0.9</v>
      </c>
      <c r="U231" s="557">
        <f>S60</f>
        <v>2.1</v>
      </c>
      <c r="V231" s="557">
        <f>T60</f>
        <v>9.9999999999999995E-7</v>
      </c>
      <c r="W231" s="558">
        <f>U60</f>
        <v>1.0499995</v>
      </c>
      <c r="Y231" s="551">
        <v>7</v>
      </c>
      <c r="Z231" s="552">
        <f>X69</f>
        <v>0.2</v>
      </c>
      <c r="AE231" s="533"/>
    </row>
    <row r="232" spans="1:38" ht="13" hidden="1">
      <c r="A232" s="1361"/>
      <c r="B232" s="553">
        <v>7</v>
      </c>
      <c r="C232" s="557">
        <f>C71</f>
        <v>15</v>
      </c>
      <c r="D232" s="557">
        <f t="shared" ref="D232:F232" si="66">D71</f>
        <v>0.1</v>
      </c>
      <c r="E232" s="557">
        <f t="shared" si="66"/>
        <v>0.3</v>
      </c>
      <c r="F232" s="557">
        <f t="shared" si="66"/>
        <v>0</v>
      </c>
      <c r="G232" s="557">
        <f>G71</f>
        <v>9.9999999999999992E-2</v>
      </c>
      <c r="I232" s="1361"/>
      <c r="J232" s="553">
        <v>7</v>
      </c>
      <c r="K232" s="557">
        <f>J71</f>
        <v>30</v>
      </c>
      <c r="L232" s="557">
        <f>K71</f>
        <v>-1.9</v>
      </c>
      <c r="M232" s="557">
        <f>L71</f>
        <v>1.8</v>
      </c>
      <c r="N232" s="557">
        <f>M71</f>
        <v>0</v>
      </c>
      <c r="O232" s="557">
        <f>N71</f>
        <v>1.85</v>
      </c>
      <c r="Q232" s="1365"/>
      <c r="R232" s="553">
        <v>7</v>
      </c>
      <c r="S232" s="557">
        <f>Q71</f>
        <v>750</v>
      </c>
      <c r="T232" s="557">
        <f>R71</f>
        <v>9.9999999999999995E-7</v>
      </c>
      <c r="U232" s="557">
        <f>S71</f>
        <v>3.2</v>
      </c>
      <c r="V232" s="557">
        <f>T71</f>
        <v>9.9999999999999995E-7</v>
      </c>
      <c r="W232" s="558">
        <f>U71</f>
        <v>1.5999995</v>
      </c>
      <c r="Y232" s="551">
        <v>8</v>
      </c>
      <c r="Z232" s="552">
        <f>X80</f>
        <v>0.8</v>
      </c>
      <c r="AE232" s="533"/>
    </row>
    <row r="233" spans="1:38" ht="13" hidden="1">
      <c r="A233" s="1361"/>
      <c r="B233" s="553">
        <v>8</v>
      </c>
      <c r="C233" s="557">
        <f>C82</f>
        <v>15</v>
      </c>
      <c r="D233" s="557">
        <f t="shared" ref="D233:F233" si="67">D82</f>
        <v>0.4</v>
      </c>
      <c r="E233" s="557">
        <f t="shared" si="67"/>
        <v>0.1</v>
      </c>
      <c r="F233" s="557">
        <f t="shared" si="67"/>
        <v>9.9999999999999995E-7</v>
      </c>
      <c r="G233" s="557">
        <f>G82</f>
        <v>0.19999950000000002</v>
      </c>
      <c r="I233" s="1361"/>
      <c r="J233" s="553">
        <v>8</v>
      </c>
      <c r="K233" s="557">
        <f>J82</f>
        <v>30</v>
      </c>
      <c r="L233" s="557">
        <f>K82</f>
        <v>0</v>
      </c>
      <c r="M233" s="557">
        <f>L82</f>
        <v>-4</v>
      </c>
      <c r="N233" s="557">
        <f>M82</f>
        <v>-1.4</v>
      </c>
      <c r="O233" s="557">
        <f>N82</f>
        <v>1.3</v>
      </c>
      <c r="Q233" s="1365"/>
      <c r="R233" s="553">
        <v>8</v>
      </c>
      <c r="S233" s="557">
        <f>Q82</f>
        <v>960</v>
      </c>
      <c r="T233" s="557">
        <f>R82</f>
        <v>-1.5</v>
      </c>
      <c r="U233" s="557">
        <f>S82</f>
        <v>-4</v>
      </c>
      <c r="V233" s="557">
        <f>T82</f>
        <v>9.9999999999999995E-7</v>
      </c>
      <c r="W233" s="558">
        <f>U82</f>
        <v>2.0000005000000001</v>
      </c>
      <c r="Y233" s="551">
        <v>9</v>
      </c>
      <c r="Z233" s="552">
        <f>X91</f>
        <v>0.3</v>
      </c>
      <c r="AE233" s="533"/>
    </row>
    <row r="234" spans="1:38" ht="13" hidden="1">
      <c r="A234" s="1361"/>
      <c r="B234" s="553">
        <v>9</v>
      </c>
      <c r="C234" s="557">
        <f>C93</f>
        <v>15</v>
      </c>
      <c r="D234" s="557">
        <f t="shared" ref="D234:F234" si="68">D93</f>
        <v>9.9999999999999995E-7</v>
      </c>
      <c r="E234" s="557" t="str">
        <f t="shared" si="68"/>
        <v>-</v>
      </c>
      <c r="F234" s="557">
        <f t="shared" si="68"/>
        <v>0</v>
      </c>
      <c r="G234" s="557">
        <f>G93</f>
        <v>0</v>
      </c>
      <c r="I234" s="1361"/>
      <c r="J234" s="553">
        <v>9</v>
      </c>
      <c r="K234" s="557">
        <f>J93</f>
        <v>30</v>
      </c>
      <c r="L234" s="557">
        <f>K93</f>
        <v>-1.2</v>
      </c>
      <c r="M234" s="557" t="str">
        <f>L93</f>
        <v>-</v>
      </c>
      <c r="N234" s="557">
        <f>M93</f>
        <v>0</v>
      </c>
      <c r="O234" s="557">
        <f>N93</f>
        <v>0</v>
      </c>
      <c r="Q234" s="1365"/>
      <c r="R234" s="553">
        <v>9</v>
      </c>
      <c r="S234" s="557">
        <f>Q93</f>
        <v>750</v>
      </c>
      <c r="T234" s="557">
        <f>R93</f>
        <v>9.9999999999999995E-7</v>
      </c>
      <c r="U234" s="557" t="str">
        <f>S93</f>
        <v>-</v>
      </c>
      <c r="V234" s="557">
        <f>T93</f>
        <v>9.9999999999999995E-7</v>
      </c>
      <c r="W234" s="558">
        <f>U93</f>
        <v>0</v>
      </c>
      <c r="Y234" s="551">
        <v>10</v>
      </c>
      <c r="Z234" s="552">
        <f>X102</f>
        <v>0.3</v>
      </c>
      <c r="AE234" s="533"/>
    </row>
    <row r="235" spans="1:38" ht="13" hidden="1">
      <c r="A235" s="1361"/>
      <c r="B235" s="553">
        <v>10</v>
      </c>
      <c r="C235" s="557">
        <f>C104</f>
        <v>15</v>
      </c>
      <c r="D235" s="557">
        <f t="shared" ref="D235:F235" si="69">D104</f>
        <v>0.2</v>
      </c>
      <c r="E235" s="557">
        <f t="shared" si="69"/>
        <v>0.2</v>
      </c>
      <c r="F235" s="557">
        <f t="shared" si="69"/>
        <v>0</v>
      </c>
      <c r="G235" s="557">
        <f>G104</f>
        <v>0</v>
      </c>
      <c r="I235" s="1361"/>
      <c r="J235" s="553">
        <v>10</v>
      </c>
      <c r="K235" s="557">
        <f>J104</f>
        <v>30</v>
      </c>
      <c r="L235" s="557">
        <f>K104</f>
        <v>-2.9</v>
      </c>
      <c r="M235" s="557">
        <f>L104</f>
        <v>-5.8</v>
      </c>
      <c r="N235" s="557">
        <f>M104</f>
        <v>0</v>
      </c>
      <c r="O235" s="557">
        <f>N104</f>
        <v>1.45</v>
      </c>
      <c r="Q235" s="1365"/>
      <c r="R235" s="553">
        <v>10</v>
      </c>
      <c r="S235" s="557">
        <f>Q104</f>
        <v>750</v>
      </c>
      <c r="T235" s="557" t="str">
        <f>R104</f>
        <v>-</v>
      </c>
      <c r="U235" s="557" t="str">
        <f>S104</f>
        <v>-</v>
      </c>
      <c r="V235" s="557">
        <f>T104</f>
        <v>9.9999999999999995E-7</v>
      </c>
      <c r="W235" s="558">
        <f>U104</f>
        <v>0</v>
      </c>
      <c r="Y235" s="551">
        <v>11</v>
      </c>
      <c r="Z235" s="552">
        <f>X113</f>
        <v>0.3</v>
      </c>
      <c r="AE235" s="533"/>
    </row>
    <row r="236" spans="1:38" ht="13" hidden="1">
      <c r="A236" s="1361"/>
      <c r="B236" s="553">
        <v>11</v>
      </c>
      <c r="C236" s="557">
        <f>C115</f>
        <v>15</v>
      </c>
      <c r="D236" s="557">
        <f t="shared" ref="D236:F236" si="70">D115</f>
        <v>0.3</v>
      </c>
      <c r="E236" s="557">
        <f t="shared" si="70"/>
        <v>0.3</v>
      </c>
      <c r="F236" s="557">
        <f t="shared" si="70"/>
        <v>0</v>
      </c>
      <c r="G236" s="557">
        <f>G115</f>
        <v>0</v>
      </c>
      <c r="I236" s="1361"/>
      <c r="J236" s="553">
        <v>11</v>
      </c>
      <c r="K236" s="557">
        <f>J115</f>
        <v>30</v>
      </c>
      <c r="L236" s="557">
        <f>K115</f>
        <v>-5.2</v>
      </c>
      <c r="M236" s="557">
        <f>L115</f>
        <v>-6.4</v>
      </c>
      <c r="N236" s="557">
        <f>M115</f>
        <v>0</v>
      </c>
      <c r="O236" s="557">
        <f>N115</f>
        <v>0.60000000000000009</v>
      </c>
      <c r="Q236" s="1365"/>
      <c r="R236" s="553">
        <v>11</v>
      </c>
      <c r="S236" s="557">
        <f>Q115</f>
        <v>750</v>
      </c>
      <c r="T236" s="557" t="str">
        <f>R115</f>
        <v>-</v>
      </c>
      <c r="U236" s="557" t="str">
        <f>S115</f>
        <v>-</v>
      </c>
      <c r="V236" s="557">
        <f>T115</f>
        <v>9.9999999999999995E-7</v>
      </c>
      <c r="W236" s="558">
        <f>U115</f>
        <v>0</v>
      </c>
      <c r="Y236" s="551">
        <v>12</v>
      </c>
      <c r="Z236" s="552">
        <f>X124</f>
        <v>0.5</v>
      </c>
      <c r="AE236" s="533"/>
    </row>
    <row r="237" spans="1:38" ht="13" hidden="1">
      <c r="A237" s="1361"/>
      <c r="B237" s="553">
        <v>12</v>
      </c>
      <c r="C237" s="557">
        <f>C126</f>
        <v>15</v>
      </c>
      <c r="D237" s="557">
        <f t="shared" ref="D237:F237" si="71">D126</f>
        <v>0.2</v>
      </c>
      <c r="E237" s="557">
        <f t="shared" si="71"/>
        <v>9.9999999999999995E-7</v>
      </c>
      <c r="F237" s="557">
        <f t="shared" si="71"/>
        <v>0</v>
      </c>
      <c r="G237" s="557">
        <f>G126</f>
        <v>9.9999500000000005E-2</v>
      </c>
      <c r="I237" s="1361"/>
      <c r="J237" s="553">
        <v>12</v>
      </c>
      <c r="K237" s="557">
        <f>J126</f>
        <v>35</v>
      </c>
      <c r="L237" s="557">
        <f>K126</f>
        <v>-3.1</v>
      </c>
      <c r="M237" s="557">
        <f>L126</f>
        <v>-0.4</v>
      </c>
      <c r="N237" s="557">
        <f>M126</f>
        <v>0</v>
      </c>
      <c r="O237" s="557">
        <f>N126</f>
        <v>1.35</v>
      </c>
      <c r="Q237" s="1365"/>
      <c r="R237" s="553">
        <v>12</v>
      </c>
      <c r="S237" s="557">
        <f>Q126</f>
        <v>960</v>
      </c>
      <c r="T237" s="557">
        <f>R126</f>
        <v>4.0999999999999996</v>
      </c>
      <c r="U237" s="557">
        <f>S126</f>
        <v>-0.4</v>
      </c>
      <c r="V237" s="557">
        <f>T126</f>
        <v>0</v>
      </c>
      <c r="W237" s="558">
        <f>U126</f>
        <v>2.25</v>
      </c>
      <c r="Y237" s="551">
        <v>13</v>
      </c>
      <c r="Z237" s="559">
        <f>X135</f>
        <v>0.5</v>
      </c>
      <c r="AE237" s="533"/>
      <c r="AL237" s="533"/>
    </row>
    <row r="238" spans="1:38" ht="13" hidden="1">
      <c r="A238" s="1361"/>
      <c r="B238" s="553">
        <v>13</v>
      </c>
      <c r="C238" s="557">
        <f>C137</f>
        <v>15</v>
      </c>
      <c r="D238" s="557">
        <f t="shared" ref="D238:F238" si="72">D137</f>
        <v>0.1</v>
      </c>
      <c r="E238" s="557">
        <f t="shared" si="72"/>
        <v>0.5</v>
      </c>
      <c r="F238" s="557">
        <f t="shared" si="72"/>
        <v>-0.7</v>
      </c>
      <c r="G238" s="557">
        <f>G137</f>
        <v>0.6</v>
      </c>
      <c r="I238" s="1361"/>
      <c r="J238" s="553">
        <v>13</v>
      </c>
      <c r="K238" s="557">
        <f>J137</f>
        <v>30</v>
      </c>
      <c r="L238" s="557">
        <f>K137</f>
        <v>0</v>
      </c>
      <c r="M238" s="557">
        <f>L137</f>
        <v>-2.2000000000000002</v>
      </c>
      <c r="N238" s="557">
        <f>M137</f>
        <v>-1.4</v>
      </c>
      <c r="O238" s="557">
        <f>N137</f>
        <v>0.40000000000000013</v>
      </c>
      <c r="Q238" s="1365"/>
      <c r="R238" s="553">
        <v>13</v>
      </c>
      <c r="S238" s="557">
        <f>Q137</f>
        <v>985</v>
      </c>
      <c r="T238" s="557">
        <f>R137</f>
        <v>0</v>
      </c>
      <c r="U238" s="557">
        <f>S137</f>
        <v>3.8</v>
      </c>
      <c r="V238" s="557">
        <f>T137</f>
        <v>0.9</v>
      </c>
      <c r="W238" s="558">
        <f>U137</f>
        <v>1.45</v>
      </c>
      <c r="Y238" s="551">
        <v>14</v>
      </c>
      <c r="Z238" s="559">
        <f>X146</f>
        <v>0.6</v>
      </c>
      <c r="AE238" s="533"/>
      <c r="AL238" s="533"/>
    </row>
    <row r="239" spans="1:38" ht="13" hidden="1">
      <c r="A239" s="1361"/>
      <c r="B239" s="553">
        <v>14</v>
      </c>
      <c r="C239" s="557">
        <f>C148</f>
        <v>15</v>
      </c>
      <c r="D239" s="557">
        <f t="shared" ref="D239:F239" si="73">D148</f>
        <v>0.1</v>
      </c>
      <c r="E239" s="557">
        <f t="shared" si="73"/>
        <v>0.5</v>
      </c>
      <c r="F239" s="557">
        <f t="shared" si="73"/>
        <v>-0.2</v>
      </c>
      <c r="G239" s="557">
        <f>G148</f>
        <v>0.35</v>
      </c>
      <c r="I239" s="1361"/>
      <c r="J239" s="553">
        <v>14</v>
      </c>
      <c r="K239" s="557">
        <f>J148</f>
        <v>30</v>
      </c>
      <c r="L239" s="557">
        <f>K148</f>
        <v>0</v>
      </c>
      <c r="M239" s="557">
        <f>L148</f>
        <v>-0.8</v>
      </c>
      <c r="N239" s="557">
        <f>M148</f>
        <v>0.6</v>
      </c>
      <c r="O239" s="557">
        <f>N148</f>
        <v>0.7</v>
      </c>
      <c r="Q239" s="1365"/>
      <c r="R239" s="553">
        <v>14</v>
      </c>
      <c r="S239" s="557">
        <f>Q148</f>
        <v>985</v>
      </c>
      <c r="T239" s="557">
        <f>R148</f>
        <v>0</v>
      </c>
      <c r="U239" s="557">
        <f>S148</f>
        <v>3.9</v>
      </c>
      <c r="V239" s="557">
        <f>T148</f>
        <v>0.9</v>
      </c>
      <c r="W239" s="558">
        <f>U148</f>
        <v>1.5</v>
      </c>
      <c r="Y239" s="551">
        <v>15</v>
      </c>
      <c r="Z239" s="559">
        <f>X157</f>
        <v>0.5</v>
      </c>
      <c r="AE239" s="533"/>
      <c r="AL239" s="533"/>
    </row>
    <row r="240" spans="1:38" ht="13" hidden="1">
      <c r="A240" s="1361"/>
      <c r="B240" s="553">
        <v>15</v>
      </c>
      <c r="C240" s="557">
        <f>C159</f>
        <v>15</v>
      </c>
      <c r="D240" s="557">
        <f t="shared" ref="D240:F240" si="74">D159</f>
        <v>0.1</v>
      </c>
      <c r="E240" s="557">
        <f t="shared" si="74"/>
        <v>0.6</v>
      </c>
      <c r="F240" s="557">
        <f t="shared" si="74"/>
        <v>-0.6</v>
      </c>
      <c r="G240" s="557">
        <f>G159</f>
        <v>0.6</v>
      </c>
      <c r="I240" s="1361"/>
      <c r="J240" s="553">
        <v>15</v>
      </c>
      <c r="K240" s="557">
        <f>J159</f>
        <v>30</v>
      </c>
      <c r="L240" s="557">
        <f>K159</f>
        <v>-4.0999999999999996</v>
      </c>
      <c r="M240" s="557">
        <f>L159</f>
        <v>-2</v>
      </c>
      <c r="N240" s="557">
        <f>M159</f>
        <v>-0.4</v>
      </c>
      <c r="O240" s="557">
        <f>N159</f>
        <v>1.8499999999999999</v>
      </c>
      <c r="Q240" s="1365"/>
      <c r="R240" s="553">
        <v>15</v>
      </c>
      <c r="S240" s="557">
        <f>Q159</f>
        <v>980</v>
      </c>
      <c r="T240" s="557">
        <f>R159</f>
        <v>4.0999999999999996</v>
      </c>
      <c r="U240" s="557">
        <f>S159</f>
        <v>4.3</v>
      </c>
      <c r="V240" s="557">
        <f>T159</f>
        <v>0.9</v>
      </c>
      <c r="W240" s="558">
        <f>U159</f>
        <v>1.7</v>
      </c>
      <c r="Y240" s="551">
        <v>16</v>
      </c>
      <c r="Z240" s="559">
        <f>X168</f>
        <v>0.5</v>
      </c>
      <c r="AE240" s="533"/>
      <c r="AL240" s="533"/>
    </row>
    <row r="241" spans="1:38" ht="13" hidden="1">
      <c r="A241" s="1361"/>
      <c r="B241" s="553">
        <v>16</v>
      </c>
      <c r="C241" s="557">
        <f>C170</f>
        <v>15</v>
      </c>
      <c r="D241" s="557">
        <f t="shared" ref="D241:F241" si="75">D170</f>
        <v>0.1</v>
      </c>
      <c r="E241" s="557">
        <f t="shared" si="75"/>
        <v>0.1</v>
      </c>
      <c r="F241" s="557">
        <f t="shared" si="75"/>
        <v>0</v>
      </c>
      <c r="G241" s="557">
        <f>G170</f>
        <v>0</v>
      </c>
      <c r="I241" s="1361"/>
      <c r="J241" s="553">
        <v>16</v>
      </c>
      <c r="K241" s="557">
        <f>J170</f>
        <v>35</v>
      </c>
      <c r="L241" s="557">
        <f>K170</f>
        <v>-2.5</v>
      </c>
      <c r="M241" s="557">
        <f>L170</f>
        <v>-1.6</v>
      </c>
      <c r="N241" s="557">
        <f>M170</f>
        <v>0</v>
      </c>
      <c r="O241" s="557">
        <f>N170</f>
        <v>0.44999999999999996</v>
      </c>
      <c r="Q241" s="1365"/>
      <c r="R241" s="553">
        <v>16</v>
      </c>
      <c r="S241" s="557">
        <f>Q170</f>
        <v>960</v>
      </c>
      <c r="T241" s="557">
        <f>R170</f>
        <v>4.5999999999999996</v>
      </c>
      <c r="U241" s="557">
        <f>S170</f>
        <v>-2.9</v>
      </c>
      <c r="V241" s="557">
        <f>T170</f>
        <v>0</v>
      </c>
      <c r="W241" s="558">
        <f>U170</f>
        <v>3.75</v>
      </c>
      <c r="Y241" s="551">
        <v>17</v>
      </c>
      <c r="Z241" s="559">
        <f>X179</f>
        <v>0.8</v>
      </c>
      <c r="AE241" s="533"/>
      <c r="AL241" s="533"/>
    </row>
    <row r="242" spans="1:38" ht="13" hidden="1">
      <c r="A242" s="1361"/>
      <c r="B242" s="553">
        <v>17</v>
      </c>
      <c r="C242" s="557">
        <f>C181</f>
        <v>15</v>
      </c>
      <c r="D242" s="557">
        <f>D181</f>
        <v>0.2</v>
      </c>
      <c r="E242" s="557">
        <f>E181</f>
        <v>0.1</v>
      </c>
      <c r="F242" s="557">
        <f t="shared" ref="F242" si="76">F181</f>
        <v>0</v>
      </c>
      <c r="G242" s="557">
        <f>G181</f>
        <v>0.05</v>
      </c>
      <c r="I242" s="1361"/>
      <c r="J242" s="553">
        <v>17</v>
      </c>
      <c r="K242" s="557">
        <f>J181</f>
        <v>35</v>
      </c>
      <c r="L242" s="557">
        <f>K181</f>
        <v>-2.7</v>
      </c>
      <c r="M242" s="557">
        <f>L181</f>
        <v>0.1</v>
      </c>
      <c r="N242" s="557">
        <f>M181</f>
        <v>0</v>
      </c>
      <c r="O242" s="557">
        <f>N181</f>
        <v>1.4000000000000001</v>
      </c>
      <c r="Q242" s="1365"/>
      <c r="R242" s="553">
        <v>17</v>
      </c>
      <c r="S242" s="557">
        <f>Q181</f>
        <v>960</v>
      </c>
      <c r="T242" s="557">
        <f>R181</f>
        <v>4.5999999999999996</v>
      </c>
      <c r="U242" s="557">
        <f>S181</f>
        <v>-0.6</v>
      </c>
      <c r="V242" s="557">
        <f>T181</f>
        <v>0</v>
      </c>
      <c r="W242" s="558">
        <f>U181</f>
        <v>2.5999999999999996</v>
      </c>
      <c r="Y242" s="551">
        <v>18</v>
      </c>
      <c r="Z242" s="559">
        <f>X190</f>
        <v>0.6</v>
      </c>
      <c r="AE242" s="533"/>
      <c r="AL242" s="533"/>
    </row>
    <row r="243" spans="1:38" ht="13" hidden="1">
      <c r="A243" s="1361"/>
      <c r="B243" s="553">
        <v>18</v>
      </c>
      <c r="C243" s="557">
        <f>C192</f>
        <v>15</v>
      </c>
      <c r="D243" s="557">
        <f t="shared" ref="D243:F243" si="77">D192</f>
        <v>0.3</v>
      </c>
      <c r="E243" s="557">
        <f t="shared" si="77"/>
        <v>9.9999999999999995E-7</v>
      </c>
      <c r="F243" s="557">
        <f t="shared" si="77"/>
        <v>0</v>
      </c>
      <c r="G243" s="557">
        <f>G192</f>
        <v>0.14999950000000001</v>
      </c>
      <c r="I243" s="1361"/>
      <c r="J243" s="553">
        <v>18</v>
      </c>
      <c r="K243" s="557">
        <f>J192</f>
        <v>35</v>
      </c>
      <c r="L243" s="557">
        <f>K192</f>
        <v>-3.2</v>
      </c>
      <c r="M243" s="557">
        <f>L192</f>
        <v>-0.4</v>
      </c>
      <c r="N243" s="557">
        <f>M192</f>
        <v>0</v>
      </c>
      <c r="O243" s="557">
        <f>N192</f>
        <v>1.4000000000000001</v>
      </c>
      <c r="Q243" s="1365"/>
      <c r="R243" s="553">
        <v>18</v>
      </c>
      <c r="S243" s="557">
        <f>Q192</f>
        <v>960</v>
      </c>
      <c r="T243" s="557">
        <f>R192</f>
        <v>4.4000000000000004</v>
      </c>
      <c r="U243" s="557">
        <f>S192</f>
        <v>-1.5</v>
      </c>
      <c r="V243" s="557">
        <f>T192</f>
        <v>0</v>
      </c>
      <c r="W243" s="558">
        <f>U192</f>
        <v>2.95</v>
      </c>
      <c r="Y243" s="551">
        <v>19</v>
      </c>
      <c r="Z243" s="559">
        <f>X201</f>
        <v>0.5</v>
      </c>
      <c r="AE243" s="533"/>
      <c r="AL243" s="533"/>
    </row>
    <row r="244" spans="1:38" ht="13.5" hidden="1" thickBot="1">
      <c r="A244" s="1361"/>
      <c r="B244" s="553">
        <v>19</v>
      </c>
      <c r="C244" s="557">
        <f>C203</f>
        <v>15</v>
      </c>
      <c r="D244" s="557">
        <f t="shared" ref="D244:F244" si="78">D203</f>
        <v>0.2</v>
      </c>
      <c r="E244" s="557">
        <f t="shared" si="78"/>
        <v>9.9999999999999995E-7</v>
      </c>
      <c r="F244" s="557">
        <f t="shared" si="78"/>
        <v>0</v>
      </c>
      <c r="G244" s="557">
        <f>G203</f>
        <v>9.9999500000000005E-2</v>
      </c>
      <c r="I244" s="1361"/>
      <c r="J244" s="553">
        <v>19</v>
      </c>
      <c r="K244" s="557">
        <f>J203</f>
        <v>35</v>
      </c>
      <c r="L244" s="557">
        <f>K203</f>
        <v>-2.2000000000000002</v>
      </c>
      <c r="M244" s="557">
        <f>L203</f>
        <v>-1.5</v>
      </c>
      <c r="N244" s="557">
        <f>M203</f>
        <v>0</v>
      </c>
      <c r="O244" s="557">
        <f>N203</f>
        <v>0.35000000000000009</v>
      </c>
      <c r="Q244" s="1365"/>
      <c r="R244" s="553">
        <v>19</v>
      </c>
      <c r="S244" s="557">
        <f>Q203</f>
        <v>750</v>
      </c>
      <c r="T244" s="557">
        <f>R203</f>
        <v>4.5</v>
      </c>
      <c r="U244" s="557">
        <f>S203</f>
        <v>2.5</v>
      </c>
      <c r="V244" s="557">
        <f>T203</f>
        <v>0</v>
      </c>
      <c r="W244" s="558">
        <f>U203</f>
        <v>1</v>
      </c>
      <c r="Y244" s="560">
        <v>20</v>
      </c>
      <c r="Z244" s="561">
        <f>X212</f>
        <v>0</v>
      </c>
      <c r="AE244" s="533"/>
      <c r="AL244" s="533"/>
    </row>
    <row r="245" spans="1:38" ht="13.5" hidden="1" thickBot="1">
      <c r="A245" s="1361"/>
      <c r="B245" s="553">
        <v>20</v>
      </c>
      <c r="C245" s="557">
        <f>C214</f>
        <v>14.8</v>
      </c>
      <c r="D245" s="557">
        <f t="shared" ref="D245:F245" si="79">D214</f>
        <v>9.9999999999999995E-7</v>
      </c>
      <c r="E245" s="557" t="str">
        <f t="shared" si="79"/>
        <v>-</v>
      </c>
      <c r="F245" s="557">
        <f t="shared" si="79"/>
        <v>9.9999999999999995E-7</v>
      </c>
      <c r="G245" s="557">
        <f>G214</f>
        <v>0</v>
      </c>
      <c r="I245" s="1361"/>
      <c r="J245" s="553">
        <v>20</v>
      </c>
      <c r="K245" s="557">
        <f>J214</f>
        <v>45.7</v>
      </c>
      <c r="L245" s="557">
        <f>K214</f>
        <v>9.9999999999999995E-7</v>
      </c>
      <c r="M245" s="557" t="str">
        <f>L214</f>
        <v>-</v>
      </c>
      <c r="N245" s="557">
        <f>M214</f>
        <v>0</v>
      </c>
      <c r="O245" s="557">
        <f>N214</f>
        <v>0</v>
      </c>
      <c r="Q245" s="1366"/>
      <c r="R245" s="562">
        <v>20</v>
      </c>
      <c r="S245" s="563">
        <f>Q214</f>
        <v>750</v>
      </c>
      <c r="T245" s="563">
        <f>R214</f>
        <v>9.9999999999999995E-7</v>
      </c>
      <c r="U245" s="563" t="str">
        <f>S214</f>
        <v>-</v>
      </c>
      <c r="V245" s="563">
        <f>T214</f>
        <v>9.9999999999999995E-7</v>
      </c>
      <c r="W245" s="564">
        <f>U214</f>
        <v>0</v>
      </c>
      <c r="Y245" s="565"/>
      <c r="AE245" s="566"/>
      <c r="AL245" s="533"/>
    </row>
    <row r="246" spans="1:38" ht="13" hidden="1">
      <c r="A246" s="567"/>
      <c r="B246" s="567"/>
      <c r="C246" s="342"/>
      <c r="D246" s="342"/>
      <c r="E246" s="342"/>
      <c r="F246" s="547"/>
      <c r="G246" s="342"/>
      <c r="I246" s="567"/>
      <c r="J246" s="567"/>
      <c r="K246" s="342"/>
      <c r="L246" s="342"/>
      <c r="M246" s="342"/>
      <c r="N246" s="547"/>
      <c r="O246" s="342"/>
      <c r="Q246" s="568"/>
      <c r="R246" s="568"/>
      <c r="S246" s="569"/>
      <c r="T246" s="569"/>
      <c r="U246" s="569"/>
      <c r="W246" s="570"/>
      <c r="Y246" s="571"/>
      <c r="AE246" s="571"/>
      <c r="AL246" s="571"/>
    </row>
    <row r="247" spans="1:38" ht="13" hidden="1">
      <c r="A247" s="1361">
        <v>2</v>
      </c>
      <c r="B247" s="553">
        <v>1</v>
      </c>
      <c r="C247" s="557">
        <f>C6</f>
        <v>20</v>
      </c>
      <c r="D247" s="557">
        <f t="shared" ref="D247:F247" si="80">D6</f>
        <v>0</v>
      </c>
      <c r="E247" s="557">
        <f t="shared" si="80"/>
        <v>0.1</v>
      </c>
      <c r="F247" s="557">
        <f t="shared" si="80"/>
        <v>-0.2</v>
      </c>
      <c r="G247" s="557">
        <f>G6</f>
        <v>0.15000000000000002</v>
      </c>
      <c r="I247" s="1361">
        <v>2</v>
      </c>
      <c r="J247" s="553">
        <v>1</v>
      </c>
      <c r="K247" s="557">
        <f>J6</f>
        <v>40</v>
      </c>
      <c r="L247" s="557">
        <f>K6</f>
        <v>-5.9</v>
      </c>
      <c r="M247" s="557">
        <f>L6</f>
        <v>-11.5</v>
      </c>
      <c r="N247" s="557">
        <f>M6</f>
        <v>-5.8</v>
      </c>
      <c r="O247" s="557">
        <f>N6</f>
        <v>2.85</v>
      </c>
      <c r="Q247" s="1362">
        <v>2</v>
      </c>
      <c r="R247" s="572">
        <v>1</v>
      </c>
      <c r="S247" s="573">
        <f>Q6</f>
        <v>800</v>
      </c>
      <c r="T247" s="573" t="str">
        <f>R6</f>
        <v>-</v>
      </c>
      <c r="U247" s="573" t="str">
        <f>S6</f>
        <v>-</v>
      </c>
      <c r="V247" s="573">
        <f>T6</f>
        <v>9.9999999999999995E-7</v>
      </c>
      <c r="W247" s="574">
        <f>U6</f>
        <v>0</v>
      </c>
      <c r="Y247" s="1351" t="s">
        <v>396</v>
      </c>
      <c r="Z247" s="1352"/>
      <c r="AE247" s="575"/>
    </row>
    <row r="248" spans="1:38" ht="13" hidden="1">
      <c r="A248" s="1361"/>
      <c r="B248" s="553">
        <v>2</v>
      </c>
      <c r="C248" s="557">
        <f>C17</f>
        <v>20</v>
      </c>
      <c r="D248" s="557">
        <f t="shared" ref="D248:F248" si="81">D17</f>
        <v>0.2</v>
      </c>
      <c r="E248" s="557">
        <f t="shared" si="81"/>
        <v>0.7</v>
      </c>
      <c r="F248" s="557">
        <f t="shared" si="81"/>
        <v>-0.1</v>
      </c>
      <c r="G248" s="557">
        <f>G17</f>
        <v>0.39999999999999997</v>
      </c>
      <c r="I248" s="1361"/>
      <c r="J248" s="553">
        <v>2</v>
      </c>
      <c r="K248" s="557">
        <f>J17</f>
        <v>40</v>
      </c>
      <c r="L248" s="557">
        <f>K17</f>
        <v>-10.3</v>
      </c>
      <c r="M248" s="557">
        <f>L17</f>
        <v>-6.2</v>
      </c>
      <c r="N248" s="557">
        <f>M17</f>
        <v>-1.6</v>
      </c>
      <c r="O248" s="557">
        <f>N17</f>
        <v>4.3500000000000005</v>
      </c>
      <c r="Q248" s="1361"/>
      <c r="R248" s="553">
        <v>2</v>
      </c>
      <c r="S248" s="557">
        <f>Q17</f>
        <v>800</v>
      </c>
      <c r="T248" s="557" t="str">
        <f>R17</f>
        <v>-</v>
      </c>
      <c r="U248" s="557" t="str">
        <f>S17</f>
        <v>-</v>
      </c>
      <c r="V248" s="557" t="str">
        <f>T17</f>
        <v>-</v>
      </c>
      <c r="W248" s="558">
        <f>U17</f>
        <v>0</v>
      </c>
      <c r="Y248" s="1358" t="s">
        <v>436</v>
      </c>
      <c r="Z248" s="1359"/>
      <c r="AE248" s="533"/>
    </row>
    <row r="249" spans="1:38" ht="13" hidden="1">
      <c r="A249" s="1361"/>
      <c r="B249" s="553">
        <v>3</v>
      </c>
      <c r="C249" s="553">
        <f>C28</f>
        <v>20</v>
      </c>
      <c r="D249" s="553">
        <f t="shared" ref="D249:F249" si="82">D28</f>
        <v>0.2</v>
      </c>
      <c r="E249" s="553">
        <f t="shared" si="82"/>
        <v>1</v>
      </c>
      <c r="F249" s="553">
        <f t="shared" si="82"/>
        <v>9.9999999999999995E-7</v>
      </c>
      <c r="G249" s="553">
        <f>G28</f>
        <v>0.49999949999999999</v>
      </c>
      <c r="I249" s="1361"/>
      <c r="J249" s="553">
        <v>3</v>
      </c>
      <c r="K249" s="553">
        <f>J28</f>
        <v>40</v>
      </c>
      <c r="L249" s="553">
        <f>K28</f>
        <v>-9.6999999999999993</v>
      </c>
      <c r="M249" s="553">
        <f>L28</f>
        <v>-5.9</v>
      </c>
      <c r="N249" s="553">
        <f>M28</f>
        <v>-5.3</v>
      </c>
      <c r="O249" s="553">
        <f>N28</f>
        <v>2.1999999999999997</v>
      </c>
      <c r="Q249" s="1361"/>
      <c r="R249" s="553">
        <v>3</v>
      </c>
      <c r="S249" s="553">
        <f>Q28</f>
        <v>800</v>
      </c>
      <c r="T249" s="553" t="str">
        <f>R28</f>
        <v>-</v>
      </c>
      <c r="U249" s="553" t="str">
        <f>S28</f>
        <v>-</v>
      </c>
      <c r="V249" s="553" t="str">
        <f>T28</f>
        <v>-</v>
      </c>
      <c r="W249" s="554">
        <f>U28</f>
        <v>0</v>
      </c>
      <c r="Y249" s="551">
        <v>1</v>
      </c>
      <c r="Z249" s="552">
        <f>X4</f>
        <v>2.6</v>
      </c>
      <c r="AE249" s="533"/>
    </row>
    <row r="250" spans="1:38" ht="13" hidden="1">
      <c r="A250" s="1361"/>
      <c r="B250" s="553">
        <v>4</v>
      </c>
      <c r="C250" s="553">
        <f>C39</f>
        <v>20</v>
      </c>
      <c r="D250" s="553">
        <f t="shared" ref="D250:F250" si="83">D39</f>
        <v>-0.1</v>
      </c>
      <c r="E250" s="553">
        <f t="shared" si="83"/>
        <v>-0.3</v>
      </c>
      <c r="F250" s="553">
        <f t="shared" si="83"/>
        <v>0</v>
      </c>
      <c r="G250" s="553">
        <f>G39</f>
        <v>9.9999999999999992E-2</v>
      </c>
      <c r="I250" s="1361"/>
      <c r="J250" s="553">
        <v>4</v>
      </c>
      <c r="K250" s="553">
        <f>J39</f>
        <v>40</v>
      </c>
      <c r="L250" s="553">
        <f>K39</f>
        <v>-4.4000000000000004</v>
      </c>
      <c r="M250" s="553">
        <f>L39</f>
        <v>-1.5</v>
      </c>
      <c r="N250" s="553">
        <f>M39</f>
        <v>0</v>
      </c>
      <c r="O250" s="553">
        <f>N39</f>
        <v>1.4500000000000002</v>
      </c>
      <c r="Q250" s="1361"/>
      <c r="R250" s="553">
        <v>4</v>
      </c>
      <c r="S250" s="553">
        <f>Q39</f>
        <v>800</v>
      </c>
      <c r="T250" s="553" t="str">
        <f>R39</f>
        <v>-</v>
      </c>
      <c r="U250" s="553" t="str">
        <f>S39</f>
        <v>-</v>
      </c>
      <c r="V250" s="553">
        <f>T39</f>
        <v>9.9999999999999995E-7</v>
      </c>
      <c r="W250" s="554">
        <f>U39</f>
        <v>0</v>
      </c>
      <c r="Y250" s="555">
        <v>2</v>
      </c>
      <c r="Z250" s="552">
        <f>X15</f>
        <v>3.3</v>
      </c>
      <c r="AE250" s="533"/>
    </row>
    <row r="251" spans="1:38" ht="13" hidden="1">
      <c r="A251" s="1361"/>
      <c r="B251" s="553">
        <v>5</v>
      </c>
      <c r="C251" s="553">
        <f>C50</f>
        <v>20</v>
      </c>
      <c r="D251" s="553">
        <f t="shared" ref="D251:F251" si="84">D50</f>
        <v>0.4</v>
      </c>
      <c r="E251" s="553">
        <f t="shared" si="84"/>
        <v>0.1</v>
      </c>
      <c r="F251" s="553">
        <f t="shared" si="84"/>
        <v>0.1</v>
      </c>
      <c r="G251" s="553">
        <f>G50</f>
        <v>0.15000000000000002</v>
      </c>
      <c r="I251" s="1361"/>
      <c r="J251" s="553">
        <v>5</v>
      </c>
      <c r="K251" s="553">
        <f>J50</f>
        <v>40</v>
      </c>
      <c r="L251" s="553">
        <f>K50</f>
        <v>-9.6</v>
      </c>
      <c r="M251" s="553">
        <f>L50</f>
        <v>-9.6999999999999993</v>
      </c>
      <c r="N251" s="553">
        <f>M50</f>
        <v>-7.2</v>
      </c>
      <c r="O251" s="553">
        <f>N50</f>
        <v>1.2499999999999996</v>
      </c>
      <c r="Q251" s="1361"/>
      <c r="R251" s="553">
        <v>5</v>
      </c>
      <c r="S251" s="553">
        <f>Q50</f>
        <v>800</v>
      </c>
      <c r="T251" s="553" t="str">
        <f>R50</f>
        <v>-</v>
      </c>
      <c r="U251" s="553" t="str">
        <f>S50</f>
        <v>-</v>
      </c>
      <c r="V251" s="553" t="str">
        <f>T50</f>
        <v>-</v>
      </c>
      <c r="W251" s="554">
        <f>U50</f>
        <v>0</v>
      </c>
      <c r="Y251" s="555">
        <v>3</v>
      </c>
      <c r="Z251" s="556">
        <f>X26</f>
        <v>2.4</v>
      </c>
      <c r="AE251" s="533"/>
    </row>
    <row r="252" spans="1:38" ht="13" hidden="1">
      <c r="A252" s="1361"/>
      <c r="B252" s="553">
        <v>6</v>
      </c>
      <c r="C252" s="553">
        <f>C61</f>
        <v>20</v>
      </c>
      <c r="D252" s="553">
        <f t="shared" ref="D252:F252" si="85">D61</f>
        <v>0.3</v>
      </c>
      <c r="E252" s="553">
        <f t="shared" si="85"/>
        <v>0.2</v>
      </c>
      <c r="F252" s="553">
        <f t="shared" si="85"/>
        <v>0</v>
      </c>
      <c r="G252" s="553">
        <f>G61</f>
        <v>4.9999999999999989E-2</v>
      </c>
      <c r="I252" s="1361"/>
      <c r="J252" s="553">
        <v>6</v>
      </c>
      <c r="K252" s="553">
        <f>J61</f>
        <v>40</v>
      </c>
      <c r="L252" s="553">
        <f>K61</f>
        <v>-3.8</v>
      </c>
      <c r="M252" s="553">
        <f>L61</f>
        <v>1.5</v>
      </c>
      <c r="N252" s="553">
        <f>M61</f>
        <v>0</v>
      </c>
      <c r="O252" s="553">
        <f>N61</f>
        <v>2.65</v>
      </c>
      <c r="Q252" s="1361"/>
      <c r="R252" s="553">
        <v>6</v>
      </c>
      <c r="S252" s="553">
        <f>Q61</f>
        <v>800</v>
      </c>
      <c r="T252" s="553">
        <f>R61</f>
        <v>0.9</v>
      </c>
      <c r="U252" s="553">
        <f>S61</f>
        <v>1.6</v>
      </c>
      <c r="V252" s="553">
        <f>T61</f>
        <v>9.9999999999999995E-7</v>
      </c>
      <c r="W252" s="554">
        <f>U61</f>
        <v>0.79999950000000009</v>
      </c>
      <c r="Y252" s="555">
        <v>4</v>
      </c>
      <c r="Z252" s="556">
        <f>X37</f>
        <v>1.3</v>
      </c>
      <c r="AE252" s="533"/>
    </row>
    <row r="253" spans="1:38" ht="13" hidden="1">
      <c r="A253" s="1361"/>
      <c r="B253" s="553">
        <v>7</v>
      </c>
      <c r="C253" s="553">
        <f>C72</f>
        <v>20</v>
      </c>
      <c r="D253" s="553">
        <f t="shared" ref="D253:F253" si="86">D72</f>
        <v>9.9999999999999995E-7</v>
      </c>
      <c r="E253" s="553">
        <f t="shared" si="86"/>
        <v>0.1</v>
      </c>
      <c r="F253" s="553">
        <f t="shared" si="86"/>
        <v>0</v>
      </c>
      <c r="G253" s="553">
        <f>G72</f>
        <v>4.9999500000000002E-2</v>
      </c>
      <c r="I253" s="1361"/>
      <c r="J253" s="553">
        <v>7</v>
      </c>
      <c r="K253" s="553">
        <f>J72</f>
        <v>40</v>
      </c>
      <c r="L253" s="553">
        <f>K72</f>
        <v>-1.9</v>
      </c>
      <c r="M253" s="553">
        <f>L72</f>
        <v>1.2</v>
      </c>
      <c r="N253" s="553">
        <f>M72</f>
        <v>0</v>
      </c>
      <c r="O253" s="553">
        <f>N72</f>
        <v>1.5499999999999998</v>
      </c>
      <c r="Q253" s="1361"/>
      <c r="R253" s="553">
        <v>7</v>
      </c>
      <c r="S253" s="553">
        <f>Q72</f>
        <v>800</v>
      </c>
      <c r="T253" s="553">
        <f>R72</f>
        <v>9.9999999999999995E-7</v>
      </c>
      <c r="U253" s="553">
        <f>S72</f>
        <v>2.5</v>
      </c>
      <c r="V253" s="553">
        <f>T72</f>
        <v>9.9999999999999995E-7</v>
      </c>
      <c r="W253" s="554">
        <f>U72</f>
        <v>1.2499994999999999</v>
      </c>
      <c r="Y253" s="555">
        <v>5</v>
      </c>
      <c r="Z253" s="556">
        <f>X48</f>
        <v>2.2999999999999998</v>
      </c>
      <c r="AE253" s="533"/>
    </row>
    <row r="254" spans="1:38" ht="13" hidden="1">
      <c r="A254" s="1361"/>
      <c r="B254" s="553">
        <v>8</v>
      </c>
      <c r="C254" s="553">
        <f>C83</f>
        <v>20</v>
      </c>
      <c r="D254" s="553">
        <f t="shared" ref="D254:F254" si="87">D83</f>
        <v>0.2</v>
      </c>
      <c r="E254" s="553">
        <f t="shared" si="87"/>
        <v>9.9999999999999995E-7</v>
      </c>
      <c r="F254" s="553">
        <f t="shared" si="87"/>
        <v>-0.2</v>
      </c>
      <c r="G254" s="553">
        <f>G83</f>
        <v>0.2</v>
      </c>
      <c r="I254" s="1361"/>
      <c r="J254" s="553">
        <v>8</v>
      </c>
      <c r="K254" s="553">
        <f>J83</f>
        <v>40</v>
      </c>
      <c r="L254" s="553">
        <f>K83</f>
        <v>-4.5999999999999996</v>
      </c>
      <c r="M254" s="553">
        <f>L83</f>
        <v>-3.8</v>
      </c>
      <c r="N254" s="553">
        <f>M83</f>
        <v>-1.2</v>
      </c>
      <c r="O254" s="553">
        <f>N83</f>
        <v>1.6999999999999997</v>
      </c>
      <c r="Q254" s="1361"/>
      <c r="R254" s="553">
        <v>8</v>
      </c>
      <c r="S254" s="553">
        <f>Q83</f>
        <v>970</v>
      </c>
      <c r="T254" s="553">
        <f>R83</f>
        <v>-1</v>
      </c>
      <c r="U254" s="553">
        <f>S83</f>
        <v>-3.9</v>
      </c>
      <c r="V254" s="553">
        <f>T83</f>
        <v>9.9999999999999995E-7</v>
      </c>
      <c r="W254" s="554">
        <f>U83</f>
        <v>1.9500005</v>
      </c>
      <c r="Y254" s="551">
        <v>6</v>
      </c>
      <c r="Z254" s="552">
        <f>X59</f>
        <v>2.6</v>
      </c>
      <c r="AE254" s="533"/>
    </row>
    <row r="255" spans="1:38" ht="13" hidden="1">
      <c r="A255" s="1361"/>
      <c r="B255" s="553">
        <v>9</v>
      </c>
      <c r="C255" s="553">
        <f>C94</f>
        <v>20</v>
      </c>
      <c r="D255" s="553">
        <f t="shared" ref="D255:F255" si="88">D94</f>
        <v>-0.2</v>
      </c>
      <c r="E255" s="553" t="str">
        <f t="shared" si="88"/>
        <v>-</v>
      </c>
      <c r="F255" s="553">
        <f t="shared" si="88"/>
        <v>0</v>
      </c>
      <c r="G255" s="553">
        <f>G94</f>
        <v>0</v>
      </c>
      <c r="I255" s="1361"/>
      <c r="J255" s="553">
        <v>9</v>
      </c>
      <c r="K255" s="553">
        <f>J94</f>
        <v>40</v>
      </c>
      <c r="L255" s="553">
        <f>K94</f>
        <v>-1</v>
      </c>
      <c r="M255" s="553" t="str">
        <f>L94</f>
        <v>-</v>
      </c>
      <c r="N255" s="553">
        <f>M94</f>
        <v>0</v>
      </c>
      <c r="O255" s="553">
        <f>N94</f>
        <v>0</v>
      </c>
      <c r="Q255" s="1361"/>
      <c r="R255" s="553">
        <v>9</v>
      </c>
      <c r="S255" s="553">
        <f>Q94</f>
        <v>800</v>
      </c>
      <c r="T255" s="553">
        <f>R94</f>
        <v>9.9999999999999995E-7</v>
      </c>
      <c r="U255" s="553" t="str">
        <f>S94</f>
        <v>-</v>
      </c>
      <c r="V255" s="553">
        <f>T94</f>
        <v>9.9999999999999995E-7</v>
      </c>
      <c r="W255" s="554">
        <f>U94</f>
        <v>0</v>
      </c>
      <c r="Y255" s="551">
        <v>7</v>
      </c>
      <c r="Z255" s="552">
        <f>X70</f>
        <v>2.4</v>
      </c>
      <c r="AE255" s="533"/>
    </row>
    <row r="256" spans="1:38" ht="13" hidden="1">
      <c r="A256" s="1361"/>
      <c r="B256" s="553">
        <v>10</v>
      </c>
      <c r="C256" s="553">
        <f>C105</f>
        <v>20</v>
      </c>
      <c r="D256" s="553">
        <f t="shared" ref="D256:F256" si="89">D105</f>
        <v>0.2</v>
      </c>
      <c r="E256" s="553">
        <f t="shared" si="89"/>
        <v>-0.7</v>
      </c>
      <c r="F256" s="553">
        <f t="shared" si="89"/>
        <v>0</v>
      </c>
      <c r="G256" s="553">
        <f>G105</f>
        <v>0.44999999999999996</v>
      </c>
      <c r="I256" s="1361"/>
      <c r="J256" s="553">
        <v>10</v>
      </c>
      <c r="K256" s="553">
        <f>J105</f>
        <v>40</v>
      </c>
      <c r="L256" s="553">
        <f>K105</f>
        <v>-3.3</v>
      </c>
      <c r="M256" s="553">
        <f>L105</f>
        <v>-6.4</v>
      </c>
      <c r="N256" s="553">
        <f>M105</f>
        <v>0</v>
      </c>
      <c r="O256" s="553">
        <f>N105</f>
        <v>1.5500000000000003</v>
      </c>
      <c r="Q256" s="1361"/>
      <c r="R256" s="553">
        <v>10</v>
      </c>
      <c r="S256" s="553">
        <f>Q105</f>
        <v>800</v>
      </c>
      <c r="T256" s="553" t="str">
        <f>R105</f>
        <v>-</v>
      </c>
      <c r="U256" s="553" t="str">
        <f>S105</f>
        <v>-</v>
      </c>
      <c r="V256" s="553">
        <f>T105</f>
        <v>9.9999999999999995E-7</v>
      </c>
      <c r="W256" s="554">
        <f>U105</f>
        <v>0</v>
      </c>
      <c r="Y256" s="551">
        <v>8</v>
      </c>
      <c r="Z256" s="552">
        <f>X81</f>
        <v>2.2999999999999998</v>
      </c>
      <c r="AE256" s="533"/>
    </row>
    <row r="257" spans="1:31" ht="13" hidden="1">
      <c r="A257" s="1361"/>
      <c r="B257" s="553">
        <v>11</v>
      </c>
      <c r="C257" s="553">
        <f>C116</f>
        <v>20</v>
      </c>
      <c r="D257" s="553">
        <f t="shared" ref="D257:F257" si="90">D116</f>
        <v>0.4</v>
      </c>
      <c r="E257" s="553">
        <f t="shared" si="90"/>
        <v>0.5</v>
      </c>
      <c r="F257" s="553">
        <f t="shared" si="90"/>
        <v>0</v>
      </c>
      <c r="G257" s="553">
        <f>G116</f>
        <v>4.9999999999999989E-2</v>
      </c>
      <c r="I257" s="1361"/>
      <c r="J257" s="553">
        <v>11</v>
      </c>
      <c r="K257" s="553">
        <f>J116</f>
        <v>40</v>
      </c>
      <c r="L257" s="553">
        <f>K116</f>
        <v>-5.5</v>
      </c>
      <c r="M257" s="553">
        <f>L116</f>
        <v>-5.9</v>
      </c>
      <c r="N257" s="553">
        <f>M116</f>
        <v>0</v>
      </c>
      <c r="O257" s="553">
        <f>N116</f>
        <v>0.20000000000000018</v>
      </c>
      <c r="Q257" s="1361"/>
      <c r="R257" s="553">
        <v>11</v>
      </c>
      <c r="S257" s="553">
        <f>Q116</f>
        <v>800</v>
      </c>
      <c r="T257" s="553" t="str">
        <f>R116</f>
        <v>-</v>
      </c>
      <c r="U257" s="553" t="str">
        <f>S116</f>
        <v>-</v>
      </c>
      <c r="V257" s="553">
        <f>T116</f>
        <v>9.9999999999999995E-7</v>
      </c>
      <c r="W257" s="554">
        <f>U116</f>
        <v>0</v>
      </c>
      <c r="Y257" s="551">
        <v>9</v>
      </c>
      <c r="Z257" s="552">
        <f>X92</f>
        <v>2.4</v>
      </c>
      <c r="AE257" s="533"/>
    </row>
    <row r="258" spans="1:31" ht="13" hidden="1">
      <c r="A258" s="1361"/>
      <c r="B258" s="553">
        <v>12</v>
      </c>
      <c r="C258" s="553">
        <f>C127</f>
        <v>20</v>
      </c>
      <c r="D258" s="553">
        <f t="shared" ref="D258:F258" si="91">D127</f>
        <v>0.3</v>
      </c>
      <c r="E258" s="553">
        <f t="shared" si="91"/>
        <v>9.9999999999999995E-7</v>
      </c>
      <c r="F258" s="553">
        <f t="shared" si="91"/>
        <v>0</v>
      </c>
      <c r="G258" s="553">
        <f>G127</f>
        <v>0.14999950000000001</v>
      </c>
      <c r="I258" s="1361"/>
      <c r="J258" s="553">
        <v>12</v>
      </c>
      <c r="K258" s="553">
        <f>J127</f>
        <v>40</v>
      </c>
      <c r="L258" s="553">
        <f>K127</f>
        <v>-3.1</v>
      </c>
      <c r="M258" s="553">
        <f>L127</f>
        <v>-0.1</v>
      </c>
      <c r="N258" s="553">
        <f>M127</f>
        <v>0</v>
      </c>
      <c r="O258" s="553">
        <f>N127</f>
        <v>1.5</v>
      </c>
      <c r="Q258" s="1361"/>
      <c r="R258" s="553">
        <v>12</v>
      </c>
      <c r="S258" s="553">
        <f>Q127</f>
        <v>970</v>
      </c>
      <c r="T258" s="553">
        <f>R127</f>
        <v>4.0999999999999996</v>
      </c>
      <c r="U258" s="553">
        <f>S127</f>
        <v>-0.5</v>
      </c>
      <c r="V258" s="553">
        <f>T127</f>
        <v>0</v>
      </c>
      <c r="W258" s="554">
        <f>U127</f>
        <v>2.2999999999999998</v>
      </c>
      <c r="Y258" s="551">
        <v>10</v>
      </c>
      <c r="Z258" s="552">
        <f>X103</f>
        <v>1.5</v>
      </c>
      <c r="AE258" s="533"/>
    </row>
    <row r="259" spans="1:31" ht="13" hidden="1">
      <c r="A259" s="1361"/>
      <c r="B259" s="553">
        <v>13</v>
      </c>
      <c r="C259" s="553">
        <f>C138</f>
        <v>20</v>
      </c>
      <c r="D259" s="553">
        <f t="shared" ref="D259:F259" si="92">D138</f>
        <v>0.2</v>
      </c>
      <c r="E259" s="553">
        <f t="shared" si="92"/>
        <v>0.2</v>
      </c>
      <c r="F259" s="553">
        <f t="shared" si="92"/>
        <v>-0.4</v>
      </c>
      <c r="G259" s="553">
        <f>G138</f>
        <v>0.30000000000000004</v>
      </c>
      <c r="I259" s="1361"/>
      <c r="J259" s="553">
        <v>13</v>
      </c>
      <c r="K259" s="553">
        <f>J138</f>
        <v>40</v>
      </c>
      <c r="L259" s="553">
        <f>K138</f>
        <v>-4</v>
      </c>
      <c r="M259" s="553">
        <f>L138</f>
        <v>-2</v>
      </c>
      <c r="N259" s="553">
        <f>M138</f>
        <v>-1.3</v>
      </c>
      <c r="O259" s="553">
        <f>N138</f>
        <v>1.35</v>
      </c>
      <c r="Q259" s="1361"/>
      <c r="R259" s="553">
        <v>13</v>
      </c>
      <c r="S259" s="553">
        <f>Q138</f>
        <v>990</v>
      </c>
      <c r="T259" s="553">
        <f>R138</f>
        <v>3.9</v>
      </c>
      <c r="U259" s="553">
        <f>S138</f>
        <v>3.8</v>
      </c>
      <c r="V259" s="553">
        <f>T138</f>
        <v>1</v>
      </c>
      <c r="W259" s="554">
        <f>U138</f>
        <v>1.45</v>
      </c>
      <c r="Y259" s="551">
        <v>11</v>
      </c>
      <c r="Z259" s="552">
        <f>X114</f>
        <v>1.8</v>
      </c>
      <c r="AE259" s="533"/>
    </row>
    <row r="260" spans="1:31" ht="13" hidden="1">
      <c r="A260" s="1361"/>
      <c r="B260" s="553">
        <v>14</v>
      </c>
      <c r="C260" s="553">
        <f>C149</f>
        <v>20</v>
      </c>
      <c r="D260" s="553">
        <f t="shared" ref="D260:F260" si="93">D149</f>
        <v>0.2</v>
      </c>
      <c r="E260" s="553">
        <f t="shared" si="93"/>
        <v>0.2</v>
      </c>
      <c r="F260" s="553">
        <f t="shared" si="93"/>
        <v>-0.1</v>
      </c>
      <c r="G260" s="553">
        <f>G149</f>
        <v>0.15000000000000002</v>
      </c>
      <c r="I260" s="1361"/>
      <c r="J260" s="553">
        <v>14</v>
      </c>
      <c r="K260" s="553">
        <f>J149</f>
        <v>40</v>
      </c>
      <c r="L260" s="553">
        <f>K149</f>
        <v>-3.8</v>
      </c>
      <c r="M260" s="553">
        <f>L149</f>
        <v>-0.4</v>
      </c>
      <c r="N260" s="553">
        <f>M149</f>
        <v>0.3</v>
      </c>
      <c r="O260" s="553">
        <f>N149</f>
        <v>2.0499999999999998</v>
      </c>
      <c r="Q260" s="1361"/>
      <c r="R260" s="553">
        <v>14</v>
      </c>
      <c r="S260" s="553">
        <f>Q149</f>
        <v>990</v>
      </c>
      <c r="T260" s="553">
        <f>R149</f>
        <v>4</v>
      </c>
      <c r="U260" s="553">
        <f>S149</f>
        <v>3.9</v>
      </c>
      <c r="V260" s="553">
        <f>T149</f>
        <v>1</v>
      </c>
      <c r="W260" s="554">
        <f>U149</f>
        <v>1.5</v>
      </c>
      <c r="Y260" s="551">
        <v>12</v>
      </c>
      <c r="Z260" s="576">
        <f>X125</f>
        <v>2.2999999999999998</v>
      </c>
      <c r="AE260" s="533"/>
    </row>
    <row r="261" spans="1:31" ht="13" hidden="1">
      <c r="A261" s="1361"/>
      <c r="B261" s="553">
        <v>15</v>
      </c>
      <c r="C261" s="553">
        <f>C160</f>
        <v>20</v>
      </c>
      <c r="D261" s="553">
        <f t="shared" ref="D261:F261" si="94">D160</f>
        <v>0.2</v>
      </c>
      <c r="E261" s="553">
        <f t="shared" si="94"/>
        <v>0.3</v>
      </c>
      <c r="F261" s="553">
        <f t="shared" si="94"/>
        <v>-0.5</v>
      </c>
      <c r="G261" s="553">
        <f>G160</f>
        <v>0.4</v>
      </c>
      <c r="I261" s="1361"/>
      <c r="J261" s="553">
        <v>15</v>
      </c>
      <c r="K261" s="553">
        <f>J160</f>
        <v>40</v>
      </c>
      <c r="L261" s="553">
        <f>K160</f>
        <v>-3.8</v>
      </c>
      <c r="M261" s="553">
        <f>L160</f>
        <v>-1.7</v>
      </c>
      <c r="N261" s="553">
        <f>M160</f>
        <v>-0.3</v>
      </c>
      <c r="O261" s="553">
        <f>N160</f>
        <v>1.75</v>
      </c>
      <c r="Q261" s="1361"/>
      <c r="R261" s="553">
        <v>15</v>
      </c>
      <c r="S261" s="553">
        <f>Q160</f>
        <v>990</v>
      </c>
      <c r="T261" s="553">
        <f>R160</f>
        <v>4.3</v>
      </c>
      <c r="U261" s="553">
        <f>S160</f>
        <v>4.2</v>
      </c>
      <c r="V261" s="553">
        <f>T160</f>
        <v>1</v>
      </c>
      <c r="W261" s="554">
        <f>U160</f>
        <v>1.65</v>
      </c>
      <c r="Y261" s="551">
        <v>13</v>
      </c>
      <c r="Z261" s="552">
        <f>X136</f>
        <v>2.2999999999999998</v>
      </c>
      <c r="AE261" s="533"/>
    </row>
    <row r="262" spans="1:31" ht="13" hidden="1">
      <c r="A262" s="1361"/>
      <c r="B262" s="553">
        <v>16</v>
      </c>
      <c r="C262" s="553">
        <f>C171</f>
        <v>20</v>
      </c>
      <c r="D262" s="553">
        <f t="shared" ref="D262:F262" si="95">D171</f>
        <v>0.3</v>
      </c>
      <c r="E262" s="553">
        <f t="shared" si="95"/>
        <v>0.2</v>
      </c>
      <c r="F262" s="553">
        <f t="shared" si="95"/>
        <v>0</v>
      </c>
      <c r="G262" s="553">
        <f>G171</f>
        <v>4.9999999999999989E-2</v>
      </c>
      <c r="I262" s="1361"/>
      <c r="J262" s="553">
        <v>16</v>
      </c>
      <c r="K262" s="553">
        <f>J171</f>
        <v>40</v>
      </c>
      <c r="L262" s="553">
        <f>K171</f>
        <v>-2.2999999999999998</v>
      </c>
      <c r="M262" s="553">
        <f>L171</f>
        <v>-1.4</v>
      </c>
      <c r="N262" s="553">
        <f>M171</f>
        <v>0</v>
      </c>
      <c r="O262" s="553">
        <f>N171</f>
        <v>0.44999999999999996</v>
      </c>
      <c r="Q262" s="1361"/>
      <c r="R262" s="553">
        <v>16</v>
      </c>
      <c r="S262" s="553">
        <f>Q171</f>
        <v>970</v>
      </c>
      <c r="T262" s="553">
        <f>R171</f>
        <v>4.5</v>
      </c>
      <c r="U262" s="553">
        <f>S171</f>
        <v>-2.2999999999999998</v>
      </c>
      <c r="V262" s="553">
        <f>T171</f>
        <v>0</v>
      </c>
      <c r="W262" s="554">
        <f>U171</f>
        <v>3.4</v>
      </c>
      <c r="Y262" s="551">
        <v>14</v>
      </c>
      <c r="Z262" s="552">
        <f>X147</f>
        <v>2.2999999999999998</v>
      </c>
      <c r="AE262" s="533"/>
    </row>
    <row r="263" spans="1:31" ht="13" hidden="1">
      <c r="A263" s="1361"/>
      <c r="B263" s="553">
        <v>17</v>
      </c>
      <c r="C263" s="553">
        <f>C182</f>
        <v>20</v>
      </c>
      <c r="D263" s="553">
        <f>D182</f>
        <v>0.4</v>
      </c>
      <c r="E263" s="553">
        <f>E182</f>
        <v>0.1</v>
      </c>
      <c r="F263" s="553">
        <f t="shared" ref="F263" si="96">F182</f>
        <v>0</v>
      </c>
      <c r="G263" s="553">
        <f>G182</f>
        <v>0.15000000000000002</v>
      </c>
      <c r="I263" s="1361"/>
      <c r="J263" s="553">
        <v>17</v>
      </c>
      <c r="K263" s="553">
        <f>J182</f>
        <v>40</v>
      </c>
      <c r="L263" s="553">
        <f>K182</f>
        <v>-2.4</v>
      </c>
      <c r="M263" s="553">
        <f>L182</f>
        <v>0.2</v>
      </c>
      <c r="N263" s="553">
        <f>M182</f>
        <v>0</v>
      </c>
      <c r="O263" s="553">
        <f>N182</f>
        <v>1.3</v>
      </c>
      <c r="Q263" s="1361"/>
      <c r="R263" s="553">
        <v>17</v>
      </c>
      <c r="S263" s="553">
        <f>Q182</f>
        <v>970</v>
      </c>
      <c r="T263" s="553">
        <f>R182</f>
        <v>4.5</v>
      </c>
      <c r="U263" s="553">
        <f>S182</f>
        <v>-0.6</v>
      </c>
      <c r="V263" s="553">
        <f>T182</f>
        <v>0</v>
      </c>
      <c r="W263" s="554">
        <f>U182</f>
        <v>2.5499999999999998</v>
      </c>
      <c r="Y263" s="551">
        <v>15</v>
      </c>
      <c r="Z263" s="552">
        <f>X158</f>
        <v>2.2999999999999998</v>
      </c>
      <c r="AE263" s="533"/>
    </row>
    <row r="264" spans="1:31" ht="13" hidden="1">
      <c r="A264" s="1361"/>
      <c r="B264" s="553">
        <v>18</v>
      </c>
      <c r="C264" s="553">
        <f>C193</f>
        <v>20</v>
      </c>
      <c r="D264" s="553">
        <f t="shared" ref="D264:F264" si="97">D193</f>
        <v>0.2</v>
      </c>
      <c r="E264" s="553">
        <f t="shared" si="97"/>
        <v>-0.1</v>
      </c>
      <c r="F264" s="553">
        <f t="shared" si="97"/>
        <v>0</v>
      </c>
      <c r="G264" s="553">
        <f>G193</f>
        <v>0.15000000000000002</v>
      </c>
      <c r="I264" s="1361"/>
      <c r="J264" s="553">
        <v>18</v>
      </c>
      <c r="K264" s="553">
        <f>J193</f>
        <v>40</v>
      </c>
      <c r="L264" s="553">
        <f>K193</f>
        <v>-2.9</v>
      </c>
      <c r="M264" s="553">
        <f>L193</f>
        <v>-0.2</v>
      </c>
      <c r="N264" s="553">
        <f>M193</f>
        <v>0</v>
      </c>
      <c r="O264" s="553">
        <f>N193</f>
        <v>1.3499999999999999</v>
      </c>
      <c r="Q264" s="1361"/>
      <c r="R264" s="553">
        <v>18</v>
      </c>
      <c r="S264" s="553">
        <f>Q193</f>
        <v>970</v>
      </c>
      <c r="T264" s="553">
        <f>R193</f>
        <v>4.4000000000000004</v>
      </c>
      <c r="U264" s="553">
        <f>S193</f>
        <v>-1.3</v>
      </c>
      <c r="V264" s="553">
        <f>T193</f>
        <v>0</v>
      </c>
      <c r="W264" s="554">
        <f>U193</f>
        <v>2.85</v>
      </c>
      <c r="Y264" s="551">
        <v>16</v>
      </c>
      <c r="Z264" s="552">
        <f>X169</f>
        <v>2.2999999999999998</v>
      </c>
      <c r="AE264" s="533"/>
    </row>
    <row r="265" spans="1:31" ht="13" hidden="1">
      <c r="A265" s="1361"/>
      <c r="B265" s="553">
        <v>19</v>
      </c>
      <c r="C265" s="553">
        <f>C204</f>
        <v>20</v>
      </c>
      <c r="D265" s="553">
        <f t="shared" ref="D265:F265" si="98">D204</f>
        <v>0.3</v>
      </c>
      <c r="E265" s="553">
        <f t="shared" si="98"/>
        <v>0.1</v>
      </c>
      <c r="F265" s="553">
        <f t="shared" si="98"/>
        <v>0</v>
      </c>
      <c r="G265" s="553">
        <f>G204</f>
        <v>9.9999999999999992E-2</v>
      </c>
      <c r="I265" s="1361"/>
      <c r="J265" s="553">
        <v>19</v>
      </c>
      <c r="K265" s="553">
        <f>J204</f>
        <v>40</v>
      </c>
      <c r="L265" s="553">
        <f>K204</f>
        <v>-2.4</v>
      </c>
      <c r="M265" s="553">
        <f>L204</f>
        <v>-0.8</v>
      </c>
      <c r="N265" s="553">
        <f>M204</f>
        <v>0</v>
      </c>
      <c r="O265" s="553">
        <f>N204</f>
        <v>0.79999999999999993</v>
      </c>
      <c r="Q265" s="1361"/>
      <c r="R265" s="553">
        <v>19</v>
      </c>
      <c r="S265" s="553">
        <f>Q204</f>
        <v>800</v>
      </c>
      <c r="T265" s="553">
        <f>R204</f>
        <v>4.5</v>
      </c>
      <c r="U265" s="553">
        <f>S204</f>
        <v>2.5</v>
      </c>
      <c r="V265" s="553">
        <f>T204</f>
        <v>0</v>
      </c>
      <c r="W265" s="554">
        <f>U204</f>
        <v>1</v>
      </c>
      <c r="Y265" s="551">
        <v>17</v>
      </c>
      <c r="Z265" s="552">
        <f>X180</f>
        <v>2.2999999999999998</v>
      </c>
      <c r="AE265" s="533"/>
    </row>
    <row r="266" spans="1:31" ht="13.5" hidden="1" thickBot="1">
      <c r="A266" s="1361"/>
      <c r="B266" s="553">
        <v>20</v>
      </c>
      <c r="C266" s="553">
        <f>C215</f>
        <v>19.7</v>
      </c>
      <c r="D266" s="553">
        <f t="shared" ref="D266:F266" si="99">D215</f>
        <v>9.9999999999999995E-7</v>
      </c>
      <c r="E266" s="553" t="str">
        <f t="shared" si="99"/>
        <v>-</v>
      </c>
      <c r="F266" s="553">
        <f t="shared" si="99"/>
        <v>9.9999999999999995E-7</v>
      </c>
      <c r="G266" s="553">
        <f>G215</f>
        <v>0</v>
      </c>
      <c r="I266" s="1361"/>
      <c r="J266" s="553">
        <v>20</v>
      </c>
      <c r="K266" s="553">
        <f>J215</f>
        <v>54.3</v>
      </c>
      <c r="L266" s="553">
        <f>K215</f>
        <v>9.9999999999999995E-7</v>
      </c>
      <c r="M266" s="553" t="str">
        <f>L215</f>
        <v>-</v>
      </c>
      <c r="N266" s="553">
        <f>M215</f>
        <v>0</v>
      </c>
      <c r="O266" s="553">
        <f>N215</f>
        <v>0</v>
      </c>
      <c r="Q266" s="1363"/>
      <c r="R266" s="562">
        <v>20</v>
      </c>
      <c r="S266" s="562">
        <f>Q215</f>
        <v>800</v>
      </c>
      <c r="T266" s="562">
        <f>R215</f>
        <v>9.9999999999999995E-7</v>
      </c>
      <c r="U266" s="562" t="str">
        <f>S215</f>
        <v>-</v>
      </c>
      <c r="V266" s="562">
        <f>T215</f>
        <v>9.9999999999999995E-7</v>
      </c>
      <c r="W266" s="577">
        <f>U215</f>
        <v>0</v>
      </c>
      <c r="Y266" s="551">
        <v>18</v>
      </c>
      <c r="Z266" s="552">
        <f>X191</f>
        <v>2.2999999999999998</v>
      </c>
      <c r="AE266" s="566"/>
    </row>
    <row r="267" spans="1:31" ht="13" hidden="1">
      <c r="A267" s="567"/>
      <c r="B267" s="567"/>
      <c r="C267" s="567"/>
      <c r="D267" s="567"/>
      <c r="E267" s="567"/>
      <c r="F267" s="547"/>
      <c r="G267" s="567"/>
      <c r="I267" s="567"/>
      <c r="J267" s="567"/>
      <c r="K267" s="567"/>
      <c r="L267" s="567"/>
      <c r="M267" s="567"/>
      <c r="N267" s="547"/>
      <c r="O267" s="567"/>
      <c r="Q267" s="578"/>
      <c r="R267" s="568"/>
      <c r="S267" s="343"/>
      <c r="T267" s="343"/>
      <c r="U267" s="343"/>
      <c r="W267" s="344"/>
      <c r="Y267" s="551">
        <v>19</v>
      </c>
      <c r="Z267" s="559">
        <f>X202</f>
        <v>2.2999999999999998</v>
      </c>
      <c r="AE267" s="533"/>
    </row>
    <row r="268" spans="1:31" ht="13.5" hidden="1" thickBot="1">
      <c r="A268" s="1361">
        <v>3</v>
      </c>
      <c r="B268" s="553">
        <v>1</v>
      </c>
      <c r="C268" s="553">
        <f>C7</f>
        <v>25</v>
      </c>
      <c r="D268" s="553">
        <f t="shared" ref="D268:F268" si="100">D7</f>
        <v>-0.1</v>
      </c>
      <c r="E268" s="553">
        <f t="shared" si="100"/>
        <v>0.1</v>
      </c>
      <c r="F268" s="553">
        <f t="shared" si="100"/>
        <v>9.9999999999999995E-7</v>
      </c>
      <c r="G268" s="553">
        <f>G7</f>
        <v>0.1</v>
      </c>
      <c r="I268" s="1361">
        <v>3</v>
      </c>
      <c r="J268" s="553">
        <v>1</v>
      </c>
      <c r="K268" s="553">
        <f>J7</f>
        <v>50</v>
      </c>
      <c r="L268" s="553">
        <f>K7</f>
        <v>-6.6</v>
      </c>
      <c r="M268" s="553">
        <f>L7</f>
        <v>-9.1</v>
      </c>
      <c r="N268" s="553">
        <f>M7</f>
        <v>-5.3</v>
      </c>
      <c r="O268" s="553">
        <f>N7</f>
        <v>1.9</v>
      </c>
      <c r="Q268" s="1362">
        <v>3</v>
      </c>
      <c r="R268" s="572">
        <v>1</v>
      </c>
      <c r="S268" s="572">
        <f>Q7</f>
        <v>850</v>
      </c>
      <c r="T268" s="572" t="str">
        <f>R7</f>
        <v>-</v>
      </c>
      <c r="U268" s="572" t="str">
        <f>S7</f>
        <v>-</v>
      </c>
      <c r="V268" s="572">
        <f>T7</f>
        <v>9.9999999999999995E-7</v>
      </c>
      <c r="W268" s="579">
        <f>U7</f>
        <v>0</v>
      </c>
      <c r="Y268" s="560">
        <v>20</v>
      </c>
      <c r="Z268" s="561">
        <f>X213</f>
        <v>0</v>
      </c>
      <c r="AE268" s="575"/>
    </row>
    <row r="269" spans="1:31" ht="13" hidden="1">
      <c r="A269" s="1361"/>
      <c r="B269" s="553">
        <v>2</v>
      </c>
      <c r="C269" s="553">
        <f>C18</f>
        <v>25</v>
      </c>
      <c r="D269" s="553">
        <f t="shared" ref="D269:F269" si="101">D18</f>
        <v>0.3</v>
      </c>
      <c r="E269" s="553">
        <f t="shared" si="101"/>
        <v>0.5</v>
      </c>
      <c r="F269" s="553">
        <f t="shared" si="101"/>
        <v>-0.2</v>
      </c>
      <c r="G269" s="553">
        <f>G18</f>
        <v>0.35</v>
      </c>
      <c r="I269" s="1361"/>
      <c r="J269" s="553">
        <v>2</v>
      </c>
      <c r="K269" s="553">
        <f>J18</f>
        <v>50</v>
      </c>
      <c r="L269" s="553">
        <f>K18</f>
        <v>-8</v>
      </c>
      <c r="M269" s="553">
        <f>L18</f>
        <v>-5.3</v>
      </c>
      <c r="N269" s="553">
        <f>M18</f>
        <v>-1.5</v>
      </c>
      <c r="O269" s="553">
        <f>N18</f>
        <v>3.25</v>
      </c>
      <c r="Q269" s="1361"/>
      <c r="R269" s="553">
        <v>2</v>
      </c>
      <c r="S269" s="553">
        <f>Q18</f>
        <v>850</v>
      </c>
      <c r="T269" s="553" t="str">
        <f>R18</f>
        <v>-</v>
      </c>
      <c r="U269" s="553" t="str">
        <f>S18</f>
        <v>-</v>
      </c>
      <c r="V269" s="553" t="str">
        <f>T18</f>
        <v>-</v>
      </c>
      <c r="W269" s="554">
        <f>U18</f>
        <v>0</v>
      </c>
      <c r="AE269" s="533"/>
    </row>
    <row r="270" spans="1:31" ht="13" hidden="1">
      <c r="A270" s="1361"/>
      <c r="B270" s="553">
        <v>3</v>
      </c>
      <c r="C270" s="553">
        <f>C29</f>
        <v>25</v>
      </c>
      <c r="D270" s="553">
        <f t="shared" ref="D270:F270" si="102">D29</f>
        <v>0.3</v>
      </c>
      <c r="E270" s="553">
        <f t="shared" si="102"/>
        <v>0.7</v>
      </c>
      <c r="F270" s="553">
        <f t="shared" si="102"/>
        <v>-0.1</v>
      </c>
      <c r="G270" s="553">
        <f>G29</f>
        <v>0.39999999999999997</v>
      </c>
      <c r="I270" s="1361"/>
      <c r="J270" s="553">
        <v>3</v>
      </c>
      <c r="K270" s="553">
        <f>J29</f>
        <v>50</v>
      </c>
      <c r="L270" s="553">
        <f>K29</f>
        <v>-7.9</v>
      </c>
      <c r="M270" s="553">
        <f>L29</f>
        <v>-4.5</v>
      </c>
      <c r="N270" s="553">
        <f>M29</f>
        <v>-4.9000000000000004</v>
      </c>
      <c r="O270" s="553">
        <f>N29</f>
        <v>1.7000000000000002</v>
      </c>
      <c r="Q270" s="1361"/>
      <c r="R270" s="553">
        <v>3</v>
      </c>
      <c r="S270" s="553">
        <f>Q29</f>
        <v>850</v>
      </c>
      <c r="T270" s="553" t="str">
        <f>R29</f>
        <v>-</v>
      </c>
      <c r="U270" s="553" t="str">
        <f>S29</f>
        <v>-</v>
      </c>
      <c r="V270" s="553" t="str">
        <f>T29</f>
        <v>-</v>
      </c>
      <c r="W270" s="554">
        <f>U29</f>
        <v>0</v>
      </c>
      <c r="AE270" s="533"/>
    </row>
    <row r="271" spans="1:31" ht="13" hidden="1">
      <c r="A271" s="1361"/>
      <c r="B271" s="553">
        <v>4</v>
      </c>
      <c r="C271" s="553">
        <f>C40</f>
        <v>25</v>
      </c>
      <c r="D271" s="553">
        <f t="shared" ref="D271:F271" si="103">D40</f>
        <v>-0.1</v>
      </c>
      <c r="E271" s="553">
        <f t="shared" si="103"/>
        <v>-0.5</v>
      </c>
      <c r="F271" s="553">
        <f t="shared" si="103"/>
        <v>0</v>
      </c>
      <c r="G271" s="553">
        <f>G40</f>
        <v>0.2</v>
      </c>
      <c r="I271" s="1361"/>
      <c r="J271" s="553">
        <v>4</v>
      </c>
      <c r="K271" s="553">
        <f>J40</f>
        <v>50</v>
      </c>
      <c r="L271" s="553">
        <f>K40</f>
        <v>-4.3</v>
      </c>
      <c r="M271" s="553">
        <f>L40</f>
        <v>-1</v>
      </c>
      <c r="N271" s="553">
        <f>M40</f>
        <v>0</v>
      </c>
      <c r="O271" s="553">
        <f>N40</f>
        <v>1.65</v>
      </c>
      <c r="Q271" s="1361"/>
      <c r="R271" s="553">
        <v>4</v>
      </c>
      <c r="S271" s="553">
        <f>Q40</f>
        <v>850</v>
      </c>
      <c r="T271" s="553" t="str">
        <f>R40</f>
        <v>-</v>
      </c>
      <c r="U271" s="553" t="str">
        <f>S40</f>
        <v>-</v>
      </c>
      <c r="V271" s="553">
        <f>T40</f>
        <v>9.9999999999999995E-7</v>
      </c>
      <c r="W271" s="554">
        <f>U40</f>
        <v>0</v>
      </c>
      <c r="Y271" s="1351" t="s">
        <v>396</v>
      </c>
      <c r="Z271" s="1352"/>
      <c r="AE271" s="533"/>
    </row>
    <row r="272" spans="1:31" ht="13" hidden="1">
      <c r="A272" s="1361"/>
      <c r="B272" s="553">
        <v>5</v>
      </c>
      <c r="C272" s="553">
        <f>C51</f>
        <v>25</v>
      </c>
      <c r="D272" s="553">
        <f t="shared" ref="D272:F272" si="104">D51</f>
        <v>0.4</v>
      </c>
      <c r="E272" s="553">
        <f t="shared" si="104"/>
        <v>0.2</v>
      </c>
      <c r="F272" s="553">
        <f t="shared" si="104"/>
        <v>0.4</v>
      </c>
      <c r="G272" s="553">
        <f>G51</f>
        <v>0.1</v>
      </c>
      <c r="I272" s="1361"/>
      <c r="J272" s="553">
        <v>5</v>
      </c>
      <c r="K272" s="553">
        <f>J51</f>
        <v>50</v>
      </c>
      <c r="L272" s="553">
        <f>K51</f>
        <v>-8.8000000000000007</v>
      </c>
      <c r="M272" s="553">
        <f>L51</f>
        <v>-9.1</v>
      </c>
      <c r="N272" s="553">
        <f>M51</f>
        <v>-6.2</v>
      </c>
      <c r="O272" s="553">
        <f>N51</f>
        <v>1.4499999999999997</v>
      </c>
      <c r="Q272" s="1361"/>
      <c r="R272" s="553">
        <v>5</v>
      </c>
      <c r="S272" s="553">
        <f>Q51</f>
        <v>850</v>
      </c>
      <c r="T272" s="553" t="str">
        <f>R51</f>
        <v>-</v>
      </c>
      <c r="U272" s="553" t="str">
        <f>S51</f>
        <v>-</v>
      </c>
      <c r="V272" s="553" t="str">
        <f>T51</f>
        <v>-</v>
      </c>
      <c r="W272" s="554">
        <f>U51</f>
        <v>0</v>
      </c>
      <c r="Y272" s="1358" t="s">
        <v>437</v>
      </c>
      <c r="Z272" s="1359"/>
      <c r="AE272" s="533"/>
    </row>
    <row r="273" spans="1:31" ht="13" hidden="1">
      <c r="A273" s="1361"/>
      <c r="B273" s="553">
        <v>6</v>
      </c>
      <c r="C273" s="553">
        <f>C62</f>
        <v>25</v>
      </c>
      <c r="D273" s="553">
        <f t="shared" ref="D273:F273" si="105">D62</f>
        <v>0.2</v>
      </c>
      <c r="E273" s="553">
        <f t="shared" si="105"/>
        <v>-0.1</v>
      </c>
      <c r="F273" s="553">
        <f t="shared" si="105"/>
        <v>0</v>
      </c>
      <c r="G273" s="553">
        <f>G62</f>
        <v>0.15000000000000002</v>
      </c>
      <c r="I273" s="1361"/>
      <c r="J273" s="553">
        <v>6</v>
      </c>
      <c r="K273" s="553">
        <f>J62</f>
        <v>50</v>
      </c>
      <c r="L273" s="553">
        <f>K62</f>
        <v>-5.4</v>
      </c>
      <c r="M273" s="553">
        <f>L62</f>
        <v>1.2</v>
      </c>
      <c r="N273" s="553">
        <f>M62</f>
        <v>0</v>
      </c>
      <c r="O273" s="553">
        <f>N62</f>
        <v>3.3000000000000003</v>
      </c>
      <c r="Q273" s="1361"/>
      <c r="R273" s="553">
        <v>6</v>
      </c>
      <c r="S273" s="553">
        <f>Q62</f>
        <v>850</v>
      </c>
      <c r="T273" s="553">
        <f>R62</f>
        <v>0.9</v>
      </c>
      <c r="U273" s="553">
        <f>S62</f>
        <v>1.1000000000000001</v>
      </c>
      <c r="V273" s="553">
        <f>T62</f>
        <v>9.9999999999999995E-7</v>
      </c>
      <c r="W273" s="554">
        <f>U62</f>
        <v>0.54999950000000009</v>
      </c>
      <c r="Y273" s="551">
        <v>1</v>
      </c>
      <c r="Z273" s="552">
        <f>X5</f>
        <v>0</v>
      </c>
      <c r="AE273" s="533"/>
    </row>
    <row r="274" spans="1:31" ht="13" hidden="1">
      <c r="A274" s="1361"/>
      <c r="B274" s="553">
        <v>7</v>
      </c>
      <c r="C274" s="553">
        <f>C73</f>
        <v>25</v>
      </c>
      <c r="D274" s="553">
        <f t="shared" ref="D274:F274" si="106">D73</f>
        <v>9.9999999999999995E-7</v>
      </c>
      <c r="E274" s="553">
        <f t="shared" si="106"/>
        <v>-0.2</v>
      </c>
      <c r="F274" s="553">
        <f t="shared" si="106"/>
        <v>0</v>
      </c>
      <c r="G274" s="553">
        <f>G73</f>
        <v>0.10000050000000001</v>
      </c>
      <c r="I274" s="1361"/>
      <c r="J274" s="553">
        <v>7</v>
      </c>
      <c r="K274" s="553">
        <f>J73</f>
        <v>50</v>
      </c>
      <c r="L274" s="553">
        <f>K73</f>
        <v>-1.9</v>
      </c>
      <c r="M274" s="553">
        <f>L73</f>
        <v>0.8</v>
      </c>
      <c r="N274" s="553">
        <f>M73</f>
        <v>0</v>
      </c>
      <c r="O274" s="553">
        <f>N73</f>
        <v>1.35</v>
      </c>
      <c r="Q274" s="1361"/>
      <c r="R274" s="553">
        <v>7</v>
      </c>
      <c r="S274" s="553">
        <f>Q73</f>
        <v>850</v>
      </c>
      <c r="T274" s="553">
        <f>R73</f>
        <v>9.9999999999999995E-7</v>
      </c>
      <c r="U274" s="553">
        <f>S73</f>
        <v>1.7</v>
      </c>
      <c r="V274" s="553">
        <f>T73</f>
        <v>9.9999999999999995E-7</v>
      </c>
      <c r="W274" s="554">
        <f>U73</f>
        <v>0.84999950000000002</v>
      </c>
      <c r="Y274" s="555">
        <v>2</v>
      </c>
      <c r="Z274" s="552">
        <f>X16</f>
        <v>0</v>
      </c>
      <c r="AE274" s="533"/>
    </row>
    <row r="275" spans="1:31" ht="13" hidden="1">
      <c r="A275" s="1361"/>
      <c r="B275" s="553">
        <v>8</v>
      </c>
      <c r="C275" s="553">
        <f>C84</f>
        <v>25</v>
      </c>
      <c r="D275" s="553">
        <f t="shared" ref="D275:F275" si="107">D84</f>
        <v>0</v>
      </c>
      <c r="E275" s="553">
        <f t="shared" si="107"/>
        <v>-0.1</v>
      </c>
      <c r="F275" s="553">
        <f t="shared" si="107"/>
        <v>-0.4</v>
      </c>
      <c r="G275" s="553">
        <f>G84</f>
        <v>0.2</v>
      </c>
      <c r="I275" s="1361"/>
      <c r="J275" s="553">
        <v>8</v>
      </c>
      <c r="K275" s="553">
        <f>J84</f>
        <v>50</v>
      </c>
      <c r="L275" s="553">
        <f>K84</f>
        <v>-5</v>
      </c>
      <c r="M275" s="553">
        <f>L84</f>
        <v>-3.8</v>
      </c>
      <c r="N275" s="553">
        <f>M84</f>
        <v>-1.2</v>
      </c>
      <c r="O275" s="553">
        <f>N84</f>
        <v>1.9</v>
      </c>
      <c r="Q275" s="1361"/>
      <c r="R275" s="553">
        <v>8</v>
      </c>
      <c r="S275" s="553">
        <f>Q84</f>
        <v>980</v>
      </c>
      <c r="T275" s="553">
        <f>R84</f>
        <v>-0.6</v>
      </c>
      <c r="U275" s="553">
        <f>S84</f>
        <v>-3.8</v>
      </c>
      <c r="V275" s="553">
        <f>T84</f>
        <v>9.9999999999999995E-7</v>
      </c>
      <c r="W275" s="554">
        <f>U84</f>
        <v>1.9000005</v>
      </c>
      <c r="Y275" s="555">
        <v>3</v>
      </c>
      <c r="Z275" s="556">
        <f>X27</f>
        <v>0</v>
      </c>
      <c r="AE275" s="533"/>
    </row>
    <row r="276" spans="1:31" ht="13" hidden="1">
      <c r="A276" s="1361"/>
      <c r="B276" s="553">
        <v>9</v>
      </c>
      <c r="C276" s="553">
        <f>C95</f>
        <v>25</v>
      </c>
      <c r="D276" s="553">
        <f t="shared" ref="D276:F276" si="108">D95</f>
        <v>-0.4</v>
      </c>
      <c r="E276" s="553" t="str">
        <f t="shared" si="108"/>
        <v>-</v>
      </c>
      <c r="F276" s="553">
        <f t="shared" si="108"/>
        <v>0</v>
      </c>
      <c r="G276" s="553">
        <f>G95</f>
        <v>0</v>
      </c>
      <c r="I276" s="1361"/>
      <c r="J276" s="553">
        <v>9</v>
      </c>
      <c r="K276" s="553">
        <f>J95</f>
        <v>50</v>
      </c>
      <c r="L276" s="553">
        <f>K95</f>
        <v>-0.9</v>
      </c>
      <c r="M276" s="553" t="str">
        <f>L95</f>
        <v>-</v>
      </c>
      <c r="N276" s="553">
        <f>M95</f>
        <v>0</v>
      </c>
      <c r="O276" s="553">
        <f>N95</f>
        <v>0</v>
      </c>
      <c r="Q276" s="1361"/>
      <c r="R276" s="553">
        <v>9</v>
      </c>
      <c r="S276" s="553">
        <f>Q95</f>
        <v>850</v>
      </c>
      <c r="T276" s="553">
        <f>R95</f>
        <v>9.9999999999999995E-7</v>
      </c>
      <c r="U276" s="553" t="str">
        <f>S95</f>
        <v>-</v>
      </c>
      <c r="V276" s="553">
        <f>T95</f>
        <v>9.9999999999999995E-7</v>
      </c>
      <c r="W276" s="554">
        <f>U95</f>
        <v>0</v>
      </c>
      <c r="Y276" s="555">
        <v>4</v>
      </c>
      <c r="Z276" s="556">
        <f>X38</f>
        <v>0</v>
      </c>
      <c r="AE276" s="533"/>
    </row>
    <row r="277" spans="1:31" ht="13" hidden="1">
      <c r="A277" s="1361"/>
      <c r="B277" s="553">
        <v>10</v>
      </c>
      <c r="C277" s="553">
        <f>C106</f>
        <v>25</v>
      </c>
      <c r="D277" s="553">
        <f t="shared" ref="D277:F277" si="109">D106</f>
        <v>0.1</v>
      </c>
      <c r="E277" s="553">
        <f t="shared" si="109"/>
        <v>-0.5</v>
      </c>
      <c r="F277" s="553">
        <f t="shared" si="109"/>
        <v>0</v>
      </c>
      <c r="G277" s="553">
        <f>G106</f>
        <v>0.3</v>
      </c>
      <c r="I277" s="1361"/>
      <c r="J277" s="553">
        <v>10</v>
      </c>
      <c r="K277" s="553">
        <f>J106</f>
        <v>50</v>
      </c>
      <c r="L277" s="553">
        <f>K106</f>
        <v>-3.1</v>
      </c>
      <c r="M277" s="553">
        <f>L106</f>
        <v>-6.1</v>
      </c>
      <c r="N277" s="553">
        <f>M106</f>
        <v>0</v>
      </c>
      <c r="O277" s="553">
        <f>N106</f>
        <v>1.4999999999999998</v>
      </c>
      <c r="Q277" s="1361"/>
      <c r="R277" s="553">
        <v>10</v>
      </c>
      <c r="S277" s="553">
        <f>Q106</f>
        <v>850</v>
      </c>
      <c r="T277" s="553" t="str">
        <f>R106</f>
        <v>-</v>
      </c>
      <c r="U277" s="553" t="str">
        <f>S106</f>
        <v>-</v>
      </c>
      <c r="V277" s="553">
        <f>T106</f>
        <v>9.9999999999999995E-7</v>
      </c>
      <c r="W277" s="554">
        <f>U106</f>
        <v>0</v>
      </c>
      <c r="Y277" s="555">
        <v>5</v>
      </c>
      <c r="Z277" s="556">
        <f>X49</f>
        <v>0</v>
      </c>
      <c r="AE277" s="533"/>
    </row>
    <row r="278" spans="1:31" ht="13" hidden="1">
      <c r="A278" s="1361"/>
      <c r="B278" s="553">
        <v>11</v>
      </c>
      <c r="C278" s="553">
        <f>C117</f>
        <v>25</v>
      </c>
      <c r="D278" s="553">
        <f t="shared" ref="D278:F278" si="110">D117</f>
        <v>0.4</v>
      </c>
      <c r="E278" s="553">
        <f t="shared" si="110"/>
        <v>0.5</v>
      </c>
      <c r="F278" s="553">
        <f t="shared" si="110"/>
        <v>0</v>
      </c>
      <c r="G278" s="553">
        <f>G117</f>
        <v>4.9999999999999989E-2</v>
      </c>
      <c r="I278" s="1361"/>
      <c r="J278" s="553">
        <v>11</v>
      </c>
      <c r="K278" s="553">
        <f>J117</f>
        <v>50</v>
      </c>
      <c r="L278" s="553">
        <f>K117</f>
        <v>-5.5</v>
      </c>
      <c r="M278" s="553">
        <f>L117</f>
        <v>-5.6</v>
      </c>
      <c r="N278" s="553">
        <f>M117</f>
        <v>0</v>
      </c>
      <c r="O278" s="553">
        <f>N117</f>
        <v>4.9999999999999822E-2</v>
      </c>
      <c r="Q278" s="1361"/>
      <c r="R278" s="553">
        <v>11</v>
      </c>
      <c r="S278" s="553">
        <f>Q117</f>
        <v>850</v>
      </c>
      <c r="T278" s="553" t="str">
        <f>R117</f>
        <v>-</v>
      </c>
      <c r="U278" s="553" t="str">
        <f>S117</f>
        <v>-</v>
      </c>
      <c r="V278" s="553">
        <f>T117</f>
        <v>9.9999999999999995E-7</v>
      </c>
      <c r="W278" s="554">
        <f>U117</f>
        <v>0</v>
      </c>
      <c r="Y278" s="551">
        <v>6</v>
      </c>
      <c r="Z278" s="552">
        <f>X60</f>
        <v>1.6</v>
      </c>
      <c r="AE278" s="533"/>
    </row>
    <row r="279" spans="1:31" ht="13" hidden="1">
      <c r="A279" s="1361"/>
      <c r="B279" s="553">
        <v>12</v>
      </c>
      <c r="C279" s="553">
        <f>C128</f>
        <v>25</v>
      </c>
      <c r="D279" s="553">
        <f t="shared" ref="D279:F279" si="111">D128</f>
        <v>0.4</v>
      </c>
      <c r="E279" s="553">
        <f t="shared" si="111"/>
        <v>9.9999999999999995E-7</v>
      </c>
      <c r="F279" s="553">
        <f t="shared" si="111"/>
        <v>0</v>
      </c>
      <c r="G279" s="553">
        <f>G128</f>
        <v>0.19999950000000002</v>
      </c>
      <c r="I279" s="1361"/>
      <c r="J279" s="553">
        <v>12</v>
      </c>
      <c r="K279" s="553">
        <f>J128</f>
        <v>50</v>
      </c>
      <c r="L279" s="553">
        <f>K128</f>
        <v>-3.2</v>
      </c>
      <c r="M279" s="553">
        <f>L128</f>
        <v>9.9999999999999995E-7</v>
      </c>
      <c r="N279" s="553">
        <f>M128</f>
        <v>0</v>
      </c>
      <c r="O279" s="553">
        <f>N128</f>
        <v>1.6000005000000002</v>
      </c>
      <c r="Q279" s="1361"/>
      <c r="R279" s="553">
        <v>12</v>
      </c>
      <c r="S279" s="553">
        <f>Q128</f>
        <v>980</v>
      </c>
      <c r="T279" s="553">
        <f>R128</f>
        <v>4.0999999999999996</v>
      </c>
      <c r="U279" s="553">
        <f>S128</f>
        <v>-0.6</v>
      </c>
      <c r="V279" s="553">
        <f>T128</f>
        <v>0</v>
      </c>
      <c r="W279" s="554">
        <f>U128</f>
        <v>2.3499999999999996</v>
      </c>
      <c r="Y279" s="551">
        <v>7</v>
      </c>
      <c r="Z279" s="552">
        <f>X71</f>
        <v>2.4</v>
      </c>
      <c r="AE279" s="533"/>
    </row>
    <row r="280" spans="1:31" ht="13" hidden="1">
      <c r="A280" s="1361"/>
      <c r="B280" s="553">
        <v>13</v>
      </c>
      <c r="C280" s="553">
        <f>C139</f>
        <v>25</v>
      </c>
      <c r="D280" s="553">
        <f t="shared" ref="D280:F280" si="112">D139</f>
        <v>0.3</v>
      </c>
      <c r="E280" s="553">
        <f t="shared" si="112"/>
        <v>0.1</v>
      </c>
      <c r="F280" s="553">
        <f t="shared" si="112"/>
        <v>-0.2</v>
      </c>
      <c r="G280" s="553">
        <f>G139</f>
        <v>0.25</v>
      </c>
      <c r="I280" s="1361"/>
      <c r="J280" s="553">
        <v>13</v>
      </c>
      <c r="K280" s="553">
        <f>J139</f>
        <v>50</v>
      </c>
      <c r="L280" s="553">
        <f>K139</f>
        <v>-3.6</v>
      </c>
      <c r="M280" s="553">
        <f>L139</f>
        <v>-1.8</v>
      </c>
      <c r="N280" s="553">
        <f>M139</f>
        <v>-1.3</v>
      </c>
      <c r="O280" s="553">
        <f>N139</f>
        <v>1.1499999999999999</v>
      </c>
      <c r="Q280" s="1361"/>
      <c r="R280" s="553">
        <v>13</v>
      </c>
      <c r="S280" s="553">
        <f>Q139</f>
        <v>995</v>
      </c>
      <c r="T280" s="553">
        <f>R139</f>
        <v>0</v>
      </c>
      <c r="U280" s="553">
        <f>S139</f>
        <v>3.7</v>
      </c>
      <c r="V280" s="553">
        <f>T139</f>
        <v>1</v>
      </c>
      <c r="W280" s="554">
        <f>U139</f>
        <v>1.35</v>
      </c>
      <c r="Y280" s="551">
        <v>8</v>
      </c>
      <c r="Z280" s="552">
        <f>X82</f>
        <v>2.5</v>
      </c>
      <c r="AE280" s="533"/>
    </row>
    <row r="281" spans="1:31" ht="13" hidden="1">
      <c r="A281" s="1361"/>
      <c r="B281" s="553">
        <v>14</v>
      </c>
      <c r="C281" s="553">
        <f>C150</f>
        <v>25</v>
      </c>
      <c r="D281" s="553">
        <f t="shared" ref="D281:F281" si="113">D150</f>
        <v>0.2</v>
      </c>
      <c r="E281" s="553">
        <f t="shared" si="113"/>
        <v>-0.1</v>
      </c>
      <c r="F281" s="553">
        <f t="shared" si="113"/>
        <v>-0.1</v>
      </c>
      <c r="G281" s="553">
        <f>G150</f>
        <v>0.15000000000000002</v>
      </c>
      <c r="I281" s="1361"/>
      <c r="J281" s="553">
        <v>14</v>
      </c>
      <c r="K281" s="553">
        <f>J151</f>
        <v>60</v>
      </c>
      <c r="L281" s="553">
        <f>K151</f>
        <v>-1.8</v>
      </c>
      <c r="M281" s="553">
        <f>L151</f>
        <v>0.3</v>
      </c>
      <c r="N281" s="553">
        <f>M151</f>
        <v>-0.6</v>
      </c>
      <c r="O281" s="553">
        <f>N151</f>
        <v>1.05</v>
      </c>
      <c r="Q281" s="1361"/>
      <c r="R281" s="553">
        <v>14</v>
      </c>
      <c r="S281" s="553">
        <f>Q150</f>
        <v>995</v>
      </c>
      <c r="T281" s="553">
        <f>R150</f>
        <v>0</v>
      </c>
      <c r="U281" s="553">
        <f>S150</f>
        <v>3.8</v>
      </c>
      <c r="V281" s="553">
        <f>T150</f>
        <v>1</v>
      </c>
      <c r="W281" s="554">
        <f>U150</f>
        <v>1.4</v>
      </c>
      <c r="Y281" s="551">
        <v>9</v>
      </c>
      <c r="Z281" s="552">
        <f>X93</f>
        <v>2.2000000000000002</v>
      </c>
      <c r="AE281" s="533"/>
    </row>
    <row r="282" spans="1:31" ht="13" hidden="1">
      <c r="A282" s="1361"/>
      <c r="B282" s="553">
        <v>15</v>
      </c>
      <c r="C282" s="553">
        <f>C161</f>
        <v>25</v>
      </c>
      <c r="D282" s="553">
        <f t="shared" ref="D282:F282" si="114">D161</f>
        <v>0.3</v>
      </c>
      <c r="E282" s="553">
        <f t="shared" si="114"/>
        <v>0.2</v>
      </c>
      <c r="F282" s="553">
        <f t="shared" si="114"/>
        <v>-0.4</v>
      </c>
      <c r="G282" s="553">
        <f>G161</f>
        <v>0.35</v>
      </c>
      <c r="I282" s="1361"/>
      <c r="J282" s="553">
        <v>15</v>
      </c>
      <c r="K282" s="553">
        <f>J161</f>
        <v>50</v>
      </c>
      <c r="L282" s="553">
        <f>K161</f>
        <v>-3.1</v>
      </c>
      <c r="M282" s="553">
        <f>L161</f>
        <v>-1.4</v>
      </c>
      <c r="N282" s="553">
        <f>M161</f>
        <v>-0.3</v>
      </c>
      <c r="O282" s="553">
        <f>N161</f>
        <v>1.4000000000000001</v>
      </c>
      <c r="Q282" s="1361"/>
      <c r="R282" s="553">
        <v>15</v>
      </c>
      <c r="S282" s="553">
        <f>Q161</f>
        <v>995</v>
      </c>
      <c r="T282" s="553">
        <f>R161</f>
        <v>0</v>
      </c>
      <c r="U282" s="553">
        <f>S161</f>
        <v>4.0999999999999996</v>
      </c>
      <c r="V282" s="553">
        <f>T161</f>
        <v>1</v>
      </c>
      <c r="W282" s="554">
        <f>U161</f>
        <v>1.5499999999999998</v>
      </c>
      <c r="Y282" s="551">
        <v>10</v>
      </c>
      <c r="Z282" s="552">
        <f>X104</f>
        <v>0</v>
      </c>
      <c r="AE282" s="533"/>
    </row>
    <row r="283" spans="1:31" ht="13" hidden="1">
      <c r="A283" s="1361"/>
      <c r="B283" s="553">
        <v>16</v>
      </c>
      <c r="C283" s="553">
        <f>C172</f>
        <v>25</v>
      </c>
      <c r="D283" s="553">
        <f t="shared" ref="D283:F283" si="115">D172</f>
        <v>0.5</v>
      </c>
      <c r="E283" s="553">
        <f t="shared" si="115"/>
        <v>0.2</v>
      </c>
      <c r="F283" s="553">
        <f t="shared" si="115"/>
        <v>0</v>
      </c>
      <c r="G283" s="553">
        <f>G172</f>
        <v>0.15</v>
      </c>
      <c r="I283" s="1361"/>
      <c r="J283" s="553">
        <v>16</v>
      </c>
      <c r="K283" s="553">
        <f>J172</f>
        <v>50</v>
      </c>
      <c r="L283" s="553">
        <f>K172</f>
        <v>-2</v>
      </c>
      <c r="M283" s="553">
        <f>L172</f>
        <v>-1.4</v>
      </c>
      <c r="N283" s="553">
        <f>M172</f>
        <v>0</v>
      </c>
      <c r="O283" s="553">
        <f>N172</f>
        <v>0.30000000000000004</v>
      </c>
      <c r="Q283" s="1361"/>
      <c r="R283" s="553">
        <v>16</v>
      </c>
      <c r="S283" s="553">
        <f>Q172</f>
        <v>980</v>
      </c>
      <c r="T283" s="553">
        <f>R172</f>
        <v>4.5</v>
      </c>
      <c r="U283" s="553">
        <f>S172</f>
        <v>-1.7</v>
      </c>
      <c r="V283" s="553">
        <f>T172</f>
        <v>0</v>
      </c>
      <c r="W283" s="554">
        <f>U172</f>
        <v>3.1</v>
      </c>
      <c r="Y283" s="551">
        <v>11</v>
      </c>
      <c r="Z283" s="552">
        <f>X115</f>
        <v>0</v>
      </c>
      <c r="AE283" s="533"/>
    </row>
    <row r="284" spans="1:31" ht="13" hidden="1">
      <c r="A284" s="1361"/>
      <c r="B284" s="553">
        <v>17</v>
      </c>
      <c r="C284" s="553">
        <f>C183</f>
        <v>25</v>
      </c>
      <c r="D284" s="553">
        <f>D183</f>
        <v>0.5</v>
      </c>
      <c r="E284" s="553">
        <f>E183</f>
        <v>9.9999999999999995E-7</v>
      </c>
      <c r="F284" s="553">
        <f t="shared" ref="F284" si="116">F183</f>
        <v>0</v>
      </c>
      <c r="G284" s="553">
        <f>G183</f>
        <v>0.24999950000000001</v>
      </c>
      <c r="I284" s="1361"/>
      <c r="J284" s="553">
        <v>17</v>
      </c>
      <c r="K284" s="553">
        <f>J183</f>
        <v>50</v>
      </c>
      <c r="L284" s="553">
        <f>K183</f>
        <v>-1.9</v>
      </c>
      <c r="M284" s="553">
        <f>L183</f>
        <v>0.2</v>
      </c>
      <c r="N284" s="553">
        <f>M183</f>
        <v>0</v>
      </c>
      <c r="O284" s="553">
        <f>N183</f>
        <v>1.05</v>
      </c>
      <c r="Q284" s="1361"/>
      <c r="R284" s="553">
        <v>17</v>
      </c>
      <c r="S284" s="553">
        <f>Q183</f>
        <v>980</v>
      </c>
      <c r="T284" s="553">
        <f>R183</f>
        <v>4.5</v>
      </c>
      <c r="U284" s="553">
        <f>S183</f>
        <v>-0.6</v>
      </c>
      <c r="V284" s="553">
        <f>T183</f>
        <v>0</v>
      </c>
      <c r="W284" s="554">
        <f>U183</f>
        <v>2.5499999999999998</v>
      </c>
      <c r="Y284" s="551">
        <v>12</v>
      </c>
      <c r="Z284" s="576">
        <f>X126</f>
        <v>2.1</v>
      </c>
      <c r="AE284" s="533"/>
    </row>
    <row r="285" spans="1:31" ht="13" hidden="1">
      <c r="A285" s="1361"/>
      <c r="B285" s="553">
        <v>18</v>
      </c>
      <c r="C285" s="553">
        <f>C194</f>
        <v>25</v>
      </c>
      <c r="D285" s="553">
        <f t="shared" ref="D285:F285" si="117">D194</f>
        <v>0.2</v>
      </c>
      <c r="E285" s="553">
        <f t="shared" si="117"/>
        <v>-0.2</v>
      </c>
      <c r="F285" s="553">
        <f t="shared" si="117"/>
        <v>0</v>
      </c>
      <c r="G285" s="553">
        <f>G194</f>
        <v>0.2</v>
      </c>
      <c r="I285" s="1361"/>
      <c r="J285" s="553">
        <v>18</v>
      </c>
      <c r="K285" s="553">
        <f>J194</f>
        <v>50</v>
      </c>
      <c r="L285" s="553">
        <f>K194</f>
        <v>-2.4</v>
      </c>
      <c r="M285" s="553">
        <f>L194</f>
        <v>-0.2</v>
      </c>
      <c r="N285" s="553">
        <f>M194</f>
        <v>0</v>
      </c>
      <c r="O285" s="553">
        <f>N194</f>
        <v>1.0999999999999999</v>
      </c>
      <c r="Q285" s="1361"/>
      <c r="R285" s="553">
        <v>18</v>
      </c>
      <c r="S285" s="553">
        <f>Q194</f>
        <v>980</v>
      </c>
      <c r="T285" s="553">
        <f>R194</f>
        <v>4.3</v>
      </c>
      <c r="U285" s="553">
        <f>S194</f>
        <v>-1.1000000000000001</v>
      </c>
      <c r="V285" s="553">
        <f>T194</f>
        <v>0</v>
      </c>
      <c r="W285" s="554">
        <f>U194</f>
        <v>2.7</v>
      </c>
      <c r="Y285" s="551">
        <v>13</v>
      </c>
      <c r="Z285" s="552">
        <f>X137</f>
        <v>2.4</v>
      </c>
      <c r="AE285" s="533"/>
    </row>
    <row r="286" spans="1:31" ht="13" hidden="1">
      <c r="A286" s="1361"/>
      <c r="B286" s="553">
        <v>19</v>
      </c>
      <c r="C286" s="553">
        <f>C194</f>
        <v>25</v>
      </c>
      <c r="D286" s="553">
        <f t="shared" ref="D286:F286" si="118">D194</f>
        <v>0.2</v>
      </c>
      <c r="E286" s="553">
        <f t="shared" si="118"/>
        <v>-0.2</v>
      </c>
      <c r="F286" s="553">
        <f t="shared" si="118"/>
        <v>0</v>
      </c>
      <c r="G286" s="553">
        <f>G194</f>
        <v>0.2</v>
      </c>
      <c r="I286" s="1361"/>
      <c r="J286" s="553">
        <v>19</v>
      </c>
      <c r="K286" s="553">
        <f>J205</f>
        <v>50</v>
      </c>
      <c r="L286" s="553">
        <f>K205</f>
        <v>-2.7</v>
      </c>
      <c r="M286" s="553">
        <f>L205</f>
        <v>-0.2</v>
      </c>
      <c r="N286" s="553">
        <f>M205</f>
        <v>0</v>
      </c>
      <c r="O286" s="553">
        <f>N205</f>
        <v>1.25</v>
      </c>
      <c r="Q286" s="1361"/>
      <c r="R286" s="553">
        <v>19</v>
      </c>
      <c r="S286" s="553">
        <f>Q205</f>
        <v>850</v>
      </c>
      <c r="T286" s="553">
        <f>R205</f>
        <v>4.4000000000000004</v>
      </c>
      <c r="U286" s="553">
        <f>S205</f>
        <v>2.4</v>
      </c>
      <c r="V286" s="553">
        <f>T205</f>
        <v>0</v>
      </c>
      <c r="W286" s="554">
        <f>U205</f>
        <v>1.0000000000000002</v>
      </c>
      <c r="Y286" s="551">
        <v>14</v>
      </c>
      <c r="Z286" s="552">
        <f>X148</f>
        <v>2.5</v>
      </c>
      <c r="AE286" s="533"/>
    </row>
    <row r="287" spans="1:31" ht="13.5" hidden="1" thickBot="1">
      <c r="A287" s="1361"/>
      <c r="B287" s="553">
        <v>20</v>
      </c>
      <c r="C287" s="553">
        <f>C216</f>
        <v>24.6</v>
      </c>
      <c r="D287" s="553">
        <f t="shared" ref="D287:F287" si="119">D216</f>
        <v>9.9999999999999995E-7</v>
      </c>
      <c r="E287" s="553" t="str">
        <f t="shared" si="119"/>
        <v>-</v>
      </c>
      <c r="F287" s="553">
        <f t="shared" si="119"/>
        <v>9.9999999999999995E-7</v>
      </c>
      <c r="G287" s="553">
        <f>G216</f>
        <v>0</v>
      </c>
      <c r="I287" s="1361"/>
      <c r="J287" s="553">
        <v>20</v>
      </c>
      <c r="K287" s="553">
        <f>J216</f>
        <v>62.5</v>
      </c>
      <c r="L287" s="553">
        <f>K216</f>
        <v>9.9999999999999995E-7</v>
      </c>
      <c r="M287" s="553" t="str">
        <f>L216</f>
        <v>-</v>
      </c>
      <c r="N287" s="553">
        <f>M216</f>
        <v>0</v>
      </c>
      <c r="O287" s="553">
        <f>N216</f>
        <v>0</v>
      </c>
      <c r="Q287" s="1363"/>
      <c r="R287" s="562">
        <v>20</v>
      </c>
      <c r="S287" s="562">
        <f>Q216</f>
        <v>850</v>
      </c>
      <c r="T287" s="562">
        <f>R216</f>
        <v>9.9999999999999995E-7</v>
      </c>
      <c r="U287" s="562" t="str">
        <f>S216</f>
        <v>-</v>
      </c>
      <c r="V287" s="562">
        <f>T216</f>
        <v>9.9999999999999995E-7</v>
      </c>
      <c r="W287" s="577">
        <f>U216</f>
        <v>0</v>
      </c>
      <c r="Y287" s="551">
        <v>15</v>
      </c>
      <c r="Z287" s="552">
        <f>X159</f>
        <v>2.2999999999999998</v>
      </c>
      <c r="AE287" s="566"/>
    </row>
    <row r="288" spans="1:31" ht="13" hidden="1">
      <c r="A288" s="567"/>
      <c r="B288" s="567"/>
      <c r="C288" s="567"/>
      <c r="D288" s="567"/>
      <c r="E288" s="567"/>
      <c r="F288" s="547"/>
      <c r="G288" s="567"/>
      <c r="I288" s="567"/>
      <c r="J288" s="567"/>
      <c r="K288" s="567"/>
      <c r="L288" s="567"/>
      <c r="M288" s="567"/>
      <c r="N288" s="547"/>
      <c r="O288" s="567"/>
      <c r="Q288" s="578"/>
      <c r="R288" s="580"/>
      <c r="S288" s="343"/>
      <c r="T288" s="343"/>
      <c r="U288" s="343"/>
      <c r="W288" s="344"/>
      <c r="Y288" s="551">
        <v>16</v>
      </c>
      <c r="Z288" s="559">
        <f>X170</f>
        <v>2.2000000000000002</v>
      </c>
      <c r="AE288" s="533"/>
    </row>
    <row r="289" spans="1:31" ht="13" hidden="1">
      <c r="A289" s="1361">
        <v>4</v>
      </c>
      <c r="B289" s="553">
        <v>1</v>
      </c>
      <c r="C289" s="553">
        <f>C8</f>
        <v>30</v>
      </c>
      <c r="D289" s="553">
        <f t="shared" ref="D289:F289" si="120">D8</f>
        <v>-0.1</v>
      </c>
      <c r="E289" s="553">
        <f t="shared" si="120"/>
        <v>0</v>
      </c>
      <c r="F289" s="553">
        <f t="shared" si="120"/>
        <v>9.9999999999999995E-7</v>
      </c>
      <c r="G289" s="553">
        <f>G8</f>
        <v>5.0000500000000003E-2</v>
      </c>
      <c r="I289" s="1361">
        <v>4</v>
      </c>
      <c r="J289" s="553">
        <v>1</v>
      </c>
      <c r="K289" s="553">
        <f>J8</f>
        <v>60</v>
      </c>
      <c r="L289" s="553">
        <f>K8</f>
        <v>-6</v>
      </c>
      <c r="M289" s="553">
        <f>L8</f>
        <v>-6.9</v>
      </c>
      <c r="N289" s="553">
        <f>M8</f>
        <v>-4.4000000000000004</v>
      </c>
      <c r="O289" s="553">
        <f>N8</f>
        <v>1.25</v>
      </c>
      <c r="Q289" s="1362">
        <v>4</v>
      </c>
      <c r="R289" s="572">
        <v>1</v>
      </c>
      <c r="S289" s="572">
        <f>Q8</f>
        <v>900</v>
      </c>
      <c r="T289" s="572" t="str">
        <f>R8</f>
        <v>-</v>
      </c>
      <c r="U289" s="572" t="str">
        <f>S8</f>
        <v>-</v>
      </c>
      <c r="V289" s="572">
        <f>T8</f>
        <v>9.9999999999999995E-7</v>
      </c>
      <c r="W289" s="579">
        <f>U8</f>
        <v>0</v>
      </c>
      <c r="Y289" s="551">
        <v>17</v>
      </c>
      <c r="Z289" s="559">
        <f>X181</f>
        <v>2.1</v>
      </c>
      <c r="AE289" s="575"/>
    </row>
    <row r="290" spans="1:31" ht="13" hidden="1">
      <c r="A290" s="1361"/>
      <c r="B290" s="553">
        <v>2</v>
      </c>
      <c r="C290" s="553">
        <f>C19</f>
        <v>30</v>
      </c>
      <c r="D290" s="553">
        <f t="shared" ref="D290:F290" si="121">D19</f>
        <v>0.4</v>
      </c>
      <c r="E290" s="553">
        <f t="shared" si="121"/>
        <v>0.2</v>
      </c>
      <c r="F290" s="553">
        <f t="shared" si="121"/>
        <v>-0.3</v>
      </c>
      <c r="G290" s="553">
        <f>G19</f>
        <v>0.35</v>
      </c>
      <c r="I290" s="1361"/>
      <c r="J290" s="553">
        <v>2</v>
      </c>
      <c r="K290" s="553">
        <f>J19</f>
        <v>60</v>
      </c>
      <c r="L290" s="553">
        <f>K19</f>
        <v>-5.7</v>
      </c>
      <c r="M290" s="553">
        <f>L19</f>
        <v>-4</v>
      </c>
      <c r="N290" s="553">
        <f>M19</f>
        <v>-1.3</v>
      </c>
      <c r="O290" s="553">
        <f>N19</f>
        <v>2.2000000000000002</v>
      </c>
      <c r="Q290" s="1361"/>
      <c r="R290" s="553">
        <v>2</v>
      </c>
      <c r="S290" s="553">
        <f>Q19</f>
        <v>900</v>
      </c>
      <c r="T290" s="553" t="str">
        <f>R19</f>
        <v>-</v>
      </c>
      <c r="U290" s="553" t="str">
        <f>S19</f>
        <v>-</v>
      </c>
      <c r="V290" s="553" t="str">
        <f>T19</f>
        <v>-</v>
      </c>
      <c r="W290" s="554">
        <f>U19</f>
        <v>0</v>
      </c>
      <c r="Y290" s="551">
        <v>18</v>
      </c>
      <c r="Z290" s="559">
        <f>X192</f>
        <v>2.1</v>
      </c>
      <c r="AE290" s="533"/>
    </row>
    <row r="291" spans="1:31" ht="13" hidden="1">
      <c r="A291" s="1361"/>
      <c r="B291" s="553">
        <v>3</v>
      </c>
      <c r="C291" s="553">
        <f>C30</f>
        <v>30</v>
      </c>
      <c r="D291" s="553">
        <f t="shared" ref="D291:F291" si="122">D30</f>
        <v>0.3</v>
      </c>
      <c r="E291" s="553">
        <f t="shared" si="122"/>
        <v>9.9999999999999995E-7</v>
      </c>
      <c r="F291" s="553">
        <f t="shared" si="122"/>
        <v>-0.3</v>
      </c>
      <c r="G291" s="553">
        <f>G30</f>
        <v>0.3</v>
      </c>
      <c r="I291" s="1361"/>
      <c r="J291" s="553">
        <v>3</v>
      </c>
      <c r="K291" s="553">
        <f>J30</f>
        <v>60</v>
      </c>
      <c r="L291" s="553">
        <f>K30</f>
        <v>-6.2</v>
      </c>
      <c r="M291" s="553">
        <f>L30</f>
        <v>-3.2</v>
      </c>
      <c r="N291" s="553">
        <f>M30</f>
        <v>-4.3</v>
      </c>
      <c r="O291" s="553">
        <f>N30</f>
        <v>1.5</v>
      </c>
      <c r="Q291" s="1361"/>
      <c r="R291" s="553">
        <v>3</v>
      </c>
      <c r="S291" s="553">
        <f>Q30</f>
        <v>900</v>
      </c>
      <c r="T291" s="553" t="str">
        <f>R30</f>
        <v>-</v>
      </c>
      <c r="U291" s="553" t="str">
        <f>S30</f>
        <v>-</v>
      </c>
      <c r="V291" s="553" t="str">
        <f>T30</f>
        <v>-</v>
      </c>
      <c r="W291" s="554">
        <f>U30</f>
        <v>0</v>
      </c>
      <c r="Y291" s="551">
        <v>19</v>
      </c>
      <c r="Z291" s="559">
        <f>X203</f>
        <v>2.1</v>
      </c>
      <c r="AE291" s="533"/>
    </row>
    <row r="292" spans="1:31" ht="13.5" hidden="1" thickBot="1">
      <c r="A292" s="1361"/>
      <c r="B292" s="553">
        <v>4</v>
      </c>
      <c r="C292" s="553">
        <f>C41</f>
        <v>30</v>
      </c>
      <c r="D292" s="553">
        <f t="shared" ref="D292:F292" si="123">D41</f>
        <v>-0.1</v>
      </c>
      <c r="E292" s="553">
        <f t="shared" si="123"/>
        <v>-0.6</v>
      </c>
      <c r="F292" s="553">
        <f t="shared" si="123"/>
        <v>0</v>
      </c>
      <c r="G292" s="553">
        <f>G41</f>
        <v>0.25</v>
      </c>
      <c r="I292" s="1361"/>
      <c r="J292" s="553">
        <v>4</v>
      </c>
      <c r="K292" s="553">
        <f>J41</f>
        <v>60</v>
      </c>
      <c r="L292" s="553">
        <f>K41</f>
        <v>-4.2</v>
      </c>
      <c r="M292" s="553">
        <f>L41</f>
        <v>-0.3</v>
      </c>
      <c r="N292" s="553">
        <f>M41</f>
        <v>0</v>
      </c>
      <c r="O292" s="553">
        <f>N41</f>
        <v>1.9500000000000002</v>
      </c>
      <c r="Q292" s="1361"/>
      <c r="R292" s="553">
        <v>4</v>
      </c>
      <c r="S292" s="553">
        <f>Q41</f>
        <v>900</v>
      </c>
      <c r="T292" s="553" t="str">
        <f>R41</f>
        <v>-</v>
      </c>
      <c r="U292" s="553" t="str">
        <f>S41</f>
        <v>-</v>
      </c>
      <c r="V292" s="553">
        <f>T41</f>
        <v>9.9999999999999995E-7</v>
      </c>
      <c r="W292" s="554">
        <f>U41</f>
        <v>0</v>
      </c>
      <c r="Y292" s="560">
        <v>20</v>
      </c>
      <c r="Z292" s="561">
        <f>X214</f>
        <v>0</v>
      </c>
      <c r="AE292" s="533"/>
    </row>
    <row r="293" spans="1:31" ht="13" hidden="1">
      <c r="A293" s="1361"/>
      <c r="B293" s="553">
        <v>5</v>
      </c>
      <c r="C293" s="553">
        <f>C52</f>
        <v>30</v>
      </c>
      <c r="D293" s="553">
        <f t="shared" ref="D293:F293" si="124">D52</f>
        <v>0.4</v>
      </c>
      <c r="E293" s="553">
        <f t="shared" si="124"/>
        <v>0.1</v>
      </c>
      <c r="F293" s="553">
        <f t="shared" si="124"/>
        <v>0.6</v>
      </c>
      <c r="G293" s="553">
        <f>G52</f>
        <v>0.25</v>
      </c>
      <c r="I293" s="1361"/>
      <c r="J293" s="553">
        <v>5</v>
      </c>
      <c r="K293" s="553">
        <f>J52</f>
        <v>60</v>
      </c>
      <c r="L293" s="553">
        <f>K52</f>
        <v>-8</v>
      </c>
      <c r="M293" s="553">
        <f>L52</f>
        <v>-7.9</v>
      </c>
      <c r="N293" s="553">
        <f>M52</f>
        <v>-5.2</v>
      </c>
      <c r="O293" s="553">
        <f>N52</f>
        <v>1.4</v>
      </c>
      <c r="Q293" s="1361"/>
      <c r="R293" s="553">
        <v>5</v>
      </c>
      <c r="S293" s="553">
        <f>Q52</f>
        <v>900</v>
      </c>
      <c r="T293" s="553" t="str">
        <f>R52</f>
        <v>-</v>
      </c>
      <c r="U293" s="553" t="str">
        <f>S52</f>
        <v>-</v>
      </c>
      <c r="V293" s="553" t="str">
        <f>T52</f>
        <v>-</v>
      </c>
      <c r="W293" s="554">
        <f>U52</f>
        <v>0</v>
      </c>
      <c r="AE293" s="533"/>
    </row>
    <row r="294" spans="1:31" ht="13" hidden="1">
      <c r="A294" s="1361"/>
      <c r="B294" s="553">
        <v>6</v>
      </c>
      <c r="C294" s="553">
        <f>C63</f>
        <v>30</v>
      </c>
      <c r="D294" s="553">
        <f t="shared" ref="D294:F294" si="125">D63</f>
        <v>0.1</v>
      </c>
      <c r="E294" s="553">
        <f t="shared" si="125"/>
        <v>-0.5</v>
      </c>
      <c r="F294" s="553">
        <f t="shared" si="125"/>
        <v>0</v>
      </c>
      <c r="G294" s="553">
        <f>G63</f>
        <v>0.3</v>
      </c>
      <c r="I294" s="1361"/>
      <c r="J294" s="553">
        <v>6</v>
      </c>
      <c r="K294" s="553">
        <f>J63</f>
        <v>60</v>
      </c>
      <c r="L294" s="553">
        <f>K63</f>
        <v>-6.4</v>
      </c>
      <c r="M294" s="553">
        <f>L63</f>
        <v>1.1000000000000001</v>
      </c>
      <c r="N294" s="553">
        <f>M63</f>
        <v>0</v>
      </c>
      <c r="O294" s="553">
        <f>N63</f>
        <v>3.75</v>
      </c>
      <c r="Q294" s="1361"/>
      <c r="R294" s="553">
        <v>6</v>
      </c>
      <c r="S294" s="553">
        <f>Q63</f>
        <v>900</v>
      </c>
      <c r="T294" s="553">
        <f>R63</f>
        <v>0.9</v>
      </c>
      <c r="U294" s="553">
        <f>S63</f>
        <v>0.7</v>
      </c>
      <c r="V294" s="553">
        <f>T63</f>
        <v>9.9999999999999995E-7</v>
      </c>
      <c r="W294" s="554">
        <f>U63</f>
        <v>0.4499995</v>
      </c>
      <c r="AE294" s="533"/>
    </row>
    <row r="295" spans="1:31" ht="13" hidden="1">
      <c r="A295" s="1361"/>
      <c r="B295" s="553">
        <v>7</v>
      </c>
      <c r="C295" s="553">
        <f>C74</f>
        <v>30</v>
      </c>
      <c r="D295" s="553">
        <f t="shared" ref="D295:F295" si="126">D74</f>
        <v>9.9999999999999995E-7</v>
      </c>
      <c r="E295" s="553">
        <f t="shared" si="126"/>
        <v>-0.6</v>
      </c>
      <c r="F295" s="553">
        <f t="shared" si="126"/>
        <v>0</v>
      </c>
      <c r="G295" s="553">
        <f>G74</f>
        <v>0.3000005</v>
      </c>
      <c r="I295" s="1361"/>
      <c r="J295" s="553">
        <v>7</v>
      </c>
      <c r="K295" s="553">
        <f>J74</f>
        <v>60</v>
      </c>
      <c r="L295" s="553">
        <f>K74</f>
        <v>-2.1</v>
      </c>
      <c r="M295" s="553">
        <f>L74</f>
        <v>0.7</v>
      </c>
      <c r="N295" s="553">
        <f>M74</f>
        <v>0</v>
      </c>
      <c r="O295" s="553">
        <f>N74</f>
        <v>1.4</v>
      </c>
      <c r="Q295" s="1361"/>
      <c r="R295" s="553">
        <v>7</v>
      </c>
      <c r="S295" s="553">
        <f>Q74</f>
        <v>900</v>
      </c>
      <c r="T295" s="553">
        <f>R74</f>
        <v>9.9999999999999995E-7</v>
      </c>
      <c r="U295" s="553">
        <f>S74</f>
        <v>1</v>
      </c>
      <c r="V295" s="553">
        <f>T74</f>
        <v>9.9999999999999995E-7</v>
      </c>
      <c r="W295" s="554">
        <f>U74</f>
        <v>0.49999949999999999</v>
      </c>
      <c r="AE295" s="533"/>
    </row>
    <row r="296" spans="1:31" ht="13" hidden="1">
      <c r="A296" s="1361"/>
      <c r="B296" s="553">
        <v>8</v>
      </c>
      <c r="C296" s="553">
        <f>C85</f>
        <v>30</v>
      </c>
      <c r="D296" s="553">
        <f t="shared" ref="D296:F296" si="127">D85</f>
        <v>-0.1</v>
      </c>
      <c r="E296" s="553">
        <f t="shared" si="127"/>
        <v>-0.2</v>
      </c>
      <c r="F296" s="553">
        <f t="shared" si="127"/>
        <v>-0.4</v>
      </c>
      <c r="G296" s="553">
        <f>G85</f>
        <v>0.15000000000000002</v>
      </c>
      <c r="I296" s="1361"/>
      <c r="J296" s="553">
        <v>8</v>
      </c>
      <c r="K296" s="553">
        <f>J85</f>
        <v>60</v>
      </c>
      <c r="L296" s="553">
        <f>K85</f>
        <v>-5.6</v>
      </c>
      <c r="M296" s="553">
        <f>L85</f>
        <v>-3.9</v>
      </c>
      <c r="N296" s="553">
        <f>M85</f>
        <v>-1.1000000000000001</v>
      </c>
      <c r="O296" s="553">
        <f>N85</f>
        <v>2.25</v>
      </c>
      <c r="Q296" s="1361"/>
      <c r="R296" s="553">
        <v>8</v>
      </c>
      <c r="S296" s="553">
        <f>Q85</f>
        <v>990</v>
      </c>
      <c r="T296" s="553">
        <f>R85</f>
        <v>-0.2</v>
      </c>
      <c r="U296" s="553">
        <f>S85</f>
        <v>-3.6</v>
      </c>
      <c r="V296" s="553">
        <f>T85</f>
        <v>9.9999999999999995E-7</v>
      </c>
      <c r="W296" s="554">
        <f>U85</f>
        <v>1.8000005000000001</v>
      </c>
      <c r="AE296" s="533"/>
    </row>
    <row r="297" spans="1:31" ht="13" hidden="1">
      <c r="A297" s="1361"/>
      <c r="B297" s="553">
        <v>9</v>
      </c>
      <c r="C297" s="553">
        <f>C96</f>
        <v>30</v>
      </c>
      <c r="D297" s="553">
        <f t="shared" ref="D297:F297" si="128">D96</f>
        <v>-0.5</v>
      </c>
      <c r="E297" s="553" t="str">
        <f t="shared" si="128"/>
        <v>-</v>
      </c>
      <c r="F297" s="553">
        <f t="shared" si="128"/>
        <v>0</v>
      </c>
      <c r="G297" s="553">
        <f>G96</f>
        <v>0</v>
      </c>
      <c r="I297" s="1361"/>
      <c r="J297" s="553">
        <v>9</v>
      </c>
      <c r="K297" s="553">
        <f>J96</f>
        <v>60</v>
      </c>
      <c r="L297" s="553">
        <f>K96</f>
        <v>-0.8</v>
      </c>
      <c r="M297" s="553" t="str">
        <f>L96</f>
        <v>-</v>
      </c>
      <c r="N297" s="553">
        <f>M96</f>
        <v>0</v>
      </c>
      <c r="O297" s="553">
        <f>N96</f>
        <v>0</v>
      </c>
      <c r="Q297" s="1361"/>
      <c r="R297" s="553">
        <v>9</v>
      </c>
      <c r="S297" s="553">
        <f>Q96</f>
        <v>900</v>
      </c>
      <c r="T297" s="553">
        <f>R96</f>
        <v>9.9999999999999995E-7</v>
      </c>
      <c r="U297" s="553" t="str">
        <f>S96</f>
        <v>-</v>
      </c>
      <c r="V297" s="553">
        <f>T96</f>
        <v>9.9999999999999995E-7</v>
      </c>
      <c r="W297" s="554">
        <f>U96</f>
        <v>0</v>
      </c>
      <c r="AE297" s="533"/>
    </row>
    <row r="298" spans="1:31" ht="13" hidden="1">
      <c r="A298" s="1361"/>
      <c r="B298" s="553">
        <v>10</v>
      </c>
      <c r="C298" s="553">
        <f>C107</f>
        <v>30</v>
      </c>
      <c r="D298" s="553">
        <f t="shared" ref="D298:F298" si="129">D107</f>
        <v>0.1</v>
      </c>
      <c r="E298" s="553">
        <f t="shared" si="129"/>
        <v>0.2</v>
      </c>
      <c r="F298" s="553">
        <f t="shared" si="129"/>
        <v>0</v>
      </c>
      <c r="G298" s="553">
        <f>G107</f>
        <v>0.05</v>
      </c>
      <c r="I298" s="1361"/>
      <c r="J298" s="553">
        <v>10</v>
      </c>
      <c r="K298" s="553">
        <f>J107</f>
        <v>60</v>
      </c>
      <c r="L298" s="553">
        <f>K107</f>
        <v>-2.1</v>
      </c>
      <c r="M298" s="553">
        <f>L107</f>
        <v>-5.6</v>
      </c>
      <c r="N298" s="553">
        <f>M107</f>
        <v>0</v>
      </c>
      <c r="O298" s="553">
        <f>N107</f>
        <v>1.7499999999999998</v>
      </c>
      <c r="Q298" s="1361"/>
      <c r="R298" s="553">
        <v>10</v>
      </c>
      <c r="S298" s="553">
        <f>Q107</f>
        <v>900</v>
      </c>
      <c r="T298" s="553" t="str">
        <f>R107</f>
        <v>-</v>
      </c>
      <c r="U298" s="553" t="str">
        <f>S107</f>
        <v>-</v>
      </c>
      <c r="V298" s="553">
        <f>T107</f>
        <v>9.9999999999999995E-7</v>
      </c>
      <c r="W298" s="554">
        <f>U107</f>
        <v>0</v>
      </c>
      <c r="AE298" s="533"/>
    </row>
    <row r="299" spans="1:31" ht="13" hidden="1">
      <c r="A299" s="1361"/>
      <c r="B299" s="553">
        <v>11</v>
      </c>
      <c r="C299" s="553">
        <f>C118</f>
        <v>30</v>
      </c>
      <c r="D299" s="553">
        <f t="shared" ref="D299:F299" si="130">D118</f>
        <v>0.5</v>
      </c>
      <c r="E299" s="553">
        <f t="shared" si="130"/>
        <v>0.4</v>
      </c>
      <c r="F299" s="553">
        <f t="shared" si="130"/>
        <v>0</v>
      </c>
      <c r="G299" s="553">
        <f>G118</f>
        <v>4.9999999999999989E-2</v>
      </c>
      <c r="I299" s="1361"/>
      <c r="J299" s="553">
        <v>11</v>
      </c>
      <c r="K299" s="553">
        <f>J118</f>
        <v>60</v>
      </c>
      <c r="L299" s="553">
        <f>K118</f>
        <v>-4.8</v>
      </c>
      <c r="M299" s="553">
        <f>L118</f>
        <v>-4.5</v>
      </c>
      <c r="N299" s="553">
        <f>M118</f>
        <v>0</v>
      </c>
      <c r="O299" s="553">
        <f>N118</f>
        <v>0.14999999999999991</v>
      </c>
      <c r="Q299" s="1361"/>
      <c r="R299" s="553">
        <v>11</v>
      </c>
      <c r="S299" s="553">
        <f>Q118</f>
        <v>900</v>
      </c>
      <c r="T299" s="553" t="str">
        <f>R118</f>
        <v>-</v>
      </c>
      <c r="U299" s="553" t="str">
        <f>S118</f>
        <v>-</v>
      </c>
      <c r="V299" s="553">
        <f>T118</f>
        <v>9.9999999999999995E-7</v>
      </c>
      <c r="W299" s="554">
        <f>U118</f>
        <v>0</v>
      </c>
      <c r="AE299" s="533"/>
    </row>
    <row r="300" spans="1:31" ht="13" hidden="1">
      <c r="A300" s="1361"/>
      <c r="B300" s="553">
        <v>12</v>
      </c>
      <c r="C300" s="553">
        <f>C129</f>
        <v>30</v>
      </c>
      <c r="D300" s="553">
        <f t="shared" ref="D300:F300" si="131">D129</f>
        <v>0.5</v>
      </c>
      <c r="E300" s="553">
        <f t="shared" si="131"/>
        <v>-0.1</v>
      </c>
      <c r="F300" s="553">
        <f t="shared" si="131"/>
        <v>0</v>
      </c>
      <c r="G300" s="553">
        <f>G129</f>
        <v>0.3</v>
      </c>
      <c r="I300" s="1361"/>
      <c r="J300" s="553">
        <v>12</v>
      </c>
      <c r="K300" s="553">
        <f>J129</f>
        <v>60</v>
      </c>
      <c r="L300" s="553">
        <f>K129</f>
        <v>-3</v>
      </c>
      <c r="M300" s="553">
        <f>L129</f>
        <v>9.9999999999999995E-7</v>
      </c>
      <c r="N300" s="553">
        <f>M129</f>
        <v>0</v>
      </c>
      <c r="O300" s="553">
        <f>N129</f>
        <v>1.5000005000000001</v>
      </c>
      <c r="Q300" s="1361"/>
      <c r="R300" s="553">
        <v>12</v>
      </c>
      <c r="S300" s="553">
        <f>Q129</f>
        <v>990</v>
      </c>
      <c r="T300" s="553">
        <f>R129</f>
        <v>4.0999999999999996</v>
      </c>
      <c r="U300" s="553">
        <f>S129</f>
        <v>-0.7</v>
      </c>
      <c r="V300" s="553">
        <f>T129</f>
        <v>0</v>
      </c>
      <c r="W300" s="554">
        <f>U129</f>
        <v>2.4</v>
      </c>
      <c r="AE300" s="533"/>
    </row>
    <row r="301" spans="1:31" ht="13" hidden="1">
      <c r="A301" s="1361"/>
      <c r="B301" s="553">
        <v>13</v>
      </c>
      <c r="C301" s="553">
        <f>C151</f>
        <v>30</v>
      </c>
      <c r="D301" s="553">
        <f t="shared" ref="D301:F301" si="132">D151</f>
        <v>0.3</v>
      </c>
      <c r="E301" s="553">
        <f t="shared" si="132"/>
        <v>-0.4</v>
      </c>
      <c r="F301" s="553">
        <f t="shared" si="132"/>
        <v>-0.3</v>
      </c>
      <c r="G301" s="553">
        <f>G151</f>
        <v>0.35</v>
      </c>
      <c r="I301" s="1361"/>
      <c r="J301" s="553">
        <v>13</v>
      </c>
      <c r="K301" s="553">
        <f>J140</f>
        <v>60</v>
      </c>
      <c r="L301" s="553">
        <f>K140</f>
        <v>-3.1</v>
      </c>
      <c r="M301" s="553">
        <f>L140</f>
        <v>-1.6</v>
      </c>
      <c r="N301" s="553">
        <f>M140</f>
        <v>-1.5</v>
      </c>
      <c r="O301" s="553">
        <f>N140</f>
        <v>0.8</v>
      </c>
      <c r="Q301" s="1361"/>
      <c r="R301" s="553">
        <v>13</v>
      </c>
      <c r="S301" s="553">
        <f>Q140</f>
        <v>1000</v>
      </c>
      <c r="T301" s="553">
        <f>R140</f>
        <v>4.0999999999999996</v>
      </c>
      <c r="U301" s="553">
        <f>S140</f>
        <v>3.7</v>
      </c>
      <c r="V301" s="553">
        <f>T140</f>
        <v>1.1000000000000001</v>
      </c>
      <c r="W301" s="554">
        <f>U140</f>
        <v>1.4999999999999998</v>
      </c>
      <c r="AE301" s="533"/>
    </row>
    <row r="302" spans="1:31" ht="13" hidden="1">
      <c r="A302" s="1361"/>
      <c r="B302" s="553">
        <v>14</v>
      </c>
      <c r="C302" s="553">
        <f>C151</f>
        <v>30</v>
      </c>
      <c r="D302" s="553">
        <f t="shared" ref="D302:F302" si="133">D151</f>
        <v>0.3</v>
      </c>
      <c r="E302" s="553">
        <f t="shared" si="133"/>
        <v>-0.4</v>
      </c>
      <c r="F302" s="553">
        <f t="shared" si="133"/>
        <v>-0.3</v>
      </c>
      <c r="G302" s="553">
        <f>G151</f>
        <v>0.35</v>
      </c>
      <c r="I302" s="1361"/>
      <c r="J302" s="553">
        <v>14</v>
      </c>
      <c r="K302" s="553">
        <f>J151</f>
        <v>60</v>
      </c>
      <c r="L302" s="553">
        <f>K151</f>
        <v>-1.8</v>
      </c>
      <c r="M302" s="553">
        <f>L151</f>
        <v>0.3</v>
      </c>
      <c r="N302" s="553">
        <f>M151</f>
        <v>-0.6</v>
      </c>
      <c r="O302" s="553">
        <f>N151</f>
        <v>1.05</v>
      </c>
      <c r="Q302" s="1361"/>
      <c r="R302" s="553">
        <v>14</v>
      </c>
      <c r="S302" s="553">
        <f>Q151</f>
        <v>1000</v>
      </c>
      <c r="T302" s="553">
        <f>R151</f>
        <v>4.2</v>
      </c>
      <c r="U302" s="553">
        <f>S151</f>
        <v>3.8</v>
      </c>
      <c r="V302" s="553">
        <f>T151</f>
        <v>1.1000000000000001</v>
      </c>
      <c r="W302" s="554">
        <f>U151</f>
        <v>1.55</v>
      </c>
      <c r="AE302" s="533"/>
    </row>
    <row r="303" spans="1:31" ht="13" hidden="1">
      <c r="A303" s="1361"/>
      <c r="B303" s="553">
        <v>15</v>
      </c>
      <c r="C303" s="553">
        <f>C162</f>
        <v>30</v>
      </c>
      <c r="D303" s="553">
        <f t="shared" ref="D303:F303" si="134">D162</f>
        <v>0.4</v>
      </c>
      <c r="E303" s="553">
        <f t="shared" si="134"/>
        <v>0.4</v>
      </c>
      <c r="F303" s="553">
        <f t="shared" si="134"/>
        <v>-0.2</v>
      </c>
      <c r="G303" s="553">
        <f>G162</f>
        <v>0.30000000000000004</v>
      </c>
      <c r="I303" s="1361"/>
      <c r="J303" s="553">
        <v>15</v>
      </c>
      <c r="K303" s="553">
        <f>J162</f>
        <v>60</v>
      </c>
      <c r="L303" s="553">
        <f>K162</f>
        <v>-2.2999999999999998</v>
      </c>
      <c r="M303" s="553">
        <f>L162</f>
        <v>-1.1000000000000001</v>
      </c>
      <c r="N303" s="553">
        <f>M162</f>
        <v>-0.5</v>
      </c>
      <c r="O303" s="553">
        <f>N162</f>
        <v>0.89999999999999991</v>
      </c>
      <c r="Q303" s="1361"/>
      <c r="R303" s="553">
        <v>15</v>
      </c>
      <c r="S303" s="553">
        <f>Q162</f>
        <v>1000</v>
      </c>
      <c r="T303" s="553">
        <f>R162</f>
        <v>4.4000000000000004</v>
      </c>
      <c r="U303" s="553">
        <f>S162</f>
        <v>4.0999999999999996</v>
      </c>
      <c r="V303" s="553">
        <f>T162</f>
        <v>1.1000000000000001</v>
      </c>
      <c r="W303" s="554">
        <f>U162</f>
        <v>1.6500000000000001</v>
      </c>
      <c r="AE303" s="533"/>
    </row>
    <row r="304" spans="1:31" ht="13" hidden="1">
      <c r="A304" s="1361"/>
      <c r="B304" s="553">
        <v>16</v>
      </c>
      <c r="C304" s="553">
        <f>C173</f>
        <v>30</v>
      </c>
      <c r="D304" s="553">
        <f t="shared" ref="D304:F304" si="135">D173</f>
        <v>0.6</v>
      </c>
      <c r="E304" s="553">
        <f t="shared" si="135"/>
        <v>0.2</v>
      </c>
      <c r="F304" s="553">
        <f t="shared" si="135"/>
        <v>0</v>
      </c>
      <c r="G304" s="553">
        <f>G173</f>
        <v>0.19999999999999998</v>
      </c>
      <c r="I304" s="1361"/>
      <c r="J304" s="553">
        <v>16</v>
      </c>
      <c r="K304" s="553">
        <f>J173</f>
        <v>60</v>
      </c>
      <c r="L304" s="553">
        <f>K173</f>
        <v>-1.9</v>
      </c>
      <c r="M304" s="553">
        <f>L173</f>
        <v>-1.5</v>
      </c>
      <c r="N304" s="553">
        <f>M173</f>
        <v>0</v>
      </c>
      <c r="O304" s="553">
        <f>N173</f>
        <v>0.19999999999999996</v>
      </c>
      <c r="Q304" s="1361"/>
      <c r="R304" s="553">
        <v>16</v>
      </c>
      <c r="S304" s="553">
        <f>Q173</f>
        <v>990</v>
      </c>
      <c r="T304" s="553">
        <f>R173</f>
        <v>4.4000000000000004</v>
      </c>
      <c r="U304" s="553">
        <f>S173</f>
        <v>-1.1000000000000001</v>
      </c>
      <c r="V304" s="553">
        <f>T173</f>
        <v>0</v>
      </c>
      <c r="W304" s="554">
        <f>U173</f>
        <v>2.75</v>
      </c>
      <c r="AE304" s="533"/>
    </row>
    <row r="305" spans="1:31" ht="13" hidden="1">
      <c r="A305" s="1361"/>
      <c r="B305" s="553">
        <v>17</v>
      </c>
      <c r="C305" s="553">
        <f>C184</f>
        <v>30</v>
      </c>
      <c r="D305" s="553">
        <f>D184</f>
        <v>0.6</v>
      </c>
      <c r="E305" s="553">
        <f>E184</f>
        <v>-0.2</v>
      </c>
      <c r="F305" s="553">
        <f t="shared" ref="F305" si="136">F184</f>
        <v>0</v>
      </c>
      <c r="G305" s="553">
        <f>G184</f>
        <v>0.4</v>
      </c>
      <c r="I305" s="1361"/>
      <c r="J305" s="553">
        <v>17</v>
      </c>
      <c r="K305" s="553">
        <f>J184</f>
        <v>60</v>
      </c>
      <c r="L305" s="553">
        <f>K184</f>
        <v>-1.7</v>
      </c>
      <c r="M305" s="553">
        <f>L184</f>
        <v>9.9999999999999995E-7</v>
      </c>
      <c r="N305" s="553">
        <f>M184</f>
        <v>0</v>
      </c>
      <c r="O305" s="553">
        <f>N184</f>
        <v>0.85000049999999994</v>
      </c>
      <c r="Q305" s="1361"/>
      <c r="R305" s="553">
        <v>17</v>
      </c>
      <c r="S305" s="553">
        <f>Q184</f>
        <v>990</v>
      </c>
      <c r="T305" s="553">
        <f>R184</f>
        <v>4.4000000000000004</v>
      </c>
      <c r="U305" s="553">
        <f>S184</f>
        <v>-0.6</v>
      </c>
      <c r="V305" s="553">
        <f>T184</f>
        <v>0</v>
      </c>
      <c r="W305" s="554">
        <f>U184</f>
        <v>2.5</v>
      </c>
      <c r="AE305" s="533"/>
    </row>
    <row r="306" spans="1:31" ht="13" hidden="1">
      <c r="A306" s="1361"/>
      <c r="B306" s="553">
        <v>18</v>
      </c>
      <c r="C306" s="553">
        <f>C195</f>
        <v>30</v>
      </c>
      <c r="D306" s="553">
        <f t="shared" ref="D306:F306" si="137">D195</f>
        <v>0.3</v>
      </c>
      <c r="E306" s="553">
        <f t="shared" si="137"/>
        <v>-0.2</v>
      </c>
      <c r="F306" s="553">
        <f t="shared" si="137"/>
        <v>0</v>
      </c>
      <c r="G306" s="553">
        <f>G195</f>
        <v>0.25</v>
      </c>
      <c r="I306" s="1361"/>
      <c r="J306" s="553">
        <v>18</v>
      </c>
      <c r="K306" s="553">
        <f>J195</f>
        <v>60</v>
      </c>
      <c r="L306" s="553">
        <f>K195</f>
        <v>-2.1</v>
      </c>
      <c r="M306" s="553">
        <f>L195</f>
        <v>-0.2</v>
      </c>
      <c r="N306" s="553">
        <f>M195</f>
        <v>0</v>
      </c>
      <c r="O306" s="553">
        <f>N195</f>
        <v>0.95000000000000007</v>
      </c>
      <c r="Q306" s="1361"/>
      <c r="R306" s="553">
        <v>18</v>
      </c>
      <c r="S306" s="553">
        <f>Q195</f>
        <v>990</v>
      </c>
      <c r="T306" s="553">
        <f>R195</f>
        <v>4.3</v>
      </c>
      <c r="U306" s="553">
        <f>S195</f>
        <v>-0.9</v>
      </c>
      <c r="V306" s="553">
        <f>T195</f>
        <v>0</v>
      </c>
      <c r="W306" s="554">
        <f>U195</f>
        <v>2.6</v>
      </c>
      <c r="AE306" s="533"/>
    </row>
    <row r="307" spans="1:31" ht="13" hidden="1">
      <c r="A307" s="1361"/>
      <c r="B307" s="553">
        <v>19</v>
      </c>
      <c r="C307" s="553">
        <f>C206</f>
        <v>30</v>
      </c>
      <c r="D307" s="553">
        <f t="shared" ref="D307:F307" si="138">D206</f>
        <v>0.5</v>
      </c>
      <c r="E307" s="553">
        <f t="shared" si="138"/>
        <v>-0.1</v>
      </c>
      <c r="F307" s="553">
        <f t="shared" si="138"/>
        <v>0</v>
      </c>
      <c r="G307" s="553">
        <f>G206</f>
        <v>0.3</v>
      </c>
      <c r="I307" s="1361"/>
      <c r="J307" s="553">
        <v>19</v>
      </c>
      <c r="K307" s="553">
        <f>J206</f>
        <v>60</v>
      </c>
      <c r="L307" s="553">
        <f>K206</f>
        <v>-2.7</v>
      </c>
      <c r="M307" s="553">
        <f>L206</f>
        <v>0.4</v>
      </c>
      <c r="N307" s="553">
        <f>M206</f>
        <v>0</v>
      </c>
      <c r="O307" s="553">
        <f>N206</f>
        <v>1.55</v>
      </c>
      <c r="Q307" s="1361"/>
      <c r="R307" s="553">
        <v>19</v>
      </c>
      <c r="S307" s="553">
        <f>Q206</f>
        <v>900</v>
      </c>
      <c r="T307" s="553">
        <f>R206</f>
        <v>4.4000000000000004</v>
      </c>
      <c r="U307" s="553">
        <f>S206</f>
        <v>2.2999999999999998</v>
      </c>
      <c r="V307" s="553">
        <f>T206</f>
        <v>0</v>
      </c>
      <c r="W307" s="554">
        <f>U206</f>
        <v>1.0500000000000003</v>
      </c>
      <c r="AE307" s="533"/>
    </row>
    <row r="308" spans="1:31" ht="13.5" hidden="1" thickBot="1">
      <c r="A308" s="1361"/>
      <c r="B308" s="553">
        <v>20</v>
      </c>
      <c r="C308" s="553">
        <f>C217</f>
        <v>29.5</v>
      </c>
      <c r="D308" s="553">
        <f t="shared" ref="D308:F308" si="139">D217</f>
        <v>9.9999999999999995E-7</v>
      </c>
      <c r="E308" s="553" t="str">
        <f t="shared" si="139"/>
        <v>-</v>
      </c>
      <c r="F308" s="553">
        <f t="shared" si="139"/>
        <v>9.9999999999999995E-7</v>
      </c>
      <c r="G308" s="553">
        <f>G217</f>
        <v>0</v>
      </c>
      <c r="I308" s="1361"/>
      <c r="J308" s="553">
        <v>20</v>
      </c>
      <c r="K308" s="553">
        <f>J217</f>
        <v>71.5</v>
      </c>
      <c r="L308" s="553">
        <f>K217</f>
        <v>9.9999999999999995E-7</v>
      </c>
      <c r="M308" s="553" t="str">
        <f>L217</f>
        <v>-</v>
      </c>
      <c r="N308" s="553">
        <f>M217</f>
        <v>0</v>
      </c>
      <c r="O308" s="553">
        <f>N217</f>
        <v>0</v>
      </c>
      <c r="Q308" s="1363"/>
      <c r="R308" s="562">
        <v>20</v>
      </c>
      <c r="S308" s="562">
        <f>Q217</f>
        <v>900</v>
      </c>
      <c r="T308" s="562">
        <f>R217</f>
        <v>9.9999999999999995E-7</v>
      </c>
      <c r="U308" s="562" t="str">
        <f>S217</f>
        <v>-</v>
      </c>
      <c r="V308" s="562">
        <f>T217</f>
        <v>9.9999999999999995E-7</v>
      </c>
      <c r="W308" s="577">
        <f>U217</f>
        <v>0</v>
      </c>
      <c r="AE308" s="566"/>
    </row>
    <row r="309" spans="1:31" ht="13" hidden="1">
      <c r="A309" s="567"/>
      <c r="B309" s="567"/>
      <c r="C309" s="567"/>
      <c r="D309" s="567"/>
      <c r="E309" s="567"/>
      <c r="F309" s="547"/>
      <c r="G309" s="567"/>
      <c r="I309" s="567"/>
      <c r="J309" s="567"/>
      <c r="K309" s="567"/>
      <c r="L309" s="567"/>
      <c r="M309" s="567"/>
      <c r="N309" s="547"/>
      <c r="O309" s="567"/>
      <c r="Q309" s="578"/>
      <c r="R309" s="580"/>
      <c r="S309" s="343"/>
      <c r="T309" s="343"/>
      <c r="U309" s="343"/>
      <c r="W309" s="344"/>
      <c r="AE309" s="533"/>
    </row>
    <row r="310" spans="1:31" ht="13" hidden="1">
      <c r="A310" s="1361">
        <v>5</v>
      </c>
      <c r="B310" s="553">
        <v>1</v>
      </c>
      <c r="C310" s="553">
        <f>C9</f>
        <v>35</v>
      </c>
      <c r="D310" s="553">
        <f t="shared" ref="D310:F310" si="140">D9</f>
        <v>0</v>
      </c>
      <c r="E310" s="553">
        <f t="shared" si="140"/>
        <v>-0.2</v>
      </c>
      <c r="F310" s="553">
        <f t="shared" si="140"/>
        <v>-0.1</v>
      </c>
      <c r="G310" s="553">
        <f>G9</f>
        <v>0.1</v>
      </c>
      <c r="I310" s="1361">
        <v>5</v>
      </c>
      <c r="J310" s="553">
        <v>1</v>
      </c>
      <c r="K310" s="553">
        <f>J20</f>
        <v>70</v>
      </c>
      <c r="L310" s="553">
        <f>K20</f>
        <v>-3.4</v>
      </c>
      <c r="M310" s="553">
        <f>L20</f>
        <v>-2.4</v>
      </c>
      <c r="N310" s="553">
        <f>M20</f>
        <v>-1.1000000000000001</v>
      </c>
      <c r="O310" s="553">
        <f>N20</f>
        <v>1.1499999999999999</v>
      </c>
      <c r="Q310" s="1362">
        <v>5</v>
      </c>
      <c r="R310" s="572">
        <v>1</v>
      </c>
      <c r="S310" s="572">
        <f>Q9</f>
        <v>1000</v>
      </c>
      <c r="T310" s="572" t="str">
        <f>R9</f>
        <v>-</v>
      </c>
      <c r="U310" s="572" t="str">
        <f>S9</f>
        <v>-</v>
      </c>
      <c r="V310" s="572">
        <f>T9</f>
        <v>9.9999999999999995E-7</v>
      </c>
      <c r="W310" s="579">
        <f>U9</f>
        <v>0</v>
      </c>
      <c r="AE310" s="575"/>
    </row>
    <row r="311" spans="1:31" ht="13" hidden="1">
      <c r="A311" s="1361"/>
      <c r="B311" s="553">
        <v>2</v>
      </c>
      <c r="C311" s="553">
        <f>C20</f>
        <v>35</v>
      </c>
      <c r="D311" s="553">
        <f t="shared" ref="D311:F311" si="141">D20</f>
        <v>0.5</v>
      </c>
      <c r="E311" s="553">
        <f t="shared" si="141"/>
        <v>-0.1</v>
      </c>
      <c r="F311" s="553">
        <f t="shared" si="141"/>
        <v>-0.3</v>
      </c>
      <c r="G311" s="553">
        <f>G20</f>
        <v>0.4</v>
      </c>
      <c r="I311" s="1361"/>
      <c r="J311" s="553">
        <v>2</v>
      </c>
      <c r="K311" s="553">
        <f>J20</f>
        <v>70</v>
      </c>
      <c r="L311" s="553">
        <f>K20</f>
        <v>-3.4</v>
      </c>
      <c r="M311" s="553">
        <f>L20</f>
        <v>-2.4</v>
      </c>
      <c r="N311" s="553">
        <f>M20</f>
        <v>-1.1000000000000001</v>
      </c>
      <c r="O311" s="553">
        <f>N20</f>
        <v>1.1499999999999999</v>
      </c>
      <c r="Q311" s="1361"/>
      <c r="R311" s="553">
        <v>2</v>
      </c>
      <c r="S311" s="553">
        <f>Q20</f>
        <v>1000</v>
      </c>
      <c r="T311" s="553" t="str">
        <f>R20</f>
        <v>-</v>
      </c>
      <c r="U311" s="553" t="str">
        <f>S20</f>
        <v>-</v>
      </c>
      <c r="V311" s="553" t="str">
        <f>T20</f>
        <v>-</v>
      </c>
      <c r="W311" s="554">
        <f>U20</f>
        <v>0</v>
      </c>
      <c r="AE311" s="533"/>
    </row>
    <row r="312" spans="1:31" ht="13" hidden="1">
      <c r="A312" s="1361"/>
      <c r="B312" s="553">
        <v>3</v>
      </c>
      <c r="C312" s="553">
        <f>C31</f>
        <v>35</v>
      </c>
      <c r="D312" s="553">
        <f t="shared" ref="D312:F312" si="142">D31</f>
        <v>0.3</v>
      </c>
      <c r="E312" s="553">
        <f t="shared" si="142"/>
        <v>-0.3</v>
      </c>
      <c r="F312" s="553">
        <f t="shared" si="142"/>
        <v>-0.5</v>
      </c>
      <c r="G312" s="553">
        <f>G31</f>
        <v>0.4</v>
      </c>
      <c r="I312" s="1361"/>
      <c r="J312" s="553">
        <v>3</v>
      </c>
      <c r="K312" s="553">
        <f>J31</f>
        <v>70</v>
      </c>
      <c r="L312" s="553">
        <f>K31</f>
        <v>-4.4000000000000004</v>
      </c>
      <c r="M312" s="553">
        <f>L31</f>
        <v>-2</v>
      </c>
      <c r="N312" s="553">
        <f>M31</f>
        <v>-3.6</v>
      </c>
      <c r="O312" s="553">
        <f>N31</f>
        <v>1.2000000000000002</v>
      </c>
      <c r="Q312" s="1361"/>
      <c r="R312" s="553">
        <v>3</v>
      </c>
      <c r="S312" s="553">
        <f>Q31</f>
        <v>1000</v>
      </c>
      <c r="T312" s="553" t="str">
        <f>R31</f>
        <v>-</v>
      </c>
      <c r="U312" s="553" t="str">
        <f>S31</f>
        <v>-</v>
      </c>
      <c r="V312" s="553" t="str">
        <f>T31</f>
        <v>-</v>
      </c>
      <c r="W312" s="554">
        <f>U31</f>
        <v>0</v>
      </c>
      <c r="AE312" s="533"/>
    </row>
    <row r="313" spans="1:31" ht="13" hidden="1">
      <c r="A313" s="1361"/>
      <c r="B313" s="553">
        <v>4</v>
      </c>
      <c r="C313" s="553">
        <f>C42</f>
        <v>35</v>
      </c>
      <c r="D313" s="553">
        <f t="shared" ref="D313:F313" si="143">D42</f>
        <v>-0.3</v>
      </c>
      <c r="E313" s="553">
        <f t="shared" si="143"/>
        <v>-0.6</v>
      </c>
      <c r="F313" s="553">
        <f t="shared" si="143"/>
        <v>0</v>
      </c>
      <c r="G313" s="553">
        <f>G42</f>
        <v>0.15</v>
      </c>
      <c r="I313" s="1361"/>
      <c r="J313" s="553">
        <v>4</v>
      </c>
      <c r="K313" s="553">
        <f>J42</f>
        <v>70</v>
      </c>
      <c r="L313" s="553">
        <f>K42</f>
        <v>-4</v>
      </c>
      <c r="M313" s="553">
        <f>L42</f>
        <v>0.7</v>
      </c>
      <c r="N313" s="553">
        <f>M42</f>
        <v>0</v>
      </c>
      <c r="O313" s="553">
        <f>N42</f>
        <v>2.35</v>
      </c>
      <c r="Q313" s="1361"/>
      <c r="R313" s="553">
        <v>4</v>
      </c>
      <c r="S313" s="553">
        <f>Q42</f>
        <v>1000</v>
      </c>
      <c r="T313" s="553" t="str">
        <f>R42</f>
        <v>-</v>
      </c>
      <c r="U313" s="553" t="str">
        <f>S42</f>
        <v>-</v>
      </c>
      <c r="V313" s="553">
        <f>T42</f>
        <v>9.9999999999999995E-7</v>
      </c>
      <c r="W313" s="554">
        <f>U42</f>
        <v>0</v>
      </c>
      <c r="AE313" s="533"/>
    </row>
    <row r="314" spans="1:31" ht="13" hidden="1">
      <c r="A314" s="1361"/>
      <c r="B314" s="553">
        <v>5</v>
      </c>
      <c r="C314" s="553">
        <f>C53</f>
        <v>35</v>
      </c>
      <c r="D314" s="553">
        <f t="shared" ref="D314:F314" si="144">D53</f>
        <v>0.4</v>
      </c>
      <c r="E314" s="553">
        <f t="shared" si="144"/>
        <v>0.1</v>
      </c>
      <c r="F314" s="553">
        <f t="shared" si="144"/>
        <v>0.7</v>
      </c>
      <c r="G314" s="553">
        <f>G53</f>
        <v>0.3</v>
      </c>
      <c r="I314" s="1361"/>
      <c r="J314" s="553">
        <v>5</v>
      </c>
      <c r="K314" s="553">
        <f>J53</f>
        <v>70</v>
      </c>
      <c r="L314" s="553">
        <f>K53</f>
        <v>-7.1</v>
      </c>
      <c r="M314" s="553">
        <f>L53</f>
        <v>-6.1</v>
      </c>
      <c r="N314" s="553">
        <f>M53</f>
        <v>-4.0999999999999996</v>
      </c>
      <c r="O314" s="553">
        <f>N53</f>
        <v>1.5</v>
      </c>
      <c r="Q314" s="1361"/>
      <c r="R314" s="553">
        <v>5</v>
      </c>
      <c r="S314" s="553">
        <f>Q53</f>
        <v>1000</v>
      </c>
      <c r="T314" s="553" t="str">
        <f>R53</f>
        <v>-</v>
      </c>
      <c r="U314" s="553" t="str">
        <f>S53</f>
        <v>-</v>
      </c>
      <c r="V314" s="553" t="str">
        <f>T53</f>
        <v>-</v>
      </c>
      <c r="W314" s="554">
        <f>U53</f>
        <v>0</v>
      </c>
      <c r="AE314" s="533"/>
    </row>
    <row r="315" spans="1:31" ht="13" hidden="1">
      <c r="A315" s="1361"/>
      <c r="B315" s="553">
        <v>6</v>
      </c>
      <c r="C315" s="553">
        <f>C64</f>
        <v>35</v>
      </c>
      <c r="D315" s="553">
        <f t="shared" ref="D315:F315" si="145">D64</f>
        <v>0.1</v>
      </c>
      <c r="E315" s="553">
        <f t="shared" si="145"/>
        <v>-0.9</v>
      </c>
      <c r="F315" s="553">
        <f t="shared" si="145"/>
        <v>0</v>
      </c>
      <c r="G315" s="553">
        <f>G64</f>
        <v>0.5</v>
      </c>
      <c r="I315" s="1361"/>
      <c r="J315" s="553">
        <v>6</v>
      </c>
      <c r="K315" s="553">
        <f>J64</f>
        <v>70</v>
      </c>
      <c r="L315" s="553">
        <f>K64</f>
        <v>-6.7</v>
      </c>
      <c r="M315" s="553">
        <f>L64</f>
        <v>0.9</v>
      </c>
      <c r="N315" s="553">
        <f>M64</f>
        <v>0</v>
      </c>
      <c r="O315" s="553">
        <f>N64</f>
        <v>3.8000000000000003</v>
      </c>
      <c r="Q315" s="1361"/>
      <c r="R315" s="553">
        <v>6</v>
      </c>
      <c r="S315" s="553">
        <f>Q64</f>
        <v>1000</v>
      </c>
      <c r="T315" s="553">
        <f>R64</f>
        <v>0.9</v>
      </c>
      <c r="U315" s="553">
        <f>S64</f>
        <v>-0.3</v>
      </c>
      <c r="V315" s="553">
        <f>T64</f>
        <v>9.9999999999999995E-7</v>
      </c>
      <c r="W315" s="554">
        <f>U64</f>
        <v>0.6</v>
      </c>
      <c r="AE315" s="533"/>
    </row>
    <row r="316" spans="1:31" ht="13" hidden="1">
      <c r="A316" s="1361"/>
      <c r="B316" s="553">
        <v>7</v>
      </c>
      <c r="C316" s="553">
        <f>C75</f>
        <v>35</v>
      </c>
      <c r="D316" s="553">
        <f t="shared" ref="D316:F316" si="146">D75</f>
        <v>9.9999999999999995E-7</v>
      </c>
      <c r="E316" s="553">
        <f t="shared" si="146"/>
        <v>-1.1000000000000001</v>
      </c>
      <c r="F316" s="553">
        <f t="shared" si="146"/>
        <v>0</v>
      </c>
      <c r="G316" s="553">
        <f>G75</f>
        <v>0.5500005</v>
      </c>
      <c r="I316" s="1361"/>
      <c r="J316" s="553">
        <v>7</v>
      </c>
      <c r="K316" s="553">
        <f>J75</f>
        <v>70</v>
      </c>
      <c r="L316" s="553">
        <f>K75</f>
        <v>-2.2999999999999998</v>
      </c>
      <c r="M316" s="553">
        <f>L75</f>
        <v>0.9</v>
      </c>
      <c r="N316" s="553">
        <f>M75</f>
        <v>0</v>
      </c>
      <c r="O316" s="553">
        <f>N75</f>
        <v>1.5999999999999999</v>
      </c>
      <c r="Q316" s="1361"/>
      <c r="R316" s="553">
        <v>7</v>
      </c>
      <c r="S316" s="553">
        <f>Q75</f>
        <v>1000</v>
      </c>
      <c r="T316" s="553">
        <f>R75</f>
        <v>-3.9</v>
      </c>
      <c r="U316" s="553">
        <f>S75</f>
        <v>-0.4</v>
      </c>
      <c r="V316" s="553">
        <f>T75</f>
        <v>9.9999999999999995E-7</v>
      </c>
      <c r="W316" s="554">
        <f>U75</f>
        <v>1.9500005</v>
      </c>
      <c r="AE316" s="533"/>
    </row>
    <row r="317" spans="1:31" ht="13" hidden="1">
      <c r="A317" s="1361"/>
      <c r="B317" s="553">
        <v>8</v>
      </c>
      <c r="C317" s="553">
        <f>C86</f>
        <v>35</v>
      </c>
      <c r="D317" s="553">
        <f t="shared" ref="D317:F317" si="147">D86</f>
        <v>-0.1</v>
      </c>
      <c r="E317" s="553">
        <f t="shared" si="147"/>
        <v>-0.1</v>
      </c>
      <c r="F317" s="553">
        <f t="shared" si="147"/>
        <v>-0.5</v>
      </c>
      <c r="G317" s="553">
        <f>G86</f>
        <v>0.2</v>
      </c>
      <c r="I317" s="1361"/>
      <c r="J317" s="553">
        <v>8</v>
      </c>
      <c r="K317" s="553">
        <f>J86</f>
        <v>70</v>
      </c>
      <c r="L317" s="553">
        <f>K86</f>
        <v>-6.5</v>
      </c>
      <c r="M317" s="553">
        <f>L86</f>
        <v>-4.0999999999999996</v>
      </c>
      <c r="N317" s="553">
        <f>M86</f>
        <v>-1.2</v>
      </c>
      <c r="O317" s="553">
        <f>N86</f>
        <v>2.65</v>
      </c>
      <c r="Q317" s="1361"/>
      <c r="R317" s="553">
        <v>8</v>
      </c>
      <c r="S317" s="553">
        <f>Q86</f>
        <v>1000</v>
      </c>
      <c r="T317" s="553">
        <f>R86</f>
        <v>0.2</v>
      </c>
      <c r="U317" s="553">
        <f>S86</f>
        <v>-3.5</v>
      </c>
      <c r="V317" s="553">
        <f>T86</f>
        <v>0.2</v>
      </c>
      <c r="W317" s="554">
        <f>U86</f>
        <v>1.85</v>
      </c>
      <c r="AE317" s="533"/>
    </row>
    <row r="318" spans="1:31" ht="13" hidden="1">
      <c r="A318" s="1361"/>
      <c r="B318" s="553">
        <v>9</v>
      </c>
      <c r="C318" s="553">
        <f>C97</f>
        <v>35</v>
      </c>
      <c r="D318" s="553">
        <f t="shared" ref="D318:F318" si="148">D97</f>
        <v>-0.5</v>
      </c>
      <c r="E318" s="553" t="str">
        <f t="shared" si="148"/>
        <v>-</v>
      </c>
      <c r="F318" s="553">
        <f t="shared" si="148"/>
        <v>0</v>
      </c>
      <c r="G318" s="553">
        <f>G97</f>
        <v>0</v>
      </c>
      <c r="I318" s="1361"/>
      <c r="J318" s="553">
        <v>9</v>
      </c>
      <c r="K318" s="553">
        <f>J97</f>
        <v>70</v>
      </c>
      <c r="L318" s="553">
        <f>K97</f>
        <v>-0.6</v>
      </c>
      <c r="M318" s="553" t="str">
        <f>L97</f>
        <v>-</v>
      </c>
      <c r="N318" s="553">
        <f>M97</f>
        <v>0</v>
      </c>
      <c r="O318" s="553">
        <f>N97</f>
        <v>0</v>
      </c>
      <c r="Q318" s="1361"/>
      <c r="R318" s="553">
        <v>9</v>
      </c>
      <c r="S318" s="553">
        <f>Q97</f>
        <v>1000</v>
      </c>
      <c r="T318" s="553">
        <f>R97</f>
        <v>0.2</v>
      </c>
      <c r="U318" s="553" t="str">
        <f>S97</f>
        <v>-</v>
      </c>
      <c r="V318" s="553">
        <f>T97</f>
        <v>9.9999999999999995E-7</v>
      </c>
      <c r="W318" s="554">
        <f>U97</f>
        <v>9.9999500000000005E-2</v>
      </c>
      <c r="AE318" s="533"/>
    </row>
    <row r="319" spans="1:31" ht="13" hidden="1">
      <c r="A319" s="1361"/>
      <c r="B319" s="553">
        <v>10</v>
      </c>
      <c r="C319" s="553">
        <f>C108</f>
        <v>35</v>
      </c>
      <c r="D319" s="553">
        <f t="shared" ref="D319:F319" si="149">D108</f>
        <v>0.2</v>
      </c>
      <c r="E319" s="553">
        <f t="shared" si="149"/>
        <v>0.8</v>
      </c>
      <c r="F319" s="553">
        <f t="shared" si="149"/>
        <v>0</v>
      </c>
      <c r="G319" s="553">
        <f>G108</f>
        <v>0.30000000000000004</v>
      </c>
      <c r="I319" s="1361"/>
      <c r="J319" s="553">
        <v>10</v>
      </c>
      <c r="K319" s="553">
        <f>J108</f>
        <v>70</v>
      </c>
      <c r="L319" s="553">
        <f>K108</f>
        <v>-0.3</v>
      </c>
      <c r="M319" s="553">
        <f>L108</f>
        <v>-5.0999999999999996</v>
      </c>
      <c r="N319" s="553">
        <f>M108</f>
        <v>0</v>
      </c>
      <c r="O319" s="553">
        <f>N108</f>
        <v>2.4</v>
      </c>
      <c r="Q319" s="1361"/>
      <c r="R319" s="553">
        <v>10</v>
      </c>
      <c r="S319" s="553">
        <f>Q108</f>
        <v>1000</v>
      </c>
      <c r="T319" s="553" t="str">
        <f>R108</f>
        <v>-</v>
      </c>
      <c r="U319" s="553" t="str">
        <f>S108</f>
        <v>-</v>
      </c>
      <c r="V319" s="553">
        <f>T108</f>
        <v>9.9999999999999995E-7</v>
      </c>
      <c r="W319" s="554">
        <f>U108</f>
        <v>0</v>
      </c>
      <c r="AE319" s="533"/>
    </row>
    <row r="320" spans="1:31" ht="13" hidden="1">
      <c r="A320" s="1361"/>
      <c r="B320" s="553">
        <v>11</v>
      </c>
      <c r="C320" s="553">
        <f>C119</f>
        <v>35</v>
      </c>
      <c r="D320" s="553">
        <f t="shared" ref="D320:F320" si="150">D119</f>
        <v>0.5</v>
      </c>
      <c r="E320" s="553">
        <f t="shared" si="150"/>
        <v>0.4</v>
      </c>
      <c r="F320" s="553">
        <f t="shared" si="150"/>
        <v>0</v>
      </c>
      <c r="G320" s="553">
        <f>G119</f>
        <v>4.9999999999999989E-2</v>
      </c>
      <c r="I320" s="1361"/>
      <c r="J320" s="553">
        <v>11</v>
      </c>
      <c r="K320" s="553">
        <f>J119</f>
        <v>70</v>
      </c>
      <c r="L320" s="553">
        <f>K119</f>
        <v>-3.4</v>
      </c>
      <c r="M320" s="553">
        <f>L119</f>
        <v>-1.7</v>
      </c>
      <c r="N320" s="553">
        <f>M119</f>
        <v>0</v>
      </c>
      <c r="O320" s="553">
        <f>N119</f>
        <v>0.85</v>
      </c>
      <c r="Q320" s="1361"/>
      <c r="R320" s="553">
        <v>11</v>
      </c>
      <c r="S320" s="553">
        <f>Q119</f>
        <v>1000</v>
      </c>
      <c r="T320" s="553" t="str">
        <f>R119</f>
        <v>-</v>
      </c>
      <c r="U320" s="553" t="str">
        <f>S119</f>
        <v>-</v>
      </c>
      <c r="V320" s="553">
        <f>T119</f>
        <v>9.9999999999999995E-7</v>
      </c>
      <c r="W320" s="554">
        <f>U119</f>
        <v>0</v>
      </c>
      <c r="AE320" s="533"/>
    </row>
    <row r="321" spans="1:31" ht="13" hidden="1">
      <c r="A321" s="1361"/>
      <c r="B321" s="553">
        <v>12</v>
      </c>
      <c r="C321" s="553">
        <f>C130</f>
        <v>35</v>
      </c>
      <c r="D321" s="553">
        <f t="shared" ref="D321:F321" si="151">D130</f>
        <v>0.7</v>
      </c>
      <c r="E321" s="553">
        <f t="shared" si="151"/>
        <v>-0.2</v>
      </c>
      <c r="F321" s="553">
        <f t="shared" si="151"/>
        <v>0</v>
      </c>
      <c r="G321" s="553">
        <f>G130</f>
        <v>0.44999999999999996</v>
      </c>
      <c r="I321" s="1361"/>
      <c r="J321" s="553">
        <v>12</v>
      </c>
      <c r="K321" s="553">
        <f>J130</f>
        <v>70</v>
      </c>
      <c r="L321" s="553">
        <f>K130</f>
        <v>-2.8</v>
      </c>
      <c r="M321" s="553">
        <f>L130</f>
        <v>-0.1</v>
      </c>
      <c r="N321" s="553">
        <f>M130</f>
        <v>0</v>
      </c>
      <c r="O321" s="553">
        <f>N130</f>
        <v>1.3499999999999999</v>
      </c>
      <c r="Q321" s="1361"/>
      <c r="R321" s="553">
        <v>12</v>
      </c>
      <c r="S321" s="553">
        <f>Q130</f>
        <v>1000</v>
      </c>
      <c r="T321" s="553">
        <f>R130</f>
        <v>4.0999999999999996</v>
      </c>
      <c r="U321" s="553">
        <f>S130</f>
        <v>-0.8</v>
      </c>
      <c r="V321" s="553">
        <f>T130</f>
        <v>0</v>
      </c>
      <c r="W321" s="554">
        <f>U130</f>
        <v>2.4499999999999997</v>
      </c>
      <c r="AE321" s="533"/>
    </row>
    <row r="322" spans="1:31" ht="13" hidden="1">
      <c r="A322" s="1361"/>
      <c r="B322" s="553">
        <v>13</v>
      </c>
      <c r="C322" s="553">
        <f>C141</f>
        <v>35</v>
      </c>
      <c r="D322" s="553">
        <f t="shared" ref="D322:F322" si="152">D141</f>
        <v>0.5</v>
      </c>
      <c r="E322" s="553">
        <f t="shared" si="152"/>
        <v>-0.2</v>
      </c>
      <c r="F322" s="553">
        <f t="shared" si="152"/>
        <v>0.3</v>
      </c>
      <c r="G322" s="553">
        <f>G141</f>
        <v>0.35</v>
      </c>
      <c r="I322" s="1361"/>
      <c r="J322" s="553">
        <v>13</v>
      </c>
      <c r="K322" s="553">
        <f>J141</f>
        <v>70</v>
      </c>
      <c r="L322" s="553">
        <f>K141</f>
        <v>-2.2999999999999998</v>
      </c>
      <c r="M322" s="553">
        <f>L141</f>
        <v>-1.4</v>
      </c>
      <c r="N322" s="553">
        <f>M141</f>
        <v>-1.9</v>
      </c>
      <c r="O322" s="553">
        <f>N141</f>
        <v>0.44999999999999996</v>
      </c>
      <c r="Q322" s="1361"/>
      <c r="R322" s="553">
        <v>13</v>
      </c>
      <c r="S322" s="553">
        <f>Q141</f>
        <v>1005</v>
      </c>
      <c r="T322" s="553">
        <f>R141</f>
        <v>0</v>
      </c>
      <c r="U322" s="553">
        <f>S141</f>
        <v>3.6</v>
      </c>
      <c r="V322" s="553">
        <f>T141</f>
        <v>1.1000000000000001</v>
      </c>
      <c r="W322" s="554">
        <f>U141</f>
        <v>1.25</v>
      </c>
      <c r="AE322" s="533"/>
    </row>
    <row r="323" spans="1:31" ht="13" hidden="1">
      <c r="A323" s="1361"/>
      <c r="B323" s="553">
        <v>14</v>
      </c>
      <c r="C323" s="553">
        <f>C152</f>
        <v>35</v>
      </c>
      <c r="D323" s="553">
        <f t="shared" ref="D323:F323" si="153">D152</f>
        <v>0.3</v>
      </c>
      <c r="E323" s="553">
        <f t="shared" si="153"/>
        <v>-0.6</v>
      </c>
      <c r="F323" s="553">
        <f t="shared" si="153"/>
        <v>-0.6</v>
      </c>
      <c r="G323" s="553">
        <f>G152</f>
        <v>0.44999999999999996</v>
      </c>
      <c r="I323" s="1361"/>
      <c r="J323" s="553">
        <v>14</v>
      </c>
      <c r="K323" s="553">
        <f>J152</f>
        <v>70</v>
      </c>
      <c r="L323" s="553">
        <f>K152</f>
        <v>-0.6</v>
      </c>
      <c r="M323" s="553">
        <f>L152</f>
        <v>0.7</v>
      </c>
      <c r="N323" s="553">
        <f>M152</f>
        <v>-0.8</v>
      </c>
      <c r="O323" s="553">
        <f>N152</f>
        <v>0.75</v>
      </c>
      <c r="Q323" s="1361"/>
      <c r="R323" s="553">
        <v>14</v>
      </c>
      <c r="S323" s="553">
        <f>Q152</f>
        <v>1005</v>
      </c>
      <c r="T323" s="553">
        <f>R152</f>
        <v>0</v>
      </c>
      <c r="U323" s="553">
        <f>S152</f>
        <v>3.8</v>
      </c>
      <c r="V323" s="553">
        <f>T152</f>
        <v>1.1000000000000001</v>
      </c>
      <c r="W323" s="554">
        <f>U152</f>
        <v>1.3499999999999999</v>
      </c>
      <c r="AE323" s="533"/>
    </row>
    <row r="324" spans="1:31" ht="13" hidden="1">
      <c r="A324" s="1361"/>
      <c r="B324" s="553">
        <v>15</v>
      </c>
      <c r="C324" s="553">
        <f>C163</f>
        <v>35</v>
      </c>
      <c r="D324" s="553">
        <f t="shared" ref="D324:F324" si="154">D163</f>
        <v>0.5</v>
      </c>
      <c r="E324" s="553">
        <f t="shared" si="154"/>
        <v>0.8</v>
      </c>
      <c r="F324" s="553">
        <f t="shared" si="154"/>
        <v>-0.1</v>
      </c>
      <c r="G324" s="553">
        <f>G163</f>
        <v>0.45</v>
      </c>
      <c r="I324" s="1361"/>
      <c r="J324" s="553">
        <v>15</v>
      </c>
      <c r="K324" s="553">
        <f>J163</f>
        <v>70</v>
      </c>
      <c r="L324" s="553">
        <f>K163</f>
        <v>-1.6</v>
      </c>
      <c r="M324" s="553">
        <f>L163</f>
        <v>-0.7</v>
      </c>
      <c r="N324" s="553">
        <f>M163</f>
        <v>-0.8</v>
      </c>
      <c r="O324" s="553">
        <f>N163</f>
        <v>0.45000000000000007</v>
      </c>
      <c r="Q324" s="1361"/>
      <c r="R324" s="553">
        <v>15</v>
      </c>
      <c r="S324" s="553">
        <f>Q163</f>
        <v>1005</v>
      </c>
      <c r="T324" s="553">
        <f>R163</f>
        <v>0</v>
      </c>
      <c r="U324" s="553">
        <f>S163</f>
        <v>4</v>
      </c>
      <c r="V324" s="553">
        <f>T163</f>
        <v>1.1000000000000001</v>
      </c>
      <c r="W324" s="554">
        <f>U163</f>
        <v>1.45</v>
      </c>
      <c r="AE324" s="533"/>
    </row>
    <row r="325" spans="1:31" ht="13" hidden="1">
      <c r="A325" s="1361"/>
      <c r="B325" s="553">
        <v>16</v>
      </c>
      <c r="C325" s="553">
        <f>C174</f>
        <v>35</v>
      </c>
      <c r="D325" s="553">
        <f t="shared" ref="D325:F325" si="155">D174</f>
        <v>0.6</v>
      </c>
      <c r="E325" s="553">
        <f t="shared" si="155"/>
        <v>0.1</v>
      </c>
      <c r="F325" s="553">
        <f t="shared" si="155"/>
        <v>0</v>
      </c>
      <c r="G325" s="553">
        <f>G174</f>
        <v>0.25</v>
      </c>
      <c r="I325" s="1361"/>
      <c r="J325" s="553">
        <v>16</v>
      </c>
      <c r="K325" s="553">
        <f>J174</f>
        <v>70</v>
      </c>
      <c r="L325" s="553">
        <f>K174</f>
        <v>-2.1</v>
      </c>
      <c r="M325" s="553">
        <f>L174</f>
        <v>-1.8</v>
      </c>
      <c r="N325" s="553">
        <f>M174</f>
        <v>0</v>
      </c>
      <c r="O325" s="553">
        <f>N174</f>
        <v>0.15000000000000002</v>
      </c>
      <c r="Q325" s="1361"/>
      <c r="R325" s="553">
        <v>16</v>
      </c>
      <c r="S325" s="553">
        <f>Q174</f>
        <v>1000</v>
      </c>
      <c r="T325" s="553">
        <f>R174</f>
        <v>4.3</v>
      </c>
      <c r="U325" s="553">
        <f>S174</f>
        <v>-0.4</v>
      </c>
      <c r="V325" s="553">
        <f>T174</f>
        <v>0</v>
      </c>
      <c r="W325" s="554">
        <f>U174</f>
        <v>2.35</v>
      </c>
      <c r="AE325" s="533"/>
    </row>
    <row r="326" spans="1:31" ht="13" hidden="1">
      <c r="A326" s="1361"/>
      <c r="B326" s="553">
        <v>17</v>
      </c>
      <c r="C326" s="553">
        <f>C185</f>
        <v>35</v>
      </c>
      <c r="D326" s="553">
        <f>D185</f>
        <v>0.7</v>
      </c>
      <c r="E326" s="553">
        <f>E185</f>
        <v>-0.5</v>
      </c>
      <c r="F326" s="553">
        <f t="shared" ref="F326" si="156">F185</f>
        <v>0</v>
      </c>
      <c r="G326" s="553">
        <f>G185</f>
        <v>0.6</v>
      </c>
      <c r="I326" s="1361"/>
      <c r="J326" s="553">
        <v>17</v>
      </c>
      <c r="K326" s="553">
        <f>J185</f>
        <v>70</v>
      </c>
      <c r="L326" s="553">
        <f>K185</f>
        <v>-1.8</v>
      </c>
      <c r="M326" s="553">
        <f>L185</f>
        <v>-0.3</v>
      </c>
      <c r="N326" s="553">
        <f>M185</f>
        <v>0</v>
      </c>
      <c r="O326" s="553">
        <f>N185</f>
        <v>0.75</v>
      </c>
      <c r="Q326" s="1361"/>
      <c r="R326" s="553">
        <v>17</v>
      </c>
      <c r="S326" s="553">
        <f>Q185</f>
        <v>1000</v>
      </c>
      <c r="T326" s="553">
        <f>R185</f>
        <v>4.4000000000000004</v>
      </c>
      <c r="U326" s="553">
        <f>S185</f>
        <v>-0.6</v>
      </c>
      <c r="V326" s="553">
        <f>T185</f>
        <v>0</v>
      </c>
      <c r="W326" s="554">
        <f>U185</f>
        <v>2.5</v>
      </c>
      <c r="AE326" s="533"/>
    </row>
    <row r="327" spans="1:31" ht="13" hidden="1">
      <c r="A327" s="1361"/>
      <c r="B327" s="553">
        <v>18</v>
      </c>
      <c r="C327" s="553">
        <f>C196</f>
        <v>35</v>
      </c>
      <c r="D327" s="553">
        <f t="shared" ref="D327:F327" si="157">D196</f>
        <v>0.4</v>
      </c>
      <c r="E327" s="553">
        <f t="shared" si="157"/>
        <v>-0.3</v>
      </c>
      <c r="F327" s="553">
        <f t="shared" si="157"/>
        <v>0</v>
      </c>
      <c r="G327" s="553">
        <f>G196</f>
        <v>0.35</v>
      </c>
      <c r="I327" s="1361"/>
      <c r="J327" s="553">
        <v>18</v>
      </c>
      <c r="K327" s="553">
        <f>J196</f>
        <v>70</v>
      </c>
      <c r="L327" s="553">
        <f>K196</f>
        <v>-2.2000000000000002</v>
      </c>
      <c r="M327" s="553">
        <f>L196</f>
        <v>-0.3</v>
      </c>
      <c r="N327" s="553">
        <f>M196</f>
        <v>0</v>
      </c>
      <c r="O327" s="553">
        <f>N196</f>
        <v>0.95000000000000007</v>
      </c>
      <c r="Q327" s="1361"/>
      <c r="R327" s="553">
        <v>18</v>
      </c>
      <c r="S327" s="553">
        <f>Q196</f>
        <v>1000</v>
      </c>
      <c r="T327" s="553">
        <f>R196</f>
        <v>4.3</v>
      </c>
      <c r="U327" s="553">
        <f>S196</f>
        <v>-0.8</v>
      </c>
      <c r="V327" s="553">
        <f>T196</f>
        <v>0</v>
      </c>
      <c r="W327" s="554">
        <f>U196</f>
        <v>2.5499999999999998</v>
      </c>
      <c r="AE327" s="533"/>
    </row>
    <row r="328" spans="1:31" ht="13" hidden="1">
      <c r="A328" s="1361"/>
      <c r="B328" s="553">
        <v>19</v>
      </c>
      <c r="C328" s="553">
        <f>C207</f>
        <v>35</v>
      </c>
      <c r="D328" s="553">
        <f t="shared" ref="D328:F328" si="158">D207</f>
        <v>0.5</v>
      </c>
      <c r="E328" s="553">
        <f t="shared" si="158"/>
        <v>-0.1</v>
      </c>
      <c r="F328" s="553">
        <f t="shared" si="158"/>
        <v>0</v>
      </c>
      <c r="G328" s="553">
        <f>G207</f>
        <v>0.3</v>
      </c>
      <c r="I328" s="1361"/>
      <c r="J328" s="553">
        <v>19</v>
      </c>
      <c r="K328" s="553">
        <f>J207</f>
        <v>70</v>
      </c>
      <c r="L328" s="553">
        <f>K207</f>
        <v>-2.6</v>
      </c>
      <c r="M328" s="553">
        <f>L207</f>
        <v>-0.7</v>
      </c>
      <c r="N328" s="553">
        <f>M207</f>
        <v>0</v>
      </c>
      <c r="O328" s="553">
        <f>N207</f>
        <v>0.95000000000000007</v>
      </c>
      <c r="Q328" s="1361"/>
      <c r="R328" s="553">
        <v>19</v>
      </c>
      <c r="S328" s="553">
        <f>Q207</f>
        <v>950</v>
      </c>
      <c r="T328" s="553">
        <f>R207</f>
        <v>4.4000000000000004</v>
      </c>
      <c r="U328" s="553">
        <f>S207</f>
        <v>2.4</v>
      </c>
      <c r="V328" s="553">
        <f>T207</f>
        <v>0</v>
      </c>
      <c r="W328" s="554">
        <f>U207</f>
        <v>1.0000000000000002</v>
      </c>
      <c r="AE328" s="533"/>
    </row>
    <row r="329" spans="1:31" ht="13.5" hidden="1" thickBot="1">
      <c r="A329" s="1361"/>
      <c r="B329" s="553">
        <v>20</v>
      </c>
      <c r="C329" s="553">
        <f>C218</f>
        <v>34.5</v>
      </c>
      <c r="D329" s="553">
        <f t="shared" ref="D329:F329" si="159">D218</f>
        <v>9.9999999999999995E-7</v>
      </c>
      <c r="E329" s="553" t="str">
        <f t="shared" si="159"/>
        <v>-</v>
      </c>
      <c r="F329" s="553">
        <f t="shared" si="159"/>
        <v>9.9999999999999995E-7</v>
      </c>
      <c r="G329" s="553">
        <f>G218</f>
        <v>0</v>
      </c>
      <c r="I329" s="1361"/>
      <c r="J329" s="553">
        <v>20</v>
      </c>
      <c r="K329" s="553">
        <f>J218</f>
        <v>80.8</v>
      </c>
      <c r="L329" s="553">
        <f>K218</f>
        <v>9.9999999999999995E-7</v>
      </c>
      <c r="M329" s="553" t="str">
        <f>L218</f>
        <v>-</v>
      </c>
      <c r="N329" s="553">
        <f>M218</f>
        <v>0</v>
      </c>
      <c r="O329" s="553">
        <f>N218</f>
        <v>0</v>
      </c>
      <c r="Q329" s="1363"/>
      <c r="R329" s="562">
        <v>20</v>
      </c>
      <c r="S329" s="562">
        <f>Q218</f>
        <v>1000</v>
      </c>
      <c r="T329" s="562">
        <f>R218</f>
        <v>9.9999999999999995E-7</v>
      </c>
      <c r="U329" s="562" t="str">
        <f>S218</f>
        <v>-</v>
      </c>
      <c r="V329" s="562">
        <f>T218</f>
        <v>9.9999999999999995E-7</v>
      </c>
      <c r="W329" s="577">
        <f>U218</f>
        <v>0</v>
      </c>
      <c r="AE329" s="566"/>
    </row>
    <row r="330" spans="1:31" ht="13" hidden="1">
      <c r="A330" s="567"/>
      <c r="B330" s="567"/>
      <c r="C330" s="567"/>
      <c r="D330" s="567"/>
      <c r="E330" s="567"/>
      <c r="F330" s="547"/>
      <c r="G330" s="567"/>
      <c r="I330" s="567"/>
      <c r="J330" s="567"/>
      <c r="K330" s="567"/>
      <c r="L330" s="567"/>
      <c r="M330" s="567"/>
      <c r="N330" s="547"/>
      <c r="O330" s="567"/>
      <c r="Q330" s="578"/>
      <c r="R330" s="568"/>
      <c r="S330" s="343"/>
      <c r="T330" s="343"/>
      <c r="U330" s="343"/>
      <c r="W330" s="344"/>
      <c r="AE330" s="533"/>
    </row>
    <row r="331" spans="1:31" ht="13" hidden="1">
      <c r="A331" s="1361">
        <v>6</v>
      </c>
      <c r="B331" s="553">
        <v>1</v>
      </c>
      <c r="C331" s="553">
        <f>C10</f>
        <v>37</v>
      </c>
      <c r="D331" s="553">
        <f t="shared" ref="D331:F331" si="160">D10</f>
        <v>0.1</v>
      </c>
      <c r="E331" s="553">
        <f t="shared" si="160"/>
        <v>-0.3</v>
      </c>
      <c r="F331" s="553">
        <f t="shared" si="160"/>
        <v>-0.2</v>
      </c>
      <c r="G331" s="553">
        <f>G10</f>
        <v>0.2</v>
      </c>
      <c r="I331" s="1361">
        <v>6</v>
      </c>
      <c r="J331" s="553">
        <v>1</v>
      </c>
      <c r="K331" s="553">
        <f>J10</f>
        <v>80</v>
      </c>
      <c r="L331" s="553">
        <f>K10</f>
        <v>-0.7</v>
      </c>
      <c r="M331" s="553">
        <f>L10</f>
        <v>-3.7</v>
      </c>
      <c r="N331" s="553">
        <f>M10</f>
        <v>-1.6</v>
      </c>
      <c r="O331" s="553">
        <f>N10</f>
        <v>1.5</v>
      </c>
      <c r="Q331" s="1362">
        <v>6</v>
      </c>
      <c r="R331" s="572">
        <v>1</v>
      </c>
      <c r="S331" s="572">
        <f>Q10</f>
        <v>1005</v>
      </c>
      <c r="T331" s="572" t="str">
        <f>R10</f>
        <v>-</v>
      </c>
      <c r="U331" s="572" t="str">
        <f>S10</f>
        <v>-</v>
      </c>
      <c r="V331" s="572">
        <f>T10</f>
        <v>9.9999999999999995E-7</v>
      </c>
      <c r="W331" s="579">
        <f>U10</f>
        <v>0</v>
      </c>
      <c r="AE331" s="575"/>
    </row>
    <row r="332" spans="1:31" ht="13" hidden="1">
      <c r="A332" s="1361"/>
      <c r="B332" s="553">
        <v>2</v>
      </c>
      <c r="C332" s="553">
        <f>C21</f>
        <v>37</v>
      </c>
      <c r="D332" s="553">
        <f t="shared" ref="D332:F332" si="161">D21</f>
        <v>0.6</v>
      </c>
      <c r="E332" s="553">
        <f t="shared" si="161"/>
        <v>-0.2</v>
      </c>
      <c r="F332" s="553">
        <f t="shared" si="161"/>
        <v>-0.3</v>
      </c>
      <c r="G332" s="553">
        <f>G21</f>
        <v>0.44999999999999996</v>
      </c>
      <c r="I332" s="1361"/>
      <c r="J332" s="553">
        <v>2</v>
      </c>
      <c r="K332" s="553">
        <f>J21</f>
        <v>80</v>
      </c>
      <c r="L332" s="553">
        <f>K21</f>
        <v>-1.1000000000000001</v>
      </c>
      <c r="M332" s="553">
        <f>L21</f>
        <v>-0.5</v>
      </c>
      <c r="N332" s="553">
        <f>M21</f>
        <v>-0.7</v>
      </c>
      <c r="O332" s="553">
        <f>N21</f>
        <v>0.30000000000000004</v>
      </c>
      <c r="Q332" s="1361"/>
      <c r="R332" s="553">
        <v>2</v>
      </c>
      <c r="S332" s="553">
        <f>Q21</f>
        <v>1005</v>
      </c>
      <c r="T332" s="553" t="str">
        <f>R21</f>
        <v>-</v>
      </c>
      <c r="U332" s="553" t="str">
        <f>S21</f>
        <v>-</v>
      </c>
      <c r="V332" s="553" t="str">
        <f>T21</f>
        <v>-</v>
      </c>
      <c r="W332" s="554">
        <f>U21</f>
        <v>0</v>
      </c>
      <c r="AE332" s="533"/>
    </row>
    <row r="333" spans="1:31" ht="13" hidden="1">
      <c r="A333" s="1361"/>
      <c r="B333" s="553">
        <v>3</v>
      </c>
      <c r="C333" s="553">
        <f>C32</f>
        <v>37</v>
      </c>
      <c r="D333" s="553">
        <f t="shared" ref="D333:F333" si="162">D32</f>
        <v>0.3</v>
      </c>
      <c r="E333" s="553">
        <f t="shared" si="162"/>
        <v>-0.2</v>
      </c>
      <c r="F333" s="553">
        <f t="shared" si="162"/>
        <v>-0.6</v>
      </c>
      <c r="G333" s="553">
        <f>G32</f>
        <v>0.44999999999999996</v>
      </c>
      <c r="I333" s="1361"/>
      <c r="J333" s="553">
        <v>3</v>
      </c>
      <c r="K333" s="553">
        <f>J32</f>
        <v>80</v>
      </c>
      <c r="L333" s="553">
        <f>K32</f>
        <v>-2.7</v>
      </c>
      <c r="M333" s="553">
        <f>L32</f>
        <v>-0.8</v>
      </c>
      <c r="N333" s="553">
        <f>M32</f>
        <v>-2.9</v>
      </c>
      <c r="O333" s="553">
        <f>N32</f>
        <v>1.0499999999999998</v>
      </c>
      <c r="Q333" s="1361"/>
      <c r="R333" s="553">
        <v>3</v>
      </c>
      <c r="S333" s="553">
        <f>Q32</f>
        <v>1005</v>
      </c>
      <c r="T333" s="553" t="str">
        <f>R32</f>
        <v>-</v>
      </c>
      <c r="U333" s="553" t="str">
        <f>S32</f>
        <v>-</v>
      </c>
      <c r="V333" s="553" t="str">
        <f>T32</f>
        <v>-</v>
      </c>
      <c r="W333" s="554">
        <f>U32</f>
        <v>0</v>
      </c>
      <c r="AE333" s="533"/>
    </row>
    <row r="334" spans="1:31" ht="13" hidden="1">
      <c r="A334" s="1361"/>
      <c r="B334" s="553">
        <v>4</v>
      </c>
      <c r="C334" s="553">
        <f>C43</f>
        <v>37</v>
      </c>
      <c r="D334" s="553">
        <f t="shared" ref="D334:F334" si="163">D43</f>
        <v>-0.4</v>
      </c>
      <c r="E334" s="553">
        <f t="shared" si="163"/>
        <v>-0.6</v>
      </c>
      <c r="F334" s="553">
        <f t="shared" si="163"/>
        <v>0</v>
      </c>
      <c r="G334" s="553">
        <f>G43</f>
        <v>9.9999999999999978E-2</v>
      </c>
      <c r="I334" s="1361"/>
      <c r="J334" s="553">
        <v>4</v>
      </c>
      <c r="K334" s="553">
        <f>J43</f>
        <v>80</v>
      </c>
      <c r="L334" s="553">
        <f>K43</f>
        <v>-3.8</v>
      </c>
      <c r="M334" s="553">
        <f>L43</f>
        <v>1.9</v>
      </c>
      <c r="N334" s="553">
        <f>M43</f>
        <v>0</v>
      </c>
      <c r="O334" s="553">
        <f>N43</f>
        <v>2.8499999999999996</v>
      </c>
      <c r="Q334" s="1361"/>
      <c r="R334" s="553">
        <v>4</v>
      </c>
      <c r="S334" s="553">
        <f>Q43</f>
        <v>1005</v>
      </c>
      <c r="T334" s="553" t="str">
        <f>R43</f>
        <v>-</v>
      </c>
      <c r="U334" s="553" t="str">
        <f>S43</f>
        <v>-</v>
      </c>
      <c r="V334" s="553">
        <f>T43</f>
        <v>9.9999999999999995E-7</v>
      </c>
      <c r="W334" s="554">
        <f>U43</f>
        <v>0</v>
      </c>
      <c r="AE334" s="533"/>
    </row>
    <row r="335" spans="1:31" ht="13" hidden="1">
      <c r="A335" s="1361"/>
      <c r="B335" s="553">
        <v>5</v>
      </c>
      <c r="C335" s="553">
        <f>C54</f>
        <v>37</v>
      </c>
      <c r="D335" s="553">
        <f t="shared" ref="D335:F335" si="164">D54</f>
        <v>0.3</v>
      </c>
      <c r="E335" s="553">
        <f t="shared" si="164"/>
        <v>0.1</v>
      </c>
      <c r="F335" s="553">
        <f t="shared" si="164"/>
        <v>0.7</v>
      </c>
      <c r="G335" s="553">
        <f>G54</f>
        <v>0.3</v>
      </c>
      <c r="I335" s="1361"/>
      <c r="J335" s="553">
        <v>5</v>
      </c>
      <c r="K335" s="553">
        <f>J54</f>
        <v>80</v>
      </c>
      <c r="L335" s="553">
        <f>K54</f>
        <v>-6.3</v>
      </c>
      <c r="M335" s="553">
        <f>L54</f>
        <v>-3.8</v>
      </c>
      <c r="N335" s="553">
        <f>M54</f>
        <v>-3</v>
      </c>
      <c r="O335" s="553">
        <f>N54</f>
        <v>1.65</v>
      </c>
      <c r="Q335" s="1361"/>
      <c r="R335" s="553">
        <v>5</v>
      </c>
      <c r="S335" s="553">
        <f>Q54</f>
        <v>1005</v>
      </c>
      <c r="T335" s="553" t="str">
        <f>R54</f>
        <v>-</v>
      </c>
      <c r="U335" s="553" t="str">
        <f>S54</f>
        <v>-</v>
      </c>
      <c r="V335" s="553" t="str">
        <f>T54</f>
        <v>-</v>
      </c>
      <c r="W335" s="554">
        <f>U54</f>
        <v>0</v>
      </c>
      <c r="AE335" s="533"/>
    </row>
    <row r="336" spans="1:31" ht="13" hidden="1">
      <c r="A336" s="1361"/>
      <c r="B336" s="553">
        <v>6</v>
      </c>
      <c r="C336" s="553">
        <f>C65</f>
        <v>37</v>
      </c>
      <c r="D336" s="553">
        <f t="shared" ref="D336:F336" si="165">D65</f>
        <v>0.1</v>
      </c>
      <c r="E336" s="553">
        <f t="shared" si="165"/>
        <v>-1.1000000000000001</v>
      </c>
      <c r="F336" s="553">
        <f t="shared" si="165"/>
        <v>0</v>
      </c>
      <c r="G336" s="553">
        <f>G65</f>
        <v>0.60000000000000009</v>
      </c>
      <c r="I336" s="1361"/>
      <c r="J336" s="553">
        <v>6</v>
      </c>
      <c r="K336" s="553">
        <f>J65</f>
        <v>80</v>
      </c>
      <c r="L336" s="553">
        <f>K65</f>
        <v>-6.3</v>
      </c>
      <c r="M336" s="553">
        <f>L65</f>
        <v>0.8</v>
      </c>
      <c r="N336" s="553">
        <f>M65</f>
        <v>0</v>
      </c>
      <c r="O336" s="553">
        <f>N65</f>
        <v>3.55</v>
      </c>
      <c r="Q336" s="1361"/>
      <c r="R336" s="553">
        <v>6</v>
      </c>
      <c r="S336" s="553">
        <f>Q65</f>
        <v>1005</v>
      </c>
      <c r="T336" s="553">
        <f>R65</f>
        <v>0.9</v>
      </c>
      <c r="U336" s="553">
        <f>S65</f>
        <v>-0.3</v>
      </c>
      <c r="V336" s="553">
        <f>T65</f>
        <v>9.9999999999999995E-7</v>
      </c>
      <c r="W336" s="554">
        <f>U65</f>
        <v>0.6</v>
      </c>
      <c r="AE336" s="533"/>
    </row>
    <row r="337" spans="1:31" ht="13" hidden="1">
      <c r="A337" s="1361"/>
      <c r="B337" s="553">
        <v>7</v>
      </c>
      <c r="C337" s="553">
        <f>C76</f>
        <v>37</v>
      </c>
      <c r="D337" s="553">
        <f t="shared" ref="D337:F337" si="166">D76</f>
        <v>9.9999999999999995E-7</v>
      </c>
      <c r="E337" s="553">
        <f t="shared" si="166"/>
        <v>-1.4</v>
      </c>
      <c r="F337" s="553">
        <f t="shared" si="166"/>
        <v>0</v>
      </c>
      <c r="G337" s="553">
        <f>G76</f>
        <v>0.70000049999999991</v>
      </c>
      <c r="I337" s="1361"/>
      <c r="J337" s="553">
        <v>7</v>
      </c>
      <c r="K337" s="553">
        <f>J76</f>
        <v>80</v>
      </c>
      <c r="L337" s="553">
        <f>K76</f>
        <v>-2.6</v>
      </c>
      <c r="M337" s="553">
        <f>L76</f>
        <v>1.2</v>
      </c>
      <c r="N337" s="553">
        <f>M76</f>
        <v>0</v>
      </c>
      <c r="O337" s="553">
        <f>N76</f>
        <v>1.9</v>
      </c>
      <c r="Q337" s="1361"/>
      <c r="R337" s="553">
        <v>7</v>
      </c>
      <c r="S337" s="553">
        <f>Q76</f>
        <v>1005</v>
      </c>
      <c r="T337" s="553">
        <f>R76</f>
        <v>-3.8</v>
      </c>
      <c r="U337" s="553">
        <f>S76</f>
        <v>-0.5</v>
      </c>
      <c r="V337" s="553">
        <f>T76</f>
        <v>9.9999999999999995E-7</v>
      </c>
      <c r="W337" s="554">
        <f>U76</f>
        <v>1.9000005</v>
      </c>
      <c r="AE337" s="533"/>
    </row>
    <row r="338" spans="1:31" ht="13" hidden="1">
      <c r="A338" s="1361"/>
      <c r="B338" s="553">
        <v>8</v>
      </c>
      <c r="C338" s="553">
        <f>C87</f>
        <v>37</v>
      </c>
      <c r="D338" s="553">
        <f t="shared" ref="D338:F338" si="167">D87</f>
        <v>-0.1</v>
      </c>
      <c r="E338" s="553">
        <f t="shared" si="167"/>
        <v>-0.1</v>
      </c>
      <c r="F338" s="553">
        <f t="shared" si="167"/>
        <v>-0.5</v>
      </c>
      <c r="G338" s="553">
        <f>G87</f>
        <v>0.2</v>
      </c>
      <c r="I338" s="1361"/>
      <c r="J338" s="553">
        <v>8</v>
      </c>
      <c r="K338" s="553">
        <f>J87</f>
        <v>80</v>
      </c>
      <c r="L338" s="553">
        <f>K87</f>
        <v>-7.6</v>
      </c>
      <c r="M338" s="553">
        <f>L87</f>
        <v>-4.5</v>
      </c>
      <c r="N338" s="553">
        <f>M87</f>
        <v>-1.2</v>
      </c>
      <c r="O338" s="553">
        <f>N87</f>
        <v>3.1999999999999997</v>
      </c>
      <c r="Q338" s="1361"/>
      <c r="R338" s="553">
        <v>8</v>
      </c>
      <c r="S338" s="553">
        <f>Q87</f>
        <v>1010</v>
      </c>
      <c r="T338" s="553">
        <f>R87</f>
        <v>0.6</v>
      </c>
      <c r="U338" s="553">
        <f>S87</f>
        <v>-3.4</v>
      </c>
      <c r="V338" s="553">
        <f>T87</f>
        <v>0.2</v>
      </c>
      <c r="W338" s="554">
        <f>U87</f>
        <v>2</v>
      </c>
      <c r="AE338" s="533"/>
    </row>
    <row r="339" spans="1:31" ht="13" hidden="1">
      <c r="A339" s="1361"/>
      <c r="B339" s="553">
        <v>9</v>
      </c>
      <c r="C339" s="553">
        <f>C98</f>
        <v>37</v>
      </c>
      <c r="D339" s="553">
        <f t="shared" ref="D339:F339" si="168">D98</f>
        <v>-0.5</v>
      </c>
      <c r="E339" s="553" t="str">
        <f t="shared" si="168"/>
        <v>-</v>
      </c>
      <c r="F339" s="553">
        <f t="shared" si="168"/>
        <v>0</v>
      </c>
      <c r="G339" s="553">
        <f>G98</f>
        <v>0</v>
      </c>
      <c r="I339" s="1361"/>
      <c r="J339" s="553">
        <v>9</v>
      </c>
      <c r="K339" s="553">
        <f>J98</f>
        <v>80</v>
      </c>
      <c r="L339" s="553">
        <f>K98</f>
        <v>-0.5</v>
      </c>
      <c r="M339" s="553" t="str">
        <f>L98</f>
        <v>-</v>
      </c>
      <c r="N339" s="553">
        <f>M98</f>
        <v>0</v>
      </c>
      <c r="O339" s="553">
        <f>N98</f>
        <v>0</v>
      </c>
      <c r="Q339" s="1361"/>
      <c r="R339" s="553">
        <v>9</v>
      </c>
      <c r="S339" s="553">
        <f>Q98</f>
        <v>1005</v>
      </c>
      <c r="T339" s="553">
        <f>R98</f>
        <v>0.2</v>
      </c>
      <c r="U339" s="553" t="str">
        <f>S98</f>
        <v>-</v>
      </c>
      <c r="V339" s="553">
        <f>T98</f>
        <v>9.9999999999999995E-7</v>
      </c>
      <c r="W339" s="554">
        <f>U98</f>
        <v>9.9999500000000005E-2</v>
      </c>
      <c r="AE339" s="533"/>
    </row>
    <row r="340" spans="1:31" ht="13" hidden="1">
      <c r="A340" s="1361"/>
      <c r="B340" s="553">
        <v>10</v>
      </c>
      <c r="C340" s="553">
        <f>C109</f>
        <v>37</v>
      </c>
      <c r="D340" s="553">
        <f t="shared" ref="D340:F340" si="169">D109</f>
        <v>0.2</v>
      </c>
      <c r="E340" s="553">
        <f t="shared" si="169"/>
        <v>0.4</v>
      </c>
      <c r="F340" s="553">
        <f t="shared" si="169"/>
        <v>0</v>
      </c>
      <c r="G340" s="553">
        <f>G109</f>
        <v>0.1</v>
      </c>
      <c r="I340" s="1361"/>
      <c r="J340" s="553">
        <v>10</v>
      </c>
      <c r="K340" s="553">
        <f>J109</f>
        <v>80</v>
      </c>
      <c r="L340" s="553">
        <f>K109</f>
        <v>2.2000000000000002</v>
      </c>
      <c r="M340" s="553">
        <f>L109</f>
        <v>-4.7</v>
      </c>
      <c r="N340" s="553">
        <f>M109</f>
        <v>0</v>
      </c>
      <c r="O340" s="553">
        <f>N109</f>
        <v>3.45</v>
      </c>
      <c r="Q340" s="1361"/>
      <c r="R340" s="553">
        <v>10</v>
      </c>
      <c r="S340" s="553">
        <f>Q109</f>
        <v>1005</v>
      </c>
      <c r="T340" s="553" t="str">
        <f>R109</f>
        <v>-</v>
      </c>
      <c r="U340" s="553" t="str">
        <f>S109</f>
        <v>-</v>
      </c>
      <c r="V340" s="553">
        <f>T109</f>
        <v>9.9999999999999995E-7</v>
      </c>
      <c r="W340" s="554">
        <f>U109</f>
        <v>0</v>
      </c>
      <c r="AE340" s="533"/>
    </row>
    <row r="341" spans="1:31" ht="13" hidden="1">
      <c r="A341" s="1361"/>
      <c r="B341" s="553">
        <v>11</v>
      </c>
      <c r="C341" s="553">
        <f>C120</f>
        <v>37</v>
      </c>
      <c r="D341" s="553">
        <f t="shared" ref="D341:F341" si="170">D120</f>
        <v>0.5</v>
      </c>
      <c r="E341" s="553">
        <f t="shared" si="170"/>
        <v>0.5</v>
      </c>
      <c r="F341" s="553">
        <f t="shared" si="170"/>
        <v>0</v>
      </c>
      <c r="G341" s="553">
        <f>G120</f>
        <v>0</v>
      </c>
      <c r="I341" s="1361"/>
      <c r="J341" s="553">
        <v>11</v>
      </c>
      <c r="K341" s="553">
        <f>J120</f>
        <v>80</v>
      </c>
      <c r="L341" s="553">
        <f>K120</f>
        <v>-1.4</v>
      </c>
      <c r="M341" s="553">
        <f>L120</f>
        <v>2.6</v>
      </c>
      <c r="N341" s="553">
        <f>M120</f>
        <v>0</v>
      </c>
      <c r="O341" s="553">
        <f>N120</f>
        <v>2</v>
      </c>
      <c r="Q341" s="1361"/>
      <c r="R341" s="553">
        <v>11</v>
      </c>
      <c r="S341" s="553">
        <f>Q120</f>
        <v>1005</v>
      </c>
      <c r="T341" s="553" t="str">
        <f>R120</f>
        <v>-</v>
      </c>
      <c r="U341" s="553" t="str">
        <f>S120</f>
        <v>-</v>
      </c>
      <c r="V341" s="553">
        <f>T120</f>
        <v>9.9999999999999995E-7</v>
      </c>
      <c r="W341" s="554">
        <f>U120</f>
        <v>0</v>
      </c>
      <c r="AE341" s="533"/>
    </row>
    <row r="342" spans="1:31" ht="13" hidden="1">
      <c r="A342" s="1361"/>
      <c r="B342" s="553">
        <v>12</v>
      </c>
      <c r="C342" s="553">
        <f>C131</f>
        <v>37</v>
      </c>
      <c r="D342" s="553">
        <f t="shared" ref="D342:F342" si="171">D131</f>
        <v>0.7</v>
      </c>
      <c r="E342" s="553">
        <f t="shared" si="171"/>
        <v>-0.3</v>
      </c>
      <c r="F342" s="553">
        <f t="shared" si="171"/>
        <v>0</v>
      </c>
      <c r="G342" s="553">
        <f>G131</f>
        <v>0.5</v>
      </c>
      <c r="I342" s="1361"/>
      <c r="J342" s="553">
        <v>12</v>
      </c>
      <c r="K342" s="553">
        <f>J131</f>
        <v>80</v>
      </c>
      <c r="L342" s="553">
        <f>K131</f>
        <v>-2.4</v>
      </c>
      <c r="M342" s="553">
        <f>L131</f>
        <v>-0.5</v>
      </c>
      <c r="N342" s="553">
        <f>M131</f>
        <v>0</v>
      </c>
      <c r="O342" s="553">
        <f>N131</f>
        <v>0.95</v>
      </c>
      <c r="Q342" s="1361"/>
      <c r="R342" s="553">
        <v>12</v>
      </c>
      <c r="S342" s="553">
        <f>Q131</f>
        <v>1010</v>
      </c>
      <c r="T342" s="553">
        <f>R131</f>
        <v>4.0999999999999996</v>
      </c>
      <c r="U342" s="553">
        <f>S131</f>
        <v>-0.8</v>
      </c>
      <c r="V342" s="553">
        <f>T131</f>
        <v>0</v>
      </c>
      <c r="W342" s="554">
        <f>U131</f>
        <v>2.4499999999999997</v>
      </c>
      <c r="AE342" s="533"/>
    </row>
    <row r="343" spans="1:31" ht="13" hidden="1">
      <c r="A343" s="1361"/>
      <c r="B343" s="553">
        <v>13</v>
      </c>
      <c r="C343" s="553">
        <f>C142</f>
        <v>37</v>
      </c>
      <c r="D343" s="553">
        <f t="shared" ref="D343:F343" si="172">D142</f>
        <v>0.6</v>
      </c>
      <c r="E343" s="553">
        <f t="shared" si="172"/>
        <v>-0.2</v>
      </c>
      <c r="F343" s="553">
        <f t="shared" si="172"/>
        <v>0.4</v>
      </c>
      <c r="G343" s="553">
        <f>G142</f>
        <v>0.4</v>
      </c>
      <c r="I343" s="1361"/>
      <c r="J343" s="553">
        <v>13</v>
      </c>
      <c r="K343" s="553">
        <f>J142</f>
        <v>80</v>
      </c>
      <c r="L343" s="553">
        <f>K142</f>
        <v>-1.5</v>
      </c>
      <c r="M343" s="553">
        <f>L142</f>
        <v>-1.2</v>
      </c>
      <c r="N343" s="553">
        <f>M142</f>
        <v>-2.5</v>
      </c>
      <c r="O343" s="553">
        <f>N142</f>
        <v>0.65</v>
      </c>
      <c r="Q343" s="1361"/>
      <c r="R343" s="553">
        <v>13</v>
      </c>
      <c r="S343" s="553">
        <f>Q142</f>
        <v>1010</v>
      </c>
      <c r="T343" s="553">
        <f>R142</f>
        <v>4.3</v>
      </c>
      <c r="U343" s="553">
        <f>S142</f>
        <v>3.5</v>
      </c>
      <c r="V343" s="553">
        <f>T142</f>
        <v>1.1000000000000001</v>
      </c>
      <c r="W343" s="554">
        <f>U142</f>
        <v>1.5999999999999999</v>
      </c>
      <c r="AE343" s="533"/>
    </row>
    <row r="344" spans="1:31" ht="13" hidden="1">
      <c r="A344" s="1361"/>
      <c r="B344" s="553">
        <v>14</v>
      </c>
      <c r="C344" s="553">
        <f>C153</f>
        <v>37</v>
      </c>
      <c r="D344" s="553">
        <f t="shared" ref="D344:F344" si="173">D153</f>
        <v>0.4</v>
      </c>
      <c r="E344" s="553">
        <f t="shared" si="173"/>
        <v>-0.7</v>
      </c>
      <c r="F344" s="553">
        <f t="shared" si="173"/>
        <v>-0.8</v>
      </c>
      <c r="G344" s="553">
        <f>G153</f>
        <v>0.60000000000000009</v>
      </c>
      <c r="I344" s="1361"/>
      <c r="J344" s="553">
        <v>14</v>
      </c>
      <c r="K344" s="553">
        <f>J153</f>
        <v>80</v>
      </c>
      <c r="L344" s="553">
        <f>K153</f>
        <v>0.6</v>
      </c>
      <c r="M344" s="553">
        <f>L153</f>
        <v>1.1000000000000001</v>
      </c>
      <c r="N344" s="553">
        <f>M153</f>
        <v>-0.9</v>
      </c>
      <c r="O344" s="553">
        <f>N153</f>
        <v>1</v>
      </c>
      <c r="Q344" s="1361"/>
      <c r="R344" s="553">
        <v>14</v>
      </c>
      <c r="S344" s="553">
        <f>Q153</f>
        <v>1010</v>
      </c>
      <c r="T344" s="553">
        <f>R153</f>
        <v>4.4000000000000004</v>
      </c>
      <c r="U344" s="553">
        <f>S153</f>
        <v>3.7</v>
      </c>
      <c r="V344" s="553">
        <f>T153</f>
        <v>1.1000000000000001</v>
      </c>
      <c r="W344" s="554">
        <f>U153</f>
        <v>1.6500000000000001</v>
      </c>
      <c r="AE344" s="533"/>
    </row>
    <row r="345" spans="1:31" ht="13" hidden="1">
      <c r="A345" s="1361"/>
      <c r="B345" s="553">
        <v>15</v>
      </c>
      <c r="C345" s="553">
        <f>C164</f>
        <v>37</v>
      </c>
      <c r="D345" s="553">
        <f t="shared" ref="D345:F345" si="174">D164</f>
        <v>0.5</v>
      </c>
      <c r="E345" s="553">
        <f t="shared" si="174"/>
        <v>1</v>
      </c>
      <c r="F345" s="553">
        <f t="shared" si="174"/>
        <v>-0.1</v>
      </c>
      <c r="G345" s="553">
        <f>G164</f>
        <v>0.55000000000000004</v>
      </c>
      <c r="I345" s="1361"/>
      <c r="J345" s="553">
        <v>15</v>
      </c>
      <c r="K345" s="553">
        <f>J164</f>
        <v>80</v>
      </c>
      <c r="L345" s="553">
        <f>K164</f>
        <v>-0.7</v>
      </c>
      <c r="M345" s="553">
        <f>L164</f>
        <v>-0.4</v>
      </c>
      <c r="N345" s="553">
        <f>M164</f>
        <v>-1.3</v>
      </c>
      <c r="O345" s="553">
        <f>N164</f>
        <v>0.45</v>
      </c>
      <c r="Q345" s="1361"/>
      <c r="R345" s="553">
        <v>15</v>
      </c>
      <c r="S345" s="553">
        <f>Q164</f>
        <v>1010</v>
      </c>
      <c r="T345" s="553">
        <f>R164</f>
        <v>4.5999999999999996</v>
      </c>
      <c r="U345" s="553">
        <f>S164</f>
        <v>3.9</v>
      </c>
      <c r="V345" s="553">
        <f>T164</f>
        <v>1.1000000000000001</v>
      </c>
      <c r="W345" s="554">
        <f>U164</f>
        <v>1.7499999999999998</v>
      </c>
      <c r="AE345" s="533"/>
    </row>
    <row r="346" spans="1:31" ht="13" hidden="1">
      <c r="A346" s="1361"/>
      <c r="B346" s="553">
        <v>16</v>
      </c>
      <c r="C346" s="553">
        <f>C175</f>
        <v>37</v>
      </c>
      <c r="D346" s="553">
        <f t="shared" ref="D346:F346" si="175">D175</f>
        <v>0.6</v>
      </c>
      <c r="E346" s="553">
        <f t="shared" si="175"/>
        <v>9.9999999999999995E-7</v>
      </c>
      <c r="F346" s="553">
        <f t="shared" si="175"/>
        <v>0</v>
      </c>
      <c r="G346" s="553">
        <f>G175</f>
        <v>0.29999949999999997</v>
      </c>
      <c r="I346" s="1361"/>
      <c r="J346" s="553">
        <v>16</v>
      </c>
      <c r="K346" s="553">
        <f>J175</f>
        <v>80</v>
      </c>
      <c r="L346" s="553">
        <f>K175</f>
        <v>-2.5</v>
      </c>
      <c r="M346" s="553">
        <f>L175</f>
        <v>-2.2999999999999998</v>
      </c>
      <c r="N346" s="553">
        <f>M175</f>
        <v>0</v>
      </c>
      <c r="O346" s="553">
        <f>N175</f>
        <v>0.10000000000000009</v>
      </c>
      <c r="Q346" s="1361"/>
      <c r="R346" s="553">
        <v>16</v>
      </c>
      <c r="S346" s="553">
        <f>Q175</f>
        <v>1010</v>
      </c>
      <c r="T346" s="553">
        <f>R175</f>
        <v>4.3</v>
      </c>
      <c r="U346" s="553">
        <f>S175</f>
        <v>-0.4</v>
      </c>
      <c r="V346" s="553">
        <f>T175</f>
        <v>0</v>
      </c>
      <c r="W346" s="554">
        <f>U175</f>
        <v>2.35</v>
      </c>
      <c r="AE346" s="533"/>
    </row>
    <row r="347" spans="1:31" ht="13" hidden="1">
      <c r="A347" s="1361"/>
      <c r="B347" s="553">
        <v>17</v>
      </c>
      <c r="C347" s="553">
        <f>C186</f>
        <v>37</v>
      </c>
      <c r="D347" s="553">
        <f>D186</f>
        <v>0.7</v>
      </c>
      <c r="E347" s="553">
        <f>E186</f>
        <v>-0.6</v>
      </c>
      <c r="F347" s="553">
        <f t="shared" ref="F347" si="176">F186</f>
        <v>0</v>
      </c>
      <c r="G347" s="553">
        <f>G186</f>
        <v>0.64999999999999991</v>
      </c>
      <c r="I347" s="1361"/>
      <c r="J347" s="553">
        <v>17</v>
      </c>
      <c r="K347" s="553">
        <f>J186</f>
        <v>80</v>
      </c>
      <c r="L347" s="553">
        <f>K186</f>
        <v>-2.2000000000000002</v>
      </c>
      <c r="M347" s="553">
        <f>L186</f>
        <v>-0.8</v>
      </c>
      <c r="N347" s="553">
        <f>M186</f>
        <v>0</v>
      </c>
      <c r="O347" s="553">
        <f>N186</f>
        <v>0.70000000000000007</v>
      </c>
      <c r="Q347" s="1361"/>
      <c r="R347" s="553">
        <v>17</v>
      </c>
      <c r="S347" s="553">
        <f>Q186</f>
        <v>1010</v>
      </c>
      <c r="T347" s="553">
        <f>R186</f>
        <v>4.4000000000000004</v>
      </c>
      <c r="U347" s="553">
        <f>S186</f>
        <v>-0.6</v>
      </c>
      <c r="V347" s="553">
        <f>T186</f>
        <v>0</v>
      </c>
      <c r="W347" s="554">
        <f>U186</f>
        <v>2.5</v>
      </c>
      <c r="AE347" s="533"/>
    </row>
    <row r="348" spans="1:31" ht="13" hidden="1">
      <c r="A348" s="1361"/>
      <c r="B348" s="553">
        <v>18</v>
      </c>
      <c r="C348" s="553">
        <f>C197</f>
        <v>37</v>
      </c>
      <c r="D348" s="553">
        <f t="shared" ref="D348:F348" si="177">D197</f>
        <v>0.4</v>
      </c>
      <c r="E348" s="553">
        <f t="shared" si="177"/>
        <v>-0.3</v>
      </c>
      <c r="F348" s="553">
        <f t="shared" si="177"/>
        <v>0</v>
      </c>
      <c r="G348" s="553">
        <f>G197</f>
        <v>0.35</v>
      </c>
      <c r="I348" s="1361"/>
      <c r="J348" s="553">
        <v>18</v>
      </c>
      <c r="K348" s="553">
        <f>J197</f>
        <v>80</v>
      </c>
      <c r="L348" s="553">
        <f>K197</f>
        <v>-2.4</v>
      </c>
      <c r="M348" s="553">
        <f>L197</f>
        <v>-0.5</v>
      </c>
      <c r="N348" s="553">
        <f>M197</f>
        <v>0</v>
      </c>
      <c r="O348" s="553">
        <f>N197</f>
        <v>0.95</v>
      </c>
      <c r="Q348" s="1361"/>
      <c r="R348" s="553">
        <v>18</v>
      </c>
      <c r="S348" s="553">
        <f>Q197</f>
        <v>1010</v>
      </c>
      <c r="T348" s="553">
        <f>R197</f>
        <v>4.2</v>
      </c>
      <c r="U348" s="553">
        <f>S197</f>
        <v>-0.7</v>
      </c>
      <c r="V348" s="553">
        <f>T197</f>
        <v>0</v>
      </c>
      <c r="W348" s="554">
        <f>U197</f>
        <v>2.4500000000000002</v>
      </c>
      <c r="AE348" s="533"/>
    </row>
    <row r="349" spans="1:31" ht="13" hidden="1">
      <c r="A349" s="1361"/>
      <c r="B349" s="553">
        <v>19</v>
      </c>
      <c r="C349" s="553">
        <f>C208</f>
        <v>37</v>
      </c>
      <c r="D349" s="553">
        <f t="shared" ref="D349:F349" si="178">D208</f>
        <v>0.5</v>
      </c>
      <c r="E349" s="553">
        <f t="shared" si="178"/>
        <v>9.9999999999999995E-7</v>
      </c>
      <c r="F349" s="553">
        <f t="shared" si="178"/>
        <v>0</v>
      </c>
      <c r="G349" s="553">
        <f>G208</f>
        <v>0.24999950000000001</v>
      </c>
      <c r="I349" s="1361"/>
      <c r="J349" s="553">
        <v>19</v>
      </c>
      <c r="K349" s="553">
        <f>J208</f>
        <v>80</v>
      </c>
      <c r="L349" s="553">
        <f>K208</f>
        <v>-2.2000000000000002</v>
      </c>
      <c r="M349" s="553">
        <f>L208</f>
        <v>-0.9</v>
      </c>
      <c r="N349" s="553">
        <f>M208</f>
        <v>0</v>
      </c>
      <c r="O349" s="553">
        <f>N208</f>
        <v>0.65000000000000013</v>
      </c>
      <c r="Q349" s="1361"/>
      <c r="R349" s="553">
        <v>19</v>
      </c>
      <c r="S349" s="553">
        <f>Q208</f>
        <v>1000</v>
      </c>
      <c r="T349" s="553">
        <f>R208</f>
        <v>4.3</v>
      </c>
      <c r="U349" s="553">
        <f>S208</f>
        <v>2.2000000000000002</v>
      </c>
      <c r="V349" s="553">
        <f>T208</f>
        <v>0</v>
      </c>
      <c r="W349" s="554">
        <f>U208</f>
        <v>1.0499999999999998</v>
      </c>
      <c r="AE349" s="533"/>
    </row>
    <row r="350" spans="1:31" ht="13.5" hidden="1" thickBot="1">
      <c r="A350" s="1361"/>
      <c r="B350" s="553">
        <v>20</v>
      </c>
      <c r="C350" s="553">
        <f>C219</f>
        <v>39.5</v>
      </c>
      <c r="D350" s="553">
        <f t="shared" ref="D350:F350" si="179">D219</f>
        <v>9.9999999999999995E-7</v>
      </c>
      <c r="E350" s="553" t="str">
        <f t="shared" si="179"/>
        <v>-</v>
      </c>
      <c r="F350" s="553">
        <f t="shared" si="179"/>
        <v>9.9999999999999995E-7</v>
      </c>
      <c r="G350" s="553">
        <f>G219</f>
        <v>0</v>
      </c>
      <c r="I350" s="1361"/>
      <c r="J350" s="553">
        <v>20</v>
      </c>
      <c r="K350" s="553">
        <f>J219</f>
        <v>88.7</v>
      </c>
      <c r="L350" s="553">
        <f>K219</f>
        <v>9.9999999999999995E-7</v>
      </c>
      <c r="M350" s="553" t="str">
        <f>L219</f>
        <v>-</v>
      </c>
      <c r="N350" s="553">
        <f>M219</f>
        <v>0</v>
      </c>
      <c r="O350" s="553">
        <f>N219</f>
        <v>0</v>
      </c>
      <c r="Q350" s="1363"/>
      <c r="R350" s="562">
        <v>20</v>
      </c>
      <c r="S350" s="562">
        <f>Q219</f>
        <v>1005</v>
      </c>
      <c r="T350" s="562">
        <f>R219</f>
        <v>9.9999999999999995E-7</v>
      </c>
      <c r="U350" s="562" t="str">
        <f>S219</f>
        <v>-</v>
      </c>
      <c r="V350" s="562">
        <f>T219</f>
        <v>9.9999999999999995E-7</v>
      </c>
      <c r="W350" s="577">
        <f>U219</f>
        <v>0</v>
      </c>
      <c r="AE350" s="566"/>
    </row>
    <row r="351" spans="1:31" ht="13" hidden="1">
      <c r="A351" s="567"/>
      <c r="B351" s="567"/>
      <c r="C351" s="567"/>
      <c r="D351" s="567"/>
      <c r="E351" s="567"/>
      <c r="F351" s="547"/>
      <c r="G351" s="567"/>
      <c r="I351" s="567"/>
      <c r="J351" s="567"/>
      <c r="K351" s="567"/>
      <c r="L351" s="567"/>
      <c r="M351" s="567"/>
      <c r="N351" s="547"/>
      <c r="O351" s="567"/>
      <c r="Q351" s="581"/>
      <c r="R351" s="568"/>
      <c r="S351" s="343"/>
      <c r="T351" s="343"/>
      <c r="U351" s="343"/>
      <c r="W351" s="344"/>
      <c r="AE351" s="533"/>
    </row>
    <row r="352" spans="1:31" ht="13" hidden="1">
      <c r="A352" s="1361">
        <v>7</v>
      </c>
      <c r="B352" s="553">
        <v>1</v>
      </c>
      <c r="C352" s="553">
        <f>C11</f>
        <v>40</v>
      </c>
      <c r="D352" s="553">
        <f t="shared" ref="D352:F352" si="180">D11</f>
        <v>0.3</v>
      </c>
      <c r="E352" s="553">
        <f t="shared" si="180"/>
        <v>-0.4</v>
      </c>
      <c r="F352" s="553">
        <f t="shared" si="180"/>
        <v>-0.3</v>
      </c>
      <c r="G352" s="553">
        <f>G11</f>
        <v>0.35</v>
      </c>
      <c r="I352" s="1361">
        <v>7</v>
      </c>
      <c r="J352" s="553">
        <v>1</v>
      </c>
      <c r="K352" s="553">
        <f>J11</f>
        <v>90</v>
      </c>
      <c r="L352" s="553">
        <f>K11</f>
        <v>4</v>
      </c>
      <c r="M352" s="553">
        <f>L11</f>
        <v>-2.7</v>
      </c>
      <c r="N352" s="553">
        <f>M11</f>
        <v>0.3</v>
      </c>
      <c r="O352" s="553">
        <f>N11</f>
        <v>3.35</v>
      </c>
      <c r="Q352" s="1367">
        <v>7</v>
      </c>
      <c r="R352" s="572">
        <v>1</v>
      </c>
      <c r="S352" s="572">
        <f>Q11</f>
        <v>1020</v>
      </c>
      <c r="T352" s="572" t="str">
        <f>R11</f>
        <v>-</v>
      </c>
      <c r="U352" s="572" t="str">
        <f>S11</f>
        <v>-</v>
      </c>
      <c r="V352" s="572">
        <f>T11</f>
        <v>9.9999999999999995E-7</v>
      </c>
      <c r="W352" s="579">
        <f>U11</f>
        <v>0</v>
      </c>
      <c r="AE352" s="575"/>
    </row>
    <row r="353" spans="1:31" ht="13" hidden="1">
      <c r="A353" s="1361"/>
      <c r="B353" s="553">
        <v>2</v>
      </c>
      <c r="C353" s="553">
        <f>C22</f>
        <v>40</v>
      </c>
      <c r="D353" s="553">
        <f t="shared" ref="D353:F353" si="181">D22</f>
        <v>0.6</v>
      </c>
      <c r="E353" s="553">
        <f t="shared" si="181"/>
        <v>-0.1</v>
      </c>
      <c r="F353" s="553">
        <f t="shared" si="181"/>
        <v>-0.3</v>
      </c>
      <c r="G353" s="553">
        <f>G22</f>
        <v>0.44999999999999996</v>
      </c>
      <c r="I353" s="1361"/>
      <c r="J353" s="553">
        <v>2</v>
      </c>
      <c r="K353" s="553">
        <f>J22</f>
        <v>90</v>
      </c>
      <c r="L353" s="553">
        <f>K22</f>
        <v>1.2</v>
      </c>
      <c r="M353" s="553">
        <f>L22</f>
        <v>1.7</v>
      </c>
      <c r="N353" s="553">
        <f>M22</f>
        <v>-0.3</v>
      </c>
      <c r="O353" s="553">
        <f>N22</f>
        <v>1</v>
      </c>
      <c r="Q353" s="1365"/>
      <c r="R353" s="553">
        <v>2</v>
      </c>
      <c r="S353" s="553">
        <f>Q22</f>
        <v>1020</v>
      </c>
      <c r="T353" s="553" t="str">
        <f>R22</f>
        <v>-</v>
      </c>
      <c r="U353" s="553" t="str">
        <f>S22</f>
        <v>-</v>
      </c>
      <c r="V353" s="553" t="str">
        <f>T22</f>
        <v>-</v>
      </c>
      <c r="W353" s="554">
        <f>U22</f>
        <v>0</v>
      </c>
      <c r="AE353" s="533"/>
    </row>
    <row r="354" spans="1:31" ht="13" hidden="1">
      <c r="A354" s="1361"/>
      <c r="B354" s="553">
        <v>3</v>
      </c>
      <c r="C354" s="553">
        <f>C33</f>
        <v>40</v>
      </c>
      <c r="D354" s="553">
        <f t="shared" ref="D354:F354" si="182">D33</f>
        <v>0.3</v>
      </c>
      <c r="E354" s="553">
        <f t="shared" si="182"/>
        <v>0.2</v>
      </c>
      <c r="F354" s="553">
        <f t="shared" si="182"/>
        <v>-0.7</v>
      </c>
      <c r="G354" s="553">
        <f>G33</f>
        <v>0.5</v>
      </c>
      <c r="I354" s="1361"/>
      <c r="J354" s="553">
        <v>3</v>
      </c>
      <c r="K354" s="553">
        <f>J33</f>
        <v>90</v>
      </c>
      <c r="L354" s="553">
        <f>K33</f>
        <v>-0.9</v>
      </c>
      <c r="M354" s="553">
        <f>L33</f>
        <v>0.3</v>
      </c>
      <c r="N354" s="553">
        <f>M33</f>
        <v>-2</v>
      </c>
      <c r="O354" s="553">
        <f>N33</f>
        <v>1.1499999999999999</v>
      </c>
      <c r="Q354" s="1365"/>
      <c r="R354" s="553">
        <v>3</v>
      </c>
      <c r="S354" s="553">
        <f>Q33</f>
        <v>1020</v>
      </c>
      <c r="T354" s="553" t="str">
        <f>R33</f>
        <v>-</v>
      </c>
      <c r="U354" s="553" t="str">
        <f>S33</f>
        <v>-</v>
      </c>
      <c r="V354" s="553" t="str">
        <f>T33</f>
        <v>-</v>
      </c>
      <c r="W354" s="554">
        <f>U33</f>
        <v>0</v>
      </c>
      <c r="AE354" s="533"/>
    </row>
    <row r="355" spans="1:31" ht="13" hidden="1">
      <c r="A355" s="1361"/>
      <c r="B355" s="553">
        <v>4</v>
      </c>
      <c r="C355" s="553">
        <f>C44</f>
        <v>40</v>
      </c>
      <c r="D355" s="553">
        <f t="shared" ref="D355:F355" si="183">D44</f>
        <v>-0.5</v>
      </c>
      <c r="E355" s="553">
        <f t="shared" si="183"/>
        <v>-0.6</v>
      </c>
      <c r="F355" s="553">
        <f t="shared" si="183"/>
        <v>0</v>
      </c>
      <c r="G355" s="553">
        <f>G44</f>
        <v>4.9999999999999989E-2</v>
      </c>
      <c r="I355" s="1361"/>
      <c r="J355" s="553">
        <v>4</v>
      </c>
      <c r="K355" s="553">
        <f>J44</f>
        <v>90</v>
      </c>
      <c r="L355" s="553">
        <f>K44</f>
        <v>-3.5</v>
      </c>
      <c r="M355" s="553">
        <f>L44</f>
        <v>3.3</v>
      </c>
      <c r="N355" s="553">
        <f>M44</f>
        <v>0</v>
      </c>
      <c r="O355" s="553">
        <f>N44</f>
        <v>3.4</v>
      </c>
      <c r="Q355" s="1365"/>
      <c r="R355" s="553">
        <v>4</v>
      </c>
      <c r="S355" s="553">
        <f>Q44</f>
        <v>1020</v>
      </c>
      <c r="T355" s="553" t="str">
        <f>R44</f>
        <v>-</v>
      </c>
      <c r="U355" s="553" t="str">
        <f>S44</f>
        <v>-</v>
      </c>
      <c r="V355" s="553">
        <f>T44</f>
        <v>9.9999999999999995E-7</v>
      </c>
      <c r="W355" s="554">
        <f>U44</f>
        <v>0</v>
      </c>
      <c r="AE355" s="533"/>
    </row>
    <row r="356" spans="1:31" ht="13" hidden="1">
      <c r="A356" s="1361"/>
      <c r="B356" s="553">
        <v>5</v>
      </c>
      <c r="C356" s="553">
        <f>C55</f>
        <v>40</v>
      </c>
      <c r="D356" s="553">
        <f t="shared" ref="D356:F356" si="184">D55</f>
        <v>0.3</v>
      </c>
      <c r="E356" s="553">
        <f t="shared" si="184"/>
        <v>0.2</v>
      </c>
      <c r="F356" s="553">
        <f t="shared" si="184"/>
        <v>0.7</v>
      </c>
      <c r="G356" s="553">
        <f>G55</f>
        <v>0.24999999999999997</v>
      </c>
      <c r="I356" s="1361"/>
      <c r="J356" s="553">
        <v>5</v>
      </c>
      <c r="K356" s="553">
        <f>J55</f>
        <v>90</v>
      </c>
      <c r="L356" s="553">
        <f>K55</f>
        <v>-5.4</v>
      </c>
      <c r="M356" s="553">
        <f>L55</f>
        <v>-0.8</v>
      </c>
      <c r="N356" s="553">
        <f>M55</f>
        <v>-1.8</v>
      </c>
      <c r="O356" s="553">
        <f>N55</f>
        <v>2.3000000000000003</v>
      </c>
      <c r="Q356" s="1365"/>
      <c r="R356" s="553">
        <v>5</v>
      </c>
      <c r="S356" s="553">
        <f>Q55</f>
        <v>1020</v>
      </c>
      <c r="T356" s="553" t="str">
        <f>R55</f>
        <v>-</v>
      </c>
      <c r="U356" s="553" t="str">
        <f>S55</f>
        <v>-</v>
      </c>
      <c r="V356" s="553" t="str">
        <f>T55</f>
        <v>-</v>
      </c>
      <c r="W356" s="554">
        <f>U55</f>
        <v>0</v>
      </c>
      <c r="AE356" s="533"/>
    </row>
    <row r="357" spans="1:31" ht="13" hidden="1">
      <c r="A357" s="1361"/>
      <c r="B357" s="553">
        <v>6</v>
      </c>
      <c r="C357" s="553">
        <f>C66</f>
        <v>40</v>
      </c>
      <c r="D357" s="553">
        <f t="shared" ref="D357:F357" si="185">D66</f>
        <v>0.1</v>
      </c>
      <c r="E357" s="553">
        <f t="shared" si="185"/>
        <v>-1.4</v>
      </c>
      <c r="F357" s="553">
        <f t="shared" si="185"/>
        <v>0</v>
      </c>
      <c r="G357" s="553">
        <f>G66</f>
        <v>0.75</v>
      </c>
      <c r="I357" s="1361"/>
      <c r="J357" s="553">
        <v>6</v>
      </c>
      <c r="K357" s="553">
        <f>J66</f>
        <v>90</v>
      </c>
      <c r="L357" s="553">
        <f>K66</f>
        <v>-5.2</v>
      </c>
      <c r="M357" s="553">
        <f>L66</f>
        <v>0.7</v>
      </c>
      <c r="N357" s="553">
        <f>M66</f>
        <v>0</v>
      </c>
      <c r="O357" s="553">
        <f>N66</f>
        <v>2.95</v>
      </c>
      <c r="Q357" s="1365"/>
      <c r="R357" s="553">
        <v>6</v>
      </c>
      <c r="S357" s="553">
        <f>Q66</f>
        <v>1020</v>
      </c>
      <c r="T357" s="553">
        <f>R66</f>
        <v>0.9</v>
      </c>
      <c r="U357" s="553">
        <f>S66</f>
        <v>9.9999999999999995E-7</v>
      </c>
      <c r="V357" s="553">
        <f>T66</f>
        <v>9.9999999999999995E-7</v>
      </c>
      <c r="W357" s="554">
        <f>U66</f>
        <v>0.4499995</v>
      </c>
      <c r="AE357" s="533"/>
    </row>
    <row r="358" spans="1:31" ht="13" hidden="1">
      <c r="A358" s="1361"/>
      <c r="B358" s="553">
        <v>7</v>
      </c>
      <c r="C358" s="553">
        <f>C77</f>
        <v>40</v>
      </c>
      <c r="D358" s="553">
        <f t="shared" ref="D358:F358" si="186">D77</f>
        <v>0.1</v>
      </c>
      <c r="E358" s="553">
        <f t="shared" si="186"/>
        <v>-1.7</v>
      </c>
      <c r="F358" s="553">
        <f t="shared" si="186"/>
        <v>0</v>
      </c>
      <c r="G358" s="553">
        <f>G77</f>
        <v>0.9</v>
      </c>
      <c r="I358" s="1361"/>
      <c r="J358" s="553">
        <v>7</v>
      </c>
      <c r="K358" s="553">
        <f>J77</f>
        <v>90</v>
      </c>
      <c r="L358" s="553">
        <f>K77</f>
        <v>-3</v>
      </c>
      <c r="M358" s="553">
        <f>L77</f>
        <v>1.8</v>
      </c>
      <c r="N358" s="553">
        <f>M77</f>
        <v>0</v>
      </c>
      <c r="O358" s="553">
        <f>N77</f>
        <v>2.4</v>
      </c>
      <c r="Q358" s="1365"/>
      <c r="R358" s="553">
        <v>7</v>
      </c>
      <c r="S358" s="553">
        <f>Q77</f>
        <v>1020</v>
      </c>
      <c r="T358" s="553">
        <f>R77</f>
        <v>-3.8</v>
      </c>
      <c r="U358" s="553">
        <f>S77</f>
        <v>9.9999999999999995E-7</v>
      </c>
      <c r="V358" s="553">
        <f>T77</f>
        <v>9.9999999999999995E-7</v>
      </c>
      <c r="W358" s="554">
        <f>U77</f>
        <v>1.9000005</v>
      </c>
      <c r="AE358" s="533"/>
    </row>
    <row r="359" spans="1:31" ht="13" hidden="1">
      <c r="A359" s="1361"/>
      <c r="B359" s="553">
        <v>8</v>
      </c>
      <c r="C359" s="553">
        <f>C88</f>
        <v>40</v>
      </c>
      <c r="D359" s="553">
        <f t="shared" ref="D359:F359" si="187">D88</f>
        <v>-0.1</v>
      </c>
      <c r="E359" s="553">
        <f t="shared" si="187"/>
        <v>9.9999999999999995E-7</v>
      </c>
      <c r="F359" s="553">
        <f t="shared" si="187"/>
        <v>-0.4</v>
      </c>
      <c r="G359" s="553">
        <f>G88</f>
        <v>0.2000005</v>
      </c>
      <c r="I359" s="1361"/>
      <c r="J359" s="553">
        <v>8</v>
      </c>
      <c r="K359" s="553">
        <f>J88</f>
        <v>90</v>
      </c>
      <c r="L359" s="553">
        <f>K88</f>
        <v>-9.1</v>
      </c>
      <c r="M359" s="553">
        <f>L88</f>
        <v>-4.9000000000000004</v>
      </c>
      <c r="N359" s="553">
        <f>M88</f>
        <v>-1.3</v>
      </c>
      <c r="O359" s="553">
        <f>N88</f>
        <v>3.9</v>
      </c>
      <c r="Q359" s="1365"/>
      <c r="R359" s="553">
        <v>8</v>
      </c>
      <c r="S359" s="553">
        <f>Q88</f>
        <v>1020</v>
      </c>
      <c r="T359" s="553">
        <f>R88</f>
        <v>0</v>
      </c>
      <c r="U359" s="553">
        <f>S88</f>
        <v>0</v>
      </c>
      <c r="V359" s="553">
        <f>T88</f>
        <v>9.9999999999999995E-7</v>
      </c>
      <c r="W359" s="554">
        <f>U88</f>
        <v>4.9999999999999998E-7</v>
      </c>
      <c r="AE359" s="533"/>
    </row>
    <row r="360" spans="1:31" ht="13" hidden="1">
      <c r="A360" s="1361"/>
      <c r="B360" s="553">
        <v>9</v>
      </c>
      <c r="C360" s="553">
        <f>C99</f>
        <v>40</v>
      </c>
      <c r="D360" s="553">
        <f t="shared" ref="D360:F360" si="188">D99</f>
        <v>-0.4</v>
      </c>
      <c r="E360" s="553" t="str">
        <f t="shared" si="188"/>
        <v>-</v>
      </c>
      <c r="F360" s="553">
        <f t="shared" si="188"/>
        <v>0</v>
      </c>
      <c r="G360" s="553">
        <f>G99</f>
        <v>0</v>
      </c>
      <c r="I360" s="1361"/>
      <c r="J360" s="553">
        <v>9</v>
      </c>
      <c r="K360" s="553">
        <f>J99</f>
        <v>90</v>
      </c>
      <c r="L360" s="553">
        <f>K99</f>
        <v>-0.2</v>
      </c>
      <c r="M360" s="553" t="str">
        <f>L99</f>
        <v>-</v>
      </c>
      <c r="N360" s="553">
        <f>M99</f>
        <v>0</v>
      </c>
      <c r="O360" s="553">
        <f>N99</f>
        <v>0</v>
      </c>
      <c r="Q360" s="1365"/>
      <c r="R360" s="553">
        <v>9</v>
      </c>
      <c r="S360" s="553">
        <f>Q99</f>
        <v>1020</v>
      </c>
      <c r="T360" s="553">
        <f>R99</f>
        <v>9.9999999999999995E-7</v>
      </c>
      <c r="U360" s="553" t="str">
        <f>S99</f>
        <v>-</v>
      </c>
      <c r="V360" s="553">
        <f>T99</f>
        <v>9.9999999999999995E-7</v>
      </c>
      <c r="W360" s="554">
        <f>U99</f>
        <v>0</v>
      </c>
      <c r="AE360" s="533"/>
    </row>
    <row r="361" spans="1:31" ht="13" hidden="1">
      <c r="A361" s="1361"/>
      <c r="B361" s="553">
        <v>10</v>
      </c>
      <c r="C361" s="553">
        <f>C110</f>
        <v>40</v>
      </c>
      <c r="D361" s="553">
        <f t="shared" ref="D361:F361" si="189">D110</f>
        <v>0.2</v>
      </c>
      <c r="E361" s="553">
        <f t="shared" si="189"/>
        <v>9.9999999999999995E-7</v>
      </c>
      <c r="F361" s="553">
        <f t="shared" si="189"/>
        <v>0</v>
      </c>
      <c r="G361" s="553">
        <f>G110</f>
        <v>9.9999500000000005E-2</v>
      </c>
      <c r="I361" s="1361"/>
      <c r="J361" s="553">
        <v>10</v>
      </c>
      <c r="K361" s="553">
        <f>J110</f>
        <v>90</v>
      </c>
      <c r="L361" s="553">
        <f>K110</f>
        <v>5.4</v>
      </c>
      <c r="M361" s="553">
        <f>L110</f>
        <v>9.9999999999999995E-7</v>
      </c>
      <c r="N361" s="553">
        <f>M110</f>
        <v>0</v>
      </c>
      <c r="O361" s="553">
        <f>N110</f>
        <v>2.6999995000000001</v>
      </c>
      <c r="Q361" s="1365"/>
      <c r="R361" s="553">
        <v>10</v>
      </c>
      <c r="S361" s="553">
        <f>Q110</f>
        <v>1020</v>
      </c>
      <c r="T361" s="553" t="str">
        <f>R110</f>
        <v>-</v>
      </c>
      <c r="U361" s="553" t="str">
        <f>S110</f>
        <v>-</v>
      </c>
      <c r="V361" s="553">
        <f>T110</f>
        <v>9.9999999999999995E-7</v>
      </c>
      <c r="W361" s="554">
        <f>U110</f>
        <v>0</v>
      </c>
      <c r="AE361" s="533"/>
    </row>
    <row r="362" spans="1:31" ht="13" hidden="1">
      <c r="A362" s="1361"/>
      <c r="B362" s="553">
        <v>11</v>
      </c>
      <c r="C362" s="553">
        <f>C121</f>
        <v>40</v>
      </c>
      <c r="D362" s="553">
        <f t="shared" ref="D362:F362" si="190">D121</f>
        <v>0.5</v>
      </c>
      <c r="E362" s="553">
        <f t="shared" si="190"/>
        <v>9.9999999999999995E-7</v>
      </c>
      <c r="F362" s="553">
        <f t="shared" si="190"/>
        <v>0</v>
      </c>
      <c r="G362" s="553">
        <f>G121</f>
        <v>0.24999950000000001</v>
      </c>
      <c r="I362" s="1361"/>
      <c r="J362" s="553">
        <v>11</v>
      </c>
      <c r="K362" s="553">
        <f>J121</f>
        <v>90</v>
      </c>
      <c r="L362" s="553">
        <f>K121</f>
        <v>1.3</v>
      </c>
      <c r="M362" s="553">
        <f>L121</f>
        <v>9.9999999999999995E-7</v>
      </c>
      <c r="N362" s="553">
        <f>M121</f>
        <v>0</v>
      </c>
      <c r="O362" s="553">
        <f>N121</f>
        <v>0.64999950000000006</v>
      </c>
      <c r="Q362" s="1365"/>
      <c r="R362" s="553">
        <v>11</v>
      </c>
      <c r="S362" s="553">
        <f>Q121</f>
        <v>1020</v>
      </c>
      <c r="T362" s="553" t="str">
        <f>R121</f>
        <v>-</v>
      </c>
      <c r="U362" s="553" t="str">
        <f>S121</f>
        <v>-</v>
      </c>
      <c r="V362" s="553">
        <f>T121</f>
        <v>9.9999999999999995E-7</v>
      </c>
      <c r="W362" s="554">
        <f>U121</f>
        <v>0</v>
      </c>
      <c r="AE362" s="533"/>
    </row>
    <row r="363" spans="1:31" ht="13" hidden="1">
      <c r="A363" s="1361"/>
      <c r="B363" s="553">
        <v>12</v>
      </c>
      <c r="C363" s="553">
        <f>C132</f>
        <v>40</v>
      </c>
      <c r="D363" s="553">
        <f t="shared" ref="D363:F363" si="191">D132</f>
        <v>0.8</v>
      </c>
      <c r="E363" s="553">
        <f t="shared" si="191"/>
        <v>-0.4</v>
      </c>
      <c r="F363" s="553">
        <f t="shared" si="191"/>
        <v>0</v>
      </c>
      <c r="G363" s="553">
        <f>G132</f>
        <v>0.60000000000000009</v>
      </c>
      <c r="I363" s="1361"/>
      <c r="J363" s="553">
        <v>12</v>
      </c>
      <c r="K363" s="553">
        <f>J132</f>
        <v>90</v>
      </c>
      <c r="L363" s="553">
        <f>K132</f>
        <v>-1.8</v>
      </c>
      <c r="M363" s="553">
        <f>L132</f>
        <v>-0.9</v>
      </c>
      <c r="N363" s="553">
        <f>M132</f>
        <v>0</v>
      </c>
      <c r="O363" s="553">
        <f>N132</f>
        <v>0.45</v>
      </c>
      <c r="Q363" s="1365"/>
      <c r="R363" s="553">
        <v>12</v>
      </c>
      <c r="S363" s="553">
        <f>Q132</f>
        <v>1020</v>
      </c>
      <c r="T363" s="553">
        <f>R132</f>
        <v>0</v>
      </c>
      <c r="U363" s="553">
        <f>S132</f>
        <v>9.9999999999999995E-7</v>
      </c>
      <c r="V363" s="553">
        <f>T132</f>
        <v>0</v>
      </c>
      <c r="W363" s="554">
        <f>U132</f>
        <v>4.9999999999999998E-7</v>
      </c>
      <c r="AE363" s="533"/>
    </row>
    <row r="364" spans="1:31" ht="13" hidden="1">
      <c r="A364" s="1361"/>
      <c r="B364" s="553">
        <v>13</v>
      </c>
      <c r="C364" s="553">
        <f>C143</f>
        <v>40</v>
      </c>
      <c r="D364" s="553">
        <f t="shared" ref="D364:F364" si="192">D143</f>
        <v>0.7</v>
      </c>
      <c r="E364" s="553">
        <f t="shared" si="192"/>
        <v>-0.2</v>
      </c>
      <c r="F364" s="553">
        <f t="shared" si="192"/>
        <v>0.5</v>
      </c>
      <c r="G364" s="553">
        <f>G143</f>
        <v>0.44999999999999996</v>
      </c>
      <c r="I364" s="1361"/>
      <c r="J364" s="553">
        <v>13</v>
      </c>
      <c r="K364" s="553">
        <f>J143</f>
        <v>90</v>
      </c>
      <c r="L364" s="553">
        <f>K143</f>
        <v>-0.4</v>
      </c>
      <c r="M364" s="553">
        <f>L143</f>
        <v>-1</v>
      </c>
      <c r="N364" s="553">
        <f>M143</f>
        <v>-3.2</v>
      </c>
      <c r="O364" s="553">
        <f>N143</f>
        <v>1.4000000000000001</v>
      </c>
      <c r="Q364" s="1365"/>
      <c r="R364" s="553">
        <v>13</v>
      </c>
      <c r="S364" s="553">
        <f>Q143</f>
        <v>1020</v>
      </c>
      <c r="T364" s="553">
        <f>R143</f>
        <v>0</v>
      </c>
      <c r="U364" s="553">
        <f>S143</f>
        <v>9.9999999999999995E-7</v>
      </c>
      <c r="V364" s="553">
        <f>T143</f>
        <v>9.9999999999999995E-7</v>
      </c>
      <c r="W364" s="554">
        <f>U143</f>
        <v>0</v>
      </c>
      <c r="AE364" s="533"/>
    </row>
    <row r="365" spans="1:31" ht="13" hidden="1">
      <c r="A365" s="1361"/>
      <c r="B365" s="553">
        <v>14</v>
      </c>
      <c r="C365" s="553">
        <f>C154</f>
        <v>40</v>
      </c>
      <c r="D365" s="553">
        <f t="shared" ref="D365:F365" si="193">D154</f>
        <v>0.4</v>
      </c>
      <c r="E365" s="553">
        <f t="shared" si="193"/>
        <v>-0.8</v>
      </c>
      <c r="F365" s="553">
        <f t="shared" si="193"/>
        <v>-1.1000000000000001</v>
      </c>
      <c r="G365" s="553">
        <f>G154</f>
        <v>0.75</v>
      </c>
      <c r="I365" s="1361"/>
      <c r="J365" s="553">
        <v>14</v>
      </c>
      <c r="K365" s="553">
        <f>J154</f>
        <v>90</v>
      </c>
      <c r="L365" s="553">
        <f>K154</f>
        <v>1.9</v>
      </c>
      <c r="M365" s="553">
        <f>L154</f>
        <v>1.5</v>
      </c>
      <c r="N365" s="553">
        <f>M154</f>
        <v>-0.8</v>
      </c>
      <c r="O365" s="553">
        <f>N154</f>
        <v>1.35</v>
      </c>
      <c r="Q365" s="1365"/>
      <c r="R365" s="553">
        <v>14</v>
      </c>
      <c r="S365" s="553">
        <f>Q154</f>
        <v>1020</v>
      </c>
      <c r="T365" s="553">
        <f>R154</f>
        <v>0</v>
      </c>
      <c r="U365" s="553">
        <f>S154</f>
        <v>9.9999999999999995E-7</v>
      </c>
      <c r="V365" s="553">
        <f>T154</f>
        <v>9.9999999999999995E-7</v>
      </c>
      <c r="W365" s="554">
        <f>U154</f>
        <v>0</v>
      </c>
      <c r="AE365" s="533"/>
    </row>
    <row r="366" spans="1:31" ht="13" hidden="1">
      <c r="A366" s="1361"/>
      <c r="B366" s="553">
        <v>15</v>
      </c>
      <c r="C366" s="553">
        <f>C165</f>
        <v>40</v>
      </c>
      <c r="D366" s="553">
        <f t="shared" ref="D366:F366" si="194">D165</f>
        <v>0.6</v>
      </c>
      <c r="E366" s="553">
        <f t="shared" si="194"/>
        <v>1.4</v>
      </c>
      <c r="F366" s="553">
        <f t="shared" si="194"/>
        <v>9.9999999999999995E-7</v>
      </c>
      <c r="G366" s="553">
        <f>G165</f>
        <v>0.6999995</v>
      </c>
      <c r="I366" s="1361"/>
      <c r="J366" s="553">
        <v>15</v>
      </c>
      <c r="K366" s="553">
        <f>J165</f>
        <v>90</v>
      </c>
      <c r="L366" s="553">
        <f>K165</f>
        <v>0.1</v>
      </c>
      <c r="M366" s="553">
        <f>L165</f>
        <v>-0.1</v>
      </c>
      <c r="N366" s="553">
        <f>M165</f>
        <v>-2</v>
      </c>
      <c r="O366" s="553">
        <f>N165</f>
        <v>1.05</v>
      </c>
      <c r="Q366" s="1365"/>
      <c r="R366" s="553">
        <v>15</v>
      </c>
      <c r="S366" s="553">
        <f>Q165</f>
        <v>1020</v>
      </c>
      <c r="T366" s="553">
        <f>R165</f>
        <v>0</v>
      </c>
      <c r="U366" s="553">
        <f>S165</f>
        <v>9.9999999999999995E-7</v>
      </c>
      <c r="V366" s="553">
        <f>T165</f>
        <v>9.9999999999999995E-7</v>
      </c>
      <c r="W366" s="554">
        <f>U165</f>
        <v>0</v>
      </c>
      <c r="AE366" s="533"/>
    </row>
    <row r="367" spans="1:31" ht="13" hidden="1">
      <c r="A367" s="1361"/>
      <c r="B367" s="553">
        <v>16</v>
      </c>
      <c r="C367" s="553">
        <f>C176</f>
        <v>40</v>
      </c>
      <c r="D367" s="553">
        <f t="shared" ref="D367:F367" si="195">D176</f>
        <v>0.6</v>
      </c>
      <c r="E367" s="553">
        <f t="shared" si="195"/>
        <v>9.9999999999999995E-7</v>
      </c>
      <c r="F367" s="553">
        <f t="shared" si="195"/>
        <v>0</v>
      </c>
      <c r="G367" s="553">
        <f>G176</f>
        <v>0.29999949999999997</v>
      </c>
      <c r="I367" s="1361"/>
      <c r="J367" s="553">
        <v>16</v>
      </c>
      <c r="K367" s="553">
        <f>J176</f>
        <v>90</v>
      </c>
      <c r="L367" s="553">
        <f>K176</f>
        <v>-3.1</v>
      </c>
      <c r="M367" s="553">
        <f>L176</f>
        <v>-3</v>
      </c>
      <c r="N367" s="553">
        <f>M176</f>
        <v>0</v>
      </c>
      <c r="O367" s="553">
        <f>N176</f>
        <v>5.0000000000000044E-2</v>
      </c>
      <c r="Q367" s="1365"/>
      <c r="R367" s="553">
        <v>16</v>
      </c>
      <c r="S367" s="553">
        <f>Q176</f>
        <v>1020</v>
      </c>
      <c r="T367" s="553">
        <f>R176</f>
        <v>0</v>
      </c>
      <c r="U367" s="553">
        <f>S176</f>
        <v>9.9999999999999995E-7</v>
      </c>
      <c r="V367" s="553">
        <f>T176</f>
        <v>0</v>
      </c>
      <c r="W367" s="554">
        <f>U176</f>
        <v>4.9999999999999998E-7</v>
      </c>
      <c r="AE367" s="533"/>
    </row>
    <row r="368" spans="1:31" ht="13" hidden="1">
      <c r="A368" s="1361"/>
      <c r="B368" s="553">
        <v>17</v>
      </c>
      <c r="C368" s="553">
        <f>C187</f>
        <v>40</v>
      </c>
      <c r="D368" s="553">
        <f>D187</f>
        <v>0.7</v>
      </c>
      <c r="E368" s="553">
        <f>E187</f>
        <v>-0.8</v>
      </c>
      <c r="F368" s="553">
        <f t="shared" ref="F368" si="196">F187</f>
        <v>0</v>
      </c>
      <c r="G368" s="553">
        <f>G187</f>
        <v>0.75</v>
      </c>
      <c r="I368" s="1361"/>
      <c r="J368" s="553">
        <v>17</v>
      </c>
      <c r="K368" s="553">
        <f>J187</f>
        <v>90</v>
      </c>
      <c r="L368" s="553">
        <f>K187</f>
        <v>-2.9</v>
      </c>
      <c r="M368" s="553">
        <f>L187</f>
        <v>-1.4</v>
      </c>
      <c r="N368" s="553">
        <f>M187</f>
        <v>0</v>
      </c>
      <c r="O368" s="553">
        <f>N187</f>
        <v>0.75</v>
      </c>
      <c r="Q368" s="1365"/>
      <c r="R368" s="553">
        <v>17</v>
      </c>
      <c r="S368" s="553">
        <f>Q187</f>
        <v>1020</v>
      </c>
      <c r="T368" s="553">
        <f>R187</f>
        <v>0</v>
      </c>
      <c r="U368" s="553">
        <f>S187</f>
        <v>9.9999999999999995E-7</v>
      </c>
      <c r="V368" s="553">
        <f>T187</f>
        <v>0</v>
      </c>
      <c r="W368" s="554">
        <f>U187</f>
        <v>4.9999999999999998E-7</v>
      </c>
      <c r="AE368" s="533"/>
    </row>
    <row r="369" spans="1:31" ht="13" hidden="1">
      <c r="A369" s="1361"/>
      <c r="B369" s="553">
        <v>18</v>
      </c>
      <c r="C369" s="553">
        <f>C198</f>
        <v>40</v>
      </c>
      <c r="D369" s="553">
        <f t="shared" ref="D369:F369" si="197">D198</f>
        <v>0.5</v>
      </c>
      <c r="E369" s="553">
        <f t="shared" si="197"/>
        <v>-0.4</v>
      </c>
      <c r="F369" s="553">
        <f t="shared" si="197"/>
        <v>0</v>
      </c>
      <c r="G369" s="553">
        <f>G198</f>
        <v>0.45</v>
      </c>
      <c r="I369" s="1361"/>
      <c r="J369" s="553">
        <v>18</v>
      </c>
      <c r="K369" s="553">
        <f>J198</f>
        <v>90</v>
      </c>
      <c r="L369" s="553">
        <f>K198</f>
        <v>-3</v>
      </c>
      <c r="M369" s="553">
        <f>L198</f>
        <v>-0.8</v>
      </c>
      <c r="N369" s="553">
        <f>M198</f>
        <v>0</v>
      </c>
      <c r="O369" s="553">
        <f>N198</f>
        <v>1.1000000000000001</v>
      </c>
      <c r="Q369" s="1365"/>
      <c r="R369" s="553">
        <v>18</v>
      </c>
      <c r="S369" s="553">
        <f>Q198</f>
        <v>1020</v>
      </c>
      <c r="T369" s="553">
        <f>R198</f>
        <v>0</v>
      </c>
      <c r="U369" s="553">
        <f>S198</f>
        <v>9.9999999999999995E-7</v>
      </c>
      <c r="V369" s="553">
        <f>T198</f>
        <v>0</v>
      </c>
      <c r="W369" s="554">
        <f>U198</f>
        <v>4.9999999999999998E-7</v>
      </c>
      <c r="AE369" s="533"/>
    </row>
    <row r="370" spans="1:31" ht="13" hidden="1">
      <c r="A370" s="1361"/>
      <c r="B370" s="553">
        <v>19</v>
      </c>
      <c r="C370" s="553">
        <f>C209</f>
        <v>40</v>
      </c>
      <c r="D370" s="553">
        <f t="shared" ref="D370:F370" si="198">D209</f>
        <v>0.6</v>
      </c>
      <c r="E370" s="553">
        <f t="shared" si="198"/>
        <v>0.2</v>
      </c>
      <c r="F370" s="553">
        <f t="shared" si="198"/>
        <v>0</v>
      </c>
      <c r="G370" s="553">
        <f>G209</f>
        <v>0.19999999999999998</v>
      </c>
      <c r="I370" s="1361"/>
      <c r="J370" s="553">
        <v>19</v>
      </c>
      <c r="K370" s="553">
        <f>J209</f>
        <v>90</v>
      </c>
      <c r="L370" s="553">
        <f>K209</f>
        <v>-1.7</v>
      </c>
      <c r="M370" s="553">
        <f>L209</f>
        <v>-0.6</v>
      </c>
      <c r="N370" s="553">
        <f>M209</f>
        <v>0</v>
      </c>
      <c r="O370" s="553">
        <f>N209</f>
        <v>0.55000000000000004</v>
      </c>
      <c r="Q370" s="1365"/>
      <c r="R370" s="553">
        <v>19</v>
      </c>
      <c r="S370" s="553">
        <f>Q209</f>
        <v>1050</v>
      </c>
      <c r="T370" s="553">
        <f>R209</f>
        <v>0</v>
      </c>
      <c r="U370" s="553">
        <f>S209</f>
        <v>2.2999999999999998</v>
      </c>
      <c r="V370" s="553">
        <f>T209</f>
        <v>0</v>
      </c>
      <c r="W370" s="554">
        <f>U209</f>
        <v>1.1499999999999999</v>
      </c>
      <c r="AE370" s="533"/>
    </row>
    <row r="371" spans="1:31" ht="13.5" hidden="1" thickBot="1">
      <c r="A371" s="1361"/>
      <c r="B371" s="553">
        <v>20</v>
      </c>
      <c r="C371" s="553">
        <f>C220</f>
        <v>40</v>
      </c>
      <c r="D371" s="553">
        <f t="shared" ref="D371:F371" si="199">D220</f>
        <v>9.9999999999999995E-7</v>
      </c>
      <c r="E371" s="553" t="str">
        <f t="shared" si="199"/>
        <v>-</v>
      </c>
      <c r="F371" s="553">
        <f t="shared" si="199"/>
        <v>9.9999999999999995E-7</v>
      </c>
      <c r="G371" s="553">
        <f>G220</f>
        <v>0</v>
      </c>
      <c r="I371" s="1361"/>
      <c r="J371" s="553">
        <v>20</v>
      </c>
      <c r="K371" s="553">
        <f>J220</f>
        <v>90</v>
      </c>
      <c r="L371" s="553">
        <f>K220</f>
        <v>9.9999999999999995E-7</v>
      </c>
      <c r="M371" s="553" t="str">
        <f>L220</f>
        <v>-</v>
      </c>
      <c r="N371" s="553">
        <f>M220</f>
        <v>0</v>
      </c>
      <c r="O371" s="553">
        <f>N220</f>
        <v>0</v>
      </c>
      <c r="Q371" s="1366"/>
      <c r="R371" s="562">
        <v>20</v>
      </c>
      <c r="S371" s="562">
        <f>Q220</f>
        <v>1020</v>
      </c>
      <c r="T371" s="562">
        <f>R220</f>
        <v>9.9999999999999995E-7</v>
      </c>
      <c r="U371" s="562" t="str">
        <f>S220</f>
        <v>-</v>
      </c>
      <c r="V371" s="562">
        <f>T220</f>
        <v>9.9999999999999995E-7</v>
      </c>
      <c r="W371" s="577">
        <f>U220</f>
        <v>0</v>
      </c>
      <c r="AE371" s="566"/>
    </row>
    <row r="372" spans="1:31" ht="13.5" thickBot="1">
      <c r="A372" s="582"/>
      <c r="B372" s="583"/>
      <c r="C372" s="571"/>
      <c r="D372" s="571"/>
      <c r="E372" s="571"/>
      <c r="F372" s="571"/>
      <c r="G372" s="571"/>
      <c r="H372" s="533"/>
      <c r="I372" s="565"/>
      <c r="J372" s="583"/>
      <c r="K372" s="571"/>
      <c r="L372" s="571"/>
      <c r="M372" s="571"/>
      <c r="N372" s="571"/>
      <c r="O372" s="571"/>
      <c r="P372" s="533"/>
    </row>
    <row r="373" spans="1:31" ht="29.25" customHeight="1">
      <c r="A373" s="584">
        <f>A410</f>
        <v>18</v>
      </c>
      <c r="B373" s="1368" t="str">
        <f>A389</f>
        <v>Thermohygrolight, Merek : EXTECH, Model : SD700, SN : A.100618</v>
      </c>
      <c r="C373" s="1368"/>
      <c r="D373" s="1368"/>
      <c r="E373" s="1368"/>
      <c r="G373" s="584">
        <f>A373</f>
        <v>18</v>
      </c>
      <c r="H373" s="1368" t="str">
        <f>B373</f>
        <v>Thermohygrolight, Merek : EXTECH, Model : SD700, SN : A.100618</v>
      </c>
      <c r="I373" s="1368"/>
      <c r="J373" s="1368"/>
      <c r="K373" s="1368"/>
      <c r="M373" s="584">
        <f>G373</f>
        <v>18</v>
      </c>
      <c r="N373" s="1368" t="str">
        <f>H373</f>
        <v>Thermohygrolight, Merek : EXTECH, Model : SD700, SN : A.100618</v>
      </c>
      <c r="O373" s="1368"/>
      <c r="P373" s="1368"/>
      <c r="Q373" s="1368"/>
      <c r="S373" s="585">
        <f>A373</f>
        <v>18</v>
      </c>
      <c r="T373" s="1369" t="str">
        <f>H373</f>
        <v>Thermohygrolight, Merek : EXTECH, Model : SD700, SN : A.100618</v>
      </c>
      <c r="U373" s="1369"/>
      <c r="V373" s="1369"/>
      <c r="W373" s="1370"/>
      <c r="Z373" s="586"/>
      <c r="AE373" s="542"/>
    </row>
    <row r="374" spans="1:31" ht="13.5">
      <c r="A374" s="587" t="s">
        <v>434</v>
      </c>
      <c r="B374" s="1371" t="s">
        <v>435</v>
      </c>
      <c r="C374" s="1371"/>
      <c r="D374" s="1371"/>
      <c r="E374" s="1371" t="s">
        <v>385</v>
      </c>
      <c r="G374" s="587" t="s">
        <v>436</v>
      </c>
      <c r="H374" s="1371" t="s">
        <v>435</v>
      </c>
      <c r="I374" s="1371"/>
      <c r="J374" s="1371"/>
      <c r="K374" s="1371" t="s">
        <v>385</v>
      </c>
      <c r="M374" s="587" t="s">
        <v>437</v>
      </c>
      <c r="N374" s="1371" t="s">
        <v>435</v>
      </c>
      <c r="O374" s="1371"/>
      <c r="P374" s="1371"/>
      <c r="Q374" s="1371" t="s">
        <v>385</v>
      </c>
      <c r="S374" s="1377"/>
      <c r="T374" s="1378" t="s">
        <v>461</v>
      </c>
      <c r="U374" s="1378" t="s">
        <v>462</v>
      </c>
      <c r="V374" s="1378" t="s">
        <v>463</v>
      </c>
      <c r="W374" s="1379" t="s">
        <v>396</v>
      </c>
      <c r="Z374" s="571"/>
    </row>
    <row r="375" spans="1:31" ht="14">
      <c r="A375" s="588" t="s">
        <v>460</v>
      </c>
      <c r="B375" s="589">
        <f>VLOOKUP(B373,A390:L409,9,FALSE)</f>
        <v>2023</v>
      </c>
      <c r="C375" s="589">
        <f>VLOOKUP(B373,A390:L409,10,FALSE)</f>
        <v>2020</v>
      </c>
      <c r="D375" s="589">
        <f>VLOOKUP(B373,A390:L409,11,FALSE)</f>
        <v>2016</v>
      </c>
      <c r="E375" s="1371"/>
      <c r="G375" s="590" t="s">
        <v>18</v>
      </c>
      <c r="H375" s="589">
        <f>B375</f>
        <v>2023</v>
      </c>
      <c r="I375" s="589">
        <f>C375</f>
        <v>2020</v>
      </c>
      <c r="J375" s="589">
        <f>D375</f>
        <v>2016</v>
      </c>
      <c r="K375" s="1371"/>
      <c r="M375" s="590" t="s">
        <v>439</v>
      </c>
      <c r="N375" s="589">
        <f>H375</f>
        <v>2023</v>
      </c>
      <c r="O375" s="589">
        <f>I375</f>
        <v>2020</v>
      </c>
      <c r="P375" s="589">
        <f>J375</f>
        <v>2016</v>
      </c>
      <c r="Q375" s="1371"/>
      <c r="S375" s="1377"/>
      <c r="T375" s="1378"/>
      <c r="U375" s="1378"/>
      <c r="V375" s="1378"/>
      <c r="W375" s="1379"/>
      <c r="Z375" s="571"/>
    </row>
    <row r="376" spans="1:31" ht="13">
      <c r="A376" s="567">
        <f>VLOOKUP($A$373,$B$226:$G$245,2,FALSE)</f>
        <v>15</v>
      </c>
      <c r="B376" s="567">
        <f>VLOOKUP($A$373,$B$226:$G$245,3,FALSE)</f>
        <v>0.3</v>
      </c>
      <c r="C376" s="567">
        <f>VLOOKUP($A$373,$B$226:$G$245,4,FALSE)</f>
        <v>9.9999999999999995E-7</v>
      </c>
      <c r="D376" s="567">
        <f>VLOOKUP($A$373,$B$226:$G$245,5,FALSE)</f>
        <v>0</v>
      </c>
      <c r="E376" s="567">
        <f>VLOOKUP($A$373,$B$226:$G$245,6,FALSE)</f>
        <v>0.14999950000000001</v>
      </c>
      <c r="G376" s="567">
        <f>VLOOKUP($G$373,$J$226:$O$245,2,FALSE)</f>
        <v>35</v>
      </c>
      <c r="H376" s="567">
        <f>VLOOKUP($G$373,$J$226:$O$245,3,FALSE)</f>
        <v>-3.2</v>
      </c>
      <c r="I376" s="567">
        <f>VLOOKUP($G$373,$J$226:$O$245,4,FALSE)</f>
        <v>-0.4</v>
      </c>
      <c r="J376" s="567">
        <f>VLOOKUP($G$373,$J$226:$O$245,5,FALSE)</f>
        <v>0</v>
      </c>
      <c r="K376" s="567">
        <f>VLOOKUP($G$373,$J$226:$O$245,6,FALSE)</f>
        <v>1.4000000000000001</v>
      </c>
      <c r="M376" s="567">
        <f>VLOOKUP($M$373,$R$226:$W$245,2,FALSE)</f>
        <v>960</v>
      </c>
      <c r="N376" s="567">
        <f>VLOOKUP($M$373,$R$226:$W$245,3,FALSE)</f>
        <v>4.4000000000000004</v>
      </c>
      <c r="O376" s="567">
        <f>VLOOKUP($M$373,$R$226:$W$245,4,FALSE)</f>
        <v>-1.5</v>
      </c>
      <c r="P376" s="567">
        <f>VLOOKUP($M$373,$R$226:$W$245,5,FALSE)</f>
        <v>0</v>
      </c>
      <c r="Q376" s="567">
        <f>VLOOKUP($M$373,$R$226:$W$245,6,FALSE)</f>
        <v>2.95</v>
      </c>
      <c r="S376" s="1377"/>
      <c r="T376" s="1378"/>
      <c r="U376" s="1378"/>
      <c r="V376" s="1378"/>
      <c r="W376" s="1379"/>
      <c r="Z376" s="571"/>
    </row>
    <row r="377" spans="1:31" ht="13">
      <c r="A377" s="567">
        <f>VLOOKUP($A$373,$B$247:$G$266,2,FALSE)</f>
        <v>20</v>
      </c>
      <c r="B377" s="567">
        <f>VLOOKUP($A$373,$B$247:$G$266,3,FALSE)</f>
        <v>0.2</v>
      </c>
      <c r="C377" s="567">
        <f>VLOOKUP($A$373,$B$247:$G$266,4,FALSE)</f>
        <v>-0.1</v>
      </c>
      <c r="D377" s="567">
        <f>VLOOKUP($A$373,$B$247:$G$266,5,FALSE)</f>
        <v>0</v>
      </c>
      <c r="E377" s="567">
        <f>VLOOKUP($A$373,$B$247:$G$266,6,FALSE)</f>
        <v>0.15000000000000002</v>
      </c>
      <c r="G377" s="567">
        <f>VLOOKUP($G$373,$J$247:$O$266,2,FALSE)</f>
        <v>40</v>
      </c>
      <c r="H377" s="567">
        <f>VLOOKUP($G$373,$J$247:$O$266,3,FALSE)</f>
        <v>-2.9</v>
      </c>
      <c r="I377" s="567">
        <f>VLOOKUP($G$373,$J$247:$O$266,4,FALSE)</f>
        <v>-0.2</v>
      </c>
      <c r="J377" s="567">
        <f>VLOOKUP($G$373,$J$247:$O$266,5,FALSE)</f>
        <v>0</v>
      </c>
      <c r="K377" s="567">
        <f>VLOOKUP($G$373,$J$247:$O$266,6,FALSE)</f>
        <v>1.3499999999999999</v>
      </c>
      <c r="M377" s="567">
        <f>VLOOKUP($M$373,$R$247:$W$266,2,FALSE)</f>
        <v>970</v>
      </c>
      <c r="N377" s="567">
        <f>VLOOKUP($M$373,$R$247:$W$266,3,FALSE)</f>
        <v>4.4000000000000004</v>
      </c>
      <c r="O377" s="567">
        <f>VLOOKUP($M$373,$R$247:$W$266,4,FALSE)</f>
        <v>-1.3</v>
      </c>
      <c r="P377" s="567">
        <f>VLOOKUP($M$373,$R$247:$W$266,5,FALSE)</f>
        <v>0</v>
      </c>
      <c r="Q377" s="567">
        <f>VLOOKUP($M$373,$R$247:$W$266,6,FALSE)</f>
        <v>2.85</v>
      </c>
      <c r="S377" s="591" t="s">
        <v>434</v>
      </c>
      <c r="T377" s="592">
        <f>ID!F17</f>
        <v>25.1</v>
      </c>
      <c r="U377" s="342">
        <f>T377+S386</f>
        <v>25.392605438401777</v>
      </c>
      <c r="V377" s="592">
        <f>STDEV(ID!D17:E17)</f>
        <v>0.141421356237309</v>
      </c>
      <c r="W377" s="593">
        <f>VLOOKUP(S373,Y225:Z244,2,(FALSE))</f>
        <v>0.6</v>
      </c>
      <c r="Z377" s="571"/>
    </row>
    <row r="378" spans="1:31" ht="13">
      <c r="A378" s="567">
        <f>VLOOKUP($A$373,$B$268:$G$287,2,FALSE)</f>
        <v>25</v>
      </c>
      <c r="B378" s="567">
        <f>VLOOKUP($A$373,$B$268:$G$287,3,FALSE)</f>
        <v>0.2</v>
      </c>
      <c r="C378" s="567">
        <f>VLOOKUP($A$373,$B$268:$G$287,4,FALSE)</f>
        <v>-0.2</v>
      </c>
      <c r="D378" s="567">
        <f>VLOOKUP($A$373,$B$268:$G$287,5,FALSE)</f>
        <v>0</v>
      </c>
      <c r="E378" s="567">
        <f>VLOOKUP($A$373,$B$268:$G$287,6,FALSE)</f>
        <v>0.2</v>
      </c>
      <c r="G378" s="567">
        <f>VLOOKUP($G$373,$J$268:$O$287,2,FALSE)</f>
        <v>50</v>
      </c>
      <c r="H378" s="567">
        <f>VLOOKUP($G$373,$J$268:$O$287,3,FALSE)</f>
        <v>-2.4</v>
      </c>
      <c r="I378" s="567">
        <f>VLOOKUP($G$373,$J$268:$O$287,4,FALSE)</f>
        <v>-0.2</v>
      </c>
      <c r="J378" s="567">
        <f>VLOOKUP($G$373,$J$268:$O$287,5,FALSE)</f>
        <v>0</v>
      </c>
      <c r="K378" s="567">
        <f>VLOOKUP($G$373,$J$268:$O$287,6,FALSE)</f>
        <v>1.0999999999999999</v>
      </c>
      <c r="M378" s="567">
        <f>VLOOKUP($M$373,$R$268:$W$287,2,FALSE)</f>
        <v>980</v>
      </c>
      <c r="N378" s="567">
        <f>VLOOKUP($M$373,$R$268:$W$287,3,FALSE)</f>
        <v>4.3</v>
      </c>
      <c r="O378" s="567">
        <f>VLOOKUP($M$373,$R$268:$W$287,4,FALSE)</f>
        <v>-1.1000000000000001</v>
      </c>
      <c r="P378" s="567">
        <f>VLOOKUP($M$373,$R$268:$W$287,5,FALSE)</f>
        <v>0</v>
      </c>
      <c r="Q378" s="567">
        <f>VLOOKUP($M$373,$R$268:$W$287,6,FALSE)</f>
        <v>2.7</v>
      </c>
      <c r="S378" s="591" t="s">
        <v>18</v>
      </c>
      <c r="T378" s="592">
        <f>ID!F18</f>
        <v>63.85</v>
      </c>
      <c r="U378" s="342">
        <f>T378+T386</f>
        <v>61.268654390934842</v>
      </c>
      <c r="V378" s="592">
        <f>STDEV(ID!D18:E18)</f>
        <v>0.21213203435596223</v>
      </c>
      <c r="W378" s="593">
        <f>VLOOKUP(S373,Y249:Z268,2,(FALSE))</f>
        <v>2.2999999999999998</v>
      </c>
      <c r="Z378" s="571"/>
    </row>
    <row r="379" spans="1:31" ht="13.5" thickBot="1">
      <c r="A379" s="567">
        <f>VLOOKUP($A$373,$B$289:$G$308,2,FALSE)</f>
        <v>30</v>
      </c>
      <c r="B379" s="567">
        <f>VLOOKUP($A$373,$B$289:$G$308,3,FALSE)</f>
        <v>0.3</v>
      </c>
      <c r="C379" s="567">
        <f>VLOOKUP($A$373,$B$289:$G$308,4,FALSE)</f>
        <v>-0.2</v>
      </c>
      <c r="D379" s="567">
        <f>VLOOKUP($A$373,$B$289:$G$308,5,FALSE)</f>
        <v>0</v>
      </c>
      <c r="E379" s="567">
        <f>VLOOKUP($A$373,$B$289:$G$308,6,FALSE)</f>
        <v>0.25</v>
      </c>
      <c r="G379" s="567">
        <f>VLOOKUP($G$373,$J$289:$O$308,2,FALSE)</f>
        <v>60</v>
      </c>
      <c r="H379" s="567">
        <f>VLOOKUP($G$373,$J$289:$O$308,3,FALSE)</f>
        <v>-2.1</v>
      </c>
      <c r="I379" s="567">
        <f>VLOOKUP($G$373,$J$289:$O$308,4,FALSE)</f>
        <v>-0.2</v>
      </c>
      <c r="J379" s="567">
        <f>VLOOKUP($G$373,$J$289:$O$308,5,FALSE)</f>
        <v>0</v>
      </c>
      <c r="K379" s="567">
        <f>VLOOKUP($G$373,$J$289:$O$308,6,FALSE)</f>
        <v>0.95000000000000007</v>
      </c>
      <c r="M379" s="567">
        <f>VLOOKUP($M$373,$R$289:$W$308,2,FALSE)</f>
        <v>990</v>
      </c>
      <c r="N379" s="567">
        <f>VLOOKUP($M$373,$R$289:$W$308,3,FALSE)</f>
        <v>4.3</v>
      </c>
      <c r="O379" s="567">
        <f>VLOOKUP($M$373,$R$289:$W$308,4,FALSE)</f>
        <v>-0.9</v>
      </c>
      <c r="P379" s="567">
        <f>VLOOKUP($M$373,$R$289:$W$308,5,FALSE)</f>
        <v>0</v>
      </c>
      <c r="Q379" s="567">
        <f>VLOOKUP($M$373,$R$289:$W$308,6,FALSE)</f>
        <v>2.6</v>
      </c>
      <c r="S379" s="594" t="s">
        <v>439</v>
      </c>
      <c r="T379" s="595">
        <v>1011.55</v>
      </c>
      <c r="U379" s="596">
        <f>T379+U386</f>
        <v>1014.2032857142857</v>
      </c>
      <c r="V379" s="595">
        <v>2.0506096654409718</v>
      </c>
      <c r="W379" s="597">
        <f>VLOOKUP(S373,Y273:Z292,2,(FALSE))</f>
        <v>2.1</v>
      </c>
      <c r="Z379" s="571"/>
      <c r="AE379" s="598"/>
    </row>
    <row r="380" spans="1:31" ht="13.5" thickBot="1">
      <c r="A380" s="567">
        <f>VLOOKUP($A$373,$B$310:$G$329,2,FALSE)</f>
        <v>35</v>
      </c>
      <c r="B380" s="567">
        <f>VLOOKUP($A$373,$B$310:$G$329,3,FALSE)</f>
        <v>0.4</v>
      </c>
      <c r="C380" s="567">
        <f>VLOOKUP($A$373,$B$310:$G$329,4,FALSE)</f>
        <v>-0.3</v>
      </c>
      <c r="D380" s="567">
        <f>VLOOKUP($A$373,$B$310:$G$329,5,FALSE)</f>
        <v>0</v>
      </c>
      <c r="E380" s="567">
        <f>VLOOKUP($A$373,$B$310:$G$329,6,FALSE)</f>
        <v>0.35</v>
      </c>
      <c r="G380" s="567">
        <f>VLOOKUP($G$373,$J$310:$O$329,2,FALSE)</f>
        <v>70</v>
      </c>
      <c r="H380" s="567">
        <f>VLOOKUP($G$373,$J$310:$O$329,3,FALSE)</f>
        <v>-2.2000000000000002</v>
      </c>
      <c r="I380" s="567">
        <f>VLOOKUP($G$373,$J$310:$O$329,4,FALSE)</f>
        <v>-0.3</v>
      </c>
      <c r="J380" s="567">
        <f>VLOOKUP($G$373,$J$310:$O$329,5,FALSE)</f>
        <v>0</v>
      </c>
      <c r="K380" s="567">
        <f>VLOOKUP($G$373,$J$310:$O$329,6,FALSE)</f>
        <v>0.95000000000000007</v>
      </c>
      <c r="M380" s="567">
        <f>VLOOKUP($M$373,$R$310:$W$329,2,FALSE)</f>
        <v>1000</v>
      </c>
      <c r="N380" s="567">
        <f>VLOOKUP($M$373,$R$310:$W$329,3,FALSE)</f>
        <v>4.3</v>
      </c>
      <c r="O380" s="567">
        <f>VLOOKUP($M$373,$R$310:$W$329,4,FALSE)</f>
        <v>-0.8</v>
      </c>
      <c r="P380" s="567">
        <f>VLOOKUP($M$373,$R$310:$W$329,5,FALSE)</f>
        <v>0</v>
      </c>
      <c r="Q380" s="567">
        <f>VLOOKUP($M$373,$R$310:$W$329,6,FALSE)</f>
        <v>2.5499999999999998</v>
      </c>
      <c r="S380" s="542"/>
      <c r="W380" s="599"/>
      <c r="Z380" s="571"/>
      <c r="AE380" s="600"/>
    </row>
    <row r="381" spans="1:31" ht="14">
      <c r="A381" s="567">
        <f>VLOOKUP($A$373,$B$331:$G$350,2,FALSE)</f>
        <v>37</v>
      </c>
      <c r="B381" s="567">
        <f>VLOOKUP($A$373,$B$331:$G$350,3,FALSE)</f>
        <v>0.4</v>
      </c>
      <c r="C381" s="567">
        <f>VLOOKUP($A$373,$B$331:$G$350,4,FALSE)</f>
        <v>-0.3</v>
      </c>
      <c r="D381" s="567">
        <f>VLOOKUP($A$373,$B$331:$G$350,5,FALSE)</f>
        <v>0</v>
      </c>
      <c r="E381" s="567">
        <f>VLOOKUP($A$373,$B$331:$G$350,6,FALSE)</f>
        <v>0.35</v>
      </c>
      <c r="G381" s="567">
        <f>VLOOKUP($G$373,$J$331:$O$350,2,FALSE)</f>
        <v>80</v>
      </c>
      <c r="H381" s="567">
        <f>VLOOKUP($G$373,$J$331:$O$350,3,FALSE)</f>
        <v>-2.4</v>
      </c>
      <c r="I381" s="567">
        <f>VLOOKUP($G$373,$J$331:$O$350,4,FALSE)</f>
        <v>-0.5</v>
      </c>
      <c r="J381" s="567">
        <f>VLOOKUP($G$373,$J$331:$O$350,5,FALSE)</f>
        <v>0</v>
      </c>
      <c r="K381" s="567">
        <f>VLOOKUP($G$373,$J$331:$O$350,6,FALSE)</f>
        <v>0.95</v>
      </c>
      <c r="M381" s="567">
        <f>VLOOKUP($M$373,$R$331:$W$350,2,FALSE)</f>
        <v>1010</v>
      </c>
      <c r="N381" s="567">
        <f>VLOOKUP($M$373,$R$331:$W$350,3,FALSE)</f>
        <v>4.2</v>
      </c>
      <c r="O381" s="567">
        <f>VLOOKUP($M$373,$R$331:$W$350,4,FALSE)</f>
        <v>-0.7</v>
      </c>
      <c r="P381" s="567">
        <f>VLOOKUP($M$373,$R$331:$W$350,5,FALSE)</f>
        <v>0</v>
      </c>
      <c r="Q381" s="567">
        <f>VLOOKUP($M$373,$R$331:$W$350,6,FALSE)</f>
        <v>2.4500000000000002</v>
      </c>
      <c r="S381" s="1380" t="s">
        <v>464</v>
      </c>
      <c r="T381" s="601" t="str">
        <f>N393&amp;N390&amp;O393&amp;O390&amp;P393&amp;P390</f>
        <v>( 25.4 ± 0.6 ) °C</v>
      </c>
      <c r="U381" s="602"/>
      <c r="W381" s="599"/>
      <c r="Z381" s="571"/>
      <c r="AE381" s="603"/>
    </row>
    <row r="382" spans="1:31" ht="14">
      <c r="A382" s="567">
        <f>VLOOKUP($A$373,$B$352:$G$371,2,FALSE)</f>
        <v>40</v>
      </c>
      <c r="B382" s="567">
        <f>VLOOKUP($A$373,$B$352:$G$371,3,FALSE)</f>
        <v>0.5</v>
      </c>
      <c r="C382" s="567">
        <f>VLOOKUP($A$373,$B$352:$G$371,4,FALSE)</f>
        <v>-0.4</v>
      </c>
      <c r="D382" s="567">
        <f>VLOOKUP($A$373,$B$352:$G$371,5,FALSE)</f>
        <v>0</v>
      </c>
      <c r="E382" s="567">
        <f>VLOOKUP($A$373,$B$352:$G$371,6,FALSE)</f>
        <v>0.45</v>
      </c>
      <c r="G382" s="567">
        <f>VLOOKUP($G$373,$J$352:$O$371,2,FALSE)</f>
        <v>90</v>
      </c>
      <c r="H382" s="567">
        <f>VLOOKUP($G$373,$J$352:$O$371,3,FALSE)</f>
        <v>-3</v>
      </c>
      <c r="I382" s="567">
        <f>VLOOKUP($G$373,$J$352:$O$371,4,FALSE)</f>
        <v>-0.8</v>
      </c>
      <c r="J382" s="567">
        <f>VLOOKUP($G$373,$J$352:$O$371,5,FALSE)</f>
        <v>0</v>
      </c>
      <c r="K382" s="567">
        <f>VLOOKUP($G$373,$J$352:$O$371,6,FALSE)</f>
        <v>1.1000000000000001</v>
      </c>
      <c r="M382" s="567">
        <f>VLOOKUP($M$373,$R$352:$W$371,2,FALSE)</f>
        <v>1020</v>
      </c>
      <c r="N382" s="567">
        <f>VLOOKUP($M$373,$R$352:$W$371,3,FALSE)</f>
        <v>0</v>
      </c>
      <c r="O382" s="567">
        <f>VLOOKUP($M$373,$R$352:$W$371,4,FALSE)</f>
        <v>9.9999999999999995E-7</v>
      </c>
      <c r="P382" s="567">
        <f>VLOOKUP($M$373,$R$352:$W$371,5,FALSE)</f>
        <v>0</v>
      </c>
      <c r="Q382" s="567">
        <f>VLOOKUP($M$373,$R$352:$W$371,6,FALSE)</f>
        <v>4.9999999999999998E-7</v>
      </c>
      <c r="S382" s="1381"/>
      <c r="T382" s="534" t="str">
        <f>N393&amp;N391&amp;O393&amp;O391&amp;P393&amp;P391</f>
        <v>( 61.3 ± 2.3 ) %RH</v>
      </c>
      <c r="U382" s="604"/>
      <c r="W382" s="599"/>
      <c r="Z382" s="571"/>
      <c r="AE382" s="603"/>
    </row>
    <row r="383" spans="1:31" ht="14.5" thickBot="1">
      <c r="A383" s="605"/>
      <c r="B383" s="571"/>
      <c r="C383" s="571"/>
      <c r="D383" s="571"/>
      <c r="E383" s="571"/>
      <c r="G383" s="571"/>
      <c r="H383" s="571"/>
      <c r="I383" s="571"/>
      <c r="J383" s="571"/>
      <c r="M383" s="571"/>
      <c r="N383" s="571"/>
      <c r="O383" s="571"/>
      <c r="P383" s="571"/>
      <c r="S383" s="1382"/>
      <c r="T383" s="606" t="str">
        <f>N393&amp;N392&amp;O393&amp;O392&amp;P393&amp;P392</f>
        <v>( 1014.2 ± 2.1 ) hPa</v>
      </c>
      <c r="U383" s="607"/>
      <c r="W383" s="599"/>
      <c r="Z383" s="571"/>
      <c r="AE383" s="603"/>
    </row>
    <row r="385" spans="1:21" ht="37.5">
      <c r="S385" s="608" t="s">
        <v>465</v>
      </c>
      <c r="T385" s="608" t="s">
        <v>466</v>
      </c>
      <c r="U385" s="609" t="s">
        <v>467</v>
      </c>
    </row>
    <row r="386" spans="1:21">
      <c r="S386" s="609">
        <f>FORECAST(T377,B376:B382,A376:A382)</f>
        <v>0.29260543840177577</v>
      </c>
      <c r="T386" s="609">
        <f>FORECAST(T378,H376:H382,G376:G382)</f>
        <v>-2.5813456090651563</v>
      </c>
      <c r="U386" s="609">
        <f>FORECAST(T379,N376:N382,M376:M382)</f>
        <v>2.6532857142857154</v>
      </c>
    </row>
    <row r="388" spans="1:21" ht="13" thickBot="1"/>
    <row r="389" spans="1:21" ht="13">
      <c r="A389" s="1372" t="str">
        <f>ID!B115</f>
        <v>Thermohygrolight, Merek : EXTECH, Model : SD700, SN : A.100618</v>
      </c>
      <c r="B389" s="1372"/>
      <c r="C389" s="1372"/>
      <c r="D389" s="1372"/>
      <c r="E389" s="1372"/>
      <c r="F389" s="1372"/>
      <c r="G389" s="1372"/>
      <c r="H389" s="1372"/>
      <c r="I389" s="1372"/>
      <c r="J389" s="1372"/>
      <c r="K389" s="1372"/>
      <c r="L389" s="1372"/>
      <c r="N389" s="1373" t="s">
        <v>468</v>
      </c>
      <c r="O389" s="1374"/>
      <c r="P389" s="1375"/>
    </row>
    <row r="390" spans="1:21" ht="15.5">
      <c r="A390" s="610" t="s">
        <v>469</v>
      </c>
      <c r="B390" s="553"/>
      <c r="C390" s="553"/>
      <c r="D390" s="610"/>
      <c r="E390" s="610"/>
      <c r="F390" s="610"/>
      <c r="G390" s="610"/>
      <c r="H390" s="610"/>
      <c r="I390" s="611">
        <f>D4</f>
        <v>2023</v>
      </c>
      <c r="J390" s="611">
        <f>E4</f>
        <v>2021</v>
      </c>
      <c r="K390" s="611">
        <f>F4</f>
        <v>2020</v>
      </c>
      <c r="L390" s="611">
        <v>1</v>
      </c>
      <c r="N390" s="612" t="str">
        <f>TEXT(U377,"0.0")</f>
        <v>25.4</v>
      </c>
      <c r="O390" s="613" t="str">
        <f>TEXT(W377,"0.0")</f>
        <v>0.6</v>
      </c>
      <c r="P390" s="614" t="s">
        <v>253</v>
      </c>
    </row>
    <row r="391" spans="1:21" ht="15.5">
      <c r="A391" s="610" t="s">
        <v>470</v>
      </c>
      <c r="B391" s="553"/>
      <c r="C391" s="553"/>
      <c r="D391" s="610"/>
      <c r="E391" s="610"/>
      <c r="F391" s="610"/>
      <c r="G391" s="610"/>
      <c r="H391" s="610"/>
      <c r="I391" s="611">
        <f>D15</f>
        <v>2023</v>
      </c>
      <c r="J391" s="611">
        <f>E15</f>
        <v>2021</v>
      </c>
      <c r="K391" s="611">
        <f>F15</f>
        <v>2018</v>
      </c>
      <c r="L391" s="611">
        <v>2</v>
      </c>
      <c r="N391" s="615" t="str">
        <f>TEXT(U378,"0.0")</f>
        <v>61.3</v>
      </c>
      <c r="O391" s="613" t="str">
        <f>TEXT(W378,"0.0")</f>
        <v>2.3</v>
      </c>
      <c r="P391" s="614" t="s">
        <v>471</v>
      </c>
    </row>
    <row r="392" spans="1:21" ht="15.5">
      <c r="A392" s="610" t="s">
        <v>472</v>
      </c>
      <c r="B392" s="553"/>
      <c r="C392" s="553"/>
      <c r="D392" s="610"/>
      <c r="E392" s="610"/>
      <c r="F392" s="610"/>
      <c r="G392" s="610"/>
      <c r="H392" s="610"/>
      <c r="I392" s="611">
        <f>D26</f>
        <v>2023</v>
      </c>
      <c r="J392" s="611">
        <f>E26</f>
        <v>2021</v>
      </c>
      <c r="K392" s="611">
        <f>F26</f>
        <v>2018</v>
      </c>
      <c r="L392" s="611">
        <v>3</v>
      </c>
      <c r="N392" s="615" t="str">
        <f>TEXT(U379,"0.0")</f>
        <v>1014.2</v>
      </c>
      <c r="O392" s="613" t="str">
        <f>TEXT(W379,"0.0")</f>
        <v>2.1</v>
      </c>
      <c r="P392" s="616" t="s">
        <v>473</v>
      </c>
    </row>
    <row r="393" spans="1:21" ht="16" thickBot="1">
      <c r="A393" s="610" t="s">
        <v>474</v>
      </c>
      <c r="B393" s="553"/>
      <c r="C393" s="553"/>
      <c r="D393" s="610"/>
      <c r="E393" s="610"/>
      <c r="F393" s="610"/>
      <c r="G393" s="610"/>
      <c r="H393" s="610"/>
      <c r="I393" s="611">
        <f>D37</f>
        <v>2019</v>
      </c>
      <c r="J393" s="611">
        <f>E37</f>
        <v>2017</v>
      </c>
      <c r="K393" s="611">
        <f>F37</f>
        <v>2016</v>
      </c>
      <c r="L393" s="611">
        <v>4</v>
      </c>
      <c r="N393" s="617" t="s">
        <v>475</v>
      </c>
      <c r="O393" s="618" t="s">
        <v>476</v>
      </c>
      <c r="P393" s="619" t="s">
        <v>477</v>
      </c>
    </row>
    <row r="394" spans="1:21" ht="13">
      <c r="A394" s="610" t="s">
        <v>478</v>
      </c>
      <c r="B394" s="553"/>
      <c r="C394" s="553"/>
      <c r="D394" s="610"/>
      <c r="E394" s="610"/>
      <c r="F394" s="610"/>
      <c r="G394" s="610"/>
      <c r="H394" s="610"/>
      <c r="I394" s="611">
        <f>D48</f>
        <v>2023</v>
      </c>
      <c r="J394" s="611">
        <f>E48</f>
        <v>2021</v>
      </c>
      <c r="K394" s="611">
        <f>F48</f>
        <v>2020</v>
      </c>
      <c r="L394" s="611">
        <v>5</v>
      </c>
    </row>
    <row r="395" spans="1:21" ht="13">
      <c r="A395" s="610" t="s">
        <v>479</v>
      </c>
      <c r="B395" s="553"/>
      <c r="C395" s="553"/>
      <c r="D395" s="610"/>
      <c r="E395" s="610"/>
      <c r="F395" s="610"/>
      <c r="G395" s="610"/>
      <c r="H395" s="610"/>
      <c r="I395" s="611">
        <f>D59</f>
        <v>2019</v>
      </c>
      <c r="J395" s="611">
        <f>E59</f>
        <v>2018</v>
      </c>
      <c r="K395" s="611">
        <f>F59</f>
        <v>2016</v>
      </c>
      <c r="L395" s="611">
        <v>6</v>
      </c>
    </row>
    <row r="396" spans="1:21" ht="13">
      <c r="A396" s="610" t="s">
        <v>480</v>
      </c>
      <c r="B396" s="553"/>
      <c r="C396" s="553"/>
      <c r="D396" s="610"/>
      <c r="E396" s="610"/>
      <c r="F396" s="610"/>
      <c r="G396" s="610"/>
      <c r="H396" s="610"/>
      <c r="I396" s="611">
        <f>D70</f>
        <v>2021</v>
      </c>
      <c r="J396" s="611">
        <f>E70</f>
        <v>2018</v>
      </c>
      <c r="K396" s="611">
        <f>F70</f>
        <v>2016</v>
      </c>
      <c r="L396" s="611">
        <v>7</v>
      </c>
    </row>
    <row r="397" spans="1:21" ht="13">
      <c r="A397" s="610" t="s">
        <v>481</v>
      </c>
      <c r="B397" s="553"/>
      <c r="C397" s="553"/>
      <c r="D397" s="610"/>
      <c r="E397" s="610"/>
      <c r="F397" s="610"/>
      <c r="G397" s="610"/>
      <c r="H397" s="610"/>
      <c r="I397" s="611">
        <f>D81</f>
        <v>2023</v>
      </c>
      <c r="J397" s="611">
        <f>E81</f>
        <v>2021</v>
      </c>
      <c r="K397" s="611">
        <f>F81</f>
        <v>2019</v>
      </c>
      <c r="L397" s="611">
        <v>8</v>
      </c>
    </row>
    <row r="398" spans="1:21" ht="13">
      <c r="A398" s="610" t="s">
        <v>482</v>
      </c>
      <c r="B398" s="553"/>
      <c r="C398" s="553"/>
      <c r="D398" s="610"/>
      <c r="E398" s="610"/>
      <c r="F398" s="610"/>
      <c r="G398" s="610"/>
      <c r="H398" s="610"/>
      <c r="I398" s="611">
        <f>D92</f>
        <v>2019</v>
      </c>
      <c r="J398" s="611" t="str">
        <f>E92</f>
        <v>-</v>
      </c>
      <c r="K398" s="611">
        <f>F92</f>
        <v>2016</v>
      </c>
      <c r="L398" s="611">
        <v>9</v>
      </c>
    </row>
    <row r="399" spans="1:21" ht="13">
      <c r="A399" s="610" t="s">
        <v>483</v>
      </c>
      <c r="B399" s="553"/>
      <c r="C399" s="553"/>
      <c r="D399" s="610"/>
      <c r="E399" s="610"/>
      <c r="F399" s="610"/>
      <c r="G399" s="610"/>
      <c r="H399" s="610"/>
      <c r="I399" s="611">
        <f>D103</f>
        <v>2019</v>
      </c>
      <c r="J399" s="611">
        <f>E103</f>
        <v>2016</v>
      </c>
      <c r="K399" s="611">
        <f>F103</f>
        <v>2016</v>
      </c>
      <c r="L399" s="611">
        <v>10</v>
      </c>
    </row>
    <row r="400" spans="1:21" ht="13">
      <c r="A400" s="610" t="s">
        <v>484</v>
      </c>
      <c r="B400" s="553"/>
      <c r="C400" s="553"/>
      <c r="D400" s="610"/>
      <c r="E400" s="610"/>
      <c r="F400" s="610"/>
      <c r="G400" s="610"/>
      <c r="H400" s="610"/>
      <c r="I400" s="611">
        <f>D114</f>
        <v>2020</v>
      </c>
      <c r="J400" s="611">
        <f>E114</f>
        <v>2016</v>
      </c>
      <c r="K400" s="611">
        <f>F114</f>
        <v>2016</v>
      </c>
      <c r="L400" s="611">
        <v>11</v>
      </c>
    </row>
    <row r="401" spans="1:12" ht="13">
      <c r="A401" s="610" t="s">
        <v>485</v>
      </c>
      <c r="B401" s="553"/>
      <c r="C401" s="553"/>
      <c r="D401" s="610"/>
      <c r="E401" s="610"/>
      <c r="F401" s="610"/>
      <c r="G401" s="610"/>
      <c r="H401" s="610"/>
      <c r="I401" s="611">
        <f>D125</f>
        <v>2023</v>
      </c>
      <c r="J401" s="611">
        <f>E125</f>
        <v>2020</v>
      </c>
      <c r="K401" s="611">
        <f>F125</f>
        <v>2016</v>
      </c>
      <c r="L401" s="611">
        <v>12</v>
      </c>
    </row>
    <row r="402" spans="1:12" ht="13">
      <c r="A402" s="610" t="s">
        <v>486</v>
      </c>
      <c r="B402" s="553"/>
      <c r="C402" s="553"/>
      <c r="D402" s="610"/>
      <c r="E402" s="610"/>
      <c r="F402" s="610"/>
      <c r="G402" s="610"/>
      <c r="H402" s="610"/>
      <c r="I402" s="611">
        <f>D136</f>
        <v>2023</v>
      </c>
      <c r="J402" s="611">
        <f>E136</f>
        <v>2022</v>
      </c>
      <c r="K402" s="611">
        <f>F136</f>
        <v>2020</v>
      </c>
      <c r="L402" s="611">
        <v>13</v>
      </c>
    </row>
    <row r="403" spans="1:12" ht="13">
      <c r="A403" s="610" t="s">
        <v>487</v>
      </c>
      <c r="B403" s="553"/>
      <c r="C403" s="553"/>
      <c r="D403" s="610"/>
      <c r="E403" s="610"/>
      <c r="F403" s="610"/>
      <c r="G403" s="610"/>
      <c r="H403" s="610"/>
      <c r="I403" s="611">
        <f>D147</f>
        <v>2023</v>
      </c>
      <c r="J403" s="611">
        <f>E147</f>
        <v>2022</v>
      </c>
      <c r="K403" s="611">
        <f>F147</f>
        <v>2020</v>
      </c>
      <c r="L403" s="611">
        <v>14</v>
      </c>
    </row>
    <row r="404" spans="1:12" ht="13">
      <c r="A404" s="610" t="s">
        <v>488</v>
      </c>
      <c r="B404" s="553"/>
      <c r="C404" s="553"/>
      <c r="D404" s="610"/>
      <c r="E404" s="610"/>
      <c r="F404" s="610"/>
      <c r="G404" s="610"/>
      <c r="H404" s="610"/>
      <c r="I404" s="611">
        <f>D158</f>
        <v>2023</v>
      </c>
      <c r="J404" s="611">
        <f>E158</f>
        <v>2022</v>
      </c>
      <c r="K404" s="611">
        <f>F158</f>
        <v>2020</v>
      </c>
      <c r="L404" s="611">
        <v>15</v>
      </c>
    </row>
    <row r="405" spans="1:12" ht="13">
      <c r="A405" s="610" t="s">
        <v>489</v>
      </c>
      <c r="B405" s="553"/>
      <c r="C405" s="553"/>
      <c r="D405" s="610"/>
      <c r="E405" s="610"/>
      <c r="F405" s="610"/>
      <c r="G405" s="610"/>
      <c r="H405" s="610"/>
      <c r="I405" s="611">
        <f>D169</f>
        <v>2023</v>
      </c>
      <c r="J405" s="611">
        <f>E169</f>
        <v>2020</v>
      </c>
      <c r="K405" s="611">
        <f>F169</f>
        <v>2016</v>
      </c>
      <c r="L405" s="611">
        <v>16</v>
      </c>
    </row>
    <row r="406" spans="1:12" ht="13">
      <c r="A406" s="610" t="s">
        <v>246</v>
      </c>
      <c r="B406" s="553"/>
      <c r="C406" s="553"/>
      <c r="D406" s="610"/>
      <c r="E406" s="610"/>
      <c r="F406" s="610"/>
      <c r="G406" s="610"/>
      <c r="H406" s="610"/>
      <c r="I406" s="611">
        <f>D180</f>
        <v>2023</v>
      </c>
      <c r="J406" s="611">
        <f>E180</f>
        <v>2020</v>
      </c>
      <c r="K406" s="611">
        <f>F180</f>
        <v>2016</v>
      </c>
      <c r="L406" s="611">
        <v>17</v>
      </c>
    </row>
    <row r="407" spans="1:12" ht="13">
      <c r="A407" s="610" t="s">
        <v>490</v>
      </c>
      <c r="B407" s="553"/>
      <c r="C407" s="553"/>
      <c r="D407" s="610"/>
      <c r="E407" s="610"/>
      <c r="F407" s="610"/>
      <c r="G407" s="610"/>
      <c r="H407" s="610"/>
      <c r="I407" s="611">
        <f>D191</f>
        <v>2023</v>
      </c>
      <c r="J407" s="611">
        <f>E191</f>
        <v>2020</v>
      </c>
      <c r="K407" s="611">
        <f>F191</f>
        <v>2016</v>
      </c>
      <c r="L407" s="611">
        <v>18</v>
      </c>
    </row>
    <row r="408" spans="1:12" ht="13">
      <c r="A408" s="610" t="s">
        <v>491</v>
      </c>
      <c r="B408" s="553"/>
      <c r="C408" s="553"/>
      <c r="D408" s="610"/>
      <c r="E408" s="610"/>
      <c r="F408" s="610"/>
      <c r="G408" s="610"/>
      <c r="H408" s="610"/>
      <c r="I408" s="611">
        <v>2021</v>
      </c>
      <c r="J408" s="611">
        <f>E202</f>
        <v>2021</v>
      </c>
      <c r="K408" s="611">
        <f>F202</f>
        <v>2016</v>
      </c>
      <c r="L408" s="611">
        <v>19</v>
      </c>
    </row>
    <row r="409" spans="1:12" ht="13">
      <c r="A409" s="620">
        <v>20</v>
      </c>
      <c r="B409" s="553"/>
      <c r="C409" s="553"/>
      <c r="D409" s="610"/>
      <c r="E409" s="610"/>
      <c r="F409" s="610"/>
      <c r="G409" s="610"/>
      <c r="H409" s="610"/>
      <c r="I409" s="611">
        <f>D213</f>
        <v>2017</v>
      </c>
      <c r="J409" s="611" t="str">
        <f>E213</f>
        <v>-</v>
      </c>
      <c r="K409" s="611">
        <f>F213</f>
        <v>2016</v>
      </c>
      <c r="L409" s="611">
        <v>20</v>
      </c>
    </row>
    <row r="410" spans="1:12" ht="13">
      <c r="A410" s="1376">
        <f>VLOOKUP(A389,A390:L409,12,(FALSE))</f>
        <v>18</v>
      </c>
      <c r="B410" s="1376"/>
      <c r="C410" s="1376"/>
      <c r="D410" s="1376"/>
      <c r="E410" s="1376"/>
      <c r="F410" s="1376"/>
      <c r="G410" s="1376"/>
      <c r="H410" s="1376"/>
      <c r="I410" s="1376"/>
      <c r="J410" s="1376"/>
      <c r="K410" s="1376"/>
      <c r="L410" s="1376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DED-9106-454F-824F-EEBB0963EF95}">
  <sheetPr codeName="Sheet10"/>
  <dimension ref="A4:BE71"/>
  <sheetViews>
    <sheetView tabSelected="1" topLeftCell="A32" zoomScale="70" zoomScaleNormal="70" workbookViewId="0">
      <selection activeCell="E42" sqref="E42"/>
    </sheetView>
  </sheetViews>
  <sheetFormatPr defaultColWidth="9.1796875" defaultRowHeight="12.5"/>
  <cols>
    <col min="1" max="1" width="95.54296875" customWidth="1"/>
  </cols>
  <sheetData>
    <row r="4" spans="1:15" ht="15.5">
      <c r="A4" s="19" t="s">
        <v>382</v>
      </c>
      <c r="B4" s="622" t="s">
        <v>168</v>
      </c>
    </row>
    <row r="5" spans="1:15" ht="15.5">
      <c r="A5" s="19" t="s">
        <v>384</v>
      </c>
      <c r="B5" s="622" t="s">
        <v>168</v>
      </c>
      <c r="O5" s="623"/>
    </row>
    <row r="6" spans="1:15" ht="15.5">
      <c r="A6" s="19" t="s">
        <v>94</v>
      </c>
      <c r="B6" s="622" t="s">
        <v>168</v>
      </c>
      <c r="O6" s="621" t="s">
        <v>515</v>
      </c>
    </row>
    <row r="7" spans="1:15" ht="15.5">
      <c r="A7" s="624" t="s">
        <v>403</v>
      </c>
      <c r="B7" s="622" t="s">
        <v>516</v>
      </c>
      <c r="O7" s="621" t="s">
        <v>517</v>
      </c>
    </row>
    <row r="8" spans="1:15" ht="15.5">
      <c r="A8" s="624" t="s">
        <v>404</v>
      </c>
      <c r="B8" s="622" t="s">
        <v>168</v>
      </c>
      <c r="O8" s="621" t="s">
        <v>518</v>
      </c>
    </row>
    <row r="9" spans="1:15" ht="15.5">
      <c r="A9" s="624" t="s">
        <v>405</v>
      </c>
      <c r="B9" s="622" t="s">
        <v>168</v>
      </c>
      <c r="O9" s="621" t="s">
        <v>519</v>
      </c>
    </row>
    <row r="10" spans="1:15" ht="15.5">
      <c r="A10" s="16" t="s">
        <v>520</v>
      </c>
      <c r="B10" s="622" t="s">
        <v>516</v>
      </c>
      <c r="O10" s="621" t="s">
        <v>521</v>
      </c>
    </row>
    <row r="11" spans="1:15" ht="15.5">
      <c r="A11" s="16" t="s">
        <v>243</v>
      </c>
      <c r="B11" s="622" t="s">
        <v>516</v>
      </c>
      <c r="O11" s="621" t="s">
        <v>522</v>
      </c>
    </row>
    <row r="12" spans="1:15" ht="15.5">
      <c r="A12" s="16" t="s">
        <v>523</v>
      </c>
      <c r="B12" s="622" t="s">
        <v>516</v>
      </c>
      <c r="O12" s="621" t="s">
        <v>524</v>
      </c>
    </row>
    <row r="13" spans="1:15" ht="15.5">
      <c r="A13" s="16" t="s">
        <v>525</v>
      </c>
      <c r="B13" s="622" t="s">
        <v>516</v>
      </c>
      <c r="O13" s="621" t="s">
        <v>526</v>
      </c>
    </row>
    <row r="14" spans="1:15" ht="15.5">
      <c r="A14" s="16" t="s">
        <v>527</v>
      </c>
      <c r="B14" s="622" t="s">
        <v>516</v>
      </c>
      <c r="O14" s="621" t="s">
        <v>528</v>
      </c>
    </row>
    <row r="15" spans="1:15" ht="15.5">
      <c r="A15" s="16" t="s">
        <v>529</v>
      </c>
      <c r="B15" s="622" t="s">
        <v>168</v>
      </c>
      <c r="O15" s="621" t="s">
        <v>530</v>
      </c>
    </row>
    <row r="16" spans="1:15" ht="15.5">
      <c r="A16" s="16" t="s">
        <v>531</v>
      </c>
      <c r="B16" s="622" t="s">
        <v>516</v>
      </c>
      <c r="O16" s="621" t="s">
        <v>532</v>
      </c>
    </row>
    <row r="17" spans="1:15" ht="15.5">
      <c r="A17" s="16" t="s">
        <v>533</v>
      </c>
      <c r="B17" s="622" t="s">
        <v>168</v>
      </c>
      <c r="O17" s="621" t="s">
        <v>534</v>
      </c>
    </row>
    <row r="18" spans="1:15" ht="15.5">
      <c r="A18" s="16" t="s">
        <v>535</v>
      </c>
      <c r="B18" s="622" t="s">
        <v>516</v>
      </c>
      <c r="O18" s="621" t="s">
        <v>536</v>
      </c>
    </row>
    <row r="19" spans="1:15" ht="15.5">
      <c r="A19" s="16" t="str">
        <f>A58</f>
        <v>Wireless Temperature Recorder : Merek : HIOKI, Model : LR 8510, SN : 200821396</v>
      </c>
      <c r="B19" s="622" t="s">
        <v>516</v>
      </c>
      <c r="O19" s="621" t="s">
        <v>537</v>
      </c>
    </row>
    <row r="20" spans="1:15" s="715" customFormat="1" ht="15.5">
      <c r="A20" s="713" t="s">
        <v>538</v>
      </c>
      <c r="B20" s="714" t="s">
        <v>168</v>
      </c>
      <c r="O20" s="716" t="s">
        <v>539</v>
      </c>
    </row>
    <row r="21" spans="1:15" s="715" customFormat="1" ht="15.5">
      <c r="A21" s="713" t="s">
        <v>244</v>
      </c>
      <c r="B21" s="714" t="s">
        <v>168</v>
      </c>
      <c r="O21" s="716" t="s">
        <v>540</v>
      </c>
    </row>
    <row r="22" spans="1:15" s="715" customFormat="1" ht="15.5">
      <c r="A22" s="713" t="s">
        <v>541</v>
      </c>
      <c r="B22" s="714" t="s">
        <v>516</v>
      </c>
      <c r="O22" s="716" t="s">
        <v>542</v>
      </c>
    </row>
    <row r="23" spans="1:15" s="715" customFormat="1" ht="15.5">
      <c r="A23" s="713" t="s">
        <v>543</v>
      </c>
      <c r="B23" s="714" t="s">
        <v>168</v>
      </c>
      <c r="O23" s="716" t="s">
        <v>544</v>
      </c>
    </row>
    <row r="24" spans="1:15" s="715" customFormat="1" ht="15.5">
      <c r="A24" s="713" t="s">
        <v>545</v>
      </c>
      <c r="B24" s="714" t="s">
        <v>168</v>
      </c>
      <c r="O24" s="716" t="s">
        <v>546</v>
      </c>
    </row>
    <row r="25" spans="1:15">
      <c r="B25" s="2"/>
      <c r="O25" s="621" t="s">
        <v>547</v>
      </c>
    </row>
    <row r="26" spans="1:15">
      <c r="O26" s="621" t="s">
        <v>548</v>
      </c>
    </row>
    <row r="27" spans="1:15">
      <c r="O27" s="621" t="s">
        <v>549</v>
      </c>
    </row>
    <row r="28" spans="1:15">
      <c r="O28" s="621" t="s">
        <v>550</v>
      </c>
    </row>
    <row r="29" spans="1:15">
      <c r="O29" s="621" t="s">
        <v>248</v>
      </c>
    </row>
    <row r="30" spans="1:15">
      <c r="O30" s="621" t="s">
        <v>551</v>
      </c>
    </row>
    <row r="32" spans="1:15">
      <c r="A32" s="625"/>
      <c r="B32" s="1"/>
    </row>
    <row r="33" spans="1:57">
      <c r="B33" s="1"/>
      <c r="E33" s="1384" t="str">
        <f>ID!H2</f>
        <v>Nomor Sertifikat : 47 /</v>
      </c>
      <c r="F33" s="340"/>
      <c r="G33" s="340"/>
    </row>
    <row r="34" spans="1:57">
      <c r="B34" s="1"/>
      <c r="E34" s="340"/>
      <c r="F34" s="340"/>
      <c r="G34" s="340"/>
    </row>
    <row r="35" spans="1:57">
      <c r="B35" s="1"/>
      <c r="E35" s="340" t="s">
        <v>552</v>
      </c>
      <c r="F35" s="340"/>
      <c r="G35" s="340">
        <v>1</v>
      </c>
    </row>
    <row r="36" spans="1:57">
      <c r="B36" s="1"/>
      <c r="E36" s="340" t="s">
        <v>553</v>
      </c>
      <c r="F36" s="340"/>
      <c r="G36" s="340">
        <v>2</v>
      </c>
    </row>
    <row r="37" spans="1:57">
      <c r="B37" s="1"/>
      <c r="E37" s="340">
        <f>VLOOKUP(E33,E35:G36,3,TRUE)</f>
        <v>1</v>
      </c>
      <c r="F37" s="340"/>
      <c r="G37" s="340"/>
    </row>
    <row r="38" spans="1:57">
      <c r="B38" s="1"/>
    </row>
    <row r="39" spans="1:57">
      <c r="B39" s="1"/>
      <c r="E39" s="340">
        <f>E37</f>
        <v>1</v>
      </c>
      <c r="F39" s="340"/>
      <c r="G39" s="340"/>
      <c r="H39" s="340"/>
      <c r="I39" s="340"/>
      <c r="J39" s="340"/>
      <c r="K39" s="340"/>
    </row>
    <row r="40" spans="1:57" ht="15.5">
      <c r="B40" s="1"/>
      <c r="E40" s="340">
        <v>1</v>
      </c>
      <c r="F40" s="114" t="s">
        <v>554</v>
      </c>
      <c r="G40" s="340"/>
      <c r="H40" s="340"/>
      <c r="I40" s="340"/>
      <c r="J40" s="340"/>
      <c r="K40" s="340"/>
    </row>
    <row r="41" spans="1:57" ht="15.5">
      <c r="B41" s="1"/>
      <c r="E41" s="340">
        <v>2</v>
      </c>
      <c r="F41" s="114" t="s">
        <v>555</v>
      </c>
      <c r="G41" s="340"/>
      <c r="H41" s="340"/>
      <c r="I41" s="340"/>
      <c r="J41" s="340"/>
      <c r="K41" s="340"/>
    </row>
    <row r="42" spans="1:57" ht="15.5">
      <c r="B42" s="1"/>
      <c r="E42" s="114" t="str">
        <f>VLOOKUP(E39,E40:F41,2,0)</f>
        <v>Alat yang diuji dalam batas toleransi dan dinyatakan LAIK PAKAI, dimana hasil atau skor akhir sama dengan atau melampaui 70% berdasarkan Keputusan Direktur Jenderal Pelayanan Kesehatan No : HK.02.02 / V / 0412 / 2020</v>
      </c>
      <c r="F42" s="340"/>
      <c r="G42" s="340"/>
      <c r="H42" s="340"/>
      <c r="I42" s="340"/>
      <c r="J42" s="340"/>
      <c r="K42" s="340"/>
    </row>
    <row r="43" spans="1:57">
      <c r="B43" s="1"/>
    </row>
    <row r="46" spans="1:57">
      <c r="A46" t="str">
        <f>ID!B112</f>
        <v>Wireless Temperature Recorder : Merek : HIOKI, Model : LR 8510, SN : 210411984</v>
      </c>
    </row>
    <row r="47" spans="1:57">
      <c r="A47" s="626"/>
      <c r="B47" s="626"/>
      <c r="C47" s="626"/>
      <c r="D47" s="626"/>
      <c r="E47" s="626"/>
      <c r="F47" s="626"/>
      <c r="G47" s="626"/>
      <c r="H47" s="626"/>
      <c r="I47" s="626"/>
      <c r="J47" s="626"/>
      <c r="K47" s="626"/>
      <c r="L47" s="626"/>
      <c r="M47" s="626"/>
      <c r="N47" s="626"/>
      <c r="O47" s="626"/>
      <c r="P47" s="626"/>
      <c r="Q47" s="626"/>
      <c r="R47" s="626"/>
      <c r="S47" s="626"/>
      <c r="T47" s="626"/>
      <c r="U47" s="626"/>
      <c r="V47" s="626"/>
      <c r="W47" s="626"/>
      <c r="X47" s="626"/>
      <c r="Y47" s="626"/>
      <c r="Z47" s="626"/>
      <c r="AA47" s="626"/>
      <c r="AB47" s="626"/>
      <c r="AC47" s="626"/>
      <c r="AD47" s="626"/>
      <c r="AE47" s="626"/>
      <c r="AF47" s="626"/>
      <c r="AG47" s="626"/>
      <c r="AH47" s="626"/>
      <c r="AI47" s="626"/>
      <c r="AJ47" s="626"/>
      <c r="AK47" s="626"/>
      <c r="AL47" s="626"/>
      <c r="AM47" s="626"/>
      <c r="AN47" s="626"/>
      <c r="AO47" s="626"/>
      <c r="AP47" s="626"/>
      <c r="AQ47" s="626"/>
      <c r="AR47" s="626"/>
      <c r="AS47" s="626"/>
      <c r="AT47" s="626"/>
      <c r="AU47" s="626"/>
      <c r="AV47" s="626"/>
      <c r="AW47" s="626"/>
      <c r="AX47" s="626"/>
      <c r="AY47" s="626"/>
      <c r="AZ47" s="626"/>
      <c r="BA47" s="626"/>
      <c r="BB47" s="626"/>
      <c r="BC47" s="626"/>
      <c r="BD47" s="626"/>
      <c r="BE47" s="626"/>
    </row>
    <row r="48" spans="1:57">
      <c r="A48" s="626"/>
      <c r="B48" s="626"/>
      <c r="C48" s="626"/>
      <c r="D48" s="626"/>
      <c r="E48" s="626"/>
      <c r="F48" s="626"/>
      <c r="G48" s="626"/>
      <c r="H48" s="626"/>
      <c r="I48" s="626"/>
      <c r="J48" s="626"/>
      <c r="K48" s="626"/>
      <c r="L48" s="626"/>
      <c r="M48" s="626"/>
      <c r="N48" s="626"/>
      <c r="O48" s="626"/>
      <c r="P48" s="626"/>
      <c r="Q48" s="626"/>
      <c r="R48" s="626"/>
      <c r="S48" s="626"/>
      <c r="T48" s="626"/>
      <c r="U48" s="626"/>
      <c r="V48" s="626"/>
      <c r="W48" s="626"/>
      <c r="X48" s="626"/>
      <c r="Y48" s="626"/>
      <c r="Z48" s="626"/>
      <c r="AA48" s="626"/>
      <c r="AB48" s="626"/>
      <c r="AC48" s="626"/>
      <c r="AD48" s="626"/>
      <c r="AE48" s="626"/>
      <c r="AF48" s="626"/>
      <c r="AG48" s="626"/>
      <c r="AH48" s="626"/>
      <c r="AI48" s="626"/>
      <c r="AJ48" s="626"/>
      <c r="AK48" s="626"/>
      <c r="AL48" s="626"/>
      <c r="AM48" s="626"/>
      <c r="AN48" s="626"/>
      <c r="AO48" s="626"/>
      <c r="AP48" s="626"/>
      <c r="AQ48" s="626"/>
      <c r="AR48" s="626"/>
      <c r="AS48" s="626"/>
      <c r="AT48" s="626"/>
      <c r="AU48" s="626"/>
      <c r="AV48" s="626"/>
      <c r="AW48" s="626"/>
      <c r="AX48" s="626"/>
      <c r="AY48" s="626"/>
      <c r="AZ48" s="626"/>
      <c r="BA48" s="626"/>
      <c r="BB48" s="626"/>
      <c r="BC48" s="626"/>
      <c r="BD48" s="626"/>
      <c r="BE48" s="626"/>
    </row>
    <row r="49" spans="1:57" s="415" customFormat="1" ht="15.5">
      <c r="A49" s="16" t="s">
        <v>520</v>
      </c>
      <c r="B49" s="415" t="s">
        <v>556</v>
      </c>
    </row>
    <row r="50" spans="1:57" s="415" customFormat="1" ht="15.5">
      <c r="A50" s="16" t="s">
        <v>243</v>
      </c>
      <c r="B50" s="415" t="s">
        <v>556</v>
      </c>
    </row>
    <row r="51" spans="1:57" s="415" customFormat="1" ht="15.5">
      <c r="A51" s="16" t="s">
        <v>523</v>
      </c>
      <c r="B51" s="415" t="s">
        <v>556</v>
      </c>
    </row>
    <row r="52" spans="1:57" s="415" customFormat="1" ht="15.5">
      <c r="A52" s="16" t="s">
        <v>525</v>
      </c>
      <c r="B52" s="415" t="s">
        <v>556</v>
      </c>
    </row>
    <row r="53" spans="1:57" s="415" customFormat="1" ht="15.5">
      <c r="A53" s="16" t="s">
        <v>527</v>
      </c>
      <c r="B53" s="415" t="s">
        <v>556</v>
      </c>
    </row>
    <row r="54" spans="1:57" s="415" customFormat="1" ht="15.5">
      <c r="A54" s="16" t="s">
        <v>529</v>
      </c>
      <c r="B54" s="415" t="s">
        <v>556</v>
      </c>
    </row>
    <row r="55" spans="1:57" s="415" customFormat="1" ht="15.5">
      <c r="A55" s="16" t="s">
        <v>531</v>
      </c>
      <c r="B55" s="415" t="s">
        <v>556</v>
      </c>
    </row>
    <row r="56" spans="1:57" s="415" customFormat="1" ht="15.5">
      <c r="A56" s="16" t="s">
        <v>533</v>
      </c>
      <c r="B56" s="415" t="s">
        <v>556</v>
      </c>
    </row>
    <row r="57" spans="1:57" s="415" customFormat="1" ht="15.5">
      <c r="A57" s="16" t="s">
        <v>535</v>
      </c>
      <c r="B57" s="415" t="s">
        <v>556</v>
      </c>
    </row>
    <row r="58" spans="1:57" s="415" customFormat="1" ht="15.5">
      <c r="A58" s="16" t="s">
        <v>557</v>
      </c>
      <c r="B58" s="415" t="s">
        <v>556</v>
      </c>
    </row>
    <row r="59" spans="1:57" s="415" customFormat="1" ht="15.5">
      <c r="A59" s="19" t="s">
        <v>382</v>
      </c>
      <c r="B59" s="627" t="s">
        <v>558</v>
      </c>
    </row>
    <row r="60" spans="1:57" s="415" customFormat="1" ht="15.5">
      <c r="A60" s="19" t="s">
        <v>384</v>
      </c>
      <c r="B60" s="627" t="s">
        <v>558</v>
      </c>
    </row>
    <row r="61" spans="1:57" s="415" customFormat="1" ht="15.5">
      <c r="A61" s="19" t="s">
        <v>94</v>
      </c>
      <c r="B61" s="627" t="s">
        <v>558</v>
      </c>
    </row>
    <row r="62" spans="1:57" s="415" customFormat="1" ht="15.5">
      <c r="A62" s="628" t="s">
        <v>403</v>
      </c>
      <c r="B62" s="627" t="s">
        <v>558</v>
      </c>
    </row>
    <row r="63" spans="1:57" s="415" customFormat="1" ht="15.5">
      <c r="A63" s="628" t="s">
        <v>404</v>
      </c>
      <c r="B63" s="627" t="s">
        <v>558</v>
      </c>
    </row>
    <row r="64" spans="1:57" s="415" customFormat="1" ht="15.5">
      <c r="A64" s="628" t="s">
        <v>405</v>
      </c>
      <c r="B64" s="627" t="s">
        <v>558</v>
      </c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</row>
    <row r="65" spans="1:57" s="415" customFormat="1">
      <c r="A65" s="629"/>
      <c r="B65" s="629"/>
      <c r="C65" s="629"/>
      <c r="D65" s="629"/>
      <c r="E65" s="629"/>
      <c r="F65" s="629"/>
      <c r="G65" s="629"/>
      <c r="H65" s="629"/>
      <c r="I65" s="629"/>
      <c r="J65" s="629"/>
      <c r="K65" s="629"/>
      <c r="L65" s="629"/>
      <c r="M65" s="629"/>
      <c r="N65" s="629"/>
      <c r="O65" s="629"/>
      <c r="P65" s="629"/>
      <c r="Q65" s="629"/>
      <c r="R65" s="629"/>
      <c r="S65" s="629"/>
      <c r="T65" s="629"/>
      <c r="U65" s="629"/>
      <c r="V65" s="629"/>
      <c r="W65" s="629"/>
      <c r="X65" s="629"/>
      <c r="Y65" s="629"/>
      <c r="Z65" s="629"/>
      <c r="AA65" s="629"/>
      <c r="AB65" s="629"/>
      <c r="AC65" s="629"/>
      <c r="AD65" s="629"/>
      <c r="AE65" s="629"/>
      <c r="AF65" s="629"/>
      <c r="AG65" s="629"/>
      <c r="AH65" s="629"/>
      <c r="AI65" s="629"/>
      <c r="AJ65" s="629"/>
      <c r="AK65" s="629"/>
      <c r="AL65" s="629"/>
      <c r="AM65" s="629"/>
      <c r="AN65" s="629"/>
      <c r="AO65" s="629"/>
      <c r="AP65" s="629"/>
      <c r="AQ65" s="629"/>
      <c r="AR65" s="629"/>
      <c r="AS65" s="629"/>
      <c r="AT65" s="629"/>
      <c r="AU65" s="629"/>
      <c r="AV65" s="629"/>
      <c r="AW65" s="629"/>
      <c r="AX65" s="629"/>
      <c r="AY65" s="629"/>
      <c r="AZ65" s="629"/>
      <c r="BA65" s="629"/>
      <c r="BB65" s="629"/>
      <c r="BC65" s="629"/>
      <c r="BD65" s="629"/>
      <c r="BE65" s="629"/>
    </row>
    <row r="67" spans="1:57">
      <c r="A67" t="str">
        <f>VLOOKUP(A46,A49:B64,2,0)</f>
        <v>OK</v>
      </c>
    </row>
    <row r="71" spans="1:57">
      <c r="A71" t="str">
        <f>VLOOKUP(A46,A4:B19,2,0)</f>
        <v>Hasil pengujian kinerja suhu tertelusur ke Satuan SI melalui Laboratorium SNSU-BSN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101"/>
  <sheetViews>
    <sheetView topLeftCell="A30" zoomScale="96" zoomScaleNormal="96" workbookViewId="0">
      <selection activeCell="C43" sqref="C43:C44"/>
    </sheetView>
  </sheetViews>
  <sheetFormatPr defaultRowHeight="12.5"/>
  <cols>
    <col min="2" max="2" width="16.81640625" customWidth="1"/>
    <col min="3" max="3" width="39.54296875" customWidth="1"/>
    <col min="4" max="4" width="44" customWidth="1"/>
  </cols>
  <sheetData>
    <row r="2" spans="1:5">
      <c r="A2" s="1086" t="s">
        <v>109</v>
      </c>
      <c r="B2" s="1086" t="s">
        <v>110</v>
      </c>
      <c r="C2" s="1086" t="s">
        <v>111</v>
      </c>
      <c r="D2" s="1086"/>
      <c r="E2" s="1087" t="s">
        <v>112</v>
      </c>
    </row>
    <row r="3" spans="1:5">
      <c r="A3" s="1086"/>
      <c r="B3" s="1086"/>
      <c r="C3" s="327" t="s">
        <v>13</v>
      </c>
      <c r="D3" s="327" t="s">
        <v>14</v>
      </c>
      <c r="E3" s="1088"/>
    </row>
    <row r="4" spans="1:5" ht="25">
      <c r="A4" s="327">
        <v>1</v>
      </c>
      <c r="B4" s="328">
        <v>44225</v>
      </c>
      <c r="C4" s="330" t="s">
        <v>113</v>
      </c>
      <c r="D4" s="330" t="s">
        <v>114</v>
      </c>
      <c r="E4" s="346"/>
    </row>
    <row r="5" spans="1:5" ht="25">
      <c r="A5" s="327"/>
      <c r="B5" s="329"/>
      <c r="C5" s="330" t="s">
        <v>115</v>
      </c>
      <c r="D5" s="330" t="s">
        <v>116</v>
      </c>
      <c r="E5" s="346"/>
    </row>
    <row r="6" spans="1:5">
      <c r="A6" s="327"/>
      <c r="B6" s="329"/>
      <c r="C6" s="327" t="s">
        <v>117</v>
      </c>
      <c r="D6" s="327" t="s">
        <v>118</v>
      </c>
      <c r="E6" s="346"/>
    </row>
    <row r="7" spans="1:5">
      <c r="A7" s="327"/>
      <c r="B7" s="329"/>
      <c r="C7" s="327" t="s">
        <v>119</v>
      </c>
      <c r="D7" s="327" t="s">
        <v>120</v>
      </c>
      <c r="E7" s="346"/>
    </row>
    <row r="8" spans="1:5" ht="62.5">
      <c r="A8" s="327"/>
      <c r="B8" s="329"/>
      <c r="C8" s="330" t="s">
        <v>121</v>
      </c>
      <c r="D8" s="330" t="s">
        <v>122</v>
      </c>
      <c r="E8" s="346"/>
    </row>
    <row r="9" spans="1:5" ht="25">
      <c r="A9" s="327"/>
      <c r="B9" s="329"/>
      <c r="C9" s="244" t="s">
        <v>123</v>
      </c>
      <c r="D9" s="243" t="s">
        <v>124</v>
      </c>
      <c r="E9" s="346"/>
    </row>
    <row r="10" spans="1:5">
      <c r="A10" s="327"/>
      <c r="B10" s="329"/>
      <c r="C10" s="327" t="s">
        <v>125</v>
      </c>
      <c r="D10" s="327" t="s">
        <v>126</v>
      </c>
      <c r="E10" s="346"/>
    </row>
    <row r="11" spans="1:5">
      <c r="A11" s="327"/>
      <c r="B11" s="329"/>
      <c r="C11" s="327" t="s">
        <v>127</v>
      </c>
      <c r="D11" s="332" t="s">
        <v>128</v>
      </c>
      <c r="E11" s="346"/>
    </row>
    <row r="12" spans="1:5">
      <c r="A12" s="327"/>
      <c r="B12" s="329"/>
      <c r="C12" s="327" t="s">
        <v>129</v>
      </c>
      <c r="D12" s="327" t="s">
        <v>130</v>
      </c>
      <c r="E12" s="346"/>
    </row>
    <row r="13" spans="1:5">
      <c r="A13" s="327">
        <v>2</v>
      </c>
      <c r="B13" s="329" t="s">
        <v>131</v>
      </c>
      <c r="C13" s="327" t="s">
        <v>132</v>
      </c>
      <c r="D13" s="327" t="s">
        <v>133</v>
      </c>
      <c r="E13" s="346"/>
    </row>
    <row r="14" spans="1:5">
      <c r="A14" s="327">
        <v>3</v>
      </c>
      <c r="B14" s="329" t="s">
        <v>134</v>
      </c>
      <c r="C14" s="327" t="s">
        <v>135</v>
      </c>
      <c r="D14" s="327" t="s">
        <v>136</v>
      </c>
      <c r="E14" s="346" t="s">
        <v>137</v>
      </c>
    </row>
    <row r="15" spans="1:5">
      <c r="A15" s="327">
        <v>4</v>
      </c>
      <c r="B15" s="329">
        <v>44406</v>
      </c>
      <c r="C15" s="327" t="s">
        <v>138</v>
      </c>
      <c r="D15" s="327" t="s">
        <v>136</v>
      </c>
      <c r="E15" s="346" t="s">
        <v>137</v>
      </c>
    </row>
    <row r="16" spans="1:5" ht="50">
      <c r="A16" s="327">
        <v>5</v>
      </c>
      <c r="B16" s="329" t="s">
        <v>139</v>
      </c>
      <c r="C16" s="330" t="s">
        <v>140</v>
      </c>
      <c r="D16" s="327" t="s">
        <v>141</v>
      </c>
      <c r="E16" s="346" t="s">
        <v>142</v>
      </c>
    </row>
    <row r="17" spans="1:5">
      <c r="A17" s="327">
        <v>6</v>
      </c>
      <c r="B17" s="329" t="s">
        <v>143</v>
      </c>
      <c r="C17" s="327" t="s">
        <v>144</v>
      </c>
      <c r="D17" s="327" t="s">
        <v>145</v>
      </c>
      <c r="E17" s="346" t="s">
        <v>146</v>
      </c>
    </row>
    <row r="18" spans="1:5">
      <c r="A18" s="1086">
        <v>7</v>
      </c>
      <c r="B18" s="1089" t="s">
        <v>147</v>
      </c>
      <c r="C18" s="327" t="s">
        <v>148</v>
      </c>
      <c r="D18" s="327" t="s">
        <v>149</v>
      </c>
      <c r="E18" s="1090" t="s">
        <v>150</v>
      </c>
    </row>
    <row r="19" spans="1:5" ht="37.5">
      <c r="A19" s="1086"/>
      <c r="B19" s="1089"/>
      <c r="C19" s="400" t="s">
        <v>151</v>
      </c>
      <c r="D19" s="400" t="s">
        <v>105</v>
      </c>
      <c r="E19" s="1090"/>
    </row>
    <row r="20" spans="1:5" ht="25">
      <c r="A20" s="339"/>
      <c r="B20" s="346"/>
      <c r="C20" s="697" t="s">
        <v>152</v>
      </c>
      <c r="D20" s="698" t="s">
        <v>153</v>
      </c>
      <c r="E20" s="1090"/>
    </row>
    <row r="21" spans="1:5">
      <c r="A21" s="339"/>
      <c r="B21" s="346"/>
      <c r="C21" s="346"/>
      <c r="D21" s="699" t="s">
        <v>154</v>
      </c>
      <c r="E21" s="346"/>
    </row>
    <row r="22" spans="1:5">
      <c r="A22" s="339"/>
      <c r="B22" s="346"/>
      <c r="C22" s="346"/>
      <c r="D22" s="699" t="s">
        <v>155</v>
      </c>
      <c r="E22" s="346"/>
    </row>
    <row r="23" spans="1:5">
      <c r="A23" s="339">
        <v>8</v>
      </c>
      <c r="B23" s="346" t="s">
        <v>156</v>
      </c>
      <c r="C23" s="346"/>
      <c r="D23" s="346" t="s">
        <v>157</v>
      </c>
      <c r="E23" s="346" t="s">
        <v>158</v>
      </c>
    </row>
    <row r="24" spans="1:5" ht="13">
      <c r="A24" s="339"/>
      <c r="B24" s="346" t="s">
        <v>156</v>
      </c>
      <c r="C24" s="346"/>
      <c r="D24" s="700" t="s">
        <v>159</v>
      </c>
      <c r="E24" s="346" t="s">
        <v>158</v>
      </c>
    </row>
    <row r="25" spans="1:5">
      <c r="A25" s="339"/>
      <c r="B25" s="346" t="s">
        <v>156</v>
      </c>
      <c r="C25" s="346"/>
      <c r="D25" s="346" t="s">
        <v>157</v>
      </c>
      <c r="E25" s="346" t="s">
        <v>158</v>
      </c>
    </row>
    <row r="26" spans="1:5">
      <c r="A26" s="339">
        <v>9</v>
      </c>
      <c r="B26" s="699" t="s">
        <v>160</v>
      </c>
      <c r="C26" s="699" t="s">
        <v>161</v>
      </c>
      <c r="D26" s="699" t="s">
        <v>162</v>
      </c>
      <c r="E26" s="699" t="s">
        <v>158</v>
      </c>
    </row>
    <row r="27" spans="1:5" ht="25">
      <c r="A27" s="339"/>
      <c r="B27" s="346" t="s">
        <v>163</v>
      </c>
      <c r="C27" s="346" t="s">
        <v>161</v>
      </c>
      <c r="D27" s="701" t="s">
        <v>164</v>
      </c>
      <c r="E27" s="346" t="s">
        <v>158</v>
      </c>
    </row>
    <row r="28" spans="1:5">
      <c r="A28" s="339"/>
      <c r="B28" s="346" t="s">
        <v>163</v>
      </c>
      <c r="C28" s="346" t="s">
        <v>161</v>
      </c>
      <c r="D28" s="699" t="s">
        <v>165</v>
      </c>
      <c r="E28" s="346" t="s">
        <v>158</v>
      </c>
    </row>
    <row r="29" spans="1:5" ht="37.5">
      <c r="A29" s="339">
        <v>10</v>
      </c>
      <c r="B29" s="346" t="s">
        <v>166</v>
      </c>
      <c r="C29" s="702" t="s">
        <v>167</v>
      </c>
      <c r="D29" s="702" t="s">
        <v>168</v>
      </c>
      <c r="E29" s="346" t="s">
        <v>158</v>
      </c>
    </row>
    <row r="30" spans="1:5" ht="72" customHeight="1">
      <c r="A30" s="339">
        <v>11</v>
      </c>
      <c r="B30" s="346" t="s">
        <v>169</v>
      </c>
      <c r="C30" s="701" t="s">
        <v>170</v>
      </c>
      <c r="D30" s="346" t="s">
        <v>171</v>
      </c>
      <c r="E30" s="346" t="s">
        <v>158</v>
      </c>
    </row>
    <row r="31" spans="1:5" ht="31.5" customHeight="1">
      <c r="A31" s="339">
        <v>12</v>
      </c>
      <c r="B31" s="346" t="s">
        <v>172</v>
      </c>
      <c r="C31" s="346" t="s">
        <v>161</v>
      </c>
      <c r="D31" s="702" t="s">
        <v>173</v>
      </c>
      <c r="E31" s="346" t="s">
        <v>158</v>
      </c>
    </row>
    <row r="32" spans="1:5" ht="45.75" customHeight="1">
      <c r="A32" s="1093">
        <v>13</v>
      </c>
      <c r="B32" s="1090" t="s">
        <v>174</v>
      </c>
      <c r="C32" s="702" t="s">
        <v>175</v>
      </c>
      <c r="D32" s="346" t="s">
        <v>176</v>
      </c>
      <c r="E32" s="1094" t="s">
        <v>158</v>
      </c>
    </row>
    <row r="33" spans="1:5">
      <c r="A33" s="1093"/>
      <c r="B33" s="1090"/>
      <c r="C33" s="346"/>
      <c r="D33" s="699" t="s">
        <v>177</v>
      </c>
      <c r="E33" s="1095"/>
    </row>
    <row r="34" spans="1:5">
      <c r="A34" s="1093"/>
      <c r="B34" s="1090"/>
      <c r="C34" s="346"/>
      <c r="D34" s="699" t="s">
        <v>178</v>
      </c>
      <c r="E34" s="1095"/>
    </row>
    <row r="35" spans="1:5">
      <c r="A35" s="1093"/>
      <c r="B35" s="1090"/>
      <c r="C35" s="346"/>
      <c r="D35" s="699" t="s">
        <v>179</v>
      </c>
      <c r="E35" s="1096"/>
    </row>
    <row r="36" spans="1:5" ht="37.5">
      <c r="A36" s="339">
        <v>14</v>
      </c>
      <c r="B36" s="346" t="s">
        <v>559</v>
      </c>
      <c r="C36" s="346" t="s">
        <v>161</v>
      </c>
      <c r="D36" s="702" t="s">
        <v>560</v>
      </c>
      <c r="E36" s="346" t="s">
        <v>158</v>
      </c>
    </row>
    <row r="37" spans="1:5" s="721" customFormat="1">
      <c r="A37" s="718">
        <v>15</v>
      </c>
      <c r="B37" s="720" t="s">
        <v>574</v>
      </c>
      <c r="C37" s="720" t="s">
        <v>161</v>
      </c>
      <c r="D37" s="719" t="s">
        <v>575</v>
      </c>
      <c r="E37" s="720" t="s">
        <v>158</v>
      </c>
    </row>
    <row r="38" spans="1:5">
      <c r="A38" s="718">
        <v>16</v>
      </c>
      <c r="B38" s="719" t="s">
        <v>566</v>
      </c>
      <c r="C38" s="719" t="s">
        <v>161</v>
      </c>
      <c r="D38" s="719" t="s">
        <v>567</v>
      </c>
      <c r="E38" s="719" t="s">
        <v>158</v>
      </c>
    </row>
    <row r="39" spans="1:5">
      <c r="A39" s="718">
        <v>17</v>
      </c>
      <c r="B39" s="719" t="s">
        <v>566</v>
      </c>
      <c r="C39" s="719" t="s">
        <v>161</v>
      </c>
      <c r="D39" s="719" t="s">
        <v>568</v>
      </c>
      <c r="E39" s="719" t="s">
        <v>158</v>
      </c>
    </row>
    <row r="40" spans="1:5">
      <c r="A40" s="718">
        <v>18</v>
      </c>
      <c r="B40" s="719" t="s">
        <v>566</v>
      </c>
      <c r="C40" s="719" t="s">
        <v>161</v>
      </c>
      <c r="D40" s="719" t="s">
        <v>569</v>
      </c>
      <c r="E40" s="719" t="s">
        <v>158</v>
      </c>
    </row>
    <row r="41" spans="1:5">
      <c r="A41" s="339">
        <v>19</v>
      </c>
      <c r="B41" s="699" t="s">
        <v>570</v>
      </c>
      <c r="C41" s="699" t="s">
        <v>161</v>
      </c>
      <c r="D41" s="699" t="s">
        <v>571</v>
      </c>
      <c r="E41" s="699" t="s">
        <v>572</v>
      </c>
    </row>
    <row r="42" spans="1:5" ht="23.5" customHeight="1">
      <c r="A42" s="339">
        <v>20</v>
      </c>
      <c r="B42" s="699" t="s">
        <v>570</v>
      </c>
      <c r="C42" s="699" t="s">
        <v>161</v>
      </c>
      <c r="D42" s="701" t="s">
        <v>573</v>
      </c>
      <c r="E42" s="699" t="s">
        <v>158</v>
      </c>
    </row>
    <row r="43" spans="1:5">
      <c r="A43" s="1087">
        <v>21</v>
      </c>
      <c r="B43" s="1091" t="s">
        <v>578</v>
      </c>
      <c r="C43" s="1091" t="s">
        <v>161</v>
      </c>
      <c r="D43" s="743" t="s">
        <v>576</v>
      </c>
      <c r="E43" s="1091" t="s">
        <v>158</v>
      </c>
    </row>
    <row r="44" spans="1:5">
      <c r="A44" s="1088"/>
      <c r="B44" s="1092"/>
      <c r="C44" s="1092"/>
      <c r="D44" s="327" t="s">
        <v>577</v>
      </c>
      <c r="E44" s="1092"/>
    </row>
    <row r="45" spans="1:5">
      <c r="A45" s="346"/>
      <c r="B45" s="346"/>
      <c r="C45" s="346"/>
      <c r="D45" s="346"/>
      <c r="E45" s="346"/>
    </row>
    <row r="46" spans="1:5">
      <c r="A46" s="346"/>
      <c r="B46" s="346"/>
      <c r="C46" s="346"/>
      <c r="D46" s="346"/>
      <c r="E46" s="346"/>
    </row>
    <row r="47" spans="1:5">
      <c r="A47" s="346"/>
      <c r="B47" s="346"/>
      <c r="C47" s="346"/>
      <c r="D47" s="346"/>
      <c r="E47" s="346"/>
    </row>
    <row r="48" spans="1:5">
      <c r="A48" s="346"/>
      <c r="B48" s="346"/>
      <c r="C48" s="346"/>
      <c r="D48" s="346"/>
      <c r="E48" s="346"/>
    </row>
    <row r="49" spans="1:5">
      <c r="A49" s="346"/>
      <c r="B49" s="346"/>
      <c r="C49" s="346"/>
      <c r="D49" s="346"/>
      <c r="E49" s="346"/>
    </row>
    <row r="50" spans="1:5">
      <c r="A50" s="346"/>
      <c r="B50" s="346"/>
      <c r="C50" s="346"/>
      <c r="D50" s="346"/>
      <c r="E50" s="346"/>
    </row>
    <row r="51" spans="1:5">
      <c r="A51" s="346"/>
      <c r="B51" s="346"/>
      <c r="C51" s="346"/>
      <c r="D51" s="346"/>
      <c r="E51" s="346"/>
    </row>
    <row r="52" spans="1:5">
      <c r="A52" s="346"/>
      <c r="B52" s="346"/>
      <c r="C52" s="346"/>
      <c r="D52" s="346"/>
      <c r="E52" s="346"/>
    </row>
    <row r="53" spans="1:5">
      <c r="A53" s="346"/>
      <c r="B53" s="346"/>
      <c r="C53" s="346"/>
      <c r="D53" s="346"/>
      <c r="E53" s="346"/>
    </row>
    <row r="54" spans="1:5">
      <c r="A54" s="346"/>
      <c r="B54" s="346"/>
      <c r="C54" s="346"/>
      <c r="D54" s="346"/>
      <c r="E54" s="346"/>
    </row>
    <row r="55" spans="1:5">
      <c r="A55" s="346"/>
      <c r="B55" s="346"/>
      <c r="C55" s="346"/>
      <c r="D55" s="346"/>
      <c r="E55" s="346"/>
    </row>
    <row r="56" spans="1:5">
      <c r="A56" s="346"/>
      <c r="B56" s="346"/>
      <c r="C56" s="346"/>
      <c r="D56" s="346"/>
      <c r="E56" s="346"/>
    </row>
    <row r="57" spans="1:5">
      <c r="A57" s="346"/>
      <c r="B57" s="346"/>
      <c r="C57" s="346"/>
      <c r="D57" s="346"/>
      <c r="E57" s="346"/>
    </row>
    <row r="58" spans="1:5">
      <c r="A58" s="346"/>
      <c r="B58" s="346"/>
      <c r="C58" s="346"/>
      <c r="D58" s="346"/>
      <c r="E58" s="346"/>
    </row>
    <row r="59" spans="1:5">
      <c r="A59" s="346"/>
      <c r="B59" s="346"/>
      <c r="C59" s="346"/>
      <c r="D59" s="346"/>
      <c r="E59" s="346"/>
    </row>
    <row r="60" spans="1:5">
      <c r="A60" s="346"/>
      <c r="B60" s="346"/>
      <c r="C60" s="346"/>
      <c r="D60" s="346"/>
      <c r="E60" s="346"/>
    </row>
    <row r="61" spans="1:5">
      <c r="A61" s="346"/>
      <c r="B61" s="346"/>
      <c r="C61" s="346"/>
      <c r="D61" s="346"/>
      <c r="E61" s="346"/>
    </row>
    <row r="62" spans="1:5">
      <c r="A62" s="346"/>
      <c r="B62" s="346"/>
      <c r="C62" s="346"/>
      <c r="D62" s="346"/>
      <c r="E62" s="346"/>
    </row>
    <row r="63" spans="1:5">
      <c r="A63" s="346"/>
      <c r="B63" s="346"/>
      <c r="C63" s="346"/>
      <c r="D63" s="346"/>
      <c r="E63" s="346"/>
    </row>
    <row r="64" spans="1:5">
      <c r="A64" s="346"/>
      <c r="B64" s="346"/>
      <c r="C64" s="346"/>
      <c r="D64" s="346"/>
      <c r="E64" s="346"/>
    </row>
    <row r="65" spans="1:5">
      <c r="A65" s="346"/>
      <c r="B65" s="346"/>
      <c r="C65" s="346"/>
      <c r="D65" s="346"/>
      <c r="E65" s="346"/>
    </row>
    <row r="66" spans="1:5">
      <c r="A66" s="346"/>
      <c r="B66" s="346"/>
      <c r="C66" s="346"/>
      <c r="D66" s="346"/>
      <c r="E66" s="346"/>
    </row>
    <row r="67" spans="1:5">
      <c r="A67" s="346"/>
      <c r="B67" s="346"/>
      <c r="C67" s="346"/>
      <c r="D67" s="346"/>
      <c r="E67" s="346"/>
    </row>
    <row r="101" spans="1:1">
      <c r="A101" s="347" t="s">
        <v>579</v>
      </c>
    </row>
  </sheetData>
  <sheetProtection algorithmName="SHA-512" hashValue="4IdzSnoXbbcI8R9nzHJwm1AwzLWFim8yL5YDd7W1zltr7/MGxKj5SgCXbm18tujypeIjLCU/D65tKCRONSewrQ==" saltValue="RAmagVb64oVkN5sOluFaFA==" spinCount="100000" sheet="1" objects="1" scenarios="1"/>
  <mergeCells count="14">
    <mergeCell ref="A43:A44"/>
    <mergeCell ref="B43:B44"/>
    <mergeCell ref="C43:C44"/>
    <mergeCell ref="E43:E44"/>
    <mergeCell ref="B32:B35"/>
    <mergeCell ref="A32:A35"/>
    <mergeCell ref="E32:E35"/>
    <mergeCell ref="A2:A3"/>
    <mergeCell ref="B2:B3"/>
    <mergeCell ref="C2:D2"/>
    <mergeCell ref="E2:E3"/>
    <mergeCell ref="A18:A19"/>
    <mergeCell ref="B18:B19"/>
    <mergeCell ref="E18:E2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IU175"/>
  <sheetViews>
    <sheetView showGridLines="0" showWhiteSpace="0" view="pageBreakPreview" zoomScale="60" zoomScaleNormal="100" zoomScaleSheetLayoutView="70" workbookViewId="0">
      <selection activeCell="R16" sqref="R16"/>
    </sheetView>
  </sheetViews>
  <sheetFormatPr defaultColWidth="9" defaultRowHeight="15.5" outlineLevelRow="1"/>
  <cols>
    <col min="1" max="1" width="3.81640625" style="415" customWidth="1"/>
    <col min="2" max="2" width="22.1796875" style="16" customWidth="1"/>
    <col min="3" max="3" width="12.81640625" style="16" customWidth="1"/>
    <col min="4" max="5" width="9.7265625" style="16" customWidth="1"/>
    <col min="6" max="6" width="10.26953125" style="16" customWidth="1"/>
    <col min="7" max="7" width="9.7265625" style="16" customWidth="1"/>
    <col min="8" max="10" width="11.453125" style="16" customWidth="1"/>
    <col min="11" max="13" width="9.7265625" style="16" customWidth="1"/>
    <col min="14" max="16" width="10.7265625" style="16" customWidth="1"/>
    <col min="17" max="17" width="11.26953125" style="16" customWidth="1"/>
    <col min="18" max="18" width="10.26953125" style="16" customWidth="1"/>
    <col min="19" max="19" width="10.7265625" style="16" customWidth="1"/>
    <col min="20" max="20" width="11.453125" style="16" customWidth="1"/>
    <col min="21" max="27" width="9.1796875" style="16" customWidth="1"/>
    <col min="28" max="28" width="9.26953125" style="16" customWidth="1"/>
    <col min="29" max="255" width="9.1796875" style="16" customWidth="1"/>
    <col min="256" max="16384" width="9" style="415"/>
  </cols>
  <sheetData>
    <row r="1" spans="1:255" ht="19.5" customHeight="1">
      <c r="A1" s="1057" t="s">
        <v>180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  <c r="O1" s="1057"/>
      <c r="P1" s="1057"/>
    </row>
    <row r="2" spans="1:255" ht="18.75" customHeight="1">
      <c r="A2" s="961"/>
      <c r="B2" s="961"/>
      <c r="C2" s="961"/>
      <c r="D2" s="961"/>
      <c r="E2" s="961"/>
      <c r="F2" s="961"/>
      <c r="G2" s="961"/>
      <c r="H2" s="966" t="str">
        <f>X16</f>
        <v>Nomor Sertifikat : 47 /</v>
      </c>
      <c r="I2" s="1154" t="s">
        <v>595</v>
      </c>
      <c r="J2" s="1154"/>
      <c r="K2" s="1154"/>
      <c r="L2" s="1154"/>
      <c r="M2" s="1154"/>
      <c r="N2" s="1154"/>
      <c r="O2" s="1154"/>
      <c r="P2" s="1154"/>
    </row>
    <row r="3" spans="1:255" ht="18.75" customHeight="1">
      <c r="B3" s="39"/>
      <c r="C3" s="39"/>
      <c r="D3" s="39"/>
      <c r="E3" s="39"/>
      <c r="F3" s="39"/>
      <c r="G3" s="39"/>
      <c r="H3" s="39"/>
      <c r="I3" s="39"/>
      <c r="J3" s="39"/>
    </row>
    <row r="4" spans="1:255" ht="15.75" customHeight="1">
      <c r="B4" s="744"/>
      <c r="C4" s="744"/>
      <c r="D4" s="744"/>
      <c r="E4" s="744"/>
      <c r="F4" s="744"/>
      <c r="G4" s="744"/>
      <c r="H4" s="744"/>
      <c r="I4" s="744"/>
      <c r="J4" s="744"/>
    </row>
    <row r="5" spans="1:255" ht="15.75" customHeight="1">
      <c r="A5" s="17" t="s">
        <v>181</v>
      </c>
      <c r="C5" s="18" t="s">
        <v>3</v>
      </c>
      <c r="D5" s="40" t="s">
        <v>182</v>
      </c>
      <c r="E5" s="41"/>
      <c r="F5" s="41"/>
      <c r="G5" s="41"/>
      <c r="H5" s="42"/>
      <c r="I5" s="42"/>
      <c r="J5" s="42"/>
      <c r="K5" s="42"/>
    </row>
    <row r="6" spans="1:255" s="758" customFormat="1" ht="15.75" customHeight="1">
      <c r="A6" s="17" t="s">
        <v>183</v>
      </c>
      <c r="C6" s="18" t="s">
        <v>3</v>
      </c>
      <c r="D6" s="781" t="s">
        <v>184</v>
      </c>
      <c r="E6" s="40"/>
      <c r="F6" s="40"/>
      <c r="G6" s="40"/>
      <c r="H6" s="43"/>
      <c r="I6" s="43"/>
      <c r="J6" s="43"/>
      <c r="K6" s="43"/>
      <c r="N6" s="16"/>
    </row>
    <row r="7" spans="1:255" ht="15.75" customHeight="1">
      <c r="A7" s="17" t="s">
        <v>185</v>
      </c>
      <c r="C7" s="18" t="s">
        <v>3</v>
      </c>
      <c r="D7" s="783" t="s">
        <v>186</v>
      </c>
      <c r="E7" s="41"/>
      <c r="F7" s="41"/>
      <c r="G7" s="41"/>
      <c r="H7" s="42"/>
      <c r="I7" s="42"/>
      <c r="J7" s="42"/>
      <c r="K7" s="42"/>
    </row>
    <row r="8" spans="1:255" ht="15.75" customHeight="1">
      <c r="A8" s="16" t="s">
        <v>6</v>
      </c>
      <c r="C8" s="18" t="s">
        <v>3</v>
      </c>
      <c r="D8" s="797">
        <v>0.5</v>
      </c>
      <c r="E8" s="44" t="s">
        <v>581</v>
      </c>
      <c r="F8" s="41"/>
      <c r="G8" s="41"/>
      <c r="H8" s="45"/>
      <c r="I8" s="42"/>
      <c r="J8" s="42"/>
      <c r="K8" s="42"/>
    </row>
    <row r="9" spans="1:255" ht="15.75" customHeight="1">
      <c r="A9" s="17" t="s">
        <v>8</v>
      </c>
      <c r="C9" s="18" t="s">
        <v>3</v>
      </c>
      <c r="D9" s="783" t="s">
        <v>189</v>
      </c>
      <c r="E9" s="41"/>
      <c r="F9" s="41"/>
      <c r="G9" s="41"/>
      <c r="H9" s="415"/>
      <c r="I9" s="42"/>
      <c r="J9" s="42"/>
      <c r="K9" s="42"/>
      <c r="S9" s="784"/>
      <c r="T9" s="782"/>
      <c r="U9" s="782"/>
      <c r="V9" s="415"/>
      <c r="W9" s="415"/>
      <c r="X9" s="415"/>
      <c r="Y9" s="415"/>
      <c r="Z9" s="415"/>
      <c r="AA9" s="415"/>
      <c r="AB9" s="415"/>
      <c r="AC9" s="415"/>
      <c r="AD9" s="415"/>
      <c r="AE9" s="415"/>
      <c r="AF9" s="415"/>
      <c r="AG9" s="415"/>
      <c r="AH9" s="415"/>
      <c r="AI9" s="415"/>
      <c r="AJ9" s="415"/>
      <c r="AK9" s="415"/>
      <c r="AL9" s="415"/>
      <c r="AM9" s="415"/>
      <c r="AN9" s="415"/>
      <c r="AO9" s="415"/>
      <c r="AP9" s="415"/>
      <c r="AQ9" s="415"/>
      <c r="AR9" s="415"/>
      <c r="AS9" s="415"/>
      <c r="AT9" s="415"/>
      <c r="AU9" s="415"/>
      <c r="AV9" s="415"/>
      <c r="AW9" s="415"/>
      <c r="AX9" s="415"/>
      <c r="AY9" s="415"/>
      <c r="AZ9" s="415"/>
      <c r="BA9" s="415"/>
      <c r="BB9" s="415"/>
      <c r="BC9" s="415"/>
      <c r="BD9" s="415"/>
      <c r="BE9" s="415"/>
      <c r="BF9" s="415"/>
      <c r="BG9" s="415"/>
      <c r="BH9" s="415"/>
      <c r="BI9" s="415"/>
      <c r="BJ9" s="415"/>
      <c r="BK9" s="415"/>
      <c r="BL9" s="415"/>
      <c r="BM9" s="415"/>
      <c r="BN9" s="415"/>
      <c r="BO9" s="415"/>
      <c r="BP9" s="415"/>
      <c r="BQ9" s="415"/>
      <c r="BR9" s="415"/>
      <c r="BS9" s="415"/>
      <c r="BT9" s="415"/>
      <c r="BU9" s="415"/>
      <c r="BV9" s="415"/>
      <c r="BW9" s="415"/>
      <c r="BX9" s="415"/>
      <c r="BY9" s="415"/>
      <c r="BZ9" s="415"/>
      <c r="CA9" s="415"/>
      <c r="CB9" s="415"/>
      <c r="CC9" s="415"/>
      <c r="CD9" s="415"/>
      <c r="CE9" s="415"/>
      <c r="CF9" s="415"/>
      <c r="CG9" s="415"/>
      <c r="CH9" s="415"/>
      <c r="CI9" s="415"/>
      <c r="CJ9" s="415"/>
      <c r="CK9" s="415"/>
      <c r="CL9" s="415"/>
      <c r="CM9" s="415"/>
      <c r="CN9" s="415"/>
      <c r="CO9" s="415"/>
      <c r="CP9" s="415"/>
      <c r="CQ9" s="415"/>
      <c r="CR9" s="415"/>
      <c r="CS9" s="415"/>
      <c r="CT9" s="415"/>
      <c r="CU9" s="415"/>
      <c r="CV9" s="415"/>
      <c r="CW9" s="415"/>
      <c r="CX9" s="415"/>
      <c r="CY9" s="415"/>
      <c r="CZ9" s="415"/>
      <c r="DA9" s="415"/>
      <c r="DB9" s="415"/>
      <c r="DC9" s="415"/>
      <c r="DD9" s="415"/>
      <c r="DE9" s="415"/>
      <c r="DF9" s="415"/>
      <c r="DG9" s="415"/>
      <c r="DH9" s="415"/>
      <c r="DI9" s="415"/>
      <c r="DJ9" s="415"/>
      <c r="DK9" s="415"/>
      <c r="DL9" s="415"/>
      <c r="DM9" s="415"/>
      <c r="DN9" s="415"/>
      <c r="DO9" s="415"/>
      <c r="DP9" s="415"/>
      <c r="DQ9" s="415"/>
      <c r="DR9" s="415"/>
      <c r="DS9" s="415"/>
      <c r="DT9" s="415"/>
      <c r="DU9" s="415"/>
      <c r="DV9" s="415"/>
      <c r="DW9" s="415"/>
      <c r="DX9" s="415"/>
      <c r="DY9" s="415"/>
      <c r="DZ9" s="415"/>
      <c r="EA9" s="415"/>
      <c r="EB9" s="415"/>
      <c r="EC9" s="415"/>
      <c r="ED9" s="415"/>
      <c r="EE9" s="415"/>
      <c r="EF9" s="415"/>
      <c r="EG9" s="415"/>
      <c r="EH9" s="415"/>
      <c r="EI9" s="415"/>
      <c r="EJ9" s="415"/>
      <c r="EK9" s="415"/>
      <c r="EL9" s="415"/>
      <c r="EM9" s="415"/>
      <c r="EN9" s="415"/>
      <c r="EO9" s="415"/>
      <c r="EP9" s="415"/>
      <c r="EQ9" s="415"/>
      <c r="ER9" s="415"/>
      <c r="ES9" s="415"/>
      <c r="ET9" s="415"/>
      <c r="EU9" s="415"/>
      <c r="EV9" s="415"/>
      <c r="EW9" s="415"/>
      <c r="EX9" s="415"/>
      <c r="EY9" s="415"/>
      <c r="EZ9" s="415"/>
      <c r="FA9" s="415"/>
      <c r="FB9" s="415"/>
      <c r="FC9" s="415"/>
      <c r="FD9" s="415"/>
      <c r="FE9" s="415"/>
      <c r="FF9" s="415"/>
      <c r="FG9" s="415"/>
      <c r="FH9" s="415"/>
      <c r="FI9" s="415"/>
      <c r="FJ9" s="415"/>
      <c r="FK9" s="415"/>
      <c r="FL9" s="415"/>
      <c r="FM9" s="415"/>
      <c r="FN9" s="415"/>
      <c r="FO9" s="415"/>
      <c r="FP9" s="415"/>
      <c r="FQ9" s="415"/>
      <c r="FR9" s="415"/>
      <c r="FS9" s="415"/>
      <c r="FT9" s="415"/>
      <c r="FU9" s="415"/>
      <c r="FV9" s="415"/>
      <c r="FW9" s="415"/>
      <c r="FX9" s="415"/>
      <c r="FY9" s="415"/>
      <c r="FZ9" s="415"/>
      <c r="GA9" s="415"/>
      <c r="GB9" s="415"/>
      <c r="GC9" s="415"/>
      <c r="GD9" s="415"/>
      <c r="GE9" s="415"/>
      <c r="GF9" s="415"/>
      <c r="GG9" s="415"/>
      <c r="GH9" s="415"/>
      <c r="GI9" s="415"/>
      <c r="GJ9" s="415"/>
      <c r="GK9" s="415"/>
      <c r="GL9" s="415"/>
      <c r="GM9" s="415"/>
      <c r="GN9" s="415"/>
      <c r="GO9" s="415"/>
      <c r="GP9" s="415"/>
      <c r="GQ9" s="415"/>
      <c r="GR9" s="415"/>
      <c r="GS9" s="415"/>
      <c r="GT9" s="415"/>
      <c r="GU9" s="415"/>
      <c r="GV9" s="415"/>
      <c r="GW9" s="415"/>
      <c r="GX9" s="415"/>
      <c r="GY9" s="415"/>
      <c r="GZ9" s="415"/>
      <c r="HA9" s="415"/>
      <c r="HB9" s="415"/>
      <c r="HC9" s="415"/>
      <c r="HD9" s="415"/>
      <c r="HE9" s="415"/>
      <c r="HF9" s="415"/>
      <c r="HG9" s="415"/>
      <c r="HH9" s="415"/>
      <c r="HI9" s="415"/>
      <c r="HJ9" s="415"/>
      <c r="HK9" s="415"/>
      <c r="HL9" s="415"/>
      <c r="HM9" s="415"/>
      <c r="HN9" s="415"/>
      <c r="HO9" s="415"/>
      <c r="HP9" s="415"/>
      <c r="HQ9" s="415"/>
      <c r="HR9" s="415"/>
      <c r="HS9" s="415"/>
      <c r="HT9" s="415"/>
      <c r="HU9" s="415"/>
      <c r="HV9" s="415"/>
      <c r="HW9" s="415"/>
      <c r="HX9" s="415"/>
      <c r="HY9" s="415"/>
      <c r="HZ9" s="415"/>
      <c r="IA9" s="415"/>
      <c r="IB9" s="415"/>
      <c r="IC9" s="415"/>
      <c r="ID9" s="415"/>
      <c r="IE9" s="415"/>
      <c r="IF9" s="415"/>
      <c r="IG9" s="415"/>
      <c r="IH9" s="415"/>
      <c r="II9" s="415"/>
      <c r="IJ9" s="415"/>
      <c r="IK9" s="415"/>
      <c r="IL9" s="415"/>
      <c r="IM9" s="415"/>
      <c r="IN9" s="415"/>
      <c r="IO9" s="415"/>
      <c r="IP9" s="415"/>
      <c r="IQ9" s="415"/>
      <c r="IR9" s="415"/>
      <c r="IS9" s="415"/>
      <c r="IT9" s="415"/>
      <c r="IU9" s="415"/>
    </row>
    <row r="10" spans="1:255" ht="15.75" customHeight="1">
      <c r="A10" s="17" t="s">
        <v>190</v>
      </c>
      <c r="C10" s="18" t="s">
        <v>3</v>
      </c>
      <c r="D10" s="783" t="s">
        <v>191</v>
      </c>
      <c r="E10" s="41"/>
      <c r="F10" s="41"/>
      <c r="G10" s="41"/>
      <c r="H10" s="45"/>
      <c r="I10" s="42"/>
      <c r="J10" s="42"/>
      <c r="K10" s="42"/>
      <c r="S10" s="784"/>
      <c r="T10" s="782"/>
      <c r="U10" s="782"/>
      <c r="V10" s="415"/>
      <c r="W10" s="415"/>
      <c r="X10" s="415"/>
      <c r="Y10" s="415"/>
      <c r="Z10" s="415"/>
      <c r="AA10" s="415"/>
      <c r="AB10" s="415"/>
      <c r="AC10" s="415"/>
      <c r="AD10" s="415"/>
      <c r="AE10" s="415"/>
      <c r="AF10" s="415"/>
      <c r="AG10" s="415"/>
      <c r="AH10" s="415"/>
      <c r="AI10" s="415"/>
      <c r="AJ10" s="415"/>
      <c r="AK10" s="415"/>
      <c r="AL10" s="415"/>
      <c r="AM10" s="415"/>
      <c r="AN10" s="415"/>
      <c r="AO10" s="415"/>
      <c r="AP10" s="415"/>
      <c r="AQ10" s="415"/>
      <c r="AR10" s="415"/>
      <c r="AS10" s="415"/>
      <c r="AT10" s="415"/>
      <c r="AU10" s="415"/>
      <c r="AV10" s="415"/>
      <c r="AW10" s="415"/>
      <c r="AX10" s="415"/>
      <c r="AY10" s="415"/>
      <c r="AZ10" s="415"/>
      <c r="BA10" s="415"/>
      <c r="BB10" s="415"/>
      <c r="BC10" s="415"/>
      <c r="BD10" s="415"/>
      <c r="BE10" s="415"/>
      <c r="BF10" s="415"/>
      <c r="BG10" s="415"/>
      <c r="BH10" s="415"/>
      <c r="BI10" s="415"/>
      <c r="BJ10" s="415"/>
      <c r="BK10" s="415"/>
      <c r="BL10" s="415"/>
      <c r="BM10" s="415"/>
      <c r="BN10" s="415"/>
      <c r="BO10" s="415"/>
      <c r="BP10" s="415"/>
      <c r="BQ10" s="415"/>
      <c r="BR10" s="415"/>
      <c r="BS10" s="415"/>
      <c r="BT10" s="415"/>
      <c r="BU10" s="415"/>
      <c r="BV10" s="415"/>
      <c r="BW10" s="415"/>
      <c r="BX10" s="415"/>
      <c r="BY10" s="415"/>
      <c r="BZ10" s="415"/>
      <c r="CA10" s="415"/>
      <c r="CB10" s="415"/>
      <c r="CC10" s="415"/>
      <c r="CD10" s="415"/>
      <c r="CE10" s="415"/>
      <c r="CF10" s="415"/>
      <c r="CG10" s="415"/>
      <c r="CH10" s="415"/>
      <c r="CI10" s="415"/>
      <c r="CJ10" s="415"/>
      <c r="CK10" s="415"/>
      <c r="CL10" s="415"/>
      <c r="CM10" s="415"/>
      <c r="CN10" s="415"/>
      <c r="CO10" s="415"/>
      <c r="CP10" s="415"/>
      <c r="CQ10" s="415"/>
      <c r="CR10" s="415"/>
      <c r="CS10" s="415"/>
      <c r="CT10" s="415"/>
      <c r="CU10" s="415"/>
      <c r="CV10" s="415"/>
      <c r="CW10" s="415"/>
      <c r="CX10" s="415"/>
      <c r="CY10" s="415"/>
      <c r="CZ10" s="415"/>
      <c r="DA10" s="415"/>
      <c r="DB10" s="415"/>
      <c r="DC10" s="415"/>
      <c r="DD10" s="415"/>
      <c r="DE10" s="415"/>
      <c r="DF10" s="415"/>
      <c r="DG10" s="415"/>
      <c r="DH10" s="415"/>
      <c r="DI10" s="415"/>
      <c r="DJ10" s="415"/>
      <c r="DK10" s="415"/>
      <c r="DL10" s="415"/>
      <c r="DM10" s="415"/>
      <c r="DN10" s="415"/>
      <c r="DO10" s="415"/>
      <c r="DP10" s="415"/>
      <c r="DQ10" s="415"/>
      <c r="DR10" s="415"/>
      <c r="DS10" s="415"/>
      <c r="DT10" s="415"/>
      <c r="DU10" s="415"/>
      <c r="DV10" s="415"/>
      <c r="DW10" s="415"/>
      <c r="DX10" s="415"/>
      <c r="DY10" s="415"/>
      <c r="DZ10" s="415"/>
      <c r="EA10" s="415"/>
      <c r="EB10" s="415"/>
      <c r="EC10" s="415"/>
      <c r="ED10" s="415"/>
      <c r="EE10" s="415"/>
      <c r="EF10" s="415"/>
      <c r="EG10" s="415"/>
      <c r="EH10" s="415"/>
      <c r="EI10" s="415"/>
      <c r="EJ10" s="415"/>
      <c r="EK10" s="415"/>
      <c r="EL10" s="415"/>
      <c r="EM10" s="415"/>
      <c r="EN10" s="415"/>
      <c r="EO10" s="415"/>
      <c r="EP10" s="415"/>
      <c r="EQ10" s="415"/>
      <c r="ER10" s="415"/>
      <c r="ES10" s="415"/>
      <c r="ET10" s="415"/>
      <c r="EU10" s="415"/>
      <c r="EV10" s="415"/>
      <c r="EW10" s="415"/>
      <c r="EX10" s="415"/>
      <c r="EY10" s="415"/>
      <c r="EZ10" s="415"/>
      <c r="FA10" s="415"/>
      <c r="FB10" s="415"/>
      <c r="FC10" s="415"/>
      <c r="FD10" s="415"/>
      <c r="FE10" s="415"/>
      <c r="FF10" s="415"/>
      <c r="FG10" s="415"/>
      <c r="FH10" s="415"/>
      <c r="FI10" s="415"/>
      <c r="FJ10" s="415"/>
      <c r="FK10" s="415"/>
      <c r="FL10" s="415"/>
      <c r="FM10" s="415"/>
      <c r="FN10" s="415"/>
      <c r="FO10" s="415"/>
      <c r="FP10" s="415"/>
      <c r="FQ10" s="415"/>
      <c r="FR10" s="415"/>
      <c r="FS10" s="415"/>
      <c r="FT10" s="415"/>
      <c r="FU10" s="415"/>
      <c r="FV10" s="415"/>
      <c r="FW10" s="415"/>
      <c r="FX10" s="415"/>
      <c r="FY10" s="415"/>
      <c r="FZ10" s="415"/>
      <c r="GA10" s="415"/>
      <c r="GB10" s="415"/>
      <c r="GC10" s="415"/>
      <c r="GD10" s="415"/>
      <c r="GE10" s="415"/>
      <c r="GF10" s="415"/>
      <c r="GG10" s="415"/>
      <c r="GH10" s="415"/>
      <c r="GI10" s="415"/>
      <c r="GJ10" s="415"/>
      <c r="GK10" s="415"/>
      <c r="GL10" s="415"/>
      <c r="GM10" s="415"/>
      <c r="GN10" s="415"/>
      <c r="GO10" s="415"/>
      <c r="GP10" s="415"/>
      <c r="GQ10" s="415"/>
      <c r="GR10" s="415"/>
      <c r="GS10" s="415"/>
      <c r="GT10" s="415"/>
      <c r="GU10" s="415"/>
      <c r="GV10" s="415"/>
      <c r="GW10" s="415"/>
      <c r="GX10" s="415"/>
      <c r="GY10" s="415"/>
      <c r="GZ10" s="415"/>
      <c r="HA10" s="415"/>
      <c r="HB10" s="415"/>
      <c r="HC10" s="415"/>
      <c r="HD10" s="415"/>
      <c r="HE10" s="415"/>
      <c r="HF10" s="415"/>
      <c r="HG10" s="415"/>
      <c r="HH10" s="415"/>
      <c r="HI10" s="415"/>
      <c r="HJ10" s="415"/>
      <c r="HK10" s="415"/>
      <c r="HL10" s="415"/>
      <c r="HM10" s="415"/>
      <c r="HN10" s="415"/>
      <c r="HO10" s="415"/>
      <c r="HP10" s="415"/>
      <c r="HQ10" s="415"/>
      <c r="HR10" s="415"/>
      <c r="HS10" s="415"/>
      <c r="HT10" s="415"/>
      <c r="HU10" s="415"/>
      <c r="HV10" s="415"/>
      <c r="HW10" s="415"/>
      <c r="HX10" s="415"/>
      <c r="HY10" s="415"/>
      <c r="HZ10" s="415"/>
      <c r="IA10" s="415"/>
      <c r="IB10" s="415"/>
      <c r="IC10" s="415"/>
      <c r="ID10" s="415"/>
      <c r="IE10" s="415"/>
      <c r="IF10" s="415"/>
      <c r="IG10" s="415"/>
      <c r="IH10" s="415"/>
      <c r="II10" s="415"/>
      <c r="IJ10" s="415"/>
      <c r="IK10" s="415"/>
      <c r="IL10" s="415"/>
      <c r="IM10" s="415"/>
      <c r="IN10" s="415"/>
      <c r="IO10" s="415"/>
      <c r="IP10" s="415"/>
      <c r="IQ10" s="415"/>
      <c r="IR10" s="415"/>
      <c r="IS10" s="415"/>
      <c r="IT10" s="415"/>
      <c r="IU10" s="415"/>
    </row>
    <row r="11" spans="1:255" ht="15.75" customHeight="1">
      <c r="A11" s="17" t="s">
        <v>192</v>
      </c>
      <c r="C11" s="18" t="s">
        <v>3</v>
      </c>
      <c r="D11" s="781" t="s">
        <v>193</v>
      </c>
      <c r="E11" s="41"/>
      <c r="F11" s="41"/>
      <c r="G11" s="41"/>
      <c r="H11" s="45"/>
      <c r="I11" s="42"/>
      <c r="J11" s="42"/>
      <c r="K11" s="42"/>
      <c r="Q11" s="674" t="s">
        <v>194</v>
      </c>
      <c r="R11" s="767" t="s">
        <v>195</v>
      </c>
      <c r="S11" s="675"/>
      <c r="T11" s="674"/>
      <c r="V11" s="415"/>
      <c r="W11" s="415"/>
      <c r="X11" s="415"/>
      <c r="Y11" s="415"/>
      <c r="Z11" s="415"/>
      <c r="AA11" s="415"/>
      <c r="AB11" s="415"/>
      <c r="AC11" s="415"/>
      <c r="AD11" s="415"/>
      <c r="AE11" s="415"/>
      <c r="AF11" s="415"/>
      <c r="AG11" s="415"/>
      <c r="AH11" s="415"/>
      <c r="AI11" s="415"/>
      <c r="AJ11" s="415"/>
      <c r="AK11" s="415"/>
      <c r="AL11" s="415"/>
      <c r="AM11" s="415"/>
      <c r="AN11" s="415"/>
      <c r="AO11" s="415"/>
      <c r="AP11" s="415"/>
      <c r="AQ11" s="415"/>
      <c r="AR11" s="415"/>
      <c r="AS11" s="415"/>
      <c r="AT11" s="415"/>
      <c r="AU11" s="415"/>
      <c r="AV11" s="415"/>
      <c r="AW11" s="415"/>
      <c r="AX11" s="415"/>
      <c r="AY11" s="415"/>
      <c r="AZ11" s="415"/>
      <c r="BA11" s="415"/>
      <c r="BB11" s="415"/>
      <c r="BC11" s="415"/>
      <c r="BD11" s="415"/>
      <c r="BE11" s="415"/>
      <c r="BF11" s="415"/>
      <c r="BG11" s="415"/>
      <c r="BH11" s="415"/>
      <c r="BI11" s="415"/>
      <c r="BJ11" s="415"/>
      <c r="BK11" s="415"/>
      <c r="BL11" s="415"/>
      <c r="BM11" s="415"/>
      <c r="BN11" s="415"/>
      <c r="BO11" s="415"/>
      <c r="BP11" s="415"/>
      <c r="BQ11" s="415"/>
      <c r="BR11" s="415"/>
      <c r="BS11" s="415"/>
      <c r="BT11" s="415"/>
      <c r="BU11" s="415"/>
      <c r="BV11" s="415"/>
      <c r="BW11" s="415"/>
      <c r="BX11" s="415"/>
      <c r="BY11" s="415"/>
      <c r="BZ11" s="415"/>
      <c r="CA11" s="415"/>
      <c r="CB11" s="415"/>
      <c r="CC11" s="415"/>
      <c r="CD11" s="415"/>
      <c r="CE11" s="415"/>
      <c r="CF11" s="415"/>
      <c r="CG11" s="415"/>
      <c r="CH11" s="415"/>
      <c r="CI11" s="415"/>
      <c r="CJ11" s="415"/>
      <c r="CK11" s="415"/>
      <c r="CL11" s="415"/>
      <c r="CM11" s="415"/>
      <c r="CN11" s="415"/>
      <c r="CO11" s="415"/>
      <c r="CP11" s="415"/>
      <c r="CQ11" s="415"/>
      <c r="CR11" s="415"/>
      <c r="CS11" s="415"/>
      <c r="CT11" s="415"/>
      <c r="CU11" s="415"/>
      <c r="CV11" s="415"/>
      <c r="CW11" s="415"/>
      <c r="CX11" s="415"/>
      <c r="CY11" s="415"/>
      <c r="CZ11" s="415"/>
      <c r="DA11" s="415"/>
      <c r="DB11" s="415"/>
      <c r="DC11" s="415"/>
      <c r="DD11" s="415"/>
      <c r="DE11" s="415"/>
      <c r="DF11" s="415"/>
      <c r="DG11" s="415"/>
      <c r="DH11" s="415"/>
      <c r="DI11" s="415"/>
      <c r="DJ11" s="415"/>
      <c r="DK11" s="415"/>
      <c r="DL11" s="415"/>
      <c r="DM11" s="415"/>
      <c r="DN11" s="415"/>
      <c r="DO11" s="415"/>
      <c r="DP11" s="415"/>
      <c r="DQ11" s="415"/>
      <c r="DR11" s="415"/>
      <c r="DS11" s="415"/>
      <c r="DT11" s="415"/>
      <c r="DU11" s="415"/>
      <c r="DV11" s="415"/>
      <c r="DW11" s="415"/>
      <c r="DX11" s="415"/>
      <c r="DY11" s="415"/>
      <c r="DZ11" s="415"/>
      <c r="EA11" s="415"/>
      <c r="EB11" s="415"/>
      <c r="EC11" s="415"/>
      <c r="ED11" s="415"/>
      <c r="EE11" s="415"/>
      <c r="EF11" s="415"/>
      <c r="EG11" s="415"/>
      <c r="EH11" s="415"/>
      <c r="EI11" s="415"/>
      <c r="EJ11" s="415"/>
      <c r="EK11" s="415"/>
      <c r="EL11" s="415"/>
      <c r="EM11" s="415"/>
      <c r="EN11" s="415"/>
      <c r="EO11" s="415"/>
      <c r="EP11" s="415"/>
      <c r="EQ11" s="415"/>
      <c r="ER11" s="415"/>
      <c r="ES11" s="415"/>
      <c r="ET11" s="415"/>
      <c r="EU11" s="415"/>
      <c r="EV11" s="415"/>
      <c r="EW11" s="415"/>
      <c r="EX11" s="415"/>
      <c r="EY11" s="415"/>
      <c r="EZ11" s="415"/>
      <c r="FA11" s="415"/>
      <c r="FB11" s="415"/>
      <c r="FC11" s="415"/>
      <c r="FD11" s="415"/>
      <c r="FE11" s="415"/>
      <c r="FF11" s="415"/>
      <c r="FG11" s="415"/>
      <c r="FH11" s="415"/>
      <c r="FI11" s="415"/>
      <c r="FJ11" s="415"/>
      <c r="FK11" s="415"/>
      <c r="FL11" s="415"/>
      <c r="FM11" s="415"/>
      <c r="FN11" s="415"/>
      <c r="FO11" s="415"/>
      <c r="FP11" s="415"/>
      <c r="FQ11" s="415"/>
      <c r="FR11" s="415"/>
      <c r="FS11" s="415"/>
      <c r="FT11" s="415"/>
      <c r="FU11" s="415"/>
      <c r="FV11" s="415"/>
      <c r="FW11" s="415"/>
      <c r="FX11" s="415"/>
      <c r="FY11" s="415"/>
      <c r="FZ11" s="415"/>
      <c r="GA11" s="415"/>
      <c r="GB11" s="415"/>
      <c r="GC11" s="415"/>
      <c r="GD11" s="415"/>
      <c r="GE11" s="415"/>
      <c r="GF11" s="415"/>
      <c r="GG11" s="415"/>
      <c r="GH11" s="415"/>
      <c r="GI11" s="415"/>
      <c r="GJ11" s="415"/>
      <c r="GK11" s="415"/>
      <c r="GL11" s="415"/>
      <c r="GM11" s="415"/>
      <c r="GN11" s="415"/>
      <c r="GO11" s="415"/>
      <c r="GP11" s="415"/>
      <c r="GQ11" s="415"/>
      <c r="GR11" s="415"/>
      <c r="GS11" s="415"/>
      <c r="GT11" s="415"/>
      <c r="GU11" s="415"/>
      <c r="GV11" s="415"/>
      <c r="GW11" s="415"/>
      <c r="GX11" s="415"/>
      <c r="GY11" s="415"/>
      <c r="GZ11" s="415"/>
      <c r="HA11" s="415"/>
      <c r="HB11" s="415"/>
      <c r="HC11" s="415"/>
      <c r="HD11" s="415"/>
      <c r="HE11" s="415"/>
      <c r="HF11" s="415"/>
      <c r="HG11" s="415"/>
      <c r="HH11" s="415"/>
      <c r="HI11" s="415"/>
      <c r="HJ11" s="415"/>
      <c r="HK11" s="415"/>
      <c r="HL11" s="415"/>
      <c r="HM11" s="415"/>
      <c r="HN11" s="415"/>
      <c r="HO11" s="415"/>
      <c r="HP11" s="415"/>
      <c r="HQ11" s="415"/>
      <c r="HR11" s="415"/>
      <c r="HS11" s="415"/>
      <c r="HT11" s="415"/>
      <c r="HU11" s="415"/>
      <c r="HV11" s="415"/>
      <c r="HW11" s="415"/>
      <c r="HX11" s="415"/>
      <c r="HY11" s="415"/>
      <c r="HZ11" s="415"/>
      <c r="IA11" s="415"/>
      <c r="IB11" s="415"/>
      <c r="IC11" s="415"/>
      <c r="ID11" s="415"/>
      <c r="IE11" s="415"/>
      <c r="IF11" s="415"/>
      <c r="IG11" s="415"/>
      <c r="IH11" s="415"/>
      <c r="II11" s="415"/>
      <c r="IJ11" s="415"/>
      <c r="IK11" s="415"/>
      <c r="IL11" s="415"/>
      <c r="IM11" s="415"/>
      <c r="IN11" s="415"/>
      <c r="IO11" s="415"/>
      <c r="IP11" s="415"/>
      <c r="IQ11" s="415"/>
      <c r="IR11" s="415"/>
      <c r="IS11" s="415"/>
      <c r="IT11" s="415"/>
      <c r="IU11" s="415"/>
    </row>
    <row r="12" spans="1:255" ht="15.75" customHeight="1">
      <c r="A12" s="17" t="s">
        <v>196</v>
      </c>
      <c r="C12" s="18" t="s">
        <v>3</v>
      </c>
      <c r="D12" s="783" t="s">
        <v>193</v>
      </c>
      <c r="E12" s="41"/>
      <c r="F12" s="41"/>
      <c r="G12" s="41"/>
      <c r="H12" s="45"/>
      <c r="I12" s="42"/>
      <c r="J12" s="42"/>
      <c r="K12" s="42"/>
      <c r="Q12" s="676">
        <f>(25+25.2)/2</f>
        <v>25.1</v>
      </c>
      <c r="R12" s="677">
        <f>(25.2-25)/2</f>
        <v>9.9999999999999645E-2</v>
      </c>
      <c r="S12" s="674" t="s">
        <v>16</v>
      </c>
      <c r="T12" s="674"/>
      <c r="V12" s="415"/>
      <c r="W12" s="415"/>
      <c r="X12" s="415"/>
      <c r="Y12" s="415"/>
      <c r="Z12" s="415"/>
      <c r="AA12" s="415"/>
      <c r="AB12" s="415"/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5"/>
      <c r="AN12" s="415"/>
      <c r="AO12" s="415"/>
      <c r="AP12" s="415"/>
      <c r="AQ12" s="415"/>
      <c r="AR12" s="415"/>
      <c r="AS12" s="415"/>
      <c r="AT12" s="415"/>
      <c r="AU12" s="415"/>
      <c r="AV12" s="415"/>
      <c r="AW12" s="415"/>
      <c r="AX12" s="415"/>
      <c r="AY12" s="415"/>
      <c r="AZ12" s="415"/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  <c r="BL12" s="415"/>
      <c r="BM12" s="415"/>
      <c r="BN12" s="415"/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  <c r="CB12" s="415"/>
      <c r="CC12" s="415"/>
      <c r="CD12" s="415"/>
      <c r="CE12" s="415"/>
      <c r="CF12" s="415"/>
      <c r="CG12" s="415"/>
      <c r="CH12" s="415"/>
      <c r="CI12" s="415"/>
      <c r="CJ12" s="415"/>
      <c r="CK12" s="415"/>
      <c r="CL12" s="415"/>
      <c r="CM12" s="415"/>
      <c r="CN12" s="415"/>
      <c r="CO12" s="415"/>
      <c r="CP12" s="415"/>
      <c r="CQ12" s="415"/>
      <c r="CR12" s="415"/>
      <c r="CS12" s="415"/>
      <c r="CT12" s="415"/>
      <c r="CU12" s="415"/>
      <c r="CV12" s="415"/>
      <c r="CW12" s="415"/>
      <c r="CX12" s="415"/>
      <c r="CY12" s="415"/>
      <c r="CZ12" s="415"/>
      <c r="DA12" s="415"/>
      <c r="DB12" s="415"/>
      <c r="DC12" s="415"/>
      <c r="DD12" s="415"/>
      <c r="DE12" s="415"/>
      <c r="DF12" s="415"/>
      <c r="DG12" s="415"/>
      <c r="DH12" s="415"/>
      <c r="DI12" s="415"/>
      <c r="DJ12" s="415"/>
      <c r="DK12" s="415"/>
      <c r="DL12" s="415"/>
      <c r="DM12" s="415"/>
      <c r="DN12" s="415"/>
      <c r="DO12" s="415"/>
      <c r="DP12" s="415"/>
      <c r="DQ12" s="415"/>
      <c r="DR12" s="415"/>
      <c r="DS12" s="415"/>
      <c r="DT12" s="415"/>
      <c r="DU12" s="415"/>
      <c r="DV12" s="415"/>
      <c r="DW12" s="415"/>
      <c r="DX12" s="415"/>
      <c r="DY12" s="415"/>
      <c r="DZ12" s="415"/>
      <c r="EA12" s="415"/>
      <c r="EB12" s="415"/>
      <c r="EC12" s="415"/>
      <c r="ED12" s="415"/>
      <c r="EE12" s="415"/>
      <c r="EF12" s="415"/>
      <c r="EG12" s="415"/>
      <c r="EH12" s="415"/>
      <c r="EI12" s="415"/>
      <c r="EJ12" s="415"/>
      <c r="EK12" s="415"/>
      <c r="EL12" s="415"/>
      <c r="EM12" s="415"/>
      <c r="EN12" s="415"/>
      <c r="EO12" s="415"/>
      <c r="EP12" s="415"/>
      <c r="EQ12" s="415"/>
      <c r="ER12" s="415"/>
      <c r="ES12" s="415"/>
      <c r="ET12" s="415"/>
      <c r="EU12" s="415"/>
      <c r="EV12" s="415"/>
      <c r="EW12" s="415"/>
      <c r="EX12" s="415"/>
      <c r="EY12" s="415"/>
      <c r="EZ12" s="415"/>
      <c r="FA12" s="415"/>
      <c r="FB12" s="415"/>
      <c r="FC12" s="415"/>
      <c r="FD12" s="415"/>
      <c r="FE12" s="415"/>
      <c r="FF12" s="415"/>
      <c r="FG12" s="415"/>
      <c r="FH12" s="415"/>
      <c r="FI12" s="415"/>
      <c r="FJ12" s="415"/>
      <c r="FK12" s="415"/>
      <c r="FL12" s="415"/>
      <c r="FM12" s="415"/>
      <c r="FN12" s="415"/>
      <c r="FO12" s="415"/>
      <c r="FP12" s="415"/>
      <c r="FQ12" s="415"/>
      <c r="FR12" s="415"/>
      <c r="FS12" s="415"/>
      <c r="FT12" s="415"/>
      <c r="FU12" s="415"/>
      <c r="FV12" s="415"/>
      <c r="FW12" s="415"/>
      <c r="FX12" s="415"/>
      <c r="FY12" s="415"/>
      <c r="FZ12" s="415"/>
      <c r="GA12" s="415"/>
      <c r="GB12" s="415"/>
      <c r="GC12" s="415"/>
      <c r="GD12" s="415"/>
      <c r="GE12" s="415"/>
      <c r="GF12" s="415"/>
      <c r="GG12" s="415"/>
      <c r="GH12" s="415"/>
      <c r="GI12" s="415"/>
      <c r="GJ12" s="415"/>
      <c r="GK12" s="415"/>
      <c r="GL12" s="415"/>
      <c r="GM12" s="415"/>
      <c r="GN12" s="415"/>
      <c r="GO12" s="415"/>
      <c r="GP12" s="415"/>
      <c r="GQ12" s="415"/>
      <c r="GR12" s="415"/>
      <c r="GS12" s="415"/>
      <c r="GT12" s="415"/>
      <c r="GU12" s="415"/>
      <c r="GV12" s="415"/>
      <c r="GW12" s="415"/>
      <c r="GX12" s="415"/>
      <c r="GY12" s="415"/>
      <c r="GZ12" s="415"/>
      <c r="HA12" s="415"/>
      <c r="HB12" s="415"/>
      <c r="HC12" s="415"/>
      <c r="HD12" s="415"/>
      <c r="HE12" s="415"/>
      <c r="HF12" s="415"/>
      <c r="HG12" s="415"/>
      <c r="HH12" s="415"/>
      <c r="HI12" s="415"/>
      <c r="HJ12" s="415"/>
      <c r="HK12" s="415"/>
      <c r="HL12" s="415"/>
      <c r="HM12" s="415"/>
      <c r="HN12" s="415"/>
      <c r="HO12" s="415"/>
      <c r="HP12" s="415"/>
      <c r="HQ12" s="415"/>
      <c r="HR12" s="415"/>
      <c r="HS12" s="415"/>
      <c r="HT12" s="415"/>
      <c r="HU12" s="415"/>
      <c r="HV12" s="415"/>
      <c r="HW12" s="415"/>
      <c r="HX12" s="415"/>
      <c r="HY12" s="415"/>
      <c r="HZ12" s="415"/>
      <c r="IA12" s="415"/>
      <c r="IB12" s="415"/>
      <c r="IC12" s="415"/>
      <c r="ID12" s="415"/>
      <c r="IE12" s="415"/>
      <c r="IF12" s="415"/>
      <c r="IG12" s="415"/>
      <c r="IH12" s="415"/>
      <c r="II12" s="415"/>
      <c r="IJ12" s="415"/>
      <c r="IK12" s="415"/>
      <c r="IL12" s="415"/>
      <c r="IM12" s="415"/>
      <c r="IN12" s="415"/>
      <c r="IO12" s="415"/>
      <c r="IP12" s="415"/>
      <c r="IQ12" s="415"/>
      <c r="IR12" s="415"/>
      <c r="IS12" s="415"/>
      <c r="IT12" s="415"/>
      <c r="IU12" s="415"/>
    </row>
    <row r="13" spans="1:255" ht="15.75" customHeight="1">
      <c r="A13" s="17" t="s">
        <v>197</v>
      </c>
      <c r="C13" s="18" t="s">
        <v>3</v>
      </c>
      <c r="D13" s="1147" t="s">
        <v>198</v>
      </c>
      <c r="E13" s="1147"/>
      <c r="F13" s="1147"/>
      <c r="G13" s="1147"/>
      <c r="H13" s="1147"/>
      <c r="I13" s="1147"/>
      <c r="J13" s="1147"/>
      <c r="K13" s="1147"/>
      <c r="Q13" s="676">
        <f>(64+63.7)/2</f>
        <v>63.85</v>
      </c>
      <c r="R13" s="677">
        <f>(64-63.7)/2</f>
        <v>0.14999999999999858</v>
      </c>
      <c r="S13" s="674" t="s">
        <v>18</v>
      </c>
      <c r="T13" s="674"/>
      <c r="V13" s="415"/>
      <c r="W13" s="415"/>
      <c r="X13" s="415"/>
      <c r="Y13" s="415"/>
      <c r="Z13" s="415"/>
      <c r="AA13" s="415"/>
      <c r="AB13" s="415"/>
      <c r="AC13" s="415"/>
      <c r="AD13" s="415"/>
      <c r="AE13" s="415"/>
      <c r="AF13" s="415"/>
      <c r="AG13" s="415"/>
      <c r="AH13" s="415"/>
      <c r="AI13" s="415"/>
      <c r="AJ13" s="415"/>
      <c r="AK13" s="415"/>
      <c r="AL13" s="415"/>
      <c r="AM13" s="415"/>
      <c r="AN13" s="415"/>
      <c r="AO13" s="415"/>
      <c r="AP13" s="415"/>
      <c r="AQ13" s="415"/>
      <c r="AR13" s="415"/>
      <c r="AS13" s="415"/>
      <c r="AT13" s="415"/>
      <c r="AU13" s="415"/>
      <c r="AV13" s="415"/>
      <c r="AW13" s="415"/>
      <c r="AX13" s="415"/>
      <c r="AY13" s="415"/>
      <c r="AZ13" s="415"/>
      <c r="BA13" s="415"/>
      <c r="BB13" s="415"/>
      <c r="BC13" s="415"/>
      <c r="BD13" s="415"/>
      <c r="BE13" s="415"/>
      <c r="BF13" s="415"/>
      <c r="BG13" s="415"/>
      <c r="BH13" s="415"/>
      <c r="BI13" s="415"/>
      <c r="BJ13" s="415"/>
      <c r="BK13" s="415"/>
      <c r="BL13" s="415"/>
      <c r="BM13" s="415"/>
      <c r="BN13" s="415"/>
      <c r="BO13" s="415"/>
      <c r="BP13" s="415"/>
      <c r="BQ13" s="415"/>
      <c r="BR13" s="415"/>
      <c r="BS13" s="415"/>
      <c r="BT13" s="415"/>
      <c r="BU13" s="415"/>
      <c r="BV13" s="415"/>
      <c r="BW13" s="415"/>
      <c r="BX13" s="415"/>
      <c r="BY13" s="415"/>
      <c r="BZ13" s="415"/>
      <c r="CA13" s="415"/>
      <c r="CB13" s="415"/>
      <c r="CC13" s="415"/>
      <c r="CD13" s="415"/>
      <c r="CE13" s="415"/>
      <c r="CF13" s="415"/>
      <c r="CG13" s="415"/>
      <c r="CH13" s="415"/>
      <c r="CI13" s="415"/>
      <c r="CJ13" s="415"/>
      <c r="CK13" s="415"/>
      <c r="CL13" s="415"/>
      <c r="CM13" s="415"/>
      <c r="CN13" s="415"/>
      <c r="CO13" s="415"/>
      <c r="CP13" s="415"/>
      <c r="CQ13" s="415"/>
      <c r="CR13" s="415"/>
      <c r="CS13" s="415"/>
      <c r="CT13" s="415"/>
      <c r="CU13" s="415"/>
      <c r="CV13" s="415"/>
      <c r="CW13" s="415"/>
      <c r="CX13" s="415"/>
      <c r="CY13" s="415"/>
      <c r="CZ13" s="415"/>
      <c r="DA13" s="415"/>
      <c r="DB13" s="415"/>
      <c r="DC13" s="415"/>
      <c r="DD13" s="415"/>
      <c r="DE13" s="415"/>
      <c r="DF13" s="415"/>
      <c r="DG13" s="415"/>
      <c r="DH13" s="415"/>
      <c r="DI13" s="415"/>
      <c r="DJ13" s="415"/>
      <c r="DK13" s="415"/>
      <c r="DL13" s="415"/>
      <c r="DM13" s="415"/>
      <c r="DN13" s="415"/>
      <c r="DO13" s="415"/>
      <c r="DP13" s="415"/>
      <c r="DQ13" s="415"/>
      <c r="DR13" s="415"/>
      <c r="DS13" s="415"/>
      <c r="DT13" s="415"/>
      <c r="DU13" s="415"/>
      <c r="DV13" s="415"/>
      <c r="DW13" s="415"/>
      <c r="DX13" s="415"/>
      <c r="DY13" s="415"/>
      <c r="DZ13" s="415"/>
      <c r="EA13" s="415"/>
      <c r="EB13" s="415"/>
      <c r="EC13" s="415"/>
      <c r="ED13" s="415"/>
      <c r="EE13" s="415"/>
      <c r="EF13" s="415"/>
      <c r="EG13" s="415"/>
      <c r="EH13" s="415"/>
      <c r="EI13" s="415"/>
      <c r="EJ13" s="415"/>
      <c r="EK13" s="415"/>
      <c r="EL13" s="415"/>
      <c r="EM13" s="415"/>
      <c r="EN13" s="415"/>
      <c r="EO13" s="415"/>
      <c r="EP13" s="415"/>
      <c r="EQ13" s="415"/>
      <c r="ER13" s="415"/>
      <c r="ES13" s="415"/>
      <c r="ET13" s="415"/>
      <c r="EU13" s="415"/>
      <c r="EV13" s="415"/>
      <c r="EW13" s="415"/>
      <c r="EX13" s="415"/>
      <c r="EY13" s="415"/>
      <c r="EZ13" s="415"/>
      <c r="FA13" s="415"/>
      <c r="FB13" s="415"/>
      <c r="FC13" s="415"/>
      <c r="FD13" s="415"/>
      <c r="FE13" s="415"/>
      <c r="FF13" s="415"/>
      <c r="FG13" s="415"/>
      <c r="FH13" s="415"/>
      <c r="FI13" s="415"/>
      <c r="FJ13" s="415"/>
      <c r="FK13" s="415"/>
      <c r="FL13" s="415"/>
      <c r="FM13" s="415"/>
      <c r="FN13" s="415"/>
      <c r="FO13" s="415"/>
      <c r="FP13" s="415"/>
      <c r="FQ13" s="415"/>
      <c r="FR13" s="415"/>
      <c r="FS13" s="415"/>
      <c r="FT13" s="415"/>
      <c r="FU13" s="415"/>
      <c r="FV13" s="415"/>
      <c r="FW13" s="415"/>
      <c r="FX13" s="415"/>
      <c r="FY13" s="415"/>
      <c r="FZ13" s="415"/>
      <c r="GA13" s="415"/>
      <c r="GB13" s="415"/>
      <c r="GC13" s="415"/>
      <c r="GD13" s="415"/>
      <c r="GE13" s="415"/>
      <c r="GF13" s="415"/>
      <c r="GG13" s="415"/>
      <c r="GH13" s="415"/>
      <c r="GI13" s="415"/>
      <c r="GJ13" s="415"/>
      <c r="GK13" s="415"/>
      <c r="GL13" s="415"/>
      <c r="GM13" s="415"/>
      <c r="GN13" s="415"/>
      <c r="GO13" s="415"/>
      <c r="GP13" s="415"/>
      <c r="GQ13" s="415"/>
      <c r="GR13" s="415"/>
      <c r="GS13" s="415"/>
      <c r="GT13" s="415"/>
      <c r="GU13" s="415"/>
      <c r="GV13" s="415"/>
      <c r="GW13" s="415"/>
      <c r="GX13" s="415"/>
      <c r="GY13" s="415"/>
      <c r="GZ13" s="415"/>
      <c r="HA13" s="415"/>
      <c r="HB13" s="415"/>
      <c r="HC13" s="415"/>
      <c r="HD13" s="415"/>
      <c r="HE13" s="415"/>
      <c r="HF13" s="415"/>
      <c r="HG13" s="415"/>
      <c r="HH13" s="415"/>
      <c r="HI13" s="415"/>
      <c r="HJ13" s="415"/>
      <c r="HK13" s="415"/>
      <c r="HL13" s="415"/>
      <c r="HM13" s="415"/>
      <c r="HN13" s="415"/>
      <c r="HO13" s="415"/>
      <c r="HP13" s="415"/>
      <c r="HQ13" s="415"/>
      <c r="HR13" s="415"/>
      <c r="HS13" s="415"/>
      <c r="HT13" s="415"/>
      <c r="HU13" s="415"/>
      <c r="HV13" s="415"/>
      <c r="HW13" s="415"/>
      <c r="HX13" s="415"/>
      <c r="HY13" s="415"/>
      <c r="HZ13" s="415"/>
      <c r="IA13" s="415"/>
      <c r="IB13" s="415"/>
      <c r="IC13" s="415"/>
      <c r="ID13" s="415"/>
      <c r="IE13" s="415"/>
      <c r="IF13" s="415"/>
      <c r="IG13" s="415"/>
      <c r="IH13" s="415"/>
      <c r="II13" s="415"/>
      <c r="IJ13" s="415"/>
      <c r="IK13" s="415"/>
      <c r="IL13" s="415"/>
      <c r="IM13" s="415"/>
      <c r="IN13" s="415"/>
      <c r="IO13" s="415"/>
      <c r="IP13" s="415"/>
      <c r="IQ13" s="415"/>
      <c r="IR13" s="415"/>
      <c r="IS13" s="415"/>
      <c r="IT13" s="415"/>
      <c r="IU13" s="415"/>
    </row>
    <row r="14" spans="1:255" ht="17.25" customHeight="1">
      <c r="B14" s="17"/>
      <c r="C14" s="17"/>
      <c r="D14" s="1148"/>
      <c r="E14" s="1148"/>
      <c r="F14" s="1148"/>
      <c r="G14" s="1148"/>
      <c r="H14" s="1148"/>
      <c r="I14" s="1148"/>
      <c r="J14" s="1148"/>
      <c r="K14" s="1148"/>
      <c r="Q14" s="35"/>
      <c r="R14" s="35"/>
      <c r="V14" s="415"/>
      <c r="W14" s="415"/>
      <c r="X14" s="415"/>
      <c r="Y14" s="415"/>
      <c r="Z14" s="415"/>
      <c r="AA14" s="415"/>
      <c r="AB14" s="415"/>
      <c r="AC14" s="415"/>
      <c r="AD14" s="415"/>
      <c r="AE14" s="415"/>
      <c r="AF14" s="415"/>
      <c r="AG14" s="415"/>
      <c r="AH14" s="415"/>
      <c r="AI14" s="415"/>
      <c r="AJ14" s="415"/>
      <c r="AK14" s="415"/>
      <c r="AL14" s="415"/>
      <c r="AM14" s="415"/>
      <c r="AN14" s="415"/>
      <c r="AO14" s="415"/>
      <c r="AP14" s="415"/>
      <c r="AQ14" s="415"/>
      <c r="AR14" s="415"/>
      <c r="AS14" s="415"/>
      <c r="AT14" s="415"/>
      <c r="AU14" s="415"/>
      <c r="AV14" s="415"/>
      <c r="AW14" s="415"/>
      <c r="AX14" s="415"/>
      <c r="AY14" s="415"/>
      <c r="AZ14" s="415"/>
      <c r="BA14" s="415"/>
      <c r="BB14" s="415"/>
      <c r="BC14" s="415"/>
      <c r="BD14" s="415"/>
      <c r="BE14" s="415"/>
      <c r="BF14" s="415"/>
      <c r="BG14" s="415"/>
      <c r="BH14" s="415"/>
      <c r="BI14" s="415"/>
      <c r="BJ14" s="415"/>
      <c r="BK14" s="415"/>
      <c r="BL14" s="415"/>
      <c r="BM14" s="415"/>
      <c r="BN14" s="415"/>
      <c r="BO14" s="415"/>
      <c r="BP14" s="415"/>
      <c r="BQ14" s="415"/>
      <c r="BR14" s="415"/>
      <c r="BS14" s="415"/>
      <c r="BT14" s="415"/>
      <c r="BU14" s="415"/>
      <c r="BV14" s="415"/>
      <c r="BW14" s="415"/>
      <c r="BX14" s="415"/>
      <c r="BY14" s="415"/>
      <c r="BZ14" s="415"/>
      <c r="CA14" s="415"/>
      <c r="CB14" s="415"/>
      <c r="CC14" s="415"/>
      <c r="CD14" s="415"/>
      <c r="CE14" s="415"/>
      <c r="CF14" s="415"/>
      <c r="CG14" s="415"/>
      <c r="CH14" s="415"/>
      <c r="CI14" s="415"/>
      <c r="CJ14" s="415"/>
      <c r="CK14" s="415"/>
      <c r="CL14" s="415"/>
      <c r="CM14" s="415"/>
      <c r="CN14" s="415"/>
      <c r="CO14" s="415"/>
      <c r="CP14" s="415"/>
      <c r="CQ14" s="415"/>
      <c r="CR14" s="415"/>
      <c r="CS14" s="415"/>
      <c r="CT14" s="415"/>
      <c r="CU14" s="415"/>
      <c r="CV14" s="415"/>
      <c r="CW14" s="415"/>
      <c r="CX14" s="415"/>
      <c r="CY14" s="415"/>
      <c r="CZ14" s="415"/>
      <c r="DA14" s="415"/>
      <c r="DB14" s="415"/>
      <c r="DC14" s="415"/>
      <c r="DD14" s="415"/>
      <c r="DE14" s="415"/>
      <c r="DF14" s="415"/>
      <c r="DG14" s="415"/>
      <c r="DH14" s="415"/>
      <c r="DI14" s="415"/>
      <c r="DJ14" s="415"/>
      <c r="DK14" s="415"/>
      <c r="DL14" s="415"/>
      <c r="DM14" s="415"/>
      <c r="DN14" s="415"/>
      <c r="DO14" s="415"/>
      <c r="DP14" s="415"/>
      <c r="DQ14" s="415"/>
      <c r="DR14" s="415"/>
      <c r="DS14" s="415"/>
      <c r="DT14" s="415"/>
      <c r="DU14" s="415"/>
      <c r="DV14" s="415"/>
      <c r="DW14" s="415"/>
      <c r="DX14" s="415"/>
      <c r="DY14" s="415"/>
      <c r="DZ14" s="415"/>
      <c r="EA14" s="415"/>
      <c r="EB14" s="415"/>
      <c r="EC14" s="415"/>
      <c r="ED14" s="415"/>
      <c r="EE14" s="415"/>
      <c r="EF14" s="415"/>
      <c r="EG14" s="415"/>
      <c r="EH14" s="415"/>
      <c r="EI14" s="415"/>
      <c r="EJ14" s="415"/>
      <c r="EK14" s="415"/>
      <c r="EL14" s="415"/>
      <c r="EM14" s="415"/>
      <c r="EN14" s="415"/>
      <c r="EO14" s="415"/>
      <c r="EP14" s="415"/>
      <c r="EQ14" s="415"/>
      <c r="ER14" s="415"/>
      <c r="ES14" s="415"/>
      <c r="ET14" s="415"/>
      <c r="EU14" s="415"/>
      <c r="EV14" s="415"/>
      <c r="EW14" s="415"/>
      <c r="EX14" s="415"/>
      <c r="EY14" s="415"/>
      <c r="EZ14" s="415"/>
      <c r="FA14" s="415"/>
      <c r="FB14" s="415"/>
      <c r="FC14" s="415"/>
      <c r="FD14" s="415"/>
      <c r="FE14" s="415"/>
      <c r="FF14" s="415"/>
      <c r="FG14" s="415"/>
      <c r="FH14" s="415"/>
      <c r="FI14" s="415"/>
      <c r="FJ14" s="415"/>
      <c r="FK14" s="415"/>
      <c r="FL14" s="415"/>
      <c r="FM14" s="415"/>
      <c r="FN14" s="415"/>
      <c r="FO14" s="415"/>
      <c r="FP14" s="415"/>
      <c r="FQ14" s="415"/>
      <c r="FR14" s="415"/>
      <c r="FS14" s="415"/>
      <c r="FT14" s="415"/>
      <c r="FU14" s="415"/>
      <c r="FV14" s="415"/>
      <c r="FW14" s="415"/>
      <c r="FX14" s="415"/>
      <c r="FY14" s="415"/>
      <c r="FZ14" s="415"/>
      <c r="GA14" s="415"/>
      <c r="GB14" s="415"/>
      <c r="GC14" s="415"/>
      <c r="GD14" s="415"/>
      <c r="GE14" s="415"/>
      <c r="GF14" s="415"/>
      <c r="GG14" s="415"/>
      <c r="GH14" s="415"/>
      <c r="GI14" s="415"/>
      <c r="GJ14" s="415"/>
      <c r="GK14" s="415"/>
      <c r="GL14" s="415"/>
      <c r="GM14" s="415"/>
      <c r="GN14" s="415"/>
      <c r="GO14" s="415"/>
      <c r="GP14" s="415"/>
      <c r="GQ14" s="415"/>
      <c r="GR14" s="415"/>
      <c r="GS14" s="415"/>
      <c r="GT14" s="415"/>
      <c r="GU14" s="415"/>
      <c r="GV14" s="415"/>
      <c r="GW14" s="415"/>
      <c r="GX14" s="415"/>
      <c r="GY14" s="415"/>
      <c r="GZ14" s="415"/>
      <c r="HA14" s="415"/>
      <c r="HB14" s="415"/>
      <c r="HC14" s="415"/>
      <c r="HD14" s="415"/>
      <c r="HE14" s="415"/>
      <c r="HF14" s="415"/>
      <c r="HG14" s="415"/>
      <c r="HH14" s="415"/>
      <c r="HI14" s="415"/>
      <c r="HJ14" s="415"/>
      <c r="HK14" s="415"/>
      <c r="HL14" s="415"/>
      <c r="HM14" s="415"/>
      <c r="HN14" s="415"/>
      <c r="HO14" s="415"/>
      <c r="HP14" s="415"/>
      <c r="HQ14" s="415"/>
      <c r="HR14" s="415"/>
      <c r="HS14" s="415"/>
      <c r="HT14" s="415"/>
      <c r="HU14" s="415"/>
      <c r="HV14" s="415"/>
      <c r="HW14" s="415"/>
      <c r="HX14" s="415"/>
      <c r="HY14" s="415"/>
      <c r="HZ14" s="415"/>
      <c r="IA14" s="415"/>
      <c r="IB14" s="415"/>
      <c r="IC14" s="415"/>
      <c r="ID14" s="415"/>
      <c r="IE14" s="415"/>
      <c r="IF14" s="415"/>
      <c r="IG14" s="415"/>
      <c r="IH14" s="415"/>
      <c r="II14" s="415"/>
      <c r="IJ14" s="415"/>
      <c r="IK14" s="415"/>
      <c r="IL14" s="415"/>
      <c r="IM14" s="415"/>
      <c r="IN14" s="415"/>
      <c r="IO14" s="415"/>
      <c r="IP14" s="415"/>
      <c r="IQ14" s="415"/>
      <c r="IR14" s="415"/>
      <c r="IS14" s="415"/>
      <c r="IT14" s="415"/>
      <c r="IU14" s="415"/>
    </row>
    <row r="15" spans="1:255" ht="17.25" customHeight="1">
      <c r="B15" s="17"/>
      <c r="C15" s="17"/>
      <c r="D15" s="17"/>
      <c r="E15" s="17"/>
      <c r="F15" s="17"/>
      <c r="G15" s="17"/>
      <c r="H15" s="17"/>
      <c r="I15" s="784"/>
      <c r="J15" s="784"/>
      <c r="K15" s="782"/>
      <c r="V15" s="415"/>
      <c r="W15" s="415"/>
      <c r="X15" s="415"/>
      <c r="Y15" s="415"/>
      <c r="Z15" s="415"/>
      <c r="AA15" s="415"/>
      <c r="AB15" s="415"/>
      <c r="AC15" s="415"/>
      <c r="AD15" s="415"/>
      <c r="AE15" s="415"/>
      <c r="AF15" s="415"/>
      <c r="AG15" s="415"/>
      <c r="AH15" s="415"/>
      <c r="AI15" s="415"/>
      <c r="AJ15" s="415"/>
      <c r="AK15" s="415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5"/>
      <c r="BG15" s="415"/>
      <c r="BH15" s="415"/>
      <c r="BI15" s="415"/>
      <c r="BJ15" s="415"/>
      <c r="BK15" s="415"/>
      <c r="BL15" s="415"/>
      <c r="BM15" s="415"/>
      <c r="BN15" s="415"/>
      <c r="BO15" s="415"/>
      <c r="BP15" s="415"/>
      <c r="BQ15" s="415"/>
      <c r="BR15" s="415"/>
      <c r="BS15" s="415"/>
      <c r="BT15" s="415"/>
      <c r="BU15" s="415"/>
      <c r="BV15" s="415"/>
      <c r="BW15" s="415"/>
      <c r="BX15" s="415"/>
      <c r="BY15" s="415"/>
      <c r="BZ15" s="415"/>
      <c r="CA15" s="415"/>
      <c r="CB15" s="415"/>
      <c r="CC15" s="415"/>
      <c r="CD15" s="415"/>
      <c r="CE15" s="415"/>
      <c r="CF15" s="415"/>
      <c r="CG15" s="415"/>
      <c r="CH15" s="415"/>
      <c r="CI15" s="415"/>
      <c r="CJ15" s="415"/>
      <c r="CK15" s="415"/>
      <c r="CL15" s="415"/>
      <c r="CM15" s="415"/>
      <c r="CN15" s="415"/>
      <c r="CO15" s="415"/>
      <c r="CP15" s="415"/>
      <c r="CQ15" s="415"/>
      <c r="CR15" s="415"/>
      <c r="CS15" s="415"/>
      <c r="CT15" s="415"/>
      <c r="CU15" s="415"/>
      <c r="CV15" s="415"/>
      <c r="CW15" s="415"/>
      <c r="CX15" s="415"/>
      <c r="CY15" s="415"/>
      <c r="CZ15" s="415"/>
      <c r="DA15" s="415"/>
      <c r="DB15" s="415"/>
      <c r="DC15" s="415"/>
      <c r="DD15" s="415"/>
      <c r="DE15" s="415"/>
      <c r="DF15" s="415"/>
      <c r="DG15" s="415"/>
      <c r="DH15" s="415"/>
      <c r="DI15" s="415"/>
      <c r="DJ15" s="415"/>
      <c r="DK15" s="415"/>
      <c r="DL15" s="415"/>
      <c r="DM15" s="415"/>
      <c r="DN15" s="415"/>
      <c r="DO15" s="415"/>
      <c r="DP15" s="415"/>
      <c r="DQ15" s="415"/>
      <c r="DR15" s="415"/>
      <c r="DS15" s="415"/>
      <c r="DT15" s="415"/>
      <c r="DU15" s="415"/>
      <c r="DV15" s="415"/>
      <c r="DW15" s="415"/>
      <c r="DX15" s="415"/>
      <c r="DY15" s="415"/>
      <c r="DZ15" s="415"/>
      <c r="EA15" s="415"/>
      <c r="EB15" s="415"/>
      <c r="EC15" s="415"/>
      <c r="ED15" s="415"/>
      <c r="EE15" s="415"/>
      <c r="EF15" s="415"/>
      <c r="EG15" s="415"/>
      <c r="EH15" s="415"/>
      <c r="EI15" s="415"/>
      <c r="EJ15" s="415"/>
      <c r="EK15" s="415"/>
      <c r="EL15" s="415"/>
      <c r="EM15" s="415"/>
      <c r="EN15" s="415"/>
      <c r="EO15" s="415"/>
      <c r="EP15" s="415"/>
      <c r="EQ15" s="415"/>
      <c r="ER15" s="415"/>
      <c r="ES15" s="415"/>
      <c r="ET15" s="415"/>
      <c r="EU15" s="415"/>
      <c r="EV15" s="415"/>
      <c r="EW15" s="415"/>
      <c r="EX15" s="415"/>
      <c r="EY15" s="415"/>
      <c r="EZ15" s="415"/>
      <c r="FA15" s="415"/>
      <c r="FB15" s="415"/>
      <c r="FC15" s="415"/>
      <c r="FD15" s="415"/>
      <c r="FE15" s="415"/>
      <c r="FF15" s="415"/>
      <c r="FG15" s="415"/>
      <c r="FH15" s="415"/>
      <c r="FI15" s="415"/>
      <c r="FJ15" s="415"/>
      <c r="FK15" s="415"/>
      <c r="FL15" s="415"/>
      <c r="FM15" s="415"/>
      <c r="FN15" s="415"/>
      <c r="FO15" s="415"/>
      <c r="FP15" s="415"/>
      <c r="FQ15" s="415"/>
      <c r="FR15" s="415"/>
      <c r="FS15" s="415"/>
      <c r="FT15" s="415"/>
      <c r="FU15" s="415"/>
      <c r="FV15" s="415"/>
      <c r="FW15" s="415"/>
      <c r="FX15" s="415"/>
      <c r="FY15" s="415"/>
      <c r="FZ15" s="415"/>
      <c r="GA15" s="415"/>
      <c r="GB15" s="415"/>
      <c r="GC15" s="415"/>
      <c r="GD15" s="415"/>
      <c r="GE15" s="415"/>
      <c r="GF15" s="415"/>
      <c r="GG15" s="415"/>
      <c r="GH15" s="415"/>
      <c r="GI15" s="415"/>
      <c r="GJ15" s="415"/>
      <c r="GK15" s="415"/>
      <c r="GL15" s="415"/>
      <c r="GM15" s="415"/>
      <c r="GN15" s="415"/>
      <c r="GO15" s="415"/>
      <c r="GP15" s="415"/>
      <c r="GQ15" s="415"/>
      <c r="GR15" s="415"/>
      <c r="GS15" s="415"/>
      <c r="GT15" s="415"/>
      <c r="GU15" s="415"/>
      <c r="GV15" s="415"/>
      <c r="GW15" s="415"/>
      <c r="GX15" s="415"/>
      <c r="GY15" s="415"/>
      <c r="GZ15" s="415"/>
      <c r="HA15" s="415"/>
      <c r="HB15" s="415"/>
      <c r="HC15" s="415"/>
      <c r="HD15" s="415"/>
      <c r="HE15" s="415"/>
      <c r="HF15" s="415"/>
      <c r="HG15" s="415"/>
      <c r="HH15" s="415"/>
      <c r="HI15" s="415"/>
      <c r="HJ15" s="415"/>
      <c r="HK15" s="415"/>
      <c r="HL15" s="415"/>
      <c r="HM15" s="415"/>
      <c r="HN15" s="415"/>
      <c r="HO15" s="415"/>
      <c r="HP15" s="415"/>
      <c r="HQ15" s="415"/>
      <c r="HR15" s="415"/>
      <c r="HS15" s="415"/>
      <c r="HT15" s="415"/>
      <c r="HU15" s="415"/>
      <c r="HV15" s="415"/>
      <c r="HW15" s="415"/>
      <c r="HX15" s="415"/>
      <c r="HY15" s="415"/>
      <c r="HZ15" s="415"/>
      <c r="IA15" s="415"/>
      <c r="IB15" s="415"/>
      <c r="IC15" s="415"/>
      <c r="ID15" s="415"/>
      <c r="IE15" s="415"/>
      <c r="IF15" s="415"/>
      <c r="IG15" s="415"/>
      <c r="IH15" s="415"/>
      <c r="II15" s="415"/>
      <c r="IJ15" s="415"/>
      <c r="IK15" s="415"/>
      <c r="IL15" s="415"/>
      <c r="IM15" s="415"/>
      <c r="IN15" s="415"/>
      <c r="IO15" s="415"/>
      <c r="IP15" s="415"/>
      <c r="IQ15" s="415"/>
      <c r="IR15" s="415"/>
      <c r="IS15" s="415"/>
      <c r="IT15" s="415"/>
      <c r="IU15" s="415"/>
    </row>
    <row r="16" spans="1:255" ht="15.75" customHeight="1">
      <c r="A16" s="288" t="s">
        <v>11</v>
      </c>
      <c r="B16" s="22" t="s">
        <v>12</v>
      </c>
      <c r="C16" s="22"/>
      <c r="D16" s="762" t="s">
        <v>13</v>
      </c>
      <c r="E16" s="46" t="s">
        <v>14</v>
      </c>
      <c r="F16" s="47" t="s">
        <v>194</v>
      </c>
      <c r="G16" s="762" t="s">
        <v>195</v>
      </c>
      <c r="H16" s="48"/>
      <c r="I16" s="415"/>
      <c r="J16" s="415"/>
      <c r="K16" s="415"/>
      <c r="L16" s="415"/>
      <c r="R16" s="782">
        <f>IF(AND(J30&gt;500,Q19="G",S20="-"),2,IF(AND(J30&gt;500,Q19="G",S20&gt;100),0,IF(AND(J30&gt;500,Q19="G",S20=""),2,IF(AND(J30&gt;500,Q19="G",S20&lt;=100),1,IF(AND(Q19="G",J30&gt;500),2,IF(AND(J30="-",Q19="G"),2,IF(AND(J30&gt;500,Q19="G",S20="-"),2,IF(AND(Q19="G",J30="-",S20&gt;100),2,IF(AND(J30="-",Q19="NG",S20&lt;=100),1,IF(AND(J30="-",Q19="NG",S20&gt;100),1,IF(AND(J30="-",Q19="NG",S20="-"),2,IF(AND(J30="-",Q19="NG",S20=""),2,IF(AND(J30="",S20="",Q19="NG"),2,IF(AND(Q19="NG",J30&lt;=500,S20&gt;100),1,IF(AND(Q19="G",B109="CEK LAGI OM!!!"),2,IF(AND(Q19="G",J30&gt;500,S20&gt;100),0,IF(AND(Q19="G",V27="uye"),2,IF(AND(Q19="G",V27="keluar"),1,IF(AND(Q19="NG",V27="keluar"),0,IF(AND(Q19="NG",V27="masuk"),1,IF(AND(Q19="G",V27="masuk"),1)))))))))))))))))))))</f>
        <v>1</v>
      </c>
      <c r="T16" s="16">
        <v>2</v>
      </c>
      <c r="V16" s="415"/>
      <c r="W16" s="415"/>
      <c r="X16" s="965" t="str">
        <f>VLOOKUP(ID!R16,X17:Y18,2)</f>
        <v>Nomor Sertifikat : 47 /</v>
      </c>
      <c r="Y16" s="782"/>
      <c r="Z16" s="782"/>
      <c r="AA16" s="415"/>
      <c r="AB16" s="415"/>
      <c r="AC16" s="415"/>
      <c r="AD16" s="415"/>
      <c r="AE16" s="415"/>
      <c r="AF16" s="415"/>
      <c r="AG16" s="415"/>
      <c r="AH16" s="415"/>
      <c r="AI16" s="415"/>
      <c r="AJ16" s="415"/>
      <c r="AK16" s="415"/>
      <c r="AL16" s="415"/>
      <c r="AM16" s="415"/>
      <c r="AN16" s="415"/>
      <c r="AO16" s="415"/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5"/>
      <c r="BC16" s="415"/>
      <c r="BD16" s="415"/>
      <c r="BE16" s="415"/>
      <c r="BF16" s="415"/>
      <c r="BG16" s="415"/>
      <c r="BH16" s="415"/>
      <c r="BI16" s="415"/>
      <c r="BJ16" s="415"/>
      <c r="BK16" s="415"/>
      <c r="BL16" s="415"/>
      <c r="BM16" s="415"/>
      <c r="BN16" s="415"/>
      <c r="BO16" s="415"/>
      <c r="BP16" s="415"/>
      <c r="BQ16" s="415"/>
      <c r="BR16" s="415"/>
      <c r="BS16" s="415"/>
      <c r="BT16" s="415"/>
      <c r="BU16" s="415"/>
      <c r="BV16" s="415"/>
      <c r="BW16" s="415"/>
      <c r="BX16" s="415"/>
      <c r="BY16" s="415"/>
      <c r="BZ16" s="415"/>
      <c r="CA16" s="415"/>
      <c r="CB16" s="415"/>
      <c r="CC16" s="415"/>
      <c r="CD16" s="415"/>
      <c r="CE16" s="415"/>
      <c r="CF16" s="415"/>
      <c r="CG16" s="415"/>
      <c r="CH16" s="415"/>
      <c r="CI16" s="415"/>
      <c r="CJ16" s="415"/>
      <c r="CK16" s="415"/>
      <c r="CL16" s="415"/>
      <c r="CM16" s="415"/>
      <c r="CN16" s="415"/>
      <c r="CO16" s="415"/>
      <c r="CP16" s="415"/>
      <c r="CQ16" s="415"/>
      <c r="CR16" s="415"/>
      <c r="CS16" s="415"/>
      <c r="CT16" s="415"/>
      <c r="CU16" s="415"/>
      <c r="CV16" s="415"/>
      <c r="CW16" s="415"/>
      <c r="CX16" s="415"/>
      <c r="CY16" s="415"/>
      <c r="CZ16" s="415"/>
      <c r="DA16" s="415"/>
      <c r="DB16" s="415"/>
      <c r="DC16" s="415"/>
      <c r="DD16" s="415"/>
      <c r="DE16" s="415"/>
      <c r="DF16" s="415"/>
      <c r="DG16" s="415"/>
      <c r="DH16" s="415"/>
      <c r="DI16" s="415"/>
      <c r="DJ16" s="415"/>
      <c r="DK16" s="415"/>
      <c r="DL16" s="415"/>
      <c r="DM16" s="415"/>
      <c r="DN16" s="415"/>
      <c r="DO16" s="415"/>
      <c r="DP16" s="415"/>
      <c r="DQ16" s="415"/>
      <c r="DR16" s="415"/>
      <c r="DS16" s="415"/>
      <c r="DT16" s="415"/>
      <c r="DU16" s="415"/>
      <c r="DV16" s="415"/>
      <c r="DW16" s="415"/>
      <c r="DX16" s="415"/>
      <c r="DY16" s="415"/>
      <c r="DZ16" s="415"/>
      <c r="EA16" s="415"/>
      <c r="EB16" s="415"/>
      <c r="EC16" s="415"/>
      <c r="ED16" s="415"/>
      <c r="EE16" s="415"/>
      <c r="EF16" s="415"/>
      <c r="EG16" s="415"/>
      <c r="EH16" s="415"/>
      <c r="EI16" s="415"/>
      <c r="EJ16" s="415"/>
      <c r="EK16" s="415"/>
      <c r="EL16" s="415"/>
      <c r="EM16" s="415"/>
      <c r="EN16" s="415"/>
      <c r="EO16" s="415"/>
      <c r="EP16" s="415"/>
      <c r="EQ16" s="415"/>
      <c r="ER16" s="415"/>
      <c r="ES16" s="415"/>
      <c r="ET16" s="415"/>
      <c r="EU16" s="415"/>
      <c r="EV16" s="415"/>
      <c r="EW16" s="415"/>
      <c r="EX16" s="415"/>
      <c r="EY16" s="415"/>
      <c r="EZ16" s="415"/>
      <c r="FA16" s="415"/>
      <c r="FB16" s="415"/>
      <c r="FC16" s="415"/>
      <c r="FD16" s="415"/>
      <c r="FE16" s="415"/>
      <c r="FF16" s="415"/>
      <c r="FG16" s="415"/>
      <c r="FH16" s="415"/>
      <c r="FI16" s="415"/>
      <c r="FJ16" s="415"/>
      <c r="FK16" s="415"/>
      <c r="FL16" s="415"/>
      <c r="FM16" s="415"/>
      <c r="FN16" s="415"/>
      <c r="FO16" s="415"/>
      <c r="FP16" s="415"/>
      <c r="FQ16" s="415"/>
      <c r="FR16" s="415"/>
      <c r="FS16" s="415"/>
      <c r="FT16" s="415"/>
      <c r="FU16" s="415"/>
      <c r="FV16" s="415"/>
      <c r="FW16" s="415"/>
      <c r="FX16" s="415"/>
      <c r="FY16" s="415"/>
      <c r="FZ16" s="415"/>
      <c r="GA16" s="415"/>
      <c r="GB16" s="415"/>
      <c r="GC16" s="415"/>
      <c r="GD16" s="415"/>
      <c r="GE16" s="415"/>
      <c r="GF16" s="415"/>
      <c r="GG16" s="415"/>
      <c r="GH16" s="415"/>
      <c r="GI16" s="415"/>
      <c r="GJ16" s="415"/>
      <c r="GK16" s="415"/>
      <c r="GL16" s="415"/>
      <c r="GM16" s="415"/>
      <c r="GN16" s="415"/>
      <c r="GO16" s="415"/>
      <c r="GP16" s="415"/>
      <c r="GQ16" s="415"/>
      <c r="GR16" s="415"/>
      <c r="GS16" s="415"/>
      <c r="GT16" s="415"/>
      <c r="GU16" s="415"/>
      <c r="GV16" s="415"/>
      <c r="GW16" s="415"/>
      <c r="GX16" s="415"/>
      <c r="GY16" s="415"/>
      <c r="GZ16" s="415"/>
      <c r="HA16" s="415"/>
      <c r="HB16" s="415"/>
      <c r="HC16" s="415"/>
      <c r="HD16" s="415"/>
      <c r="HE16" s="415"/>
      <c r="HF16" s="415"/>
      <c r="HG16" s="415"/>
      <c r="HH16" s="415"/>
      <c r="HI16" s="415"/>
      <c r="HJ16" s="415"/>
      <c r="HK16" s="415"/>
      <c r="HL16" s="415"/>
      <c r="HM16" s="415"/>
      <c r="HN16" s="415"/>
      <c r="HO16" s="415"/>
      <c r="HP16" s="415"/>
      <c r="HQ16" s="415"/>
      <c r="HR16" s="415"/>
      <c r="HS16" s="415"/>
      <c r="HT16" s="415"/>
      <c r="HU16" s="415"/>
      <c r="HV16" s="415"/>
      <c r="HW16" s="415"/>
      <c r="HX16" s="415"/>
      <c r="HY16" s="415"/>
      <c r="HZ16" s="415"/>
      <c r="IA16" s="415"/>
      <c r="IB16" s="415"/>
      <c r="IC16" s="415"/>
      <c r="ID16" s="415"/>
      <c r="IE16" s="415"/>
      <c r="IF16" s="415"/>
      <c r="IG16" s="415"/>
      <c r="IH16" s="415"/>
      <c r="II16" s="415"/>
      <c r="IJ16" s="415"/>
      <c r="IK16" s="415"/>
      <c r="IL16" s="415"/>
      <c r="IM16" s="415"/>
      <c r="IN16" s="415"/>
      <c r="IO16" s="415"/>
      <c r="IP16" s="415"/>
      <c r="IQ16" s="415"/>
      <c r="IR16" s="415"/>
      <c r="IS16" s="415"/>
      <c r="IT16" s="415"/>
      <c r="IU16" s="415"/>
    </row>
    <row r="17" spans="2:28" s="415" customFormat="1" ht="18" customHeight="1">
      <c r="B17" s="759" t="s">
        <v>15</v>
      </c>
      <c r="C17" s="18" t="s">
        <v>3</v>
      </c>
      <c r="D17" s="681">
        <v>25</v>
      </c>
      <c r="E17" s="681">
        <v>25.2</v>
      </c>
      <c r="F17" s="750">
        <f>(D17+E17)/2</f>
        <v>25.1</v>
      </c>
      <c r="G17" s="27">
        <f>(MAX(D17:E17)-MIN(D17:E17))/2</f>
        <v>9.9999999999999645E-2</v>
      </c>
      <c r="H17" s="17" t="s">
        <v>16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784">
        <v>1</v>
      </c>
      <c r="Y17" s="963" t="s">
        <v>596</v>
      </c>
      <c r="Z17" s="785" t="s">
        <v>187</v>
      </c>
    </row>
    <row r="18" spans="2:28" s="415" customFormat="1" ht="16.5" customHeight="1">
      <c r="B18" s="759" t="s">
        <v>199</v>
      </c>
      <c r="C18" s="18" t="s">
        <v>3</v>
      </c>
      <c r="D18" s="682">
        <v>64</v>
      </c>
      <c r="E18" s="682">
        <v>63.7</v>
      </c>
      <c r="F18" s="49">
        <f>(D18+E18)/2</f>
        <v>63.85</v>
      </c>
      <c r="G18" s="27">
        <f>(MAX(D18:E18)-MIN(D18:E18))/2</f>
        <v>0.14999999999999858</v>
      </c>
      <c r="H18" s="17" t="s">
        <v>18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784">
        <v>2</v>
      </c>
      <c r="Y18" s="964" t="s">
        <v>594</v>
      </c>
      <c r="Z18" s="785" t="s">
        <v>188</v>
      </c>
    </row>
    <row r="19" spans="2:28" s="415" customFormat="1" ht="16.5" customHeight="1">
      <c r="B19" s="1148" t="s">
        <v>200</v>
      </c>
      <c r="C19" s="1148"/>
      <c r="D19" s="683">
        <v>204.5</v>
      </c>
      <c r="E19" s="50" t="s">
        <v>201</v>
      </c>
      <c r="F19" s="50"/>
      <c r="G19" s="17"/>
      <c r="H19" s="35"/>
      <c r="M19" s="16"/>
      <c r="N19" s="16"/>
      <c r="O19" s="16"/>
      <c r="P19" s="16"/>
      <c r="Q19" s="1104" t="s">
        <v>202</v>
      </c>
      <c r="R19" s="1104"/>
      <c r="S19" s="786" t="s">
        <v>203</v>
      </c>
      <c r="T19" s="16"/>
      <c r="U19" s="16"/>
      <c r="V19" s="16"/>
      <c r="W19" s="16"/>
      <c r="X19" s="16"/>
      <c r="Y19" s="16"/>
      <c r="Z19" s="16"/>
    </row>
    <row r="20" spans="2:28" s="415" customFormat="1" ht="17.25" customHeight="1">
      <c r="B20" s="21"/>
      <c r="C20" s="21"/>
      <c r="D20" s="21"/>
      <c r="E20" s="17"/>
      <c r="F20" s="16"/>
      <c r="G20" s="16"/>
      <c r="H20" s="16"/>
      <c r="I20" s="16"/>
      <c r="J20" s="761"/>
      <c r="K20" s="16"/>
      <c r="L20" s="16"/>
      <c r="M20" s="16"/>
      <c r="N20" s="16"/>
      <c r="O20" s="16"/>
      <c r="P20" s="16"/>
      <c r="Q20" s="1104"/>
      <c r="R20" s="1104"/>
      <c r="S20" s="1117">
        <v>10</v>
      </c>
      <c r="T20" s="16"/>
      <c r="U20" s="16"/>
      <c r="V20" s="16"/>
      <c r="W20" s="16"/>
      <c r="X20" s="16"/>
      <c r="Y20" s="16"/>
      <c r="Z20" s="16"/>
    </row>
    <row r="21" spans="2:28" s="415" customFormat="1" ht="19.5" customHeight="1">
      <c r="B21" s="21" t="str">
        <f>'Lembar Kerja'!B18</f>
        <v>Pemeriksaan Kondisi Fisik dan Fungsi Alat</v>
      </c>
      <c r="C21" s="16"/>
      <c r="D21" s="16"/>
      <c r="E21" s="16"/>
      <c r="F21" s="16"/>
      <c r="G21" s="761"/>
      <c r="H21" s="16"/>
      <c r="I21" s="758"/>
      <c r="J21" s="16"/>
      <c r="K21" s="16"/>
      <c r="L21" s="16"/>
      <c r="M21" s="16"/>
      <c r="N21" s="16"/>
      <c r="O21" s="16"/>
      <c r="P21" s="16"/>
      <c r="Q21" s="1104"/>
      <c r="R21" s="1104"/>
      <c r="S21" s="1118"/>
      <c r="T21" s="16"/>
      <c r="U21" s="16"/>
      <c r="V21" s="16"/>
      <c r="W21" s="16"/>
      <c r="X21" s="16"/>
      <c r="Y21" s="16"/>
      <c r="Z21" s="16"/>
    </row>
    <row r="22" spans="2:28" s="415" customFormat="1" ht="21" customHeight="1">
      <c r="B22" s="16" t="s">
        <v>204</v>
      </c>
      <c r="C22" s="9" t="s">
        <v>3</v>
      </c>
      <c r="D22" s="1103" t="s">
        <v>205</v>
      </c>
      <c r="E22" s="1103"/>
      <c r="F22" s="16"/>
      <c r="G22" s="23"/>
      <c r="H22" s="1116"/>
      <c r="I22" s="1116"/>
      <c r="J22" s="1116"/>
      <c r="K22" s="1116"/>
      <c r="L22" s="1116"/>
      <c r="M22" s="16"/>
      <c r="N22" s="16"/>
      <c r="O22" s="16"/>
      <c r="P22" s="16"/>
      <c r="Q22" s="1104"/>
      <c r="R22" s="1104"/>
      <c r="S22" s="1118"/>
      <c r="T22" s="16"/>
      <c r="U22" s="16"/>
      <c r="V22" s="16"/>
      <c r="W22" s="16"/>
      <c r="X22" s="16"/>
      <c r="Y22" s="16"/>
      <c r="Z22" s="16"/>
    </row>
    <row r="23" spans="2:28" s="415" customFormat="1" ht="15.75" customHeight="1">
      <c r="B23" s="16" t="s">
        <v>206</v>
      </c>
      <c r="C23" s="9" t="s">
        <v>3</v>
      </c>
      <c r="D23" s="1103" t="s">
        <v>205</v>
      </c>
      <c r="E23" s="1103"/>
      <c r="F23" s="23"/>
      <c r="G23" s="23"/>
      <c r="H23" s="1116"/>
      <c r="I23" s="1116"/>
      <c r="J23" s="1116"/>
      <c r="K23" s="1116"/>
      <c r="L23" s="1116"/>
      <c r="M23" s="16"/>
      <c r="N23" s="16"/>
      <c r="O23" s="16"/>
      <c r="P23" s="16"/>
      <c r="Q23" s="1104"/>
      <c r="R23" s="1104"/>
      <c r="S23" s="1118"/>
      <c r="T23" s="16"/>
      <c r="U23" s="16"/>
      <c r="V23" s="16"/>
      <c r="W23" s="16"/>
      <c r="X23" s="54" t="s">
        <v>207</v>
      </c>
      <c r="Y23" s="1105">
        <v>0.2</v>
      </c>
      <c r="Z23" s="1105"/>
      <c r="AA23" s="16" t="s">
        <v>208</v>
      </c>
      <c r="AB23" s="666">
        <v>100</v>
      </c>
    </row>
    <row r="24" spans="2:28" s="415" customFormat="1" ht="15.75" customHeight="1">
      <c r="B24" s="16"/>
      <c r="C24" s="9"/>
      <c r="D24" s="16"/>
      <c r="E24" s="16"/>
      <c r="F24" s="23"/>
      <c r="G24" s="23"/>
      <c r="H24" s="764"/>
      <c r="I24" s="764"/>
      <c r="J24" s="764"/>
      <c r="K24" s="764"/>
      <c r="L24" s="764"/>
      <c r="M24" s="16"/>
      <c r="N24" s="16"/>
      <c r="O24" s="16"/>
      <c r="P24" s="16"/>
      <c r="Q24" s="16" t="s">
        <v>205</v>
      </c>
      <c r="R24" s="16"/>
      <c r="S24" s="16"/>
      <c r="T24" s="16"/>
      <c r="U24" s="16"/>
      <c r="V24" s="16"/>
      <c r="W24" s="16"/>
      <c r="X24" s="54" t="s">
        <v>209</v>
      </c>
      <c r="Y24" s="1105">
        <v>0.3</v>
      </c>
      <c r="Z24" s="1105"/>
      <c r="AA24" s="16" t="s">
        <v>43</v>
      </c>
      <c r="AB24" s="666">
        <v>500</v>
      </c>
    </row>
    <row r="25" spans="2:28" s="415" customFormat="1" ht="18.75" customHeight="1">
      <c r="B25" s="21" t="str">
        <f>'Lembar Kerja'!B22</f>
        <v>Pengujian Keselamatan Listrik</v>
      </c>
      <c r="C25" s="16"/>
      <c r="D25" s="16"/>
      <c r="E25" s="17"/>
      <c r="F25" s="16"/>
      <c r="G25" s="16"/>
      <c r="H25" s="16"/>
      <c r="I25" s="16"/>
      <c r="J25" s="761"/>
      <c r="K25" s="16"/>
      <c r="L25" s="16"/>
      <c r="M25" s="16"/>
      <c r="N25" s="16"/>
      <c r="O25" s="16"/>
      <c r="P25" s="16"/>
      <c r="Q25" s="16" t="s">
        <v>210</v>
      </c>
      <c r="R25" s="16"/>
      <c r="S25" s="16"/>
      <c r="T25" s="16"/>
      <c r="U25" s="16"/>
      <c r="V25" s="16"/>
      <c r="W25" s="16"/>
      <c r="X25" s="16"/>
      <c r="Y25" s="16"/>
      <c r="Z25" s="16"/>
    </row>
    <row r="26" spans="2:28" s="415" customFormat="1" ht="33" customHeight="1">
      <c r="B26" s="760" t="s">
        <v>30</v>
      </c>
      <c r="C26" s="1115" t="s">
        <v>31</v>
      </c>
      <c r="D26" s="1115"/>
      <c r="E26" s="1115"/>
      <c r="F26" s="1115"/>
      <c r="G26" s="1115"/>
      <c r="H26" s="1115"/>
      <c r="I26" s="1115"/>
      <c r="J26" s="1149" t="s">
        <v>32</v>
      </c>
      <c r="K26" s="1150"/>
      <c r="L26" s="1115" t="s">
        <v>33</v>
      </c>
      <c r="M26" s="1115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8" s="415" customFormat="1" ht="15.75" customHeight="1">
      <c r="B27" s="762">
        <v>1</v>
      </c>
      <c r="C27" s="51" t="s">
        <v>34</v>
      </c>
      <c r="D27" s="24"/>
      <c r="E27" s="24"/>
      <c r="F27" s="24"/>
      <c r="G27" s="52"/>
      <c r="H27" s="24"/>
      <c r="I27" s="53"/>
      <c r="J27" s="749" t="s">
        <v>211</v>
      </c>
      <c r="K27" s="802"/>
      <c r="L27" s="1124">
        <v>2</v>
      </c>
      <c r="M27" s="1124"/>
      <c r="N27" s="16"/>
      <c r="O27" s="16"/>
      <c r="P27" s="16"/>
      <c r="Q27" s="16"/>
      <c r="R27" s="16"/>
      <c r="S27" s="782" t="s">
        <v>202</v>
      </c>
      <c r="T27" s="782"/>
      <c r="U27" s="782"/>
      <c r="V27" s="16" t="str">
        <f>IF(AND(J30&lt;=500,S20&gt;100,Q19="G"),"masuk",IF(AND(Q19="NG",J30&gt;=500,S20&lt;=100),"keluar",IF(AND(Q19="G",J30="-",S20="-"),"uye",IF(AND(J30="-",S20="-"),"masuk",IF(AND(J30&lt;=500,S20&lt;=100),"masuk",IF(AND(J30&gt;500,S20&gt;100),"keluar",IF(AND(J30&gt;500,S20&lt;=100),"masuk",IF(AND(J30&lt;=500,S20="-"),"masuk",IF(AND(J30&lt;=500,S20&gt;=100),"keluar",IF(AND(S20="-",J30&gt;500),"keluar"))))))))))</f>
        <v>masuk</v>
      </c>
      <c r="W27" s="16"/>
      <c r="X27" s="16"/>
      <c r="Y27" s="16"/>
      <c r="Z27" s="16"/>
    </row>
    <row r="28" spans="2:28" s="415" customFormat="1" ht="15.75" customHeight="1">
      <c r="B28" s="762">
        <v>2</v>
      </c>
      <c r="C28" s="1106" t="s">
        <v>207</v>
      </c>
      <c r="D28" s="1107"/>
      <c r="E28" s="1107"/>
      <c r="F28" s="1107"/>
      <c r="G28" s="1107"/>
      <c r="H28" s="1107"/>
      <c r="I28" s="1108"/>
      <c r="J28" s="799">
        <v>0.1</v>
      </c>
      <c r="K28" s="800" t="s">
        <v>38</v>
      </c>
      <c r="L28" s="1125">
        <f>IF(C28='Lembar Penyelia'!V12,'Lembar Penyelia'!AB12,'Lembar Penyelia'!AB13)</f>
        <v>0.2</v>
      </c>
      <c r="M28" s="1125"/>
      <c r="N28" s="16"/>
      <c r="O28" s="16"/>
      <c r="P28" s="16"/>
      <c r="Q28" s="16"/>
      <c r="R28" s="16"/>
      <c r="S28" s="782" t="s">
        <v>212</v>
      </c>
      <c r="T28" s="787">
        <f>'Lembar Penyelia'!H67</f>
        <v>0.8</v>
      </c>
      <c r="U28" s="782"/>
      <c r="V28" s="782"/>
      <c r="W28" s="16"/>
      <c r="X28" s="16"/>
      <c r="Y28" s="16"/>
      <c r="Z28" s="16"/>
    </row>
    <row r="29" spans="2:28" s="415" customFormat="1" ht="15" hidden="1" customHeight="1">
      <c r="B29" s="55">
        <v>4</v>
      </c>
      <c r="C29" s="788" t="s">
        <v>40</v>
      </c>
      <c r="D29" s="16"/>
      <c r="E29" s="16"/>
      <c r="F29" s="16"/>
      <c r="G29" s="763"/>
      <c r="H29" s="16"/>
      <c r="I29" s="306"/>
      <c r="J29" s="798"/>
      <c r="K29" s="789"/>
      <c r="L29" s="1126"/>
      <c r="M29" s="112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8" s="415" customFormat="1" ht="15.75" customHeight="1">
      <c r="B30" s="762">
        <v>3</v>
      </c>
      <c r="C30" s="1106" t="s">
        <v>43</v>
      </c>
      <c r="D30" s="1107"/>
      <c r="E30" s="1107"/>
      <c r="F30" s="1107"/>
      <c r="G30" s="1107"/>
      <c r="H30" s="1107"/>
      <c r="I30" s="1108"/>
      <c r="J30" s="752" t="s">
        <v>161</v>
      </c>
      <c r="K30" s="801"/>
      <c r="L30" s="1155">
        <f>IF(C30='Lembar Penyelia'!V14,'Lembar Penyelia'!AB14,'Lembar Penyelia'!AB15)</f>
        <v>500</v>
      </c>
      <c r="M30" s="1155"/>
      <c r="N30" s="16"/>
      <c r="O30" s="16"/>
      <c r="P30" s="16"/>
      <c r="Q30" s="16"/>
      <c r="R30" s="16"/>
      <c r="S30" s="16"/>
      <c r="T30" s="16">
        <f>A2</f>
        <v>0</v>
      </c>
      <c r="U30" s="16"/>
      <c r="V30" s="16"/>
      <c r="W30" s="16"/>
      <c r="X30" s="16"/>
      <c r="Y30" s="16"/>
      <c r="Z30" s="16"/>
    </row>
    <row r="31" spans="2:28" s="415" customFormat="1" ht="15.75" hidden="1" customHeight="1">
      <c r="B31" s="56"/>
      <c r="C31" s="57"/>
      <c r="D31" s="58"/>
      <c r="E31" s="58"/>
      <c r="F31" s="58"/>
      <c r="G31" s="59"/>
      <c r="H31" s="58"/>
      <c r="I31" s="60"/>
      <c r="J31" s="68"/>
      <c r="K31" s="69"/>
      <c r="L31" s="1156"/>
      <c r="M31" s="115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8" s="415" customFormat="1" ht="20.149999999999999" hidden="1" customHeight="1">
      <c r="B32" s="61"/>
      <c r="C32" s="62"/>
      <c r="D32" s="25"/>
      <c r="E32" s="25"/>
      <c r="F32" s="25"/>
      <c r="G32" s="63"/>
      <c r="H32" s="25"/>
      <c r="I32" s="37"/>
      <c r="J32" s="70"/>
      <c r="K32" s="71"/>
      <c r="L32" s="1119"/>
      <c r="M32" s="1120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45" s="415" customFormat="1" ht="20.149999999999999" customHeight="1">
      <c r="B33" s="64"/>
      <c r="C33" s="16"/>
      <c r="D33" s="16"/>
      <c r="E33" s="16"/>
      <c r="F33" s="16"/>
      <c r="G33" s="763"/>
      <c r="H33" s="16"/>
      <c r="I33" s="9"/>
      <c r="J33" s="758"/>
      <c r="K33" s="72"/>
      <c r="L33" s="72"/>
      <c r="M33" s="72"/>
      <c r="N33" s="16"/>
      <c r="O33" s="16"/>
      <c r="P33" s="16"/>
      <c r="Q33" s="16"/>
      <c r="R33" s="16"/>
      <c r="S33" s="16"/>
      <c r="T33" s="782" t="str">
        <f>'Lembar Penyelia'!B57</f>
        <v>Alat yang dikalibrasi dalam batas toleransi dan dinyatakan LAIK PAKAI, dimana hasil atau skor akhir sama dengan atau melampaui 70% berdasarkan Keputusan Direktur Jenderal Pelayanan Kesehatan No : HK.02.02/V/0412/2020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</row>
    <row r="34" spans="2:45" s="415" customFormat="1" ht="20.149999999999999" customHeight="1">
      <c r="B34" s="21" t="str">
        <f>'Lembar Kerja'!B31</f>
        <v>Pengujian Kinerja</v>
      </c>
      <c r="C34" s="16"/>
      <c r="D34" s="16"/>
      <c r="E34" s="16"/>
      <c r="F34" s="16"/>
      <c r="G34" s="16"/>
      <c r="H34" s="16"/>
      <c r="I34" s="16"/>
      <c r="J34" s="16"/>
      <c r="K34" s="15"/>
      <c r="L34" s="15"/>
      <c r="M34" s="15"/>
      <c r="N34" s="16"/>
      <c r="O34" s="16"/>
      <c r="P34" s="16"/>
      <c r="Q34" s="16"/>
      <c r="R34" s="16"/>
      <c r="S34" s="782" t="s">
        <v>213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2:45" s="415" customFormat="1" ht="20.149999999999999" customHeight="1">
      <c r="B35" s="16" t="s">
        <v>48</v>
      </c>
      <c r="C35" s="16"/>
      <c r="D35" s="16"/>
      <c r="E35" s="16"/>
      <c r="F35" s="16"/>
      <c r="G35" s="16"/>
      <c r="H35" s="16"/>
      <c r="I35" s="16"/>
      <c r="J35" s="16"/>
      <c r="K35" s="15"/>
      <c r="L35" s="15"/>
      <c r="M35" s="15"/>
      <c r="N35" s="16"/>
      <c r="O35" s="16"/>
      <c r="P35" s="16"/>
      <c r="Q35" s="16"/>
      <c r="R35" s="16"/>
      <c r="S35" s="782" t="s">
        <v>114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763"/>
      <c r="AP35" s="16"/>
      <c r="AQ35" s="16"/>
      <c r="AR35" s="16"/>
      <c r="AS35" s="16"/>
    </row>
    <row r="36" spans="2:45" s="415" customFormat="1" ht="38.25" customHeight="1" thickBot="1">
      <c r="B36" s="753" t="s">
        <v>49</v>
      </c>
      <c r="C36" s="753" t="s">
        <v>214</v>
      </c>
      <c r="D36" s="753" t="s">
        <v>215</v>
      </c>
      <c r="E36" s="753" t="s">
        <v>52</v>
      </c>
      <c r="F36" s="766"/>
      <c r="G36" s="784" t="s">
        <v>216</v>
      </c>
      <c r="H36" s="16"/>
      <c r="I36" s="16"/>
      <c r="J36" s="16"/>
      <c r="K36" s="15"/>
      <c r="L36" s="15"/>
      <c r="M36" s="15"/>
      <c r="N36" s="8"/>
      <c r="O36" s="16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8"/>
      <c r="AP36" s="16"/>
      <c r="AQ36" s="16"/>
      <c r="AR36" s="16"/>
      <c r="AS36" s="16"/>
    </row>
    <row r="37" spans="2:45" s="415" customFormat="1" ht="30" customHeight="1" thickBot="1">
      <c r="B37" s="679">
        <v>0.4</v>
      </c>
      <c r="C37" s="679">
        <v>0.33</v>
      </c>
      <c r="D37" s="679">
        <v>0.4</v>
      </c>
      <c r="E37" s="969">
        <f>D37*C37*B37</f>
        <v>5.2800000000000007E-2</v>
      </c>
      <c r="F37" s="16"/>
      <c r="G37" s="790">
        <f>0.4*0.33*0.4</f>
        <v>5.2800000000000007E-2</v>
      </c>
      <c r="H37" s="16"/>
      <c r="I37" s="16"/>
      <c r="J37" s="16"/>
      <c r="K37" s="15"/>
      <c r="L37" s="15"/>
      <c r="M37" s="15"/>
      <c r="N37" s="16"/>
      <c r="O37" s="16"/>
      <c r="P37" s="16"/>
      <c r="Q37" s="16"/>
      <c r="R37" s="16"/>
      <c r="S37" s="8"/>
      <c r="T37" s="1111" t="s">
        <v>217</v>
      </c>
      <c r="U37" s="1112"/>
      <c r="V37" s="1112"/>
      <c r="W37" s="1112"/>
      <c r="X37" s="1112"/>
      <c r="Y37" s="1113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8"/>
      <c r="AP37" s="16"/>
      <c r="AQ37" s="16"/>
      <c r="AR37" s="16"/>
      <c r="AS37" s="16"/>
    </row>
    <row r="38" spans="2:45" s="415" customFormat="1" ht="20.149999999999999" customHeight="1" thickBot="1">
      <c r="B38" s="16" t="s">
        <v>53</v>
      </c>
      <c r="C38" s="16"/>
      <c r="D38" s="16"/>
      <c r="E38" s="16"/>
      <c r="F38" s="16"/>
      <c r="G38" s="16"/>
      <c r="H38" s="16"/>
      <c r="I38" s="16"/>
      <c r="J38" s="16"/>
      <c r="K38" s="15"/>
      <c r="L38" s="15"/>
      <c r="M38" s="15"/>
      <c r="N38" s="16"/>
      <c r="O38" s="16"/>
      <c r="P38" s="16"/>
      <c r="Q38" s="16"/>
      <c r="R38" s="16"/>
      <c r="S38" s="73"/>
      <c r="T38" s="74" t="s">
        <v>202</v>
      </c>
      <c r="U38" s="75" t="s">
        <v>218</v>
      </c>
      <c r="V38" s="76" t="s">
        <v>219</v>
      </c>
      <c r="W38" s="76" t="s">
        <v>220</v>
      </c>
      <c r="X38" s="95" t="s">
        <v>221</v>
      </c>
      <c r="Y38" s="96" t="s">
        <v>222</v>
      </c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2:45" s="415" customFormat="1" ht="36.75" customHeight="1">
      <c r="B39" s="753" t="s">
        <v>223</v>
      </c>
      <c r="C39" s="753" t="s">
        <v>55</v>
      </c>
      <c r="D39" s="1114" t="s">
        <v>56</v>
      </c>
      <c r="E39" s="1114"/>
      <c r="F39" s="1098" t="s">
        <v>57</v>
      </c>
      <c r="G39" s="1098"/>
      <c r="H39" s="762" t="s">
        <v>202</v>
      </c>
      <c r="I39" s="1114" t="s">
        <v>58</v>
      </c>
      <c r="J39" s="1114"/>
      <c r="K39" s="1114"/>
      <c r="L39" s="1139"/>
      <c r="M39" s="1140"/>
      <c r="N39" s="1140"/>
      <c r="O39" s="1140"/>
      <c r="P39" s="1140"/>
      <c r="Q39" s="791"/>
      <c r="R39" s="791"/>
      <c r="S39" s="73"/>
      <c r="T39" s="746">
        <v>1</v>
      </c>
      <c r="U39" s="77">
        <v>11.3</v>
      </c>
      <c r="V39" s="78">
        <v>15</v>
      </c>
      <c r="W39" s="765">
        <v>23</v>
      </c>
      <c r="X39" s="97">
        <v>45</v>
      </c>
      <c r="Y39" s="98">
        <v>120</v>
      </c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2:45" s="415" customFormat="1" ht="23.25" customHeight="1">
      <c r="B40" s="65">
        <v>5</v>
      </c>
      <c r="C40" s="762">
        <f>2*B40</f>
        <v>10</v>
      </c>
      <c r="D40" s="1123">
        <f>B73-D17</f>
        <v>135</v>
      </c>
      <c r="E40" s="1123"/>
      <c r="F40" s="1141">
        <f>(100*C40)/(100+D40)</f>
        <v>4.2553191489361701</v>
      </c>
      <c r="G40" s="1141"/>
      <c r="H40" s="762" t="str">
        <f>IF(F40&lt;=0.151,"14",IF(F40&lt;=0.125,"13",IF(F40&lt;=0.2135,"13",IF(F40&lt;=0.177,"12",IF(F40&lt;=0.302,"12",IF(F40&lt;=0.25,"11",IF(F40&lt;=0.427,"11",IF(F40&lt;=0.354,"10",IF(F40&lt;=0.6035,"10",IF(F40&lt;=0.5,"9",IF(F40&lt;=0.8535,"9",IF(F40&lt;=0.707,"8",IF(F40&lt;=1.205,"8",IF(F40&lt;=1,"7",IF(F40&lt;=1.705,"7",IF(F40&lt;=1.4,"6",IF(F40&lt;=2.41,"6",IF(F40&lt;=2,"5",IF(F40&lt;=3.415,"5",IF(F40&lt;=2.83,"4",IF(F40&lt;=4.83,"4",IF(F40&lt;=4,"3",IF(F40&lt;=6.83,"3",IF(F40&lt;=5.66,"2",IF(F40&lt;=9.65,"2",IF(F40&lt;=8,"1",IF(F40&lt;=11.3,"1","0")))))))))))))))))))))))))))</f>
        <v>4</v>
      </c>
      <c r="I40" s="1132">
        <f>ABS(3+(3*(H40^0.6)*(E37^0.2)))</f>
        <v>6.8272253451492633</v>
      </c>
      <c r="J40" s="1132"/>
      <c r="K40" s="1132"/>
      <c r="L40" s="763"/>
      <c r="M40" s="1110"/>
      <c r="N40" s="1110"/>
      <c r="O40" s="1142"/>
      <c r="P40" s="1142"/>
      <c r="Q40" s="1144"/>
      <c r="R40" s="1144"/>
      <c r="S40" s="73">
        <f>(U39+U40)/2</f>
        <v>9.65</v>
      </c>
      <c r="T40" s="747">
        <v>2</v>
      </c>
      <c r="U40" s="79">
        <v>8</v>
      </c>
      <c r="V40" s="750">
        <v>10</v>
      </c>
      <c r="W40" s="762">
        <v>16</v>
      </c>
      <c r="X40" s="751">
        <v>32</v>
      </c>
      <c r="Y40" s="100">
        <v>88</v>
      </c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2:45" s="415" customFormat="1" ht="20.149999999999999" customHeight="1">
      <c r="B41" s="784">
        <v>1.5</v>
      </c>
      <c r="C41" s="784">
        <f>2*1.5</f>
        <v>3</v>
      </c>
      <c r="D41" s="1151">
        <f>37-25</f>
        <v>12</v>
      </c>
      <c r="E41" s="1151"/>
      <c r="F41" s="1152">
        <f>(100*3)/(100+12)</f>
        <v>2.6785714285714284</v>
      </c>
      <c r="G41" s="1152"/>
      <c r="H41" s="784">
        <v>5</v>
      </c>
      <c r="I41" s="1153">
        <f>3+3*5^0.6*0.05^0.2</f>
        <v>7.3280997177216403</v>
      </c>
      <c r="J41" s="1153"/>
      <c r="K41" s="1153"/>
      <c r="L41" s="16"/>
      <c r="M41" s="16"/>
      <c r="N41" s="16"/>
      <c r="O41" s="16"/>
      <c r="P41" s="16"/>
      <c r="Q41" s="16"/>
      <c r="R41" s="16"/>
      <c r="S41" s="73">
        <f t="shared" ref="S41:S52" si="0">(U40+U41)/2</f>
        <v>6.83</v>
      </c>
      <c r="T41" s="747">
        <v>3</v>
      </c>
      <c r="U41" s="745">
        <v>5.66</v>
      </c>
      <c r="V41" s="762">
        <v>7.4</v>
      </c>
      <c r="W41" s="762">
        <v>11</v>
      </c>
      <c r="X41" s="751">
        <v>23</v>
      </c>
      <c r="Y41" s="100">
        <v>62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</row>
    <row r="42" spans="2:45" s="415" customFormat="1" ht="20.149999999999999" customHeight="1">
      <c r="B42" s="16" t="s">
        <v>59</v>
      </c>
      <c r="C42" s="16"/>
      <c r="D42" s="16"/>
      <c r="E42" s="16"/>
      <c r="F42" s="16"/>
      <c r="G42" s="16"/>
      <c r="H42" s="16"/>
      <c r="I42" s="16"/>
      <c r="J42" s="16"/>
      <c r="K42" s="32"/>
      <c r="L42" s="32"/>
      <c r="M42" s="16"/>
      <c r="N42" s="16"/>
      <c r="O42" s="16"/>
      <c r="P42" s="16"/>
      <c r="Q42" s="16"/>
      <c r="R42" s="16"/>
      <c r="S42" s="73">
        <f t="shared" si="0"/>
        <v>4.83</v>
      </c>
      <c r="T42" s="747">
        <v>4</v>
      </c>
      <c r="U42" s="745">
        <v>4</v>
      </c>
      <c r="V42" s="762">
        <v>5.2</v>
      </c>
      <c r="W42" s="762">
        <v>8</v>
      </c>
      <c r="X42" s="751">
        <v>16</v>
      </c>
      <c r="Y42" s="100">
        <v>44</v>
      </c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2:45" s="415" customFormat="1" ht="20.149999999999999" customHeight="1">
      <c r="B43" s="16"/>
      <c r="C43" s="16"/>
      <c r="D43" s="16"/>
      <c r="E43" s="16"/>
      <c r="F43" s="16"/>
      <c r="G43" s="16"/>
      <c r="H43" s="16"/>
      <c r="I43" s="16"/>
      <c r="J43" s="16"/>
      <c r="K43" s="32"/>
      <c r="L43" s="32"/>
      <c r="M43" s="15"/>
      <c r="N43" s="16"/>
      <c r="O43" s="16"/>
      <c r="P43" s="16"/>
      <c r="Q43" s="16"/>
      <c r="R43" s="16"/>
      <c r="S43" s="73">
        <f t="shared" si="0"/>
        <v>3.415</v>
      </c>
      <c r="T43" s="747">
        <v>5</v>
      </c>
      <c r="U43" s="745">
        <v>2.83</v>
      </c>
      <c r="V43" s="762">
        <v>3.7</v>
      </c>
      <c r="W43" s="762">
        <v>5.7</v>
      </c>
      <c r="X43" s="751">
        <v>11</v>
      </c>
      <c r="Y43" s="100">
        <v>31</v>
      </c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</row>
    <row r="44" spans="2:45" s="415" customFormat="1" ht="20.149999999999999" customHeight="1">
      <c r="B44" s="16"/>
      <c r="C44" s="16"/>
      <c r="D44" s="16"/>
      <c r="E44" s="16"/>
      <c r="F44" s="16"/>
      <c r="G44" s="16"/>
      <c r="H44" s="16"/>
      <c r="I44" s="16"/>
      <c r="J44" s="16"/>
      <c r="K44" s="32"/>
      <c r="L44" s="32"/>
      <c r="M44" s="15"/>
      <c r="N44" s="16"/>
      <c r="O44" s="16"/>
      <c r="P44" s="16"/>
      <c r="Q44" s="16"/>
      <c r="R44" s="16"/>
      <c r="S44" s="73">
        <f t="shared" si="0"/>
        <v>2.415</v>
      </c>
      <c r="T44" s="747">
        <v>6</v>
      </c>
      <c r="U44" s="745">
        <v>2</v>
      </c>
      <c r="V44" s="762">
        <v>2.6</v>
      </c>
      <c r="W44" s="762">
        <v>4</v>
      </c>
      <c r="X44" s="750">
        <v>8</v>
      </c>
      <c r="Y44" s="100">
        <v>22</v>
      </c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</row>
    <row r="45" spans="2:45" s="415" customFormat="1" ht="20.149999999999999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73">
        <f t="shared" si="0"/>
        <v>1.7050000000000001</v>
      </c>
      <c r="T45" s="747">
        <v>7</v>
      </c>
      <c r="U45" s="745">
        <v>1.41</v>
      </c>
      <c r="V45" s="762">
        <v>1.8</v>
      </c>
      <c r="W45" s="762">
        <v>2.8</v>
      </c>
      <c r="X45" s="750">
        <v>5.7</v>
      </c>
      <c r="Y45" s="100">
        <v>16</v>
      </c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</row>
    <row r="46" spans="2:45" s="415" customFormat="1" ht="20.149999999999999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73">
        <f t="shared" si="0"/>
        <v>1.2050000000000001</v>
      </c>
      <c r="T46" s="747">
        <v>8</v>
      </c>
      <c r="U46" s="745">
        <v>1</v>
      </c>
      <c r="V46" s="762">
        <v>1.3</v>
      </c>
      <c r="W46" s="762">
        <v>2</v>
      </c>
      <c r="X46" s="750">
        <v>4</v>
      </c>
      <c r="Y46" s="100">
        <v>11</v>
      </c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</row>
    <row r="47" spans="2:45" s="415" customFormat="1" ht="20.149999999999999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73">
        <f t="shared" si="0"/>
        <v>0.85349999999999993</v>
      </c>
      <c r="T47" s="747">
        <v>9</v>
      </c>
      <c r="U47" s="745">
        <v>0.70699999999999996</v>
      </c>
      <c r="V47" s="762">
        <v>0.92</v>
      </c>
      <c r="W47" s="762">
        <v>1.4</v>
      </c>
      <c r="X47" s="750">
        <v>2.8</v>
      </c>
      <c r="Y47" s="101">
        <v>7.8</v>
      </c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</row>
    <row r="48" spans="2:45" s="415" customFormat="1" ht="20.149999999999999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80">
        <f t="shared" si="0"/>
        <v>0.60349999999999993</v>
      </c>
      <c r="T48" s="81">
        <v>10</v>
      </c>
      <c r="U48" s="745">
        <v>0.5</v>
      </c>
      <c r="V48" s="762">
        <v>0.65</v>
      </c>
      <c r="W48" s="762">
        <v>1</v>
      </c>
      <c r="X48" s="750">
        <v>2</v>
      </c>
      <c r="Y48" s="101">
        <v>5.5</v>
      </c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</row>
    <row r="49" spans="2:25" s="415" customFormat="1" ht="20.149999999999999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82">
        <f t="shared" si="0"/>
        <v>0.42699999999999999</v>
      </c>
      <c r="T49" s="83">
        <v>11</v>
      </c>
      <c r="U49" s="84">
        <v>0.35399999999999998</v>
      </c>
      <c r="V49" s="762">
        <v>0.46</v>
      </c>
      <c r="W49" s="762">
        <v>0.71</v>
      </c>
      <c r="X49" s="750">
        <v>1.4</v>
      </c>
      <c r="Y49" s="101">
        <v>3.9</v>
      </c>
    </row>
    <row r="50" spans="2:25" s="415" customFormat="1" ht="20.149999999999999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85">
        <f t="shared" si="0"/>
        <v>0.30199999999999999</v>
      </c>
      <c r="T50" s="86">
        <v>12</v>
      </c>
      <c r="U50" s="87">
        <v>0.25</v>
      </c>
      <c r="V50" s="762">
        <v>0.33</v>
      </c>
      <c r="W50" s="762">
        <v>0.5</v>
      </c>
      <c r="X50" s="750">
        <v>1</v>
      </c>
      <c r="Y50" s="101">
        <v>2.8</v>
      </c>
    </row>
    <row r="51" spans="2:25" s="415" customFormat="1" ht="20.149999999999999" customHeight="1">
      <c r="B51" s="16"/>
      <c r="C51" s="16"/>
      <c r="D51" s="16"/>
      <c r="E51" s="16"/>
      <c r="F51" s="21"/>
      <c r="G51" s="21"/>
      <c r="H51" s="21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88">
        <f t="shared" si="0"/>
        <v>0.2135</v>
      </c>
      <c r="T51" s="89">
        <v>13</v>
      </c>
      <c r="U51" s="90">
        <v>0.17699999999999999</v>
      </c>
      <c r="V51" s="762">
        <v>0.23</v>
      </c>
      <c r="W51" s="762">
        <v>0.35</v>
      </c>
      <c r="X51" s="27">
        <v>0.71</v>
      </c>
      <c r="Y51" s="101">
        <v>2</v>
      </c>
    </row>
    <row r="52" spans="2:25" s="415" customFormat="1" ht="20.149999999999999" customHeight="1" thickBot="1">
      <c r="B52" s="16"/>
      <c r="C52" s="16"/>
      <c r="D52" s="16"/>
      <c r="E52" s="16"/>
      <c r="F52" s="21"/>
      <c r="G52" s="21"/>
      <c r="H52" s="21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91">
        <f t="shared" si="0"/>
        <v>0.151</v>
      </c>
      <c r="T52" s="92">
        <v>14</v>
      </c>
      <c r="U52" s="93">
        <v>0.125</v>
      </c>
      <c r="V52" s="94">
        <v>0.16</v>
      </c>
      <c r="W52" s="94">
        <v>0.25</v>
      </c>
      <c r="X52" s="102">
        <v>0.5</v>
      </c>
      <c r="Y52" s="748">
        <v>1.4</v>
      </c>
    </row>
    <row r="53" spans="2:25" s="415" customFormat="1" ht="20.149999999999999" customHeight="1">
      <c r="B53" s="16"/>
      <c r="C53" s="16"/>
      <c r="D53" s="16"/>
      <c r="E53" s="16"/>
      <c r="F53" s="21"/>
      <c r="G53" s="21"/>
      <c r="H53" s="21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2:25" s="415" customFormat="1" ht="20.149999999999999" customHeight="1">
      <c r="B54" s="16"/>
      <c r="C54" s="16"/>
      <c r="D54" s="16"/>
      <c r="E54" s="16"/>
      <c r="F54" s="21"/>
      <c r="G54" s="21"/>
      <c r="H54" s="21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2:25" s="415" customFormat="1" ht="20.149999999999999" customHeight="1">
      <c r="B55" s="16"/>
      <c r="C55" s="16"/>
      <c r="D55" s="16"/>
      <c r="E55" s="16"/>
      <c r="F55" s="21"/>
      <c r="G55" s="21"/>
      <c r="H55" s="21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2:25" s="415" customFormat="1" ht="20.149999999999999" customHeight="1">
      <c r="B56" s="16"/>
      <c r="C56" s="16"/>
      <c r="D56" s="16"/>
      <c r="E56" s="16"/>
      <c r="F56" s="21"/>
      <c r="G56" s="21"/>
      <c r="H56" s="21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2:25" s="415" customFormat="1" ht="20.149999999999999" customHeight="1">
      <c r="B57" s="16"/>
      <c r="C57" s="16"/>
      <c r="D57" s="16"/>
      <c r="E57" s="16"/>
      <c r="F57" s="21"/>
      <c r="G57" s="21"/>
      <c r="H57" s="21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2:25" s="415" customFormat="1" ht="20.149999999999999" customHeight="1">
      <c r="B58" s="16"/>
      <c r="C58" s="16"/>
      <c r="D58" s="16"/>
      <c r="E58" s="16"/>
      <c r="F58" s="21"/>
      <c r="G58" s="21"/>
      <c r="H58" s="21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2:25" s="415" customFormat="1" ht="20.149999999999999" customHeight="1">
      <c r="B59" s="16"/>
      <c r="C59" s="16"/>
      <c r="D59" s="16"/>
      <c r="E59" s="16"/>
      <c r="F59" s="21"/>
      <c r="G59" s="21"/>
      <c r="H59" s="21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2:25" s="415" customFormat="1" ht="20.149999999999999" customHeight="1">
      <c r="B60" s="16"/>
      <c r="C60" s="16"/>
      <c r="D60" s="16"/>
      <c r="E60" s="16"/>
      <c r="F60" s="21"/>
      <c r="G60" s="21"/>
      <c r="H60" s="2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2:25" s="415" customFormat="1" ht="20.149999999999999" customHeight="1">
      <c r="B61" s="29"/>
      <c r="C61" s="29"/>
      <c r="D61" s="29"/>
      <c r="E61" s="29"/>
      <c r="F61" s="66"/>
      <c r="G61" s="66"/>
      <c r="H61" s="66"/>
      <c r="I61" s="29"/>
      <c r="J61" s="29"/>
      <c r="K61" s="29"/>
      <c r="L61" s="29"/>
      <c r="M61" s="29"/>
      <c r="N61" s="29"/>
      <c r="O61" s="29"/>
      <c r="P61" s="29"/>
      <c r="Q61" s="16"/>
      <c r="R61" s="16"/>
      <c r="S61" s="16"/>
      <c r="T61" s="16"/>
      <c r="U61" s="16"/>
      <c r="V61" s="16"/>
      <c r="W61" s="16"/>
      <c r="X61" s="16"/>
      <c r="Y61" s="16"/>
    </row>
    <row r="62" spans="2:25" s="415" customFormat="1" ht="20.149999999999999" customHeight="1">
      <c r="B62" s="29"/>
      <c r="C62" s="29"/>
      <c r="D62" s="29"/>
      <c r="E62" s="29"/>
      <c r="F62" s="66"/>
      <c r="G62" s="66"/>
      <c r="H62" s="66"/>
      <c r="I62" s="29"/>
      <c r="J62" s="29"/>
      <c r="K62" s="29"/>
      <c r="L62" s="29"/>
      <c r="M62" s="29"/>
      <c r="N62" s="29"/>
      <c r="O62" s="29"/>
      <c r="P62" s="29"/>
      <c r="Q62" s="16"/>
      <c r="R62" s="16"/>
      <c r="S62" s="16"/>
      <c r="T62" s="16"/>
      <c r="U62" s="16"/>
      <c r="V62" s="16"/>
      <c r="W62" s="16"/>
      <c r="X62" s="16"/>
      <c r="Y62" s="16"/>
    </row>
    <row r="63" spans="2:25" s="415" customFormat="1" ht="20.149999999999999" customHeight="1">
      <c r="B63" s="29"/>
      <c r="C63" s="29"/>
      <c r="D63" s="29"/>
      <c r="E63" s="29"/>
      <c r="F63" s="66"/>
      <c r="G63" s="66"/>
      <c r="H63" s="66"/>
      <c r="I63" s="29"/>
      <c r="J63" s="29"/>
      <c r="K63" s="29"/>
      <c r="L63" s="29"/>
      <c r="M63" s="29"/>
      <c r="N63" s="29"/>
      <c r="O63" s="29"/>
      <c r="P63" s="29"/>
      <c r="Q63" s="16"/>
      <c r="R63" s="16"/>
      <c r="S63" s="16"/>
      <c r="T63" s="16"/>
      <c r="U63" s="16"/>
      <c r="V63" s="16"/>
      <c r="W63" s="16"/>
      <c r="X63" s="16"/>
      <c r="Y63" s="16"/>
    </row>
    <row r="64" spans="2:25" s="415" customFormat="1" ht="20.149999999999999" customHeight="1">
      <c r="B64" s="29"/>
      <c r="C64" s="29"/>
      <c r="D64" s="29"/>
      <c r="E64" s="29"/>
      <c r="F64" s="66"/>
      <c r="G64" s="66"/>
      <c r="H64" s="66"/>
      <c r="I64" s="29"/>
      <c r="J64" s="29"/>
      <c r="K64" s="29"/>
      <c r="L64" s="29"/>
      <c r="M64" s="29"/>
      <c r="N64" s="29"/>
      <c r="O64" s="29"/>
      <c r="P64" s="29"/>
      <c r="Q64" s="16"/>
      <c r="R64" s="16"/>
      <c r="S64" s="16"/>
      <c r="T64" s="16"/>
      <c r="U64" s="16"/>
      <c r="V64" s="16"/>
      <c r="W64" s="16"/>
      <c r="X64" s="16"/>
      <c r="Y64" s="16"/>
    </row>
    <row r="65" spans="2:255" ht="20.149999999999999" customHeight="1">
      <c r="B65" s="29"/>
      <c r="C65" s="29"/>
      <c r="D65" s="29"/>
      <c r="E65" s="29"/>
      <c r="F65" s="66"/>
      <c r="G65" s="66"/>
      <c r="H65" s="66"/>
      <c r="I65" s="29"/>
      <c r="J65" s="29"/>
      <c r="K65" s="29"/>
      <c r="L65" s="29"/>
      <c r="M65" s="29"/>
      <c r="N65" s="29"/>
      <c r="O65" s="29"/>
      <c r="P65" s="29"/>
    </row>
    <row r="66" spans="2:255" ht="20.149999999999999" customHeight="1">
      <c r="B66" s="29"/>
      <c r="C66" s="29"/>
      <c r="D66" s="29"/>
      <c r="E66" s="29"/>
      <c r="F66" s="66"/>
      <c r="G66" s="66"/>
      <c r="H66" s="66"/>
      <c r="I66" s="29"/>
      <c r="J66" s="29"/>
      <c r="K66" s="29"/>
      <c r="L66" s="29"/>
      <c r="M66" s="29"/>
      <c r="N66" s="29"/>
      <c r="O66" s="29"/>
      <c r="P66" s="29"/>
    </row>
    <row r="67" spans="2:255" ht="20.149999999999999" customHeight="1">
      <c r="B67" s="29"/>
      <c r="C67" s="29"/>
      <c r="D67" s="29"/>
      <c r="E67" s="29"/>
      <c r="F67" s="66"/>
      <c r="G67" s="66"/>
      <c r="H67" s="66"/>
      <c r="I67" s="29"/>
      <c r="J67" s="29"/>
      <c r="K67" s="29"/>
      <c r="L67" s="29"/>
      <c r="M67" s="29"/>
      <c r="N67" s="29"/>
      <c r="O67" s="29"/>
      <c r="P67" s="29"/>
    </row>
    <row r="68" spans="2:255" ht="20.149999999999999" customHeight="1">
      <c r="B68" s="29"/>
      <c r="C68" s="29"/>
      <c r="D68" s="29"/>
      <c r="E68" s="29"/>
      <c r="F68" s="66"/>
      <c r="G68" s="66"/>
      <c r="H68" s="66"/>
      <c r="I68" s="29"/>
      <c r="J68" s="29"/>
      <c r="K68" s="29"/>
      <c r="L68" s="29"/>
      <c r="M68" s="29"/>
      <c r="N68" s="29"/>
      <c r="O68" s="29"/>
      <c r="P68" s="29"/>
    </row>
    <row r="69" spans="2:255" ht="20.149999999999999" customHeight="1">
      <c r="B69" s="29" t="str">
        <f>'Lembar Kerja'!B65</f>
        <v>d. Pengukuran Suhu</v>
      </c>
      <c r="C69" s="29"/>
      <c r="D69" s="29"/>
      <c r="E69" s="103"/>
      <c r="F69" s="103"/>
      <c r="G69" s="103"/>
      <c r="H69" s="103"/>
      <c r="I69" s="103"/>
      <c r="J69" s="103"/>
      <c r="K69" s="103"/>
      <c r="L69" s="29"/>
      <c r="M69" s="29"/>
      <c r="N69" s="29"/>
      <c r="O69" s="29"/>
      <c r="P69" s="29"/>
    </row>
    <row r="70" spans="2:255" s="16" customFormat="1" ht="10.15" customHeight="1">
      <c r="B70" s="1146"/>
      <c r="C70" s="1146"/>
      <c r="D70" s="1158"/>
      <c r="E70" s="1158"/>
      <c r="F70" s="1158"/>
      <c r="G70" s="1158"/>
      <c r="H70" s="1158"/>
      <c r="I70" s="1158"/>
      <c r="J70" s="104"/>
      <c r="K70" s="105"/>
      <c r="L70" s="105"/>
      <c r="M70" s="29"/>
      <c r="N70" s="29"/>
      <c r="O70" s="29"/>
      <c r="P70" s="29"/>
      <c r="Q70" s="1110"/>
      <c r="R70" s="1110"/>
      <c r="S70" s="1110"/>
    </row>
    <row r="71" spans="2:255" s="16" customFormat="1" ht="20.149999999999999" customHeight="1">
      <c r="B71" s="1098" t="s">
        <v>61</v>
      </c>
      <c r="C71" s="1098" t="s">
        <v>62</v>
      </c>
      <c r="D71" s="1114" t="s">
        <v>224</v>
      </c>
      <c r="E71" s="1114"/>
      <c r="F71" s="1114"/>
      <c r="G71" s="1114"/>
      <c r="H71" s="1114"/>
      <c r="I71" s="1114"/>
      <c r="J71" s="1114"/>
      <c r="K71" s="1114"/>
      <c r="L71" s="1114"/>
      <c r="M71" s="1114"/>
    </row>
    <row r="72" spans="2:255" s="16" customFormat="1" ht="29.5" customHeight="1">
      <c r="B72" s="1098"/>
      <c r="C72" s="1098"/>
      <c r="D72" s="753" t="s">
        <v>65</v>
      </c>
      <c r="E72" s="753" t="s">
        <v>66</v>
      </c>
      <c r="F72" s="753" t="s">
        <v>67</v>
      </c>
      <c r="G72" s="753" t="s">
        <v>68</v>
      </c>
      <c r="H72" s="753" t="s">
        <v>69</v>
      </c>
      <c r="I72" s="753" t="s">
        <v>70</v>
      </c>
      <c r="J72" s="753" t="s">
        <v>71</v>
      </c>
      <c r="K72" s="753" t="s">
        <v>72</v>
      </c>
      <c r="L72" s="753" t="s">
        <v>73</v>
      </c>
      <c r="M72" s="753" t="s">
        <v>74</v>
      </c>
      <c r="P72" s="116"/>
      <c r="Q72" s="116"/>
      <c r="R72" s="116"/>
      <c r="S72" s="116"/>
    </row>
    <row r="73" spans="2:255" s="29" customFormat="1" ht="20.149999999999999" customHeight="1">
      <c r="B73" s="1099">
        <v>160</v>
      </c>
      <c r="C73" s="762">
        <v>1</v>
      </c>
      <c r="D73" s="680">
        <v>160</v>
      </c>
      <c r="E73" s="680">
        <v>161.56</v>
      </c>
      <c r="F73" s="680">
        <v>160</v>
      </c>
      <c r="G73" s="680">
        <v>161.56</v>
      </c>
      <c r="H73" s="680">
        <v>160</v>
      </c>
      <c r="I73" s="680">
        <v>161.56</v>
      </c>
      <c r="J73" s="680">
        <v>160</v>
      </c>
      <c r="K73" s="680">
        <v>161.56</v>
      </c>
      <c r="L73" s="680">
        <v>160</v>
      </c>
      <c r="M73" s="680">
        <v>161.56</v>
      </c>
      <c r="N73" s="29">
        <f>STDEV(D73:M73)</f>
        <v>0.82219219164377977</v>
      </c>
      <c r="P73" s="116"/>
      <c r="Q73" s="116"/>
      <c r="R73" s="116"/>
      <c r="S73" s="116"/>
    </row>
    <row r="74" spans="2:255" s="29" customFormat="1" ht="20.149999999999999" customHeight="1">
      <c r="B74" s="1099"/>
      <c r="C74" s="762">
        <v>2</v>
      </c>
      <c r="D74" s="680">
        <v>160</v>
      </c>
      <c r="E74" s="680">
        <v>161.56</v>
      </c>
      <c r="F74" s="680">
        <v>160</v>
      </c>
      <c r="G74" s="680">
        <v>161.56</v>
      </c>
      <c r="H74" s="680">
        <v>160</v>
      </c>
      <c r="I74" s="680">
        <v>161.56</v>
      </c>
      <c r="J74" s="680">
        <v>160</v>
      </c>
      <c r="K74" s="680">
        <v>161.56</v>
      </c>
      <c r="L74" s="680">
        <v>160</v>
      </c>
      <c r="M74" s="680">
        <v>161.56</v>
      </c>
      <c r="N74" s="29">
        <f t="shared" ref="N74:N80" si="1">STDEV(D74:M74)</f>
        <v>0.82219219164377977</v>
      </c>
      <c r="P74" s="116"/>
      <c r="Q74" s="116"/>
      <c r="R74" s="116"/>
      <c r="S74" s="116"/>
    </row>
    <row r="75" spans="2:255" s="29" customFormat="1" ht="20.149999999999999" customHeight="1">
      <c r="B75" s="1099"/>
      <c r="C75" s="762">
        <v>3</v>
      </c>
      <c r="D75" s="680">
        <v>160</v>
      </c>
      <c r="E75" s="680">
        <v>161.56</v>
      </c>
      <c r="F75" s="680">
        <v>160</v>
      </c>
      <c r="G75" s="680">
        <v>161.56</v>
      </c>
      <c r="H75" s="680">
        <v>160</v>
      </c>
      <c r="I75" s="680">
        <v>161.56</v>
      </c>
      <c r="J75" s="680">
        <v>160</v>
      </c>
      <c r="K75" s="680">
        <v>161.56</v>
      </c>
      <c r="L75" s="680">
        <v>160</v>
      </c>
      <c r="M75" s="680">
        <v>161.56</v>
      </c>
      <c r="N75" s="29">
        <f t="shared" si="1"/>
        <v>0.82219219164377977</v>
      </c>
      <c r="P75" s="116"/>
      <c r="Q75" s="116"/>
      <c r="R75" s="116"/>
      <c r="S75" s="116"/>
    </row>
    <row r="76" spans="2:255" s="29" customFormat="1" ht="20.149999999999999" customHeight="1">
      <c r="B76" s="1099"/>
      <c r="C76" s="762">
        <v>4</v>
      </c>
      <c r="D76" s="680">
        <v>160</v>
      </c>
      <c r="E76" s="680">
        <v>161.56</v>
      </c>
      <c r="F76" s="680">
        <v>160</v>
      </c>
      <c r="G76" s="680">
        <v>161.56</v>
      </c>
      <c r="H76" s="680">
        <v>160</v>
      </c>
      <c r="I76" s="680">
        <v>161.56</v>
      </c>
      <c r="J76" s="680">
        <v>160</v>
      </c>
      <c r="K76" s="680">
        <v>161.56</v>
      </c>
      <c r="L76" s="680">
        <v>160</v>
      </c>
      <c r="M76" s="680">
        <v>161.56</v>
      </c>
      <c r="N76" s="29">
        <f t="shared" si="1"/>
        <v>0.82219219164377977</v>
      </c>
      <c r="P76" s="116"/>
      <c r="Q76" s="116"/>
      <c r="R76" s="116"/>
      <c r="S76" s="116"/>
    </row>
    <row r="77" spans="2:255" s="792" customFormat="1" ht="20.149999999999999" customHeight="1">
      <c r="B77" s="1099"/>
      <c r="C77" s="762">
        <v>5</v>
      </c>
      <c r="D77" s="680">
        <v>160</v>
      </c>
      <c r="E77" s="680">
        <v>161.56</v>
      </c>
      <c r="F77" s="680">
        <v>160</v>
      </c>
      <c r="G77" s="680">
        <v>161.56</v>
      </c>
      <c r="H77" s="680">
        <v>160</v>
      </c>
      <c r="I77" s="680">
        <v>161.56</v>
      </c>
      <c r="J77" s="680">
        <v>160</v>
      </c>
      <c r="K77" s="680">
        <v>161.56</v>
      </c>
      <c r="L77" s="680">
        <v>160</v>
      </c>
      <c r="M77" s="680">
        <v>161.56</v>
      </c>
      <c r="N77" s="29">
        <f t="shared" si="1"/>
        <v>0.82219219164377977</v>
      </c>
      <c r="P77" s="116"/>
      <c r="Q77" s="116"/>
      <c r="R77" s="116"/>
      <c r="S77" s="116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</row>
    <row r="78" spans="2:255" s="792" customFormat="1" ht="20.149999999999999" customHeight="1">
      <c r="B78" s="1099"/>
      <c r="C78" s="762">
        <v>6</v>
      </c>
      <c r="D78" s="680">
        <v>160</v>
      </c>
      <c r="E78" s="680">
        <v>161.56</v>
      </c>
      <c r="F78" s="680">
        <v>160</v>
      </c>
      <c r="G78" s="680">
        <v>161.56</v>
      </c>
      <c r="H78" s="680">
        <v>160</v>
      </c>
      <c r="I78" s="680">
        <v>161.56</v>
      </c>
      <c r="J78" s="680">
        <v>160</v>
      </c>
      <c r="K78" s="680">
        <v>161.56</v>
      </c>
      <c r="L78" s="680">
        <v>160</v>
      </c>
      <c r="M78" s="680">
        <v>161.56</v>
      </c>
      <c r="N78" s="29">
        <f t="shared" si="1"/>
        <v>0.82219219164377977</v>
      </c>
      <c r="P78" s="116"/>
      <c r="Q78" s="116"/>
      <c r="R78" s="116"/>
      <c r="S78" s="116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</row>
    <row r="79" spans="2:255" s="792" customFormat="1" ht="20.149999999999999" customHeight="1">
      <c r="B79" s="1099"/>
      <c r="C79" s="762">
        <v>7</v>
      </c>
      <c r="D79" s="680">
        <v>160</v>
      </c>
      <c r="E79" s="680">
        <v>161.56</v>
      </c>
      <c r="F79" s="680">
        <v>160</v>
      </c>
      <c r="G79" s="680">
        <v>161.56</v>
      </c>
      <c r="H79" s="680">
        <v>160</v>
      </c>
      <c r="I79" s="680">
        <v>161.56</v>
      </c>
      <c r="J79" s="680">
        <v>160</v>
      </c>
      <c r="K79" s="680">
        <v>161.56</v>
      </c>
      <c r="L79" s="680">
        <v>160</v>
      </c>
      <c r="M79" s="680">
        <v>161.56</v>
      </c>
      <c r="N79" s="29">
        <f t="shared" si="1"/>
        <v>0.82219219164377977</v>
      </c>
      <c r="P79" s="116"/>
      <c r="Q79" s="116"/>
      <c r="R79" s="116"/>
      <c r="S79" s="116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</row>
    <row r="80" spans="2:255" s="792" customFormat="1" ht="20.149999999999999" customHeight="1">
      <c r="B80" s="1099"/>
      <c r="C80" s="762">
        <v>8</v>
      </c>
      <c r="D80" s="680">
        <v>160</v>
      </c>
      <c r="E80" s="680">
        <v>161.56</v>
      </c>
      <c r="F80" s="680">
        <v>160</v>
      </c>
      <c r="G80" s="680">
        <v>161.56</v>
      </c>
      <c r="H80" s="680">
        <v>160</v>
      </c>
      <c r="I80" s="680">
        <v>161.56</v>
      </c>
      <c r="J80" s="680">
        <v>160</v>
      </c>
      <c r="K80" s="680">
        <v>161.56</v>
      </c>
      <c r="L80" s="680">
        <v>160</v>
      </c>
      <c r="M80" s="680">
        <v>161.56</v>
      </c>
      <c r="N80" s="29">
        <f t="shared" si="1"/>
        <v>0.82219219164377977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</row>
    <row r="81" spans="2:21" s="415" customFormat="1" ht="20.149999999999999" customHeight="1">
      <c r="B81" s="1114" t="s">
        <v>225</v>
      </c>
      <c r="C81" s="1114"/>
      <c r="D81" s="1145">
        <v>160</v>
      </c>
      <c r="E81" s="1145"/>
      <c r="F81" s="1145"/>
      <c r="G81" s="1145"/>
      <c r="H81" s="1145"/>
      <c r="I81" s="1145">
        <v>160</v>
      </c>
      <c r="J81" s="1145"/>
      <c r="K81" s="1145"/>
      <c r="L81" s="1145"/>
      <c r="M81" s="1145"/>
      <c r="N81" s="16"/>
      <c r="O81" s="16"/>
      <c r="P81" s="16"/>
      <c r="Q81" s="16"/>
      <c r="R81" s="16"/>
      <c r="S81" s="16"/>
      <c r="T81" s="16"/>
      <c r="U81" s="16"/>
    </row>
    <row r="82" spans="2:21" s="415" customFormat="1" ht="20.149999999999999" customHeight="1">
      <c r="B82" s="1114" t="s">
        <v>226</v>
      </c>
      <c r="C82" s="1114"/>
      <c r="D82" s="1134">
        <f>MAX(D17:E17)</f>
        <v>25.2</v>
      </c>
      <c r="E82" s="1134"/>
      <c r="F82" s="1134"/>
      <c r="G82" s="1134"/>
      <c r="H82" s="1134"/>
      <c r="I82" s="1134">
        <f>MIN(D17:E17)</f>
        <v>25</v>
      </c>
      <c r="J82" s="1135"/>
      <c r="K82" s="1135"/>
      <c r="L82" s="1135"/>
      <c r="M82" s="1135"/>
      <c r="N82" s="16"/>
      <c r="O82" s="16">
        <v>1</v>
      </c>
      <c r="P82" s="16"/>
      <c r="Q82" s="16"/>
      <c r="R82" s="16"/>
      <c r="S82" s="16"/>
      <c r="T82" s="16"/>
      <c r="U82" s="16"/>
    </row>
    <row r="83" spans="2:21" s="415" customFormat="1" ht="20.149999999999999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32"/>
      <c r="M83" s="32"/>
      <c r="N83" s="16"/>
      <c r="O83" s="16"/>
      <c r="P83" s="16">
        <f>(37.2+37.2)/2</f>
        <v>37.200000000000003</v>
      </c>
      <c r="Q83" s="16"/>
      <c r="R83" s="16"/>
      <c r="S83" s="16"/>
      <c r="T83" s="16"/>
      <c r="U83" s="16"/>
    </row>
    <row r="84" spans="2:21" s="415" customFormat="1" ht="20.149999999999999" customHeight="1">
      <c r="B84" s="1098" t="s">
        <v>61</v>
      </c>
      <c r="C84" s="1098" t="s">
        <v>62</v>
      </c>
      <c r="D84" s="1114" t="s">
        <v>224</v>
      </c>
      <c r="E84" s="1114"/>
      <c r="F84" s="1114"/>
      <c r="G84" s="1114"/>
      <c r="H84" s="1114"/>
      <c r="I84" s="1114"/>
      <c r="J84" s="1114"/>
      <c r="K84" s="1114"/>
      <c r="L84" s="1114"/>
      <c r="M84" s="1114"/>
      <c r="N84" s="1138" t="s">
        <v>227</v>
      </c>
      <c r="O84" s="1098" t="s">
        <v>228</v>
      </c>
      <c r="P84" s="1098" t="s">
        <v>229</v>
      </c>
      <c r="Q84" s="16"/>
      <c r="R84" s="1102" t="s">
        <v>230</v>
      </c>
      <c r="S84" s="1102" t="s">
        <v>231</v>
      </c>
      <c r="T84" s="1102" t="s">
        <v>232</v>
      </c>
      <c r="U84" s="1101" t="s">
        <v>233</v>
      </c>
    </row>
    <row r="85" spans="2:21" s="415" customFormat="1" ht="19.5" customHeight="1">
      <c r="B85" s="1098"/>
      <c r="C85" s="1098"/>
      <c r="D85" s="753" t="s">
        <v>65</v>
      </c>
      <c r="E85" s="753" t="s">
        <v>66</v>
      </c>
      <c r="F85" s="753" t="s">
        <v>67</v>
      </c>
      <c r="G85" s="753" t="s">
        <v>68</v>
      </c>
      <c r="H85" s="753" t="s">
        <v>69</v>
      </c>
      <c r="I85" s="753" t="s">
        <v>70</v>
      </c>
      <c r="J85" s="753" t="s">
        <v>71</v>
      </c>
      <c r="K85" s="753" t="s">
        <v>72</v>
      </c>
      <c r="L85" s="753" t="s">
        <v>73</v>
      </c>
      <c r="M85" s="753" t="s">
        <v>74</v>
      </c>
      <c r="N85" s="1138"/>
      <c r="O85" s="1098"/>
      <c r="P85" s="1098"/>
      <c r="Q85" s="16"/>
      <c r="R85" s="1102"/>
      <c r="S85" s="1102"/>
      <c r="T85" s="1102"/>
      <c r="U85" s="1101"/>
    </row>
    <row r="86" spans="2:21" s="415" customFormat="1" ht="20.149999999999999" customHeight="1">
      <c r="B86" s="1132">
        <f>B73</f>
        <v>160</v>
      </c>
      <c r="C86" s="762">
        <v>1</v>
      </c>
      <c r="D86" s="704">
        <f>'Data Standar'!E298</f>
        <v>160.63999999999999</v>
      </c>
      <c r="E86" s="704">
        <f>'Data Standar'!K298</f>
        <v>162.19999999999999</v>
      </c>
      <c r="F86" s="704">
        <f>'Data Standar'!E311</f>
        <v>160.63999999999999</v>
      </c>
      <c r="G86" s="704">
        <f>'Data Standar'!K311</f>
        <v>162.19999999999999</v>
      </c>
      <c r="H86" s="704">
        <f>'Data Standar'!E324</f>
        <v>160.63999999999999</v>
      </c>
      <c r="I86" s="704">
        <f>'Data Standar'!K324</f>
        <v>162.19999999999999</v>
      </c>
      <c r="J86" s="704">
        <f>'Data Standar'!E337</f>
        <v>160.63999999999999</v>
      </c>
      <c r="K86" s="704">
        <f>'Data Standar'!K337</f>
        <v>162.19999999999999</v>
      </c>
      <c r="L86" s="704">
        <f>'Data Standar'!E350</f>
        <v>160.63999999999999</v>
      </c>
      <c r="M86" s="704">
        <f>'Data Standar'!K350</f>
        <v>162.19999999999999</v>
      </c>
      <c r="N86" s="27">
        <f>STDEV(D86:M86)</f>
        <v>0.82219219164377977</v>
      </c>
      <c r="O86" s="27">
        <f>MAX(D86:M86)-MIN(D86:M86)</f>
        <v>1.5600000000000023</v>
      </c>
      <c r="P86" s="27">
        <f>AVERAGE(D86:M86)</f>
        <v>161.42000000000002</v>
      </c>
      <c r="Q86" s="16"/>
      <c r="R86" s="793">
        <f>36.03-35.94</f>
        <v>9.0000000000003411E-2</v>
      </c>
      <c r="S86" s="794">
        <f>(36.03+35.94)/2</f>
        <v>35.984999999999999</v>
      </c>
      <c r="T86" s="793">
        <f>35.99+0.13</f>
        <v>36.120000000000005</v>
      </c>
      <c r="U86" s="795"/>
    </row>
    <row r="87" spans="2:21" s="415" customFormat="1" ht="20.149999999999999" customHeight="1">
      <c r="B87" s="1132"/>
      <c r="C87" s="762">
        <v>2</v>
      </c>
      <c r="D87" s="704">
        <f>'Data Standar'!E299</f>
        <v>160.715</v>
      </c>
      <c r="E87" s="704">
        <f>'Data Standar'!K299</f>
        <v>162.27500000000001</v>
      </c>
      <c r="F87" s="704">
        <f>'Data Standar'!E312</f>
        <v>160.715</v>
      </c>
      <c r="G87" s="704">
        <f>'Data Standar'!K312</f>
        <v>162.27500000000001</v>
      </c>
      <c r="H87" s="704">
        <f>'Data Standar'!E325</f>
        <v>160.715</v>
      </c>
      <c r="I87" s="704">
        <f>'Data Standar'!K325</f>
        <v>162.27500000000001</v>
      </c>
      <c r="J87" s="704">
        <f>'Data Standar'!E338</f>
        <v>160.715</v>
      </c>
      <c r="K87" s="704">
        <f>'Data Standar'!K338</f>
        <v>162.27500000000001</v>
      </c>
      <c r="L87" s="704">
        <f>'Data Standar'!E351</f>
        <v>160.715</v>
      </c>
      <c r="M87" s="704">
        <f>'Data Standar'!K351</f>
        <v>162.27500000000001</v>
      </c>
      <c r="N87" s="27">
        <f t="shared" ref="N87:N93" si="2">STDEV(D87:M87)</f>
        <v>0.82219219164377977</v>
      </c>
      <c r="O87" s="27">
        <f t="shared" ref="O87:O95" si="3">MAX(D87:M87)-MIN(D87:M87)</f>
        <v>1.5600000000000023</v>
      </c>
      <c r="P87" s="27">
        <f t="shared" ref="P87:P95" si="4">AVERAGE(D87:M87)</f>
        <v>161.495</v>
      </c>
      <c r="Q87" s="16"/>
      <c r="R87" s="793">
        <f>36.12-35.97</f>
        <v>0.14999999999999858</v>
      </c>
      <c r="S87" s="794">
        <f>(36.12+35.97)/2</f>
        <v>36.045000000000002</v>
      </c>
      <c r="T87" s="793">
        <f>36.05+0.14</f>
        <v>36.19</v>
      </c>
      <c r="U87" s="795"/>
    </row>
    <row r="88" spans="2:21" s="415" customFormat="1" ht="20.149999999999999" customHeight="1">
      <c r="B88" s="1132"/>
      <c r="C88" s="762">
        <v>3</v>
      </c>
      <c r="D88" s="704">
        <f>'Data Standar'!E300</f>
        <v>160.65199999999999</v>
      </c>
      <c r="E88" s="704">
        <f>'Data Standar'!K300</f>
        <v>162.21666666666667</v>
      </c>
      <c r="F88" s="704">
        <f>'Data Standar'!E313</f>
        <v>160.65666666666667</v>
      </c>
      <c r="G88" s="704">
        <f>'Data Standar'!K313</f>
        <v>162.21666666666667</v>
      </c>
      <c r="H88" s="704">
        <f>'Data Standar'!E326</f>
        <v>160.65666666666667</v>
      </c>
      <c r="I88" s="704">
        <f>'Data Standar'!K326</f>
        <v>162.21666666666667</v>
      </c>
      <c r="J88" s="704">
        <f>'Data Standar'!E339</f>
        <v>160.65666666666667</v>
      </c>
      <c r="K88" s="704">
        <f>'Data Standar'!K339</f>
        <v>162.21666666666667</v>
      </c>
      <c r="L88" s="704">
        <f>'Data Standar'!E352</f>
        <v>160.65666666666667</v>
      </c>
      <c r="M88" s="704">
        <f>'Data Standar'!K352</f>
        <v>162.21666666666667</v>
      </c>
      <c r="N88" s="27">
        <f t="shared" si="2"/>
        <v>0.82268527801746327</v>
      </c>
      <c r="O88" s="27">
        <f t="shared" si="3"/>
        <v>1.5646666666666817</v>
      </c>
      <c r="P88" s="27">
        <f t="shared" si="4"/>
        <v>161.43620000000001</v>
      </c>
      <c r="Q88" s="16"/>
      <c r="R88" s="793">
        <f>36.07-35.95</f>
        <v>0.11999999999999744</v>
      </c>
      <c r="S88" s="794">
        <f>(36.07+35.95)/2</f>
        <v>36.010000000000005</v>
      </c>
      <c r="T88" s="793">
        <f>36.01+0.14</f>
        <v>36.15</v>
      </c>
      <c r="U88" s="795"/>
    </row>
    <row r="89" spans="2:21" s="415" customFormat="1" ht="20.149999999999999" customHeight="1">
      <c r="B89" s="1132"/>
      <c r="C89" s="762">
        <v>4</v>
      </c>
      <c r="D89" s="704">
        <f>'Data Standar'!E301</f>
        <v>160.72266666666667</v>
      </c>
      <c r="E89" s="704">
        <f>'Data Standar'!K301</f>
        <v>162.28266666666667</v>
      </c>
      <c r="F89" s="704">
        <f>'Data Standar'!E314</f>
        <v>160.72266666666667</v>
      </c>
      <c r="G89" s="704">
        <f>'Data Standar'!K314</f>
        <v>162.28266666666667</v>
      </c>
      <c r="H89" s="704">
        <f>'Data Standar'!E327</f>
        <v>160.72266666666667</v>
      </c>
      <c r="I89" s="704">
        <f>'Data Standar'!K327</f>
        <v>162.28266666666667</v>
      </c>
      <c r="J89" s="704">
        <f>'Data Standar'!E340</f>
        <v>160.72266666666667</v>
      </c>
      <c r="K89" s="704">
        <f>'Data Standar'!K340</f>
        <v>162.28266666666667</v>
      </c>
      <c r="L89" s="704">
        <f>'Data Standar'!E353</f>
        <v>160.72266666666667</v>
      </c>
      <c r="M89" s="704">
        <f>'Data Standar'!K353</f>
        <v>162.28266666666667</v>
      </c>
      <c r="N89" s="27">
        <f t="shared" si="2"/>
        <v>0.82219219164377977</v>
      </c>
      <c r="O89" s="27">
        <f t="shared" si="3"/>
        <v>1.5600000000000023</v>
      </c>
      <c r="P89" s="27">
        <f t="shared" si="4"/>
        <v>161.5026666666667</v>
      </c>
      <c r="Q89" s="16"/>
      <c r="R89" s="793">
        <f>36.08-35.96</f>
        <v>0.11999999999999744</v>
      </c>
      <c r="S89" s="794">
        <f>(36.08+35.96)/2</f>
        <v>36.019999999999996</v>
      </c>
      <c r="T89" s="796">
        <f>36.02+0.14</f>
        <v>36.160000000000004</v>
      </c>
      <c r="U89" s="795"/>
    </row>
    <row r="90" spans="2:21" s="415" customFormat="1" ht="20.149999999999999" customHeight="1">
      <c r="B90" s="1132"/>
      <c r="C90" s="762">
        <v>5</v>
      </c>
      <c r="D90" s="704">
        <f>'Data Standar'!E302</f>
        <v>160.72399999999999</v>
      </c>
      <c r="E90" s="704">
        <f>'Data Standar'!K302</f>
        <v>162.28399999999999</v>
      </c>
      <c r="F90" s="704">
        <f>'Data Standar'!E315</f>
        <v>160.72399999999999</v>
      </c>
      <c r="G90" s="704">
        <f>'Data Standar'!K315</f>
        <v>162.28399999999999</v>
      </c>
      <c r="H90" s="704">
        <f>'Data Standar'!E328</f>
        <v>160.72399999999999</v>
      </c>
      <c r="I90" s="704">
        <f>'Data Standar'!K328</f>
        <v>162.28399999999999</v>
      </c>
      <c r="J90" s="704">
        <f>'Data Standar'!E341</f>
        <v>160.72399999999999</v>
      </c>
      <c r="K90" s="704">
        <f>'Data Standar'!K341</f>
        <v>162.28399999999999</v>
      </c>
      <c r="L90" s="704">
        <f>'Data Standar'!E354</f>
        <v>160.72399999999999</v>
      </c>
      <c r="M90" s="704">
        <f>'Data Standar'!K354</f>
        <v>162.28399999999999</v>
      </c>
      <c r="N90" s="27">
        <f t="shared" si="2"/>
        <v>0.82219219164377977</v>
      </c>
      <c r="O90" s="27">
        <f t="shared" si="3"/>
        <v>1.5600000000000023</v>
      </c>
      <c r="P90" s="27">
        <f t="shared" si="4"/>
        <v>161.50399999999999</v>
      </c>
      <c r="Q90" s="16"/>
      <c r="R90" s="793">
        <f>36.04-35.95</f>
        <v>8.9999999999996305E-2</v>
      </c>
      <c r="S90" s="794">
        <f>(36.04+35.95)/2</f>
        <v>35.995000000000005</v>
      </c>
      <c r="T90" s="793">
        <f>36+0.13</f>
        <v>36.130000000000003</v>
      </c>
      <c r="U90" s="795"/>
    </row>
    <row r="91" spans="2:21" s="415" customFormat="1" ht="20.149999999999999" customHeight="1">
      <c r="B91" s="1132"/>
      <c r="C91" s="762">
        <v>6</v>
      </c>
      <c r="D91" s="704">
        <f>'Data Standar'!E303</f>
        <v>160.72833333333332</v>
      </c>
      <c r="E91" s="704">
        <f>'Data Standar'!K303</f>
        <v>162.28833333333333</v>
      </c>
      <c r="F91" s="704">
        <f>'Data Standar'!E316</f>
        <v>160.72833333333332</v>
      </c>
      <c r="G91" s="704">
        <f>'Data Standar'!K316</f>
        <v>162.28833333333333</v>
      </c>
      <c r="H91" s="704">
        <f>'Data Standar'!E329</f>
        <v>160.72833333333332</v>
      </c>
      <c r="I91" s="704">
        <f>'Data Standar'!K329</f>
        <v>162.28833333333333</v>
      </c>
      <c r="J91" s="704">
        <f>'Data Standar'!E342</f>
        <v>160.72833333333332</v>
      </c>
      <c r="K91" s="704">
        <f>'Data Standar'!K342</f>
        <v>162.28833333333333</v>
      </c>
      <c r="L91" s="704">
        <f>'Data Standar'!E355</f>
        <v>160.72833333333332</v>
      </c>
      <c r="M91" s="704">
        <f>'Data Standar'!K355</f>
        <v>162.28833333333333</v>
      </c>
      <c r="N91" s="27">
        <f t="shared" si="2"/>
        <v>0.82219219164377977</v>
      </c>
      <c r="O91" s="27">
        <f t="shared" si="3"/>
        <v>1.5600000000000023</v>
      </c>
      <c r="P91" s="27">
        <f t="shared" si="4"/>
        <v>161.50833333333333</v>
      </c>
      <c r="Q91" s="16"/>
      <c r="R91" s="793">
        <f>36.15-36.03</f>
        <v>0.11999999999999744</v>
      </c>
      <c r="S91" s="793">
        <f>(36.15+36.03)/2</f>
        <v>36.090000000000003</v>
      </c>
      <c r="T91" s="793">
        <f>36.09+0.14</f>
        <v>36.230000000000004</v>
      </c>
      <c r="U91" s="795"/>
    </row>
    <row r="92" spans="2:21" s="415" customFormat="1" ht="20.149999999999999" customHeight="1">
      <c r="B92" s="1132"/>
      <c r="C92" s="762">
        <v>7</v>
      </c>
      <c r="D92" s="704">
        <f>'Data Standar'!E304</f>
        <v>160.66200000000001</v>
      </c>
      <c r="E92" s="704">
        <f>'Data Standar'!K304</f>
        <v>162.22433333333333</v>
      </c>
      <c r="F92" s="704">
        <f>'Data Standar'!E317</f>
        <v>160.66433333333333</v>
      </c>
      <c r="G92" s="704">
        <f>'Data Standar'!K317</f>
        <v>162.22433333333333</v>
      </c>
      <c r="H92" s="704">
        <f>'Data Standar'!E330</f>
        <v>160.66433333333333</v>
      </c>
      <c r="I92" s="704">
        <f>'Data Standar'!K330</f>
        <v>162.22433333333333</v>
      </c>
      <c r="J92" s="704">
        <f>'Data Standar'!E343</f>
        <v>160.66433333333333</v>
      </c>
      <c r="K92" s="704">
        <f>'Data Standar'!K343</f>
        <v>162.22433333333333</v>
      </c>
      <c r="L92" s="704">
        <f>'Data Standar'!E356</f>
        <v>160.66433333333333</v>
      </c>
      <c r="M92" s="704">
        <f>'Data Standar'!K356</f>
        <v>162.22433333333333</v>
      </c>
      <c r="N92" s="27">
        <f t="shared" si="2"/>
        <v>0.82243844078988038</v>
      </c>
      <c r="O92" s="27">
        <f t="shared" si="3"/>
        <v>1.5623333333333278</v>
      </c>
      <c r="P92" s="27">
        <f t="shared" si="4"/>
        <v>161.44410000000002</v>
      </c>
      <c r="Q92" s="16"/>
      <c r="R92" s="793">
        <f>36.07-35.97</f>
        <v>0.10000000000000142</v>
      </c>
      <c r="S92" s="794">
        <f>(36.07+35.97)/2</f>
        <v>36.019999999999996</v>
      </c>
      <c r="T92" s="793">
        <f>36.02+0.19</f>
        <v>36.21</v>
      </c>
      <c r="U92" s="795"/>
    </row>
    <row r="93" spans="2:21" s="415" customFormat="1" ht="20.149999999999999" customHeight="1">
      <c r="B93" s="1132"/>
      <c r="C93" s="762">
        <v>8</v>
      </c>
      <c r="D93" s="704">
        <f>'Data Standar'!E305</f>
        <v>160.66233333333332</v>
      </c>
      <c r="E93" s="704">
        <f>'Data Standar'!K305</f>
        <v>162.22233333333332</v>
      </c>
      <c r="F93" s="704">
        <f>'Data Standar'!E318</f>
        <v>160.66233333333332</v>
      </c>
      <c r="G93" s="704">
        <f>'Data Standar'!K318</f>
        <v>162.22233333333332</v>
      </c>
      <c r="H93" s="704">
        <f>'Data Standar'!E331</f>
        <v>160.66233333333332</v>
      </c>
      <c r="I93" s="704">
        <f>'Data Standar'!K331</f>
        <v>162.22233333333332</v>
      </c>
      <c r="J93" s="704">
        <f>'Data Standar'!E344</f>
        <v>160.66233333333332</v>
      </c>
      <c r="K93" s="704">
        <f>'Data Standar'!K344</f>
        <v>162.22233333333332</v>
      </c>
      <c r="L93" s="704">
        <f>'Data Standar'!E357</f>
        <v>160.66233333333332</v>
      </c>
      <c r="M93" s="704">
        <f>'Data Standar'!K357</f>
        <v>162.22233333333332</v>
      </c>
      <c r="N93" s="27">
        <f t="shared" si="2"/>
        <v>0.82219219164377977</v>
      </c>
      <c r="O93" s="27">
        <f t="shared" si="3"/>
        <v>1.5600000000000023</v>
      </c>
      <c r="P93" s="27">
        <f t="shared" si="4"/>
        <v>161.44233333333335</v>
      </c>
      <c r="Q93" s="16"/>
      <c r="R93" s="796">
        <f>36.2-36.11</f>
        <v>9.0000000000003411E-2</v>
      </c>
      <c r="S93" s="796">
        <f>(36.2+36.11)/2</f>
        <v>36.155000000000001</v>
      </c>
      <c r="T93" s="796">
        <f>36.16+0.16</f>
        <v>36.319999999999993</v>
      </c>
      <c r="U93" s="795"/>
    </row>
    <row r="94" spans="2:21" s="415" customFormat="1" ht="20.149999999999999" customHeight="1">
      <c r="B94" s="1114" t="s">
        <v>225</v>
      </c>
      <c r="C94" s="1114"/>
      <c r="D94" s="1123">
        <f>D81</f>
        <v>160</v>
      </c>
      <c r="E94" s="1123"/>
      <c r="F94" s="1123"/>
      <c r="G94" s="1123"/>
      <c r="H94" s="1123"/>
      <c r="I94" s="1123">
        <f>I81</f>
        <v>160</v>
      </c>
      <c r="J94" s="1123"/>
      <c r="K94" s="1123"/>
      <c r="L94" s="1123"/>
      <c r="M94" s="1123"/>
      <c r="N94" s="1136">
        <f>MAX(N86:N93)</f>
        <v>0.82268527801746327</v>
      </c>
      <c r="O94" s="27">
        <f t="shared" si="3"/>
        <v>0</v>
      </c>
      <c r="P94" s="27">
        <f t="shared" si="4"/>
        <v>160</v>
      </c>
      <c r="Q94" s="16"/>
      <c r="R94" s="754">
        <f>37-37</f>
        <v>0</v>
      </c>
      <c r="S94" s="754">
        <f>(37+37)/2</f>
        <v>37</v>
      </c>
      <c r="T94" s="755"/>
      <c r="U94" s="795"/>
    </row>
    <row r="95" spans="2:21" s="415" customFormat="1" ht="20.149999999999999" customHeight="1">
      <c r="B95" s="1114" t="s">
        <v>226</v>
      </c>
      <c r="C95" s="1114"/>
      <c r="D95" s="1123">
        <f>D82</f>
        <v>25.2</v>
      </c>
      <c r="E95" s="1123"/>
      <c r="F95" s="1123"/>
      <c r="G95" s="1123"/>
      <c r="H95" s="1123"/>
      <c r="I95" s="1123">
        <f>I82</f>
        <v>25</v>
      </c>
      <c r="J95" s="1123"/>
      <c r="K95" s="1123"/>
      <c r="L95" s="1123"/>
      <c r="M95" s="1123"/>
      <c r="N95" s="1137"/>
      <c r="O95" s="27">
        <f t="shared" si="3"/>
        <v>0.19999999999999929</v>
      </c>
      <c r="P95" s="27">
        <f t="shared" si="4"/>
        <v>25.1</v>
      </c>
      <c r="Q95" s="16"/>
      <c r="R95" s="754">
        <f>25.2-25</f>
        <v>0.19999999999999929</v>
      </c>
      <c r="S95" s="754">
        <f>(25.2+25)/2</f>
        <v>25.1</v>
      </c>
      <c r="T95" s="755"/>
      <c r="U95" s="795"/>
    </row>
    <row r="96" spans="2:21" s="415" customFormat="1" ht="20.149999999999999" customHeight="1">
      <c r="B96" s="118">
        <v>1</v>
      </c>
      <c r="C96" s="53"/>
      <c r="D96" s="1129" t="s">
        <v>234</v>
      </c>
      <c r="E96" s="1129"/>
      <c r="F96" s="1129"/>
      <c r="G96" s="1129"/>
      <c r="H96" s="1129"/>
      <c r="I96" s="1129"/>
      <c r="J96" s="1129"/>
      <c r="K96" s="1129"/>
      <c r="L96" s="1122">
        <f>P94</f>
        <v>160</v>
      </c>
      <c r="M96" s="1122"/>
      <c r="N96" s="16"/>
      <c r="O96" s="16"/>
      <c r="P96" s="16">
        <f>37.57-37.13</f>
        <v>0.43999999999999773</v>
      </c>
      <c r="Q96" s="16"/>
      <c r="R96" s="16"/>
      <c r="S96" s="16"/>
      <c r="T96" s="16"/>
      <c r="U96" s="16"/>
    </row>
    <row r="97" spans="2:18" s="415" customFormat="1" ht="20.149999999999999" customHeight="1">
      <c r="B97" s="118">
        <v>2</v>
      </c>
      <c r="C97" s="53"/>
      <c r="D97" s="1129" t="s">
        <v>235</v>
      </c>
      <c r="E97" s="1129"/>
      <c r="F97" s="1129"/>
      <c r="G97" s="1129"/>
      <c r="H97" s="1129"/>
      <c r="I97" s="1129"/>
      <c r="J97" s="1129"/>
      <c r="K97" s="1129"/>
      <c r="L97" s="1121">
        <f>(MAX(P86:P93)+MIN(P86:P93))/2</f>
        <v>161.46416666666667</v>
      </c>
      <c r="M97" s="1121"/>
      <c r="N97" s="16"/>
      <c r="O97" s="16"/>
      <c r="P97" s="16"/>
      <c r="Q97" s="16"/>
    </row>
    <row r="98" spans="2:18" s="415" customFormat="1" ht="20.149999999999999" customHeight="1">
      <c r="B98" s="118">
        <v>3</v>
      </c>
      <c r="C98" s="53"/>
      <c r="D98" s="1129" t="s">
        <v>236</v>
      </c>
      <c r="E98" s="1129"/>
      <c r="F98" s="1129"/>
      <c r="G98" s="1129"/>
      <c r="H98" s="1129"/>
      <c r="I98" s="1129"/>
      <c r="J98" s="1129"/>
      <c r="K98" s="1129"/>
      <c r="L98" s="1121">
        <f>MAX(P86:P93)-MIN(P86:P93)</f>
        <v>8.8333333333309838E-2</v>
      </c>
      <c r="M98" s="1121"/>
      <c r="N98" s="16"/>
      <c r="O98" s="16"/>
      <c r="P98" s="16"/>
      <c r="Q98" s="16"/>
    </row>
    <row r="99" spans="2:18" s="415" customFormat="1" ht="20.149999999999999" customHeight="1">
      <c r="B99" s="118">
        <v>4</v>
      </c>
      <c r="C99" s="53"/>
      <c r="D99" s="1038" t="s">
        <v>237</v>
      </c>
      <c r="E99" s="1038"/>
      <c r="F99" s="1038"/>
      <c r="G99" s="1038"/>
      <c r="H99" s="1038"/>
      <c r="I99" s="1038"/>
      <c r="J99" s="1038"/>
      <c r="K99" s="1038"/>
      <c r="L99" s="1127">
        <f>MAX(O86:O93)</f>
        <v>1.5646666666666817</v>
      </c>
      <c r="M99" s="1128"/>
      <c r="N99" s="16"/>
      <c r="O99" s="16"/>
      <c r="P99" s="16"/>
      <c r="Q99" s="16"/>
    </row>
    <row r="100" spans="2:18" s="415" customFormat="1" ht="20.149999999999999" customHeight="1">
      <c r="B100" s="118">
        <v>5</v>
      </c>
      <c r="C100" s="53"/>
      <c r="D100" s="1038" t="s">
        <v>238</v>
      </c>
      <c r="E100" s="1038"/>
      <c r="F100" s="1038"/>
      <c r="G100" s="1038"/>
      <c r="H100" s="1038"/>
      <c r="I100" s="1038"/>
      <c r="J100" s="1038"/>
      <c r="K100" s="1038"/>
      <c r="L100" s="1127">
        <f>MAX(D86:M93)-MIN(D86:M93)</f>
        <v>1.6483333333333405</v>
      </c>
      <c r="M100" s="1128"/>
      <c r="N100" s="16"/>
      <c r="O100" s="16"/>
      <c r="P100" s="16"/>
      <c r="Q100" s="16"/>
    </row>
    <row r="101" spans="2:18" s="415" customFormat="1" ht="20.149999999999999" customHeight="1">
      <c r="B101" s="118">
        <v>6</v>
      </c>
      <c r="C101" s="53"/>
      <c r="D101" s="1129" t="s">
        <v>85</v>
      </c>
      <c r="E101" s="1129"/>
      <c r="F101" s="1129"/>
      <c r="G101" s="1129"/>
      <c r="H101" s="1129"/>
      <c r="I101" s="1129"/>
      <c r="J101" s="1129"/>
      <c r="K101" s="1129"/>
      <c r="L101" s="1131">
        <f>P95</f>
        <v>25.1</v>
      </c>
      <c r="M101" s="1131"/>
      <c r="N101" s="16"/>
      <c r="O101" s="16"/>
      <c r="P101" s="16"/>
      <c r="Q101" s="16"/>
    </row>
    <row r="102" spans="2:18" s="415" customFormat="1" ht="20.149999999999999" customHeight="1">
      <c r="B102" s="118">
        <v>7</v>
      </c>
      <c r="C102" s="53"/>
      <c r="D102" s="1129" t="s">
        <v>239</v>
      </c>
      <c r="E102" s="1129"/>
      <c r="F102" s="1129"/>
      <c r="G102" s="1129"/>
      <c r="H102" s="1129"/>
      <c r="I102" s="1129"/>
      <c r="J102" s="1129"/>
      <c r="K102" s="1129"/>
      <c r="L102" s="1121">
        <f>L100/2</f>
        <v>0.82416666666667027</v>
      </c>
      <c r="M102" s="1121"/>
      <c r="N102" s="16"/>
      <c r="O102" s="16"/>
      <c r="P102" s="16"/>
      <c r="Q102" s="16"/>
    </row>
    <row r="103" spans="2:18" s="415" customFormat="1" ht="20.149999999999999" customHeight="1">
      <c r="B103" s="118">
        <v>8</v>
      </c>
      <c r="C103" s="53"/>
      <c r="D103" s="1038" t="s">
        <v>240</v>
      </c>
      <c r="E103" s="1038"/>
      <c r="F103" s="1038"/>
      <c r="G103" s="1038"/>
      <c r="H103" s="1038"/>
      <c r="I103" s="1038"/>
      <c r="J103" s="1038"/>
      <c r="K103" s="1038"/>
      <c r="L103" s="1127">
        <f>B86-L97</f>
        <v>-1.4641666666666708</v>
      </c>
      <c r="M103" s="1128"/>
      <c r="N103" s="16"/>
      <c r="O103" s="16"/>
      <c r="P103" s="16"/>
      <c r="Q103" s="16"/>
    </row>
    <row r="104" spans="2:18" s="415" customFormat="1" ht="20.149999999999999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2:18" s="415" customFormat="1" ht="20.149999999999999" customHeight="1">
      <c r="B105" s="28" t="s">
        <v>241</v>
      </c>
      <c r="C105" s="16"/>
      <c r="D105" s="16"/>
      <c r="E105" s="16"/>
      <c r="F105" s="21"/>
      <c r="G105" s="21"/>
      <c r="H105" s="21"/>
      <c r="I105" s="16"/>
      <c r="J105" s="16"/>
      <c r="K105" s="16"/>
      <c r="L105" s="16"/>
      <c r="M105" s="16"/>
      <c r="N105" s="1100"/>
      <c r="O105" s="1100"/>
      <c r="P105" s="1100"/>
      <c r="Q105" s="16"/>
    </row>
    <row r="106" spans="2:18" s="415" customFormat="1" ht="20.149999999999999" customHeight="1">
      <c r="B106" s="967" t="s">
        <v>88</v>
      </c>
      <c r="C106" s="16"/>
      <c r="D106" s="16"/>
      <c r="E106" s="16"/>
      <c r="F106" s="21"/>
      <c r="G106" s="21"/>
      <c r="H106" s="21"/>
      <c r="I106" s="16"/>
      <c r="J106" s="16"/>
      <c r="K106" s="16"/>
      <c r="L106" s="16"/>
      <c r="M106" s="16"/>
      <c r="N106" s="1100"/>
      <c r="O106" s="1100"/>
      <c r="P106" s="1100"/>
      <c r="Q106" s="16"/>
      <c r="R106" s="415">
        <f>A2</f>
        <v>0</v>
      </c>
    </row>
    <row r="107" spans="2:18" s="415" customFormat="1" ht="20.149999999999999" customHeight="1">
      <c r="B107" s="968" t="str">
        <f>ESA!O178</f>
        <v>Hasil pengukuran keselamatan listrik tertelusur ke Satuan Internasional ( SI ) melalui PT. Kaliman</v>
      </c>
      <c r="C107" s="16"/>
      <c r="D107" s="16"/>
      <c r="E107" s="16"/>
      <c r="F107" s="21"/>
      <c r="G107" s="21"/>
      <c r="H107" s="21"/>
      <c r="I107" s="16"/>
      <c r="J107" s="16"/>
      <c r="K107" s="16"/>
      <c r="L107" s="16"/>
      <c r="M107" s="16"/>
      <c r="N107" s="115"/>
      <c r="O107" s="115"/>
      <c r="P107" s="115"/>
      <c r="Q107" s="16"/>
      <c r="R107" s="331">
        <f>'Lembar Penyelia'!H67</f>
        <v>0.8</v>
      </c>
    </row>
    <row r="108" spans="2:18" s="415" customFormat="1" ht="19.5" customHeight="1">
      <c r="B108" s="678" t="str">
        <f>'Data Alat'!A71</f>
        <v>Hasil pengujian kinerja suhu tertelusur ke Satuan SI melalui Laboratorium SNSU-BSN</v>
      </c>
      <c r="C108" s="16"/>
      <c r="D108" s="16"/>
      <c r="E108" s="16"/>
      <c r="F108" s="21"/>
      <c r="G108" s="21"/>
      <c r="H108" s="21"/>
      <c r="I108" s="16"/>
      <c r="J108" s="16"/>
      <c r="K108" s="16"/>
      <c r="L108" s="16"/>
      <c r="M108" s="16"/>
      <c r="N108" s="115"/>
      <c r="O108" s="115"/>
      <c r="P108" s="115"/>
      <c r="Q108" s="108"/>
      <c r="R108" s="415" t="str">
        <f>'Lembar Penyelia'!B57</f>
        <v>Alat yang dikalibrasi dalam batas toleransi dan dinyatakan LAIK PAKAI, dimana hasil atau skor akhir sama dengan atau melampaui 70% berdasarkan Keputusan Direktur Jenderal Pelayanan Kesehatan No : HK.02.02/V/0412/2020</v>
      </c>
    </row>
    <row r="109" spans="2:18" s="415" customFormat="1" ht="19.5" customHeight="1">
      <c r="B109" s="678" t="str">
        <f>'Lembar Penyelia'!V6</f>
        <v>Tidak terdapat grounding di ruangan</v>
      </c>
      <c r="C109" s="16"/>
      <c r="D109" s="16"/>
      <c r="E109" s="16"/>
      <c r="F109" s="21"/>
      <c r="G109" s="21"/>
      <c r="H109" s="21"/>
      <c r="I109" s="16"/>
      <c r="J109" s="16"/>
      <c r="K109" s="16"/>
      <c r="L109" s="16"/>
      <c r="M109" s="16"/>
      <c r="N109" s="115"/>
      <c r="O109" s="115"/>
      <c r="P109" s="115"/>
      <c r="Q109" s="108"/>
      <c r="R109" s="16" t="str">
        <f>B109</f>
        <v>Tidak terdapat grounding di ruangan</v>
      </c>
    </row>
    <row r="110" spans="2:18" s="415" customFormat="1" ht="9" customHeight="1">
      <c r="B110" s="29"/>
      <c r="C110" s="29"/>
      <c r="D110" s="29"/>
      <c r="E110" s="29"/>
      <c r="F110" s="66"/>
      <c r="G110" s="66"/>
      <c r="H110" s="66"/>
      <c r="I110" s="29"/>
      <c r="J110" s="29"/>
      <c r="K110" s="29"/>
      <c r="L110" s="29"/>
      <c r="M110" s="29"/>
      <c r="N110" s="115"/>
      <c r="O110" s="115"/>
      <c r="P110" s="115"/>
      <c r="Q110" s="108"/>
    </row>
    <row r="111" spans="2:18" s="415" customFormat="1" ht="19.5" customHeight="1">
      <c r="B111" s="30" t="s">
        <v>242</v>
      </c>
      <c r="C111" s="29"/>
      <c r="D111" s="29"/>
      <c r="E111" s="29"/>
      <c r="F111" s="66"/>
      <c r="G111" s="66"/>
      <c r="H111" s="66"/>
      <c r="I111" s="29"/>
      <c r="J111" s="29"/>
      <c r="K111" s="29"/>
      <c r="L111" s="29"/>
      <c r="M111" s="29"/>
      <c r="N111" s="115"/>
      <c r="O111" s="115"/>
      <c r="P111" s="115"/>
      <c r="Q111" s="108"/>
    </row>
    <row r="112" spans="2:18" s="415" customFormat="1" ht="19.5" customHeight="1">
      <c r="B112" s="1103" t="s">
        <v>527</v>
      </c>
      <c r="C112" s="1103"/>
      <c r="D112" s="1103"/>
      <c r="E112" s="1103"/>
      <c r="F112" s="1103"/>
      <c r="G112" s="1103"/>
      <c r="H112" s="1103"/>
      <c r="I112" s="1103"/>
      <c r="J112" s="31"/>
      <c r="K112" s="29"/>
      <c r="L112" s="29"/>
      <c r="M112" s="29"/>
      <c r="N112" s="115"/>
      <c r="O112" s="115"/>
      <c r="P112" s="115"/>
      <c r="Q112" s="108"/>
    </row>
    <row r="113" spans="2:29" s="415" customFormat="1">
      <c r="B113" s="1133" t="s">
        <v>244</v>
      </c>
      <c r="C113" s="1133"/>
      <c r="D113" s="1133"/>
      <c r="E113" s="1133"/>
      <c r="F113" s="1133"/>
      <c r="G113" s="1133"/>
      <c r="H113" s="1133"/>
      <c r="I113" s="1133"/>
      <c r="J113" s="31"/>
      <c r="K113" s="29"/>
      <c r="L113" s="29"/>
      <c r="M113" s="29"/>
      <c r="N113" s="115"/>
      <c r="O113" s="115"/>
      <c r="P113" s="115"/>
      <c r="Q113" s="108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2:29" s="415" customFormat="1" ht="19.5" customHeight="1">
      <c r="B114" s="1103" t="s">
        <v>506</v>
      </c>
      <c r="C114" s="1103"/>
      <c r="D114" s="1103"/>
      <c r="E114" s="1103"/>
      <c r="F114" s="1103"/>
      <c r="G114" s="1103"/>
      <c r="H114" s="1103"/>
      <c r="I114" s="1103"/>
      <c r="J114" s="31"/>
      <c r="K114" s="29"/>
      <c r="L114" s="29"/>
      <c r="M114" s="29"/>
      <c r="N114" s="115"/>
      <c r="O114" s="115"/>
      <c r="P114" s="115"/>
      <c r="Q114" s="108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2:29" s="415" customFormat="1" ht="19.5" customHeight="1">
      <c r="B115" s="1103" t="s">
        <v>490</v>
      </c>
      <c r="C115" s="1103"/>
      <c r="D115" s="1103"/>
      <c r="E115" s="1103"/>
      <c r="F115" s="1103"/>
      <c r="G115" s="1103"/>
      <c r="H115" s="1103"/>
      <c r="I115" s="1103"/>
      <c r="J115" s="31"/>
      <c r="K115" s="29"/>
      <c r="L115" s="29"/>
      <c r="M115" s="768"/>
      <c r="N115" s="115"/>
      <c r="O115" s="115"/>
      <c r="P115" s="115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2:29" s="415" customFormat="1" ht="16.5" customHeight="1">
      <c r="B116" s="16"/>
      <c r="C116" s="16"/>
      <c r="D116" s="16"/>
      <c r="E116" s="16"/>
      <c r="F116" s="21"/>
      <c r="G116" s="21"/>
      <c r="H116" s="21"/>
      <c r="I116" s="16"/>
      <c r="J116" s="16"/>
      <c r="K116" s="16"/>
      <c r="L116" s="16"/>
      <c r="M116" s="759"/>
      <c r="N116" s="115"/>
      <c r="O116" s="36"/>
      <c r="P116" s="1101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2:29" s="415" customFormat="1" ht="19.5" customHeight="1">
      <c r="B117" s="33" t="s">
        <v>247</v>
      </c>
      <c r="C117" s="16"/>
      <c r="D117" s="16"/>
      <c r="E117" s="16"/>
      <c r="F117" s="21"/>
      <c r="G117" s="21"/>
      <c r="H117" s="21"/>
      <c r="I117" s="16"/>
      <c r="J117" s="16"/>
      <c r="K117" s="16"/>
      <c r="L117" s="16"/>
      <c r="M117" s="16"/>
      <c r="N117" s="115"/>
      <c r="O117" s="36"/>
      <c r="P117" s="1101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2:29" s="415" customFormat="1" ht="40.5" customHeight="1">
      <c r="B118" s="1130" t="str">
        <f>IF('Lembar Penyelia'!H67&gt;=70%,Z17,Z18)</f>
        <v>Alat yang dikalibrasi dalam batas toleransi dan dinyatakan LAIK PAKAI, dimana hasil atau skor akhir sama dengan atau melampaui 70% berdasarkan Keputusan Direktur Jenderal Pelayanan Kesehatan No : HK.02.02/V/0412/2020</v>
      </c>
      <c r="C118" s="1130"/>
      <c r="D118" s="1130"/>
      <c r="E118" s="1130"/>
      <c r="F118" s="1130"/>
      <c r="G118" s="1130"/>
      <c r="H118" s="1130"/>
      <c r="I118" s="1130"/>
      <c r="J118" s="1023"/>
      <c r="K118" s="1023"/>
      <c r="L118" s="1023"/>
      <c r="M118" s="1023"/>
      <c r="N118" s="1023"/>
      <c r="O118" s="1023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2:29" s="415" customFormat="1" ht="16.5" customHeight="1">
      <c r="B119" s="16"/>
      <c r="C119" s="16"/>
      <c r="D119" s="16"/>
      <c r="E119" s="16"/>
      <c r="F119" s="21"/>
      <c r="G119" s="21"/>
      <c r="H119" s="2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2:29" s="415" customFormat="1" ht="20.149999999999999" customHeight="1">
      <c r="B120" s="10" t="str">
        <f>'Lembar Kerja'!B109</f>
        <v>Petugas Kalibrasi</v>
      </c>
      <c r="C120" s="16"/>
      <c r="D120" s="16"/>
      <c r="E120" s="16"/>
      <c r="F120" s="21"/>
      <c r="G120" s="21"/>
      <c r="H120" s="21"/>
      <c r="I120" s="16"/>
      <c r="J120" s="16"/>
      <c r="K120" s="16"/>
      <c r="L120" s="16"/>
      <c r="M120" s="32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2:29" s="415" customFormat="1" ht="20.149999999999999" customHeight="1">
      <c r="B121" s="1143" t="s">
        <v>519</v>
      </c>
      <c r="C121" s="1143"/>
      <c r="D121" s="1143"/>
      <c r="E121" s="29"/>
      <c r="F121" s="66"/>
      <c r="G121" s="21"/>
      <c r="H121" s="21"/>
      <c r="I121" s="16"/>
      <c r="J121" s="16"/>
      <c r="K121" s="16"/>
      <c r="L121" s="16"/>
      <c r="M121" s="1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2:29" s="415" customFormat="1" ht="16.5" customHeight="1">
      <c r="B122" s="759"/>
      <c r="C122" s="16"/>
      <c r="D122" s="16"/>
      <c r="E122" s="16"/>
      <c r="F122" s="21"/>
      <c r="G122" s="21"/>
      <c r="H122" s="2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2:29" s="415" customFormat="1" ht="20.149999999999999" customHeight="1">
      <c r="B123" s="21" t="s">
        <v>249</v>
      </c>
      <c r="C123" s="16"/>
      <c r="D123" s="16"/>
      <c r="E123" s="12"/>
      <c r="F123" s="12"/>
      <c r="G123" s="12"/>
      <c r="H123" s="12"/>
      <c r="I123" s="12"/>
      <c r="J123" s="12"/>
      <c r="K123" s="12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2:29" s="415" customFormat="1" ht="20.149999999999999" customHeight="1">
      <c r="B124" s="1383" t="s">
        <v>598</v>
      </c>
      <c r="C124" s="1383"/>
      <c r="D124" s="1383"/>
      <c r="E124" s="29"/>
      <c r="F124" s="16"/>
      <c r="G124" s="16"/>
      <c r="H124" s="16"/>
      <c r="I124" s="16"/>
      <c r="J124" s="16"/>
      <c r="K124" s="16"/>
      <c r="L124" s="16"/>
      <c r="M124" s="17"/>
      <c r="N124" s="744"/>
      <c r="O124" s="744"/>
      <c r="P124" s="16"/>
      <c r="Q124" s="761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2:29" s="415" customFormat="1" ht="20.25" customHeight="1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7"/>
      <c r="N125" s="744"/>
      <c r="O125" s="744"/>
      <c r="P125" s="16"/>
      <c r="Q125" s="761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2:29" s="415" customFormat="1" ht="20.2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2:29" s="415" customFormat="1" ht="20.2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21"/>
      <c r="AB127" s="21"/>
      <c r="AC127" s="21"/>
    </row>
    <row r="128" spans="2:29" s="415" customFormat="1" ht="20.25" customHeight="1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2:255" ht="20.25" customHeight="1">
      <c r="AP129" s="415"/>
      <c r="AQ129" s="415"/>
      <c r="AR129" s="415"/>
      <c r="AS129" s="415"/>
      <c r="AT129" s="415"/>
      <c r="AU129" s="415"/>
      <c r="AV129" s="415"/>
      <c r="AW129" s="415"/>
      <c r="AX129" s="415"/>
      <c r="AY129" s="415"/>
      <c r="AZ129" s="415"/>
      <c r="BA129" s="415"/>
      <c r="BB129" s="415"/>
      <c r="BC129" s="415"/>
      <c r="BD129" s="415"/>
      <c r="BE129" s="415"/>
      <c r="BF129" s="415"/>
      <c r="BG129" s="415"/>
      <c r="BH129" s="415"/>
      <c r="BI129" s="415"/>
      <c r="BJ129" s="415"/>
      <c r="BK129" s="415"/>
      <c r="BL129" s="415"/>
      <c r="BM129" s="415"/>
      <c r="BN129" s="415"/>
      <c r="BO129" s="415"/>
      <c r="BP129" s="415"/>
      <c r="BQ129" s="415"/>
      <c r="BR129" s="415"/>
      <c r="BS129" s="415"/>
      <c r="BT129" s="415"/>
      <c r="BU129" s="415"/>
      <c r="BV129" s="415"/>
      <c r="BW129" s="415"/>
      <c r="BX129" s="415"/>
      <c r="BY129" s="415"/>
      <c r="BZ129" s="415"/>
      <c r="CA129" s="415"/>
      <c r="CB129" s="415"/>
      <c r="CC129" s="415"/>
      <c r="CD129" s="415"/>
      <c r="CE129" s="415"/>
      <c r="CF129" s="415"/>
      <c r="CG129" s="415"/>
      <c r="CH129" s="415"/>
      <c r="CI129" s="415"/>
      <c r="CJ129" s="415"/>
      <c r="CK129" s="415"/>
      <c r="CL129" s="415"/>
      <c r="CM129" s="415"/>
      <c r="CN129" s="415"/>
      <c r="CO129" s="415"/>
      <c r="CP129" s="415"/>
      <c r="CQ129" s="415"/>
      <c r="CR129" s="415"/>
      <c r="CS129" s="415"/>
      <c r="CT129" s="415"/>
      <c r="CU129" s="415"/>
      <c r="CV129" s="415"/>
      <c r="CW129" s="415"/>
      <c r="CX129" s="415"/>
      <c r="CY129" s="415"/>
      <c r="CZ129" s="415"/>
      <c r="DA129" s="415"/>
      <c r="DB129" s="415"/>
      <c r="DC129" s="415"/>
      <c r="DD129" s="415"/>
      <c r="DE129" s="415"/>
      <c r="DF129" s="415"/>
      <c r="DG129" s="415"/>
      <c r="DH129" s="415"/>
      <c r="DI129" s="415"/>
      <c r="DJ129" s="415"/>
      <c r="DK129" s="415"/>
      <c r="DL129" s="415"/>
      <c r="DM129" s="415"/>
      <c r="DN129" s="415"/>
      <c r="DO129" s="415"/>
      <c r="DP129" s="415"/>
      <c r="DQ129" s="415"/>
      <c r="DR129" s="415"/>
      <c r="DS129" s="415"/>
      <c r="DT129" s="415"/>
      <c r="DU129" s="415"/>
      <c r="DV129" s="415"/>
      <c r="DW129" s="415"/>
      <c r="DX129" s="415"/>
      <c r="DY129" s="415"/>
      <c r="DZ129" s="415"/>
      <c r="EA129" s="415"/>
      <c r="EB129" s="415"/>
      <c r="EC129" s="415"/>
      <c r="ED129" s="415"/>
      <c r="EE129" s="415"/>
      <c r="EF129" s="415"/>
      <c r="EG129" s="415"/>
      <c r="EH129" s="415"/>
      <c r="EI129" s="415"/>
      <c r="EJ129" s="415"/>
      <c r="EK129" s="415"/>
      <c r="EL129" s="415"/>
      <c r="EM129" s="415"/>
      <c r="EN129" s="415"/>
      <c r="EO129" s="415"/>
      <c r="EP129" s="415"/>
      <c r="EQ129" s="415"/>
      <c r="ER129" s="415"/>
      <c r="ES129" s="415"/>
      <c r="ET129" s="415"/>
      <c r="EU129" s="415"/>
      <c r="EV129" s="415"/>
      <c r="EW129" s="415"/>
      <c r="EX129" s="415"/>
      <c r="EY129" s="415"/>
      <c r="EZ129" s="415"/>
      <c r="FA129" s="415"/>
      <c r="FB129" s="415"/>
      <c r="FC129" s="415"/>
      <c r="FD129" s="415"/>
      <c r="FE129" s="415"/>
      <c r="FF129" s="415"/>
      <c r="FG129" s="415"/>
      <c r="FH129" s="415"/>
      <c r="FI129" s="415"/>
      <c r="FJ129" s="415"/>
      <c r="FK129" s="415"/>
      <c r="FL129" s="415"/>
      <c r="FM129" s="415"/>
      <c r="FN129" s="415"/>
      <c r="FO129" s="415"/>
      <c r="FP129" s="415"/>
      <c r="FQ129" s="415"/>
      <c r="FR129" s="415"/>
      <c r="FS129" s="415"/>
      <c r="FT129" s="415"/>
      <c r="FU129" s="415"/>
      <c r="FV129" s="415"/>
      <c r="FW129" s="415"/>
      <c r="FX129" s="415"/>
      <c r="FY129" s="415"/>
      <c r="FZ129" s="415"/>
      <c r="GA129" s="415"/>
      <c r="GB129" s="415"/>
      <c r="GC129" s="415"/>
      <c r="GD129" s="415"/>
      <c r="GE129" s="415"/>
      <c r="GF129" s="415"/>
      <c r="GG129" s="415"/>
      <c r="GH129" s="415"/>
      <c r="GI129" s="415"/>
      <c r="GJ129" s="415"/>
      <c r="GK129" s="415"/>
      <c r="GL129" s="415"/>
      <c r="GM129" s="415"/>
      <c r="GN129" s="415"/>
      <c r="GO129" s="415"/>
      <c r="GP129" s="415"/>
      <c r="GQ129" s="415"/>
      <c r="GR129" s="415"/>
      <c r="GS129" s="415"/>
      <c r="GT129" s="415"/>
      <c r="GU129" s="415"/>
      <c r="GV129" s="415"/>
      <c r="GW129" s="415"/>
      <c r="GX129" s="415"/>
      <c r="GY129" s="415"/>
      <c r="GZ129" s="415"/>
      <c r="HA129" s="415"/>
      <c r="HB129" s="415"/>
      <c r="HC129" s="415"/>
      <c r="HD129" s="415"/>
      <c r="HE129" s="415"/>
      <c r="HF129" s="415"/>
      <c r="HG129" s="415"/>
      <c r="HH129" s="415"/>
      <c r="HI129" s="415"/>
      <c r="HJ129" s="415"/>
      <c r="HK129" s="415"/>
      <c r="HL129" s="415"/>
      <c r="HM129" s="415"/>
      <c r="HN129" s="415"/>
      <c r="HO129" s="415"/>
      <c r="HP129" s="415"/>
      <c r="HQ129" s="415"/>
      <c r="HR129" s="415"/>
      <c r="HS129" s="415"/>
      <c r="HT129" s="415"/>
      <c r="HU129" s="415"/>
      <c r="HV129" s="415"/>
      <c r="HW129" s="415"/>
      <c r="HX129" s="415"/>
      <c r="HY129" s="415"/>
      <c r="HZ129" s="415"/>
      <c r="IA129" s="415"/>
      <c r="IB129" s="415"/>
      <c r="IC129" s="415"/>
      <c r="ID129" s="415"/>
      <c r="IE129" s="415"/>
      <c r="IF129" s="415"/>
      <c r="IG129" s="415"/>
      <c r="IH129" s="415"/>
      <c r="II129" s="415"/>
      <c r="IJ129" s="415"/>
      <c r="IK129" s="415"/>
      <c r="IL129" s="415"/>
      <c r="IM129" s="415"/>
      <c r="IN129" s="415"/>
      <c r="IO129" s="415"/>
      <c r="IP129" s="415"/>
      <c r="IQ129" s="415"/>
      <c r="IR129" s="415"/>
      <c r="IS129" s="415"/>
      <c r="IT129" s="415"/>
      <c r="IU129" s="415"/>
    </row>
    <row r="130" spans="2:255" ht="20.25" customHeight="1">
      <c r="C130" s="415"/>
      <c r="D130" s="415"/>
      <c r="E130" s="415"/>
      <c r="F130" s="415"/>
      <c r="G130" s="415"/>
      <c r="H130" s="415"/>
      <c r="I130" s="415"/>
      <c r="AP130" s="415"/>
      <c r="AQ130" s="415"/>
      <c r="AR130" s="415"/>
      <c r="AS130" s="415"/>
      <c r="AT130" s="415"/>
      <c r="AU130" s="415"/>
      <c r="AV130" s="415"/>
      <c r="AW130" s="415"/>
      <c r="AX130" s="415"/>
      <c r="AY130" s="415"/>
      <c r="AZ130" s="415"/>
      <c r="BA130" s="415"/>
      <c r="BB130" s="415"/>
      <c r="BC130" s="415"/>
      <c r="BD130" s="415"/>
      <c r="BE130" s="415"/>
      <c r="BF130" s="415"/>
      <c r="BG130" s="415"/>
      <c r="BH130" s="415"/>
      <c r="BI130" s="415"/>
      <c r="BJ130" s="415"/>
      <c r="BK130" s="415"/>
      <c r="BL130" s="415"/>
      <c r="BM130" s="415"/>
      <c r="BN130" s="415"/>
      <c r="BO130" s="415"/>
      <c r="BP130" s="415"/>
      <c r="BQ130" s="415"/>
      <c r="BR130" s="415"/>
      <c r="BS130" s="415"/>
      <c r="BT130" s="415"/>
      <c r="BU130" s="415"/>
      <c r="BV130" s="415"/>
      <c r="BW130" s="415"/>
      <c r="BX130" s="415"/>
      <c r="BY130" s="415"/>
      <c r="BZ130" s="415"/>
      <c r="CA130" s="415"/>
      <c r="CB130" s="415"/>
      <c r="CC130" s="415"/>
      <c r="CD130" s="415"/>
      <c r="CE130" s="415"/>
      <c r="CF130" s="415"/>
      <c r="CG130" s="415"/>
      <c r="CH130" s="415"/>
      <c r="CI130" s="415"/>
      <c r="CJ130" s="415"/>
      <c r="CK130" s="415"/>
      <c r="CL130" s="415"/>
      <c r="CM130" s="415"/>
      <c r="CN130" s="415"/>
      <c r="CO130" s="415"/>
      <c r="CP130" s="415"/>
      <c r="CQ130" s="415"/>
      <c r="CR130" s="415"/>
      <c r="CS130" s="415"/>
      <c r="CT130" s="415"/>
      <c r="CU130" s="415"/>
      <c r="CV130" s="415"/>
      <c r="CW130" s="415"/>
      <c r="CX130" s="415"/>
      <c r="CY130" s="415"/>
      <c r="CZ130" s="415"/>
      <c r="DA130" s="415"/>
      <c r="DB130" s="415"/>
      <c r="DC130" s="415"/>
      <c r="DD130" s="415"/>
      <c r="DE130" s="415"/>
      <c r="DF130" s="415"/>
      <c r="DG130" s="415"/>
      <c r="DH130" s="415"/>
      <c r="DI130" s="415"/>
      <c r="DJ130" s="415"/>
      <c r="DK130" s="415"/>
      <c r="DL130" s="415"/>
      <c r="DM130" s="415"/>
      <c r="DN130" s="415"/>
      <c r="DO130" s="415"/>
      <c r="DP130" s="415"/>
      <c r="DQ130" s="415"/>
      <c r="DR130" s="415"/>
      <c r="DS130" s="415"/>
      <c r="DT130" s="415"/>
      <c r="DU130" s="415"/>
      <c r="DV130" s="415"/>
      <c r="DW130" s="415"/>
      <c r="DX130" s="415"/>
      <c r="DY130" s="415"/>
      <c r="DZ130" s="415"/>
      <c r="EA130" s="415"/>
      <c r="EB130" s="415"/>
      <c r="EC130" s="415"/>
      <c r="ED130" s="415"/>
      <c r="EE130" s="415"/>
      <c r="EF130" s="415"/>
      <c r="EG130" s="415"/>
      <c r="EH130" s="415"/>
      <c r="EI130" s="415"/>
      <c r="EJ130" s="415"/>
      <c r="EK130" s="415"/>
      <c r="EL130" s="415"/>
      <c r="EM130" s="415"/>
      <c r="EN130" s="415"/>
      <c r="EO130" s="415"/>
      <c r="EP130" s="415"/>
      <c r="EQ130" s="415"/>
      <c r="ER130" s="415"/>
      <c r="ES130" s="415"/>
      <c r="ET130" s="415"/>
      <c r="EU130" s="415"/>
      <c r="EV130" s="415"/>
      <c r="EW130" s="415"/>
      <c r="EX130" s="415"/>
      <c r="EY130" s="415"/>
      <c r="EZ130" s="415"/>
      <c r="FA130" s="415"/>
      <c r="FB130" s="415"/>
      <c r="FC130" s="415"/>
      <c r="FD130" s="415"/>
      <c r="FE130" s="415"/>
      <c r="FF130" s="415"/>
      <c r="FG130" s="415"/>
      <c r="FH130" s="415"/>
      <c r="FI130" s="415"/>
      <c r="FJ130" s="415"/>
      <c r="FK130" s="415"/>
      <c r="FL130" s="415"/>
      <c r="FM130" s="415"/>
      <c r="FN130" s="415"/>
      <c r="FO130" s="415"/>
      <c r="FP130" s="415"/>
      <c r="FQ130" s="415"/>
      <c r="FR130" s="415"/>
      <c r="FS130" s="415"/>
      <c r="FT130" s="415"/>
      <c r="FU130" s="415"/>
      <c r="FV130" s="415"/>
      <c r="FW130" s="415"/>
      <c r="FX130" s="415"/>
      <c r="FY130" s="415"/>
      <c r="FZ130" s="415"/>
      <c r="GA130" s="415"/>
      <c r="GB130" s="415"/>
      <c r="GC130" s="415"/>
      <c r="GD130" s="415"/>
      <c r="GE130" s="415"/>
      <c r="GF130" s="415"/>
      <c r="GG130" s="415"/>
      <c r="GH130" s="415"/>
      <c r="GI130" s="415"/>
      <c r="GJ130" s="415"/>
      <c r="GK130" s="415"/>
      <c r="GL130" s="415"/>
      <c r="GM130" s="415"/>
      <c r="GN130" s="415"/>
      <c r="GO130" s="415"/>
      <c r="GP130" s="415"/>
      <c r="GQ130" s="415"/>
      <c r="GR130" s="415"/>
      <c r="GS130" s="415"/>
      <c r="GT130" s="415"/>
      <c r="GU130" s="415"/>
      <c r="GV130" s="415"/>
      <c r="GW130" s="415"/>
      <c r="GX130" s="415"/>
      <c r="GY130" s="415"/>
      <c r="GZ130" s="415"/>
      <c r="HA130" s="415"/>
      <c r="HB130" s="415"/>
      <c r="HC130" s="415"/>
      <c r="HD130" s="415"/>
      <c r="HE130" s="415"/>
      <c r="HF130" s="415"/>
      <c r="HG130" s="415"/>
      <c r="HH130" s="415"/>
      <c r="HI130" s="415"/>
      <c r="HJ130" s="415"/>
      <c r="HK130" s="415"/>
      <c r="HL130" s="415"/>
      <c r="HM130" s="415"/>
      <c r="HN130" s="415"/>
      <c r="HO130" s="415"/>
      <c r="HP130" s="415"/>
      <c r="HQ130" s="415"/>
      <c r="HR130" s="415"/>
      <c r="HS130" s="415"/>
      <c r="HT130" s="415"/>
      <c r="HU130" s="415"/>
      <c r="HV130" s="415"/>
      <c r="HW130" s="415"/>
      <c r="HX130" s="415"/>
      <c r="HY130" s="415"/>
      <c r="HZ130" s="415"/>
      <c r="IA130" s="415"/>
      <c r="IB130" s="415"/>
      <c r="IC130" s="415"/>
      <c r="ID130" s="415"/>
      <c r="IE130" s="415"/>
      <c r="IF130" s="415"/>
      <c r="IG130" s="415"/>
      <c r="IH130" s="415"/>
      <c r="II130" s="415"/>
      <c r="IJ130" s="415"/>
      <c r="IK130" s="415"/>
      <c r="IL130" s="415"/>
      <c r="IM130" s="415"/>
      <c r="IN130" s="415"/>
      <c r="IO130" s="415"/>
      <c r="IP130" s="415"/>
      <c r="IQ130" s="415"/>
      <c r="IR130" s="415"/>
      <c r="IS130" s="415"/>
      <c r="IT130" s="415"/>
      <c r="IU130" s="415"/>
    </row>
    <row r="131" spans="2:255" ht="20.25" customHeight="1">
      <c r="AP131" s="415"/>
      <c r="AQ131" s="415"/>
      <c r="AR131" s="415"/>
      <c r="AS131" s="415"/>
      <c r="AT131" s="415"/>
      <c r="AU131" s="415"/>
      <c r="AV131" s="415"/>
      <c r="AW131" s="415"/>
      <c r="AX131" s="415"/>
      <c r="AY131" s="415"/>
      <c r="AZ131" s="415"/>
      <c r="BA131" s="415"/>
      <c r="BB131" s="415"/>
      <c r="BC131" s="415"/>
      <c r="BD131" s="415"/>
      <c r="BE131" s="415"/>
      <c r="BF131" s="415"/>
      <c r="BG131" s="415"/>
      <c r="BH131" s="415"/>
      <c r="BI131" s="415"/>
      <c r="BJ131" s="415"/>
      <c r="BK131" s="415"/>
      <c r="BL131" s="415"/>
      <c r="BM131" s="415"/>
      <c r="BN131" s="415"/>
      <c r="BO131" s="415"/>
      <c r="BP131" s="415"/>
      <c r="BQ131" s="415"/>
      <c r="BR131" s="415"/>
      <c r="BS131" s="415"/>
      <c r="BT131" s="415"/>
      <c r="BU131" s="415"/>
      <c r="BV131" s="415"/>
      <c r="BW131" s="415"/>
      <c r="BX131" s="415"/>
      <c r="BY131" s="415"/>
      <c r="BZ131" s="415"/>
      <c r="CA131" s="415"/>
      <c r="CB131" s="415"/>
      <c r="CC131" s="415"/>
      <c r="CD131" s="415"/>
      <c r="CE131" s="415"/>
      <c r="CF131" s="415"/>
      <c r="CG131" s="415"/>
      <c r="CH131" s="415"/>
      <c r="CI131" s="415"/>
      <c r="CJ131" s="415"/>
      <c r="CK131" s="415"/>
      <c r="CL131" s="415"/>
      <c r="CM131" s="415"/>
      <c r="CN131" s="415"/>
      <c r="CO131" s="415"/>
      <c r="CP131" s="415"/>
      <c r="CQ131" s="415"/>
      <c r="CR131" s="415"/>
      <c r="CS131" s="415"/>
      <c r="CT131" s="415"/>
      <c r="CU131" s="415"/>
      <c r="CV131" s="415"/>
      <c r="CW131" s="415"/>
      <c r="CX131" s="415"/>
      <c r="CY131" s="415"/>
      <c r="CZ131" s="415"/>
      <c r="DA131" s="415"/>
      <c r="DB131" s="415"/>
      <c r="DC131" s="415"/>
      <c r="DD131" s="415"/>
      <c r="DE131" s="415"/>
      <c r="DF131" s="415"/>
      <c r="DG131" s="415"/>
      <c r="DH131" s="415"/>
      <c r="DI131" s="415"/>
      <c r="DJ131" s="415"/>
      <c r="DK131" s="415"/>
      <c r="DL131" s="415"/>
      <c r="DM131" s="415"/>
      <c r="DN131" s="415"/>
      <c r="DO131" s="415"/>
      <c r="DP131" s="415"/>
      <c r="DQ131" s="415"/>
      <c r="DR131" s="415"/>
      <c r="DS131" s="415"/>
      <c r="DT131" s="415"/>
      <c r="DU131" s="415"/>
      <c r="DV131" s="415"/>
      <c r="DW131" s="415"/>
      <c r="DX131" s="415"/>
      <c r="DY131" s="415"/>
      <c r="DZ131" s="415"/>
      <c r="EA131" s="415"/>
      <c r="EB131" s="415"/>
      <c r="EC131" s="415"/>
      <c r="ED131" s="415"/>
      <c r="EE131" s="415"/>
      <c r="EF131" s="415"/>
      <c r="EG131" s="415"/>
      <c r="EH131" s="415"/>
      <c r="EI131" s="415"/>
      <c r="EJ131" s="415"/>
      <c r="EK131" s="415"/>
      <c r="EL131" s="415"/>
      <c r="EM131" s="415"/>
      <c r="EN131" s="415"/>
      <c r="EO131" s="415"/>
      <c r="EP131" s="415"/>
      <c r="EQ131" s="415"/>
      <c r="ER131" s="415"/>
      <c r="ES131" s="415"/>
      <c r="ET131" s="415"/>
      <c r="EU131" s="415"/>
      <c r="EV131" s="415"/>
      <c r="EW131" s="415"/>
      <c r="EX131" s="415"/>
      <c r="EY131" s="415"/>
      <c r="EZ131" s="415"/>
      <c r="FA131" s="415"/>
      <c r="FB131" s="415"/>
      <c r="FC131" s="415"/>
      <c r="FD131" s="415"/>
      <c r="FE131" s="415"/>
      <c r="FF131" s="415"/>
      <c r="FG131" s="415"/>
      <c r="FH131" s="415"/>
      <c r="FI131" s="415"/>
      <c r="FJ131" s="415"/>
      <c r="FK131" s="415"/>
      <c r="FL131" s="415"/>
      <c r="FM131" s="415"/>
      <c r="FN131" s="415"/>
      <c r="FO131" s="415"/>
      <c r="FP131" s="415"/>
      <c r="FQ131" s="415"/>
      <c r="FR131" s="415"/>
      <c r="FS131" s="415"/>
      <c r="FT131" s="415"/>
      <c r="FU131" s="415"/>
      <c r="FV131" s="415"/>
      <c r="FW131" s="415"/>
      <c r="FX131" s="415"/>
      <c r="FY131" s="415"/>
      <c r="FZ131" s="415"/>
      <c r="GA131" s="415"/>
      <c r="GB131" s="415"/>
      <c r="GC131" s="415"/>
      <c r="GD131" s="415"/>
      <c r="GE131" s="415"/>
      <c r="GF131" s="415"/>
      <c r="GG131" s="415"/>
      <c r="GH131" s="415"/>
      <c r="GI131" s="415"/>
      <c r="GJ131" s="415"/>
      <c r="GK131" s="415"/>
      <c r="GL131" s="415"/>
      <c r="GM131" s="415"/>
      <c r="GN131" s="415"/>
      <c r="GO131" s="415"/>
      <c r="GP131" s="415"/>
      <c r="GQ131" s="415"/>
      <c r="GR131" s="415"/>
      <c r="GS131" s="415"/>
      <c r="GT131" s="415"/>
      <c r="GU131" s="415"/>
      <c r="GV131" s="415"/>
      <c r="GW131" s="415"/>
      <c r="GX131" s="415"/>
      <c r="GY131" s="415"/>
      <c r="GZ131" s="415"/>
      <c r="HA131" s="415"/>
      <c r="HB131" s="415"/>
      <c r="HC131" s="415"/>
      <c r="HD131" s="415"/>
      <c r="HE131" s="415"/>
      <c r="HF131" s="415"/>
      <c r="HG131" s="415"/>
      <c r="HH131" s="415"/>
      <c r="HI131" s="415"/>
      <c r="HJ131" s="415"/>
      <c r="HK131" s="415"/>
      <c r="HL131" s="415"/>
      <c r="HM131" s="415"/>
      <c r="HN131" s="415"/>
      <c r="HO131" s="415"/>
      <c r="HP131" s="415"/>
      <c r="HQ131" s="415"/>
      <c r="HR131" s="415"/>
      <c r="HS131" s="415"/>
      <c r="HT131" s="415"/>
      <c r="HU131" s="415"/>
      <c r="HV131" s="415"/>
      <c r="HW131" s="415"/>
      <c r="HX131" s="415"/>
      <c r="HY131" s="415"/>
      <c r="HZ131" s="415"/>
      <c r="IA131" s="415"/>
      <c r="IB131" s="415"/>
      <c r="IC131" s="415"/>
      <c r="ID131" s="415"/>
      <c r="IE131" s="415"/>
      <c r="IF131" s="415"/>
      <c r="IG131" s="415"/>
      <c r="IH131" s="415"/>
      <c r="II131" s="415"/>
      <c r="IJ131" s="415"/>
      <c r="IK131" s="415"/>
      <c r="IL131" s="415"/>
      <c r="IM131" s="415"/>
      <c r="IN131" s="415"/>
      <c r="IO131" s="415"/>
      <c r="IP131" s="415"/>
      <c r="IQ131" s="415"/>
      <c r="IR131" s="415"/>
      <c r="IS131" s="415"/>
      <c r="IT131" s="415"/>
      <c r="IU131" s="415"/>
    </row>
    <row r="132" spans="2:255" ht="20.25" customHeight="1">
      <c r="AP132" s="415"/>
      <c r="AQ132" s="415"/>
      <c r="AR132" s="415"/>
      <c r="AS132" s="415"/>
      <c r="AT132" s="415"/>
      <c r="AU132" s="415"/>
      <c r="AV132" s="415"/>
      <c r="AW132" s="415"/>
      <c r="AX132" s="415"/>
      <c r="AY132" s="415"/>
      <c r="AZ132" s="415"/>
      <c r="BA132" s="415"/>
      <c r="BB132" s="415"/>
      <c r="BC132" s="415"/>
      <c r="BD132" s="415"/>
      <c r="BE132" s="415"/>
      <c r="BF132" s="415"/>
      <c r="BG132" s="415"/>
      <c r="BH132" s="415"/>
      <c r="BI132" s="415"/>
      <c r="BJ132" s="415"/>
      <c r="BK132" s="415"/>
      <c r="BL132" s="415"/>
      <c r="BM132" s="415"/>
      <c r="BN132" s="415"/>
      <c r="BO132" s="415"/>
      <c r="BP132" s="415"/>
      <c r="BQ132" s="415"/>
      <c r="BR132" s="415"/>
      <c r="BS132" s="415"/>
      <c r="BT132" s="415"/>
      <c r="BU132" s="415"/>
      <c r="BV132" s="415"/>
      <c r="BW132" s="415"/>
      <c r="BX132" s="415"/>
      <c r="BY132" s="415"/>
      <c r="BZ132" s="415"/>
      <c r="CA132" s="415"/>
      <c r="CB132" s="415"/>
      <c r="CC132" s="415"/>
      <c r="CD132" s="415"/>
      <c r="CE132" s="415"/>
      <c r="CF132" s="415"/>
      <c r="CG132" s="415"/>
      <c r="CH132" s="415"/>
      <c r="CI132" s="415"/>
      <c r="CJ132" s="415"/>
      <c r="CK132" s="415"/>
      <c r="CL132" s="415"/>
      <c r="CM132" s="415"/>
      <c r="CN132" s="415"/>
      <c r="CO132" s="415"/>
      <c r="CP132" s="415"/>
      <c r="CQ132" s="415"/>
      <c r="CR132" s="415"/>
      <c r="CS132" s="415"/>
      <c r="CT132" s="415"/>
      <c r="CU132" s="415"/>
      <c r="CV132" s="415"/>
      <c r="CW132" s="415"/>
      <c r="CX132" s="415"/>
      <c r="CY132" s="415"/>
      <c r="CZ132" s="415"/>
      <c r="DA132" s="415"/>
      <c r="DB132" s="415"/>
      <c r="DC132" s="415"/>
      <c r="DD132" s="415"/>
      <c r="DE132" s="415"/>
      <c r="DF132" s="415"/>
      <c r="DG132" s="415"/>
      <c r="DH132" s="415"/>
      <c r="DI132" s="415"/>
      <c r="DJ132" s="415"/>
      <c r="DK132" s="415"/>
      <c r="DL132" s="415"/>
      <c r="DM132" s="415"/>
      <c r="DN132" s="415"/>
      <c r="DO132" s="415"/>
      <c r="DP132" s="415"/>
      <c r="DQ132" s="415"/>
      <c r="DR132" s="415"/>
      <c r="DS132" s="415"/>
      <c r="DT132" s="415"/>
      <c r="DU132" s="415"/>
      <c r="DV132" s="415"/>
      <c r="DW132" s="415"/>
      <c r="DX132" s="415"/>
      <c r="DY132" s="415"/>
      <c r="DZ132" s="415"/>
      <c r="EA132" s="415"/>
      <c r="EB132" s="415"/>
      <c r="EC132" s="415"/>
      <c r="ED132" s="415"/>
      <c r="EE132" s="415"/>
      <c r="EF132" s="415"/>
      <c r="EG132" s="415"/>
      <c r="EH132" s="415"/>
      <c r="EI132" s="415"/>
      <c r="EJ132" s="415"/>
      <c r="EK132" s="415"/>
      <c r="EL132" s="415"/>
      <c r="EM132" s="415"/>
      <c r="EN132" s="415"/>
      <c r="EO132" s="415"/>
      <c r="EP132" s="415"/>
      <c r="EQ132" s="415"/>
      <c r="ER132" s="415"/>
      <c r="ES132" s="415"/>
      <c r="ET132" s="415"/>
      <c r="EU132" s="415"/>
      <c r="EV132" s="415"/>
      <c r="EW132" s="415"/>
      <c r="EX132" s="415"/>
      <c r="EY132" s="415"/>
      <c r="EZ132" s="415"/>
      <c r="FA132" s="415"/>
      <c r="FB132" s="415"/>
      <c r="FC132" s="415"/>
      <c r="FD132" s="415"/>
      <c r="FE132" s="415"/>
      <c r="FF132" s="415"/>
      <c r="FG132" s="415"/>
      <c r="FH132" s="415"/>
      <c r="FI132" s="415"/>
      <c r="FJ132" s="415"/>
      <c r="FK132" s="415"/>
      <c r="FL132" s="415"/>
      <c r="FM132" s="415"/>
      <c r="FN132" s="415"/>
      <c r="FO132" s="415"/>
      <c r="FP132" s="415"/>
      <c r="FQ132" s="415"/>
      <c r="FR132" s="415"/>
      <c r="FS132" s="415"/>
      <c r="FT132" s="415"/>
      <c r="FU132" s="415"/>
      <c r="FV132" s="415"/>
      <c r="FW132" s="415"/>
      <c r="FX132" s="415"/>
      <c r="FY132" s="415"/>
      <c r="FZ132" s="415"/>
      <c r="GA132" s="415"/>
      <c r="GB132" s="415"/>
      <c r="GC132" s="415"/>
      <c r="GD132" s="415"/>
      <c r="GE132" s="415"/>
      <c r="GF132" s="415"/>
      <c r="GG132" s="415"/>
      <c r="GH132" s="415"/>
      <c r="GI132" s="415"/>
      <c r="GJ132" s="415"/>
      <c r="GK132" s="415"/>
      <c r="GL132" s="415"/>
      <c r="GM132" s="415"/>
      <c r="GN132" s="415"/>
      <c r="GO132" s="415"/>
      <c r="GP132" s="415"/>
      <c r="GQ132" s="415"/>
      <c r="GR132" s="415"/>
      <c r="GS132" s="415"/>
      <c r="GT132" s="415"/>
      <c r="GU132" s="415"/>
      <c r="GV132" s="415"/>
      <c r="GW132" s="415"/>
      <c r="GX132" s="415"/>
      <c r="GY132" s="415"/>
      <c r="GZ132" s="415"/>
      <c r="HA132" s="415"/>
      <c r="HB132" s="415"/>
      <c r="HC132" s="415"/>
      <c r="HD132" s="415"/>
      <c r="HE132" s="415"/>
      <c r="HF132" s="415"/>
      <c r="HG132" s="415"/>
      <c r="HH132" s="415"/>
      <c r="HI132" s="415"/>
      <c r="HJ132" s="415"/>
      <c r="HK132" s="415"/>
      <c r="HL132" s="415"/>
      <c r="HM132" s="415"/>
      <c r="HN132" s="415"/>
      <c r="HO132" s="415"/>
      <c r="HP132" s="415"/>
      <c r="HQ132" s="415"/>
      <c r="HR132" s="415"/>
      <c r="HS132" s="415"/>
      <c r="HT132" s="415"/>
      <c r="HU132" s="415"/>
      <c r="HV132" s="415"/>
      <c r="HW132" s="415"/>
      <c r="HX132" s="415"/>
      <c r="HY132" s="415"/>
      <c r="HZ132" s="415"/>
      <c r="IA132" s="415"/>
      <c r="IB132" s="415"/>
      <c r="IC132" s="415"/>
      <c r="ID132" s="415"/>
      <c r="IE132" s="415"/>
      <c r="IF132" s="415"/>
      <c r="IG132" s="415"/>
      <c r="IH132" s="415"/>
      <c r="II132" s="415"/>
      <c r="IJ132" s="415"/>
      <c r="IK132" s="415"/>
      <c r="IL132" s="415"/>
      <c r="IM132" s="415"/>
      <c r="IN132" s="415"/>
      <c r="IO132" s="415"/>
      <c r="IP132" s="415"/>
      <c r="IQ132" s="415"/>
      <c r="IR132" s="415"/>
      <c r="IS132" s="415"/>
      <c r="IT132" s="415"/>
      <c r="IU132" s="415"/>
    </row>
    <row r="133" spans="2:255" ht="20.25" customHeight="1">
      <c r="AP133" s="415"/>
      <c r="AQ133" s="415"/>
      <c r="AR133" s="415"/>
      <c r="AS133" s="415"/>
      <c r="AT133" s="415"/>
      <c r="AU133" s="415"/>
      <c r="AV133" s="415"/>
      <c r="AW133" s="415"/>
      <c r="AX133" s="415"/>
      <c r="AY133" s="415"/>
      <c r="AZ133" s="415"/>
      <c r="BA133" s="415"/>
      <c r="BB133" s="415"/>
      <c r="BC133" s="415"/>
      <c r="BD133" s="415"/>
      <c r="BE133" s="415"/>
      <c r="BF133" s="415"/>
      <c r="BG133" s="415"/>
      <c r="BH133" s="415"/>
      <c r="BI133" s="415"/>
      <c r="BJ133" s="415"/>
      <c r="BK133" s="415"/>
      <c r="BL133" s="415"/>
      <c r="BM133" s="415"/>
      <c r="BN133" s="415"/>
      <c r="BO133" s="415"/>
      <c r="BP133" s="415"/>
      <c r="BQ133" s="415"/>
      <c r="BR133" s="415"/>
      <c r="BS133" s="415"/>
      <c r="BT133" s="415"/>
      <c r="BU133" s="415"/>
      <c r="BV133" s="415"/>
      <c r="BW133" s="415"/>
      <c r="BX133" s="415"/>
      <c r="BY133" s="415"/>
      <c r="BZ133" s="415"/>
      <c r="CA133" s="415"/>
      <c r="CB133" s="415"/>
      <c r="CC133" s="415"/>
      <c r="CD133" s="415"/>
      <c r="CE133" s="415"/>
      <c r="CF133" s="415"/>
      <c r="CG133" s="415"/>
      <c r="CH133" s="415"/>
      <c r="CI133" s="415"/>
      <c r="CJ133" s="415"/>
      <c r="CK133" s="415"/>
      <c r="CL133" s="415"/>
      <c r="CM133" s="415"/>
      <c r="CN133" s="415"/>
      <c r="CO133" s="415"/>
      <c r="CP133" s="415"/>
      <c r="CQ133" s="415"/>
      <c r="CR133" s="415"/>
      <c r="CS133" s="415"/>
      <c r="CT133" s="415"/>
      <c r="CU133" s="415"/>
      <c r="CV133" s="415"/>
      <c r="CW133" s="415"/>
      <c r="CX133" s="415"/>
      <c r="CY133" s="415"/>
      <c r="CZ133" s="415"/>
      <c r="DA133" s="415"/>
      <c r="DB133" s="415"/>
      <c r="DC133" s="415"/>
      <c r="DD133" s="415"/>
      <c r="DE133" s="415"/>
      <c r="DF133" s="415"/>
      <c r="DG133" s="415"/>
      <c r="DH133" s="415"/>
      <c r="DI133" s="415"/>
      <c r="DJ133" s="415"/>
      <c r="DK133" s="415"/>
      <c r="DL133" s="415"/>
      <c r="DM133" s="415"/>
      <c r="DN133" s="415"/>
      <c r="DO133" s="415"/>
      <c r="DP133" s="415"/>
      <c r="DQ133" s="415"/>
      <c r="DR133" s="415"/>
      <c r="DS133" s="415"/>
      <c r="DT133" s="415"/>
      <c r="DU133" s="415"/>
      <c r="DV133" s="415"/>
      <c r="DW133" s="415"/>
      <c r="DX133" s="415"/>
      <c r="DY133" s="415"/>
      <c r="DZ133" s="415"/>
      <c r="EA133" s="415"/>
      <c r="EB133" s="415"/>
      <c r="EC133" s="415"/>
      <c r="ED133" s="415"/>
      <c r="EE133" s="415"/>
      <c r="EF133" s="415"/>
      <c r="EG133" s="415"/>
      <c r="EH133" s="415"/>
      <c r="EI133" s="415"/>
      <c r="EJ133" s="415"/>
      <c r="EK133" s="415"/>
      <c r="EL133" s="415"/>
      <c r="EM133" s="415"/>
      <c r="EN133" s="415"/>
      <c r="EO133" s="415"/>
      <c r="EP133" s="415"/>
      <c r="EQ133" s="415"/>
      <c r="ER133" s="415"/>
      <c r="ES133" s="415"/>
      <c r="ET133" s="415"/>
      <c r="EU133" s="415"/>
      <c r="EV133" s="415"/>
      <c r="EW133" s="415"/>
      <c r="EX133" s="415"/>
      <c r="EY133" s="415"/>
      <c r="EZ133" s="415"/>
      <c r="FA133" s="415"/>
      <c r="FB133" s="415"/>
      <c r="FC133" s="415"/>
      <c r="FD133" s="415"/>
      <c r="FE133" s="415"/>
      <c r="FF133" s="415"/>
      <c r="FG133" s="415"/>
      <c r="FH133" s="415"/>
      <c r="FI133" s="415"/>
      <c r="FJ133" s="415"/>
      <c r="FK133" s="415"/>
      <c r="FL133" s="415"/>
      <c r="FM133" s="415"/>
      <c r="FN133" s="415"/>
      <c r="FO133" s="415"/>
      <c r="FP133" s="415"/>
      <c r="FQ133" s="415"/>
      <c r="FR133" s="415"/>
      <c r="FS133" s="415"/>
      <c r="FT133" s="415"/>
      <c r="FU133" s="415"/>
      <c r="FV133" s="415"/>
      <c r="FW133" s="415"/>
      <c r="FX133" s="415"/>
      <c r="FY133" s="415"/>
      <c r="FZ133" s="415"/>
      <c r="GA133" s="415"/>
      <c r="GB133" s="415"/>
      <c r="GC133" s="415"/>
      <c r="GD133" s="415"/>
      <c r="GE133" s="415"/>
      <c r="GF133" s="415"/>
      <c r="GG133" s="415"/>
      <c r="GH133" s="415"/>
      <c r="GI133" s="415"/>
      <c r="GJ133" s="415"/>
      <c r="GK133" s="415"/>
      <c r="GL133" s="415"/>
      <c r="GM133" s="415"/>
      <c r="GN133" s="415"/>
      <c r="GO133" s="415"/>
      <c r="GP133" s="415"/>
      <c r="GQ133" s="415"/>
      <c r="GR133" s="415"/>
      <c r="GS133" s="415"/>
      <c r="GT133" s="415"/>
      <c r="GU133" s="415"/>
      <c r="GV133" s="415"/>
      <c r="GW133" s="415"/>
      <c r="GX133" s="415"/>
      <c r="GY133" s="415"/>
      <c r="GZ133" s="415"/>
      <c r="HA133" s="415"/>
      <c r="HB133" s="415"/>
      <c r="HC133" s="415"/>
      <c r="HD133" s="415"/>
      <c r="HE133" s="415"/>
      <c r="HF133" s="415"/>
      <c r="HG133" s="415"/>
      <c r="HH133" s="415"/>
      <c r="HI133" s="415"/>
      <c r="HJ133" s="415"/>
      <c r="HK133" s="415"/>
      <c r="HL133" s="415"/>
      <c r="HM133" s="415"/>
      <c r="HN133" s="415"/>
      <c r="HO133" s="415"/>
      <c r="HP133" s="415"/>
      <c r="HQ133" s="415"/>
      <c r="HR133" s="415"/>
      <c r="HS133" s="415"/>
      <c r="HT133" s="415"/>
      <c r="HU133" s="415"/>
      <c r="HV133" s="415"/>
      <c r="HW133" s="415"/>
      <c r="HX133" s="415"/>
      <c r="HY133" s="415"/>
      <c r="HZ133" s="415"/>
      <c r="IA133" s="415"/>
      <c r="IB133" s="415"/>
      <c r="IC133" s="415"/>
      <c r="ID133" s="415"/>
      <c r="IE133" s="415"/>
      <c r="IF133" s="415"/>
      <c r="IG133" s="415"/>
      <c r="IH133" s="415"/>
      <c r="II133" s="415"/>
      <c r="IJ133" s="415"/>
      <c r="IK133" s="415"/>
      <c r="IL133" s="415"/>
      <c r="IM133" s="415"/>
      <c r="IN133" s="415"/>
      <c r="IO133" s="415"/>
      <c r="IP133" s="415"/>
      <c r="IQ133" s="415"/>
      <c r="IR133" s="415"/>
      <c r="IS133" s="415"/>
      <c r="IT133" s="415"/>
      <c r="IU133" s="415"/>
    </row>
    <row r="135" spans="2:255" ht="18.5">
      <c r="L135" s="107"/>
      <c r="AP135" s="415"/>
      <c r="AQ135" s="415"/>
      <c r="AR135" s="415"/>
      <c r="AS135" s="415"/>
      <c r="AT135" s="415"/>
      <c r="AU135" s="415"/>
      <c r="AV135" s="415"/>
      <c r="AW135" s="415"/>
      <c r="AX135" s="415"/>
      <c r="AY135" s="415"/>
      <c r="AZ135" s="415"/>
      <c r="BA135" s="415"/>
      <c r="BB135" s="415"/>
      <c r="BC135" s="415"/>
      <c r="BD135" s="415"/>
      <c r="BE135" s="415"/>
      <c r="BF135" s="415"/>
      <c r="BG135" s="415"/>
      <c r="BH135" s="415"/>
      <c r="BI135" s="415"/>
      <c r="BJ135" s="415"/>
      <c r="BK135" s="415"/>
      <c r="BL135" s="415"/>
      <c r="BM135" s="415"/>
      <c r="BN135" s="415"/>
      <c r="BO135" s="415"/>
      <c r="BP135" s="415"/>
      <c r="BQ135" s="415"/>
      <c r="BR135" s="415"/>
      <c r="BS135" s="415"/>
      <c r="BT135" s="415"/>
      <c r="BU135" s="415"/>
      <c r="BV135" s="415"/>
      <c r="BW135" s="415"/>
      <c r="BX135" s="415"/>
      <c r="BY135" s="415"/>
      <c r="BZ135" s="415"/>
      <c r="CA135" s="415"/>
      <c r="CB135" s="415"/>
      <c r="CC135" s="415"/>
      <c r="CD135" s="415"/>
      <c r="CE135" s="415"/>
      <c r="CF135" s="415"/>
      <c r="CG135" s="415"/>
      <c r="CH135" s="415"/>
      <c r="CI135" s="415"/>
      <c r="CJ135" s="415"/>
      <c r="CK135" s="415"/>
      <c r="CL135" s="415"/>
      <c r="CM135" s="415"/>
      <c r="CN135" s="415"/>
      <c r="CO135" s="415"/>
      <c r="CP135" s="415"/>
      <c r="CQ135" s="415"/>
      <c r="CR135" s="415"/>
      <c r="CS135" s="415"/>
      <c r="CT135" s="415"/>
      <c r="CU135" s="415"/>
      <c r="CV135" s="415"/>
      <c r="CW135" s="415"/>
      <c r="CX135" s="415"/>
      <c r="CY135" s="415"/>
      <c r="CZ135" s="415"/>
      <c r="DA135" s="415"/>
      <c r="DB135" s="415"/>
      <c r="DC135" s="415"/>
      <c r="DD135" s="415"/>
      <c r="DE135" s="415"/>
      <c r="DF135" s="415"/>
      <c r="DG135" s="415"/>
      <c r="DH135" s="415"/>
      <c r="DI135" s="415"/>
      <c r="DJ135" s="415"/>
      <c r="DK135" s="415"/>
      <c r="DL135" s="415"/>
      <c r="DM135" s="415"/>
      <c r="DN135" s="415"/>
      <c r="DO135" s="415"/>
      <c r="DP135" s="415"/>
      <c r="DQ135" s="415"/>
      <c r="DR135" s="415"/>
      <c r="DS135" s="415"/>
      <c r="DT135" s="415"/>
      <c r="DU135" s="415"/>
      <c r="DV135" s="415"/>
      <c r="DW135" s="415"/>
      <c r="DX135" s="415"/>
      <c r="DY135" s="415"/>
      <c r="DZ135" s="415"/>
      <c r="EA135" s="415"/>
      <c r="EB135" s="415"/>
      <c r="EC135" s="415"/>
      <c r="ED135" s="415"/>
      <c r="EE135" s="415"/>
      <c r="EF135" s="415"/>
      <c r="EG135" s="415"/>
      <c r="EH135" s="415"/>
      <c r="EI135" s="415"/>
      <c r="EJ135" s="415"/>
      <c r="EK135" s="415"/>
      <c r="EL135" s="415"/>
      <c r="EM135" s="415"/>
      <c r="EN135" s="415"/>
      <c r="EO135" s="415"/>
      <c r="EP135" s="415"/>
      <c r="EQ135" s="415"/>
      <c r="ER135" s="415"/>
      <c r="ES135" s="415"/>
      <c r="ET135" s="415"/>
      <c r="EU135" s="415"/>
      <c r="EV135" s="415"/>
      <c r="EW135" s="415"/>
      <c r="EX135" s="415"/>
      <c r="EY135" s="415"/>
      <c r="EZ135" s="415"/>
      <c r="FA135" s="415"/>
      <c r="FB135" s="415"/>
      <c r="FC135" s="415"/>
      <c r="FD135" s="415"/>
      <c r="FE135" s="415"/>
      <c r="FF135" s="415"/>
      <c r="FG135" s="415"/>
      <c r="FH135" s="415"/>
      <c r="FI135" s="415"/>
      <c r="FJ135" s="415"/>
      <c r="FK135" s="415"/>
      <c r="FL135" s="415"/>
      <c r="FM135" s="415"/>
      <c r="FN135" s="415"/>
      <c r="FO135" s="415"/>
      <c r="FP135" s="415"/>
      <c r="FQ135" s="415"/>
      <c r="FR135" s="415"/>
      <c r="FS135" s="415"/>
      <c r="FT135" s="415"/>
      <c r="FU135" s="415"/>
      <c r="FV135" s="415"/>
      <c r="FW135" s="415"/>
      <c r="FX135" s="415"/>
      <c r="FY135" s="415"/>
      <c r="FZ135" s="415"/>
      <c r="GA135" s="415"/>
      <c r="GB135" s="415"/>
      <c r="GC135" s="415"/>
      <c r="GD135" s="415"/>
      <c r="GE135" s="415"/>
      <c r="GF135" s="415"/>
      <c r="GG135" s="415"/>
      <c r="GH135" s="415"/>
      <c r="GI135" s="415"/>
      <c r="GJ135" s="415"/>
      <c r="GK135" s="415"/>
      <c r="GL135" s="415"/>
      <c r="GM135" s="415"/>
      <c r="GN135" s="415"/>
      <c r="GO135" s="415"/>
      <c r="GP135" s="415"/>
      <c r="GQ135" s="415"/>
      <c r="GR135" s="415"/>
      <c r="GS135" s="415"/>
      <c r="GT135" s="415"/>
      <c r="GU135" s="415"/>
      <c r="GV135" s="415"/>
      <c r="GW135" s="415"/>
      <c r="GX135" s="415"/>
      <c r="GY135" s="415"/>
      <c r="GZ135" s="415"/>
      <c r="HA135" s="415"/>
      <c r="HB135" s="415"/>
      <c r="HC135" s="415"/>
      <c r="HD135" s="415"/>
      <c r="HE135" s="415"/>
      <c r="HF135" s="415"/>
      <c r="HG135" s="415"/>
      <c r="HH135" s="415"/>
      <c r="HI135" s="415"/>
      <c r="HJ135" s="415"/>
      <c r="HK135" s="415"/>
      <c r="HL135" s="415"/>
      <c r="HM135" s="415"/>
      <c r="HN135" s="415"/>
      <c r="HO135" s="415"/>
      <c r="HP135" s="415"/>
      <c r="HQ135" s="415"/>
      <c r="HR135" s="415"/>
      <c r="HS135" s="415"/>
      <c r="HT135" s="415"/>
      <c r="HU135" s="415"/>
      <c r="HV135" s="415"/>
      <c r="HW135" s="415"/>
      <c r="HX135" s="415"/>
      <c r="HY135" s="415"/>
      <c r="HZ135" s="415"/>
      <c r="IA135" s="415"/>
      <c r="IB135" s="415"/>
      <c r="IC135" s="415"/>
      <c r="ID135" s="415"/>
      <c r="IE135" s="415"/>
      <c r="IF135" s="415"/>
      <c r="IG135" s="415"/>
      <c r="IH135" s="415"/>
      <c r="II135" s="415"/>
      <c r="IJ135" s="415"/>
      <c r="IK135" s="415"/>
      <c r="IL135" s="415"/>
      <c r="IM135" s="415"/>
      <c r="IN135" s="415"/>
      <c r="IO135" s="415"/>
      <c r="IP135" s="415"/>
      <c r="IQ135" s="415"/>
      <c r="IR135" s="415"/>
      <c r="IS135" s="415"/>
      <c r="IT135" s="415"/>
      <c r="IU135" s="415"/>
    </row>
    <row r="136" spans="2:255" ht="18.5">
      <c r="L136" s="107"/>
      <c r="AP136" s="415"/>
      <c r="AQ136" s="415"/>
      <c r="AR136" s="415"/>
      <c r="AS136" s="415"/>
      <c r="AT136" s="415"/>
      <c r="AU136" s="415"/>
      <c r="AV136" s="415"/>
      <c r="AW136" s="415"/>
      <c r="AX136" s="415"/>
      <c r="AY136" s="415"/>
      <c r="AZ136" s="415"/>
      <c r="BA136" s="415"/>
      <c r="BB136" s="415"/>
      <c r="BC136" s="415"/>
      <c r="BD136" s="415"/>
      <c r="BE136" s="415"/>
      <c r="BF136" s="415"/>
      <c r="BG136" s="415"/>
      <c r="BH136" s="415"/>
      <c r="BI136" s="415"/>
      <c r="BJ136" s="415"/>
      <c r="BK136" s="415"/>
      <c r="BL136" s="415"/>
      <c r="BM136" s="415"/>
      <c r="BN136" s="415"/>
      <c r="BO136" s="415"/>
      <c r="BP136" s="415"/>
      <c r="BQ136" s="415"/>
      <c r="BR136" s="415"/>
      <c r="BS136" s="415"/>
      <c r="BT136" s="415"/>
      <c r="BU136" s="415"/>
      <c r="BV136" s="415"/>
      <c r="BW136" s="415"/>
      <c r="BX136" s="415"/>
      <c r="BY136" s="415"/>
      <c r="BZ136" s="415"/>
      <c r="CA136" s="415"/>
      <c r="CB136" s="415"/>
      <c r="CC136" s="415"/>
      <c r="CD136" s="415"/>
      <c r="CE136" s="415"/>
      <c r="CF136" s="415"/>
      <c r="CG136" s="415"/>
      <c r="CH136" s="415"/>
      <c r="CI136" s="415"/>
      <c r="CJ136" s="415"/>
      <c r="CK136" s="415"/>
      <c r="CL136" s="415"/>
      <c r="CM136" s="415"/>
      <c r="CN136" s="415"/>
      <c r="CO136" s="415"/>
      <c r="CP136" s="415"/>
      <c r="CQ136" s="415"/>
      <c r="CR136" s="415"/>
      <c r="CS136" s="415"/>
      <c r="CT136" s="415"/>
      <c r="CU136" s="415"/>
      <c r="CV136" s="415"/>
      <c r="CW136" s="415"/>
      <c r="CX136" s="415"/>
      <c r="CY136" s="415"/>
      <c r="CZ136" s="415"/>
      <c r="DA136" s="415"/>
      <c r="DB136" s="415"/>
      <c r="DC136" s="415"/>
      <c r="DD136" s="415"/>
      <c r="DE136" s="415"/>
      <c r="DF136" s="415"/>
      <c r="DG136" s="415"/>
      <c r="DH136" s="415"/>
      <c r="DI136" s="415"/>
      <c r="DJ136" s="415"/>
      <c r="DK136" s="415"/>
      <c r="DL136" s="415"/>
      <c r="DM136" s="415"/>
      <c r="DN136" s="415"/>
      <c r="DO136" s="415"/>
      <c r="DP136" s="415"/>
      <c r="DQ136" s="415"/>
      <c r="DR136" s="415"/>
      <c r="DS136" s="415"/>
      <c r="DT136" s="415"/>
      <c r="DU136" s="415"/>
      <c r="DV136" s="415"/>
      <c r="DW136" s="415"/>
      <c r="DX136" s="415"/>
      <c r="DY136" s="415"/>
      <c r="DZ136" s="415"/>
      <c r="EA136" s="415"/>
      <c r="EB136" s="415"/>
      <c r="EC136" s="415"/>
      <c r="ED136" s="415"/>
      <c r="EE136" s="415"/>
      <c r="EF136" s="415"/>
      <c r="EG136" s="415"/>
      <c r="EH136" s="415"/>
      <c r="EI136" s="415"/>
      <c r="EJ136" s="415"/>
      <c r="EK136" s="415"/>
      <c r="EL136" s="415"/>
      <c r="EM136" s="415"/>
      <c r="EN136" s="415"/>
      <c r="EO136" s="415"/>
      <c r="EP136" s="415"/>
      <c r="EQ136" s="415"/>
      <c r="ER136" s="415"/>
      <c r="ES136" s="415"/>
      <c r="ET136" s="415"/>
      <c r="EU136" s="415"/>
      <c r="EV136" s="415"/>
      <c r="EW136" s="415"/>
      <c r="EX136" s="415"/>
      <c r="EY136" s="415"/>
      <c r="EZ136" s="415"/>
      <c r="FA136" s="415"/>
      <c r="FB136" s="415"/>
      <c r="FC136" s="415"/>
      <c r="FD136" s="415"/>
      <c r="FE136" s="415"/>
      <c r="FF136" s="415"/>
      <c r="FG136" s="415"/>
      <c r="FH136" s="415"/>
      <c r="FI136" s="415"/>
      <c r="FJ136" s="415"/>
      <c r="FK136" s="415"/>
      <c r="FL136" s="415"/>
      <c r="FM136" s="415"/>
      <c r="FN136" s="415"/>
      <c r="FO136" s="415"/>
      <c r="FP136" s="415"/>
      <c r="FQ136" s="415"/>
      <c r="FR136" s="415"/>
      <c r="FS136" s="415"/>
      <c r="FT136" s="415"/>
      <c r="FU136" s="415"/>
      <c r="FV136" s="415"/>
      <c r="FW136" s="415"/>
      <c r="FX136" s="415"/>
      <c r="FY136" s="415"/>
      <c r="FZ136" s="415"/>
      <c r="GA136" s="415"/>
      <c r="GB136" s="415"/>
      <c r="GC136" s="415"/>
      <c r="GD136" s="415"/>
      <c r="GE136" s="415"/>
      <c r="GF136" s="415"/>
      <c r="GG136" s="415"/>
      <c r="GH136" s="415"/>
      <c r="GI136" s="415"/>
      <c r="GJ136" s="415"/>
      <c r="GK136" s="415"/>
      <c r="GL136" s="415"/>
      <c r="GM136" s="415"/>
      <c r="GN136" s="415"/>
      <c r="GO136" s="415"/>
      <c r="GP136" s="415"/>
      <c r="GQ136" s="415"/>
      <c r="GR136" s="415"/>
      <c r="GS136" s="415"/>
      <c r="GT136" s="415"/>
      <c r="GU136" s="415"/>
      <c r="GV136" s="415"/>
      <c r="GW136" s="415"/>
      <c r="GX136" s="415"/>
      <c r="GY136" s="415"/>
      <c r="GZ136" s="415"/>
      <c r="HA136" s="415"/>
      <c r="HB136" s="415"/>
      <c r="HC136" s="415"/>
      <c r="HD136" s="415"/>
      <c r="HE136" s="415"/>
      <c r="HF136" s="415"/>
      <c r="HG136" s="415"/>
      <c r="HH136" s="415"/>
      <c r="HI136" s="415"/>
      <c r="HJ136" s="415"/>
      <c r="HK136" s="415"/>
      <c r="HL136" s="415"/>
      <c r="HM136" s="415"/>
      <c r="HN136" s="415"/>
      <c r="HO136" s="415"/>
      <c r="HP136" s="415"/>
      <c r="HQ136" s="415"/>
      <c r="HR136" s="415"/>
      <c r="HS136" s="415"/>
      <c r="HT136" s="415"/>
      <c r="HU136" s="415"/>
      <c r="HV136" s="415"/>
      <c r="HW136" s="415"/>
      <c r="HX136" s="415"/>
      <c r="HY136" s="415"/>
      <c r="HZ136" s="415"/>
      <c r="IA136" s="415"/>
      <c r="IB136" s="415"/>
      <c r="IC136" s="415"/>
      <c r="ID136" s="415"/>
      <c r="IE136" s="415"/>
      <c r="IF136" s="415"/>
      <c r="IG136" s="415"/>
      <c r="IH136" s="415"/>
      <c r="II136" s="415"/>
      <c r="IJ136" s="415"/>
      <c r="IK136" s="415"/>
      <c r="IL136" s="415"/>
      <c r="IM136" s="415"/>
      <c r="IN136" s="415"/>
      <c r="IO136" s="415"/>
      <c r="IP136" s="415"/>
      <c r="IQ136" s="415"/>
      <c r="IR136" s="415"/>
      <c r="IS136" s="415"/>
      <c r="IT136" s="415"/>
      <c r="IU136" s="415"/>
    </row>
    <row r="137" spans="2:255" ht="18.5">
      <c r="L137" s="107"/>
      <c r="AP137" s="415"/>
      <c r="AQ137" s="415"/>
      <c r="AR137" s="415"/>
      <c r="AS137" s="415"/>
      <c r="AT137" s="415"/>
      <c r="AU137" s="415"/>
      <c r="AV137" s="415"/>
      <c r="AW137" s="415"/>
      <c r="AX137" s="415"/>
      <c r="AY137" s="415"/>
      <c r="AZ137" s="415"/>
      <c r="BA137" s="415"/>
      <c r="BB137" s="415"/>
      <c r="BC137" s="415"/>
      <c r="BD137" s="415"/>
      <c r="BE137" s="415"/>
      <c r="BF137" s="415"/>
      <c r="BG137" s="415"/>
      <c r="BH137" s="415"/>
      <c r="BI137" s="415"/>
      <c r="BJ137" s="415"/>
      <c r="BK137" s="415"/>
      <c r="BL137" s="415"/>
      <c r="BM137" s="415"/>
      <c r="BN137" s="415"/>
      <c r="BO137" s="415"/>
      <c r="BP137" s="415"/>
      <c r="BQ137" s="415"/>
      <c r="BR137" s="415"/>
      <c r="BS137" s="415"/>
      <c r="BT137" s="415"/>
      <c r="BU137" s="415"/>
      <c r="BV137" s="415"/>
      <c r="BW137" s="415"/>
      <c r="BX137" s="415"/>
      <c r="BY137" s="415"/>
      <c r="BZ137" s="415"/>
      <c r="CA137" s="415"/>
      <c r="CB137" s="415"/>
      <c r="CC137" s="415"/>
      <c r="CD137" s="415"/>
      <c r="CE137" s="415"/>
      <c r="CF137" s="415"/>
      <c r="CG137" s="415"/>
      <c r="CH137" s="415"/>
      <c r="CI137" s="415"/>
      <c r="CJ137" s="415"/>
      <c r="CK137" s="415"/>
      <c r="CL137" s="415"/>
      <c r="CM137" s="415"/>
      <c r="CN137" s="415"/>
      <c r="CO137" s="415"/>
      <c r="CP137" s="415"/>
      <c r="CQ137" s="415"/>
      <c r="CR137" s="415"/>
      <c r="CS137" s="415"/>
      <c r="CT137" s="415"/>
      <c r="CU137" s="415"/>
      <c r="CV137" s="415"/>
      <c r="CW137" s="415"/>
      <c r="CX137" s="415"/>
      <c r="CY137" s="415"/>
      <c r="CZ137" s="415"/>
      <c r="DA137" s="415"/>
      <c r="DB137" s="415"/>
      <c r="DC137" s="415"/>
      <c r="DD137" s="415"/>
      <c r="DE137" s="415"/>
      <c r="DF137" s="415"/>
      <c r="DG137" s="415"/>
      <c r="DH137" s="415"/>
      <c r="DI137" s="415"/>
      <c r="DJ137" s="415"/>
      <c r="DK137" s="415"/>
      <c r="DL137" s="415"/>
      <c r="DM137" s="415"/>
      <c r="DN137" s="415"/>
      <c r="DO137" s="415"/>
      <c r="DP137" s="415"/>
      <c r="DQ137" s="415"/>
      <c r="DR137" s="415"/>
      <c r="DS137" s="415"/>
      <c r="DT137" s="415"/>
      <c r="DU137" s="415"/>
      <c r="DV137" s="415"/>
      <c r="DW137" s="415"/>
      <c r="DX137" s="415"/>
      <c r="DY137" s="415"/>
      <c r="DZ137" s="415"/>
      <c r="EA137" s="415"/>
      <c r="EB137" s="415"/>
      <c r="EC137" s="415"/>
      <c r="ED137" s="415"/>
      <c r="EE137" s="415"/>
      <c r="EF137" s="415"/>
      <c r="EG137" s="415"/>
      <c r="EH137" s="415"/>
      <c r="EI137" s="415"/>
      <c r="EJ137" s="415"/>
      <c r="EK137" s="415"/>
      <c r="EL137" s="415"/>
      <c r="EM137" s="415"/>
      <c r="EN137" s="415"/>
      <c r="EO137" s="415"/>
      <c r="EP137" s="415"/>
      <c r="EQ137" s="415"/>
      <c r="ER137" s="415"/>
      <c r="ES137" s="415"/>
      <c r="ET137" s="415"/>
      <c r="EU137" s="415"/>
      <c r="EV137" s="415"/>
      <c r="EW137" s="415"/>
      <c r="EX137" s="415"/>
      <c r="EY137" s="415"/>
      <c r="EZ137" s="415"/>
      <c r="FA137" s="415"/>
      <c r="FB137" s="415"/>
      <c r="FC137" s="415"/>
      <c r="FD137" s="415"/>
      <c r="FE137" s="415"/>
      <c r="FF137" s="415"/>
      <c r="FG137" s="415"/>
      <c r="FH137" s="415"/>
      <c r="FI137" s="415"/>
      <c r="FJ137" s="415"/>
      <c r="FK137" s="415"/>
      <c r="FL137" s="415"/>
      <c r="FM137" s="415"/>
      <c r="FN137" s="415"/>
      <c r="FO137" s="415"/>
      <c r="FP137" s="415"/>
      <c r="FQ137" s="415"/>
      <c r="FR137" s="415"/>
      <c r="FS137" s="415"/>
      <c r="FT137" s="415"/>
      <c r="FU137" s="415"/>
      <c r="FV137" s="415"/>
      <c r="FW137" s="415"/>
      <c r="FX137" s="415"/>
      <c r="FY137" s="415"/>
      <c r="FZ137" s="415"/>
      <c r="GA137" s="415"/>
      <c r="GB137" s="415"/>
      <c r="GC137" s="415"/>
      <c r="GD137" s="415"/>
      <c r="GE137" s="415"/>
      <c r="GF137" s="415"/>
      <c r="GG137" s="415"/>
      <c r="GH137" s="415"/>
      <c r="GI137" s="415"/>
      <c r="GJ137" s="415"/>
      <c r="GK137" s="415"/>
      <c r="GL137" s="415"/>
      <c r="GM137" s="415"/>
      <c r="GN137" s="415"/>
      <c r="GO137" s="415"/>
      <c r="GP137" s="415"/>
      <c r="GQ137" s="415"/>
      <c r="GR137" s="415"/>
      <c r="GS137" s="415"/>
      <c r="GT137" s="415"/>
      <c r="GU137" s="415"/>
      <c r="GV137" s="415"/>
      <c r="GW137" s="415"/>
      <c r="GX137" s="415"/>
      <c r="GY137" s="415"/>
      <c r="GZ137" s="415"/>
      <c r="HA137" s="415"/>
      <c r="HB137" s="415"/>
      <c r="HC137" s="415"/>
      <c r="HD137" s="415"/>
      <c r="HE137" s="415"/>
      <c r="HF137" s="415"/>
      <c r="HG137" s="415"/>
      <c r="HH137" s="415"/>
      <c r="HI137" s="415"/>
      <c r="HJ137" s="415"/>
      <c r="HK137" s="415"/>
      <c r="HL137" s="415"/>
      <c r="HM137" s="415"/>
      <c r="HN137" s="415"/>
      <c r="HO137" s="415"/>
      <c r="HP137" s="415"/>
      <c r="HQ137" s="415"/>
      <c r="HR137" s="415"/>
      <c r="HS137" s="415"/>
      <c r="HT137" s="415"/>
      <c r="HU137" s="415"/>
      <c r="HV137" s="415"/>
      <c r="HW137" s="415"/>
      <c r="HX137" s="415"/>
      <c r="HY137" s="415"/>
      <c r="HZ137" s="415"/>
      <c r="IA137" s="415"/>
      <c r="IB137" s="415"/>
      <c r="IC137" s="415"/>
      <c r="ID137" s="415"/>
      <c r="IE137" s="415"/>
      <c r="IF137" s="415"/>
      <c r="IG137" s="415"/>
      <c r="IH137" s="415"/>
      <c r="II137" s="415"/>
      <c r="IJ137" s="415"/>
      <c r="IK137" s="415"/>
      <c r="IL137" s="415"/>
      <c r="IM137" s="415"/>
      <c r="IN137" s="415"/>
      <c r="IO137" s="415"/>
      <c r="IP137" s="415"/>
      <c r="IQ137" s="415"/>
      <c r="IR137" s="415"/>
      <c r="IS137" s="415"/>
      <c r="IT137" s="415"/>
      <c r="IU137" s="415"/>
    </row>
    <row r="138" spans="2:255"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P138" s="415"/>
      <c r="AQ138" s="415"/>
      <c r="AR138" s="415"/>
      <c r="AS138" s="415"/>
      <c r="AT138" s="415"/>
      <c r="AU138" s="415"/>
      <c r="AV138" s="415"/>
      <c r="AW138" s="415"/>
      <c r="AX138" s="415"/>
      <c r="AY138" s="415"/>
      <c r="AZ138" s="415"/>
      <c r="BA138" s="415"/>
      <c r="BB138" s="415"/>
      <c r="BC138" s="415"/>
      <c r="BD138" s="415"/>
      <c r="BE138" s="415"/>
      <c r="BF138" s="415"/>
      <c r="BG138" s="415"/>
      <c r="BH138" s="415"/>
      <c r="BI138" s="415"/>
      <c r="BJ138" s="415"/>
      <c r="BK138" s="415"/>
      <c r="BL138" s="415"/>
      <c r="BM138" s="415"/>
      <c r="BN138" s="415"/>
      <c r="BO138" s="415"/>
      <c r="BP138" s="415"/>
      <c r="BQ138" s="415"/>
      <c r="BR138" s="415"/>
      <c r="BS138" s="415"/>
      <c r="BT138" s="415"/>
      <c r="BU138" s="415"/>
      <c r="BV138" s="415"/>
      <c r="BW138" s="415"/>
      <c r="BX138" s="415"/>
      <c r="BY138" s="415"/>
      <c r="BZ138" s="415"/>
      <c r="CA138" s="415"/>
      <c r="CB138" s="415"/>
      <c r="CC138" s="415"/>
      <c r="CD138" s="415"/>
      <c r="CE138" s="415"/>
      <c r="CF138" s="415"/>
      <c r="CG138" s="415"/>
      <c r="CH138" s="415"/>
      <c r="CI138" s="415"/>
      <c r="CJ138" s="415"/>
      <c r="CK138" s="415"/>
      <c r="CL138" s="415"/>
      <c r="CM138" s="415"/>
      <c r="CN138" s="415"/>
      <c r="CO138" s="415"/>
      <c r="CP138" s="415"/>
      <c r="CQ138" s="415"/>
      <c r="CR138" s="415"/>
      <c r="CS138" s="415"/>
      <c r="CT138" s="415"/>
      <c r="CU138" s="415"/>
      <c r="CV138" s="415"/>
      <c r="CW138" s="415"/>
      <c r="CX138" s="415"/>
      <c r="CY138" s="415"/>
      <c r="CZ138" s="415"/>
      <c r="DA138" s="415"/>
      <c r="DB138" s="415"/>
      <c r="DC138" s="415"/>
      <c r="DD138" s="415"/>
      <c r="DE138" s="415"/>
      <c r="DF138" s="415"/>
      <c r="DG138" s="415"/>
      <c r="DH138" s="415"/>
      <c r="DI138" s="415"/>
      <c r="DJ138" s="415"/>
      <c r="DK138" s="415"/>
      <c r="DL138" s="415"/>
      <c r="DM138" s="415"/>
      <c r="DN138" s="415"/>
      <c r="DO138" s="415"/>
      <c r="DP138" s="415"/>
      <c r="DQ138" s="415"/>
      <c r="DR138" s="415"/>
      <c r="DS138" s="415"/>
      <c r="DT138" s="415"/>
      <c r="DU138" s="415"/>
      <c r="DV138" s="415"/>
      <c r="DW138" s="415"/>
      <c r="DX138" s="415"/>
      <c r="DY138" s="415"/>
      <c r="DZ138" s="415"/>
      <c r="EA138" s="415"/>
      <c r="EB138" s="415"/>
      <c r="EC138" s="415"/>
      <c r="ED138" s="415"/>
      <c r="EE138" s="415"/>
      <c r="EF138" s="415"/>
      <c r="EG138" s="415"/>
      <c r="EH138" s="415"/>
      <c r="EI138" s="415"/>
      <c r="EJ138" s="415"/>
      <c r="EK138" s="415"/>
      <c r="EL138" s="415"/>
      <c r="EM138" s="415"/>
      <c r="EN138" s="415"/>
      <c r="EO138" s="415"/>
      <c r="EP138" s="415"/>
      <c r="EQ138" s="415"/>
      <c r="ER138" s="415"/>
      <c r="ES138" s="415"/>
      <c r="ET138" s="415"/>
      <c r="EU138" s="415"/>
      <c r="EV138" s="415"/>
      <c r="EW138" s="415"/>
      <c r="EX138" s="415"/>
      <c r="EY138" s="415"/>
      <c r="EZ138" s="415"/>
      <c r="FA138" s="415"/>
      <c r="FB138" s="415"/>
      <c r="FC138" s="415"/>
      <c r="FD138" s="415"/>
      <c r="FE138" s="415"/>
      <c r="FF138" s="415"/>
      <c r="FG138" s="415"/>
      <c r="FH138" s="415"/>
      <c r="FI138" s="415"/>
      <c r="FJ138" s="415"/>
      <c r="FK138" s="415"/>
      <c r="FL138" s="415"/>
      <c r="FM138" s="415"/>
      <c r="FN138" s="415"/>
      <c r="FO138" s="415"/>
      <c r="FP138" s="415"/>
      <c r="FQ138" s="415"/>
      <c r="FR138" s="415"/>
      <c r="FS138" s="415"/>
      <c r="FT138" s="415"/>
      <c r="FU138" s="415"/>
      <c r="FV138" s="415"/>
      <c r="FW138" s="415"/>
      <c r="FX138" s="415"/>
      <c r="FY138" s="415"/>
      <c r="FZ138" s="415"/>
      <c r="GA138" s="415"/>
      <c r="GB138" s="415"/>
      <c r="GC138" s="415"/>
      <c r="GD138" s="415"/>
      <c r="GE138" s="415"/>
      <c r="GF138" s="415"/>
      <c r="GG138" s="415"/>
      <c r="GH138" s="415"/>
      <c r="GI138" s="415"/>
      <c r="GJ138" s="415"/>
      <c r="GK138" s="415"/>
      <c r="GL138" s="415"/>
      <c r="GM138" s="415"/>
      <c r="GN138" s="415"/>
      <c r="GO138" s="415"/>
      <c r="GP138" s="415"/>
      <c r="GQ138" s="415"/>
      <c r="GR138" s="415"/>
      <c r="GS138" s="415"/>
      <c r="GT138" s="415"/>
      <c r="GU138" s="415"/>
      <c r="GV138" s="415"/>
      <c r="GW138" s="415"/>
      <c r="GX138" s="415"/>
      <c r="GY138" s="415"/>
      <c r="GZ138" s="415"/>
      <c r="HA138" s="415"/>
      <c r="HB138" s="415"/>
      <c r="HC138" s="415"/>
      <c r="HD138" s="415"/>
      <c r="HE138" s="415"/>
      <c r="HF138" s="415"/>
      <c r="HG138" s="415"/>
      <c r="HH138" s="415"/>
      <c r="HI138" s="415"/>
      <c r="HJ138" s="415"/>
      <c r="HK138" s="415"/>
      <c r="HL138" s="415"/>
      <c r="HM138" s="415"/>
      <c r="HN138" s="415"/>
      <c r="HO138" s="415"/>
      <c r="HP138" s="415"/>
      <c r="HQ138" s="415"/>
      <c r="HR138" s="415"/>
      <c r="HS138" s="415"/>
      <c r="HT138" s="415"/>
      <c r="HU138" s="415"/>
      <c r="HV138" s="415"/>
      <c r="HW138" s="415"/>
      <c r="HX138" s="415"/>
      <c r="HY138" s="415"/>
      <c r="HZ138" s="415"/>
      <c r="IA138" s="415"/>
      <c r="IB138" s="415"/>
      <c r="IC138" s="415"/>
      <c r="ID138" s="415"/>
      <c r="IE138" s="415"/>
      <c r="IF138" s="415"/>
      <c r="IG138" s="415"/>
      <c r="IH138" s="415"/>
      <c r="II138" s="415"/>
      <c r="IJ138" s="415"/>
      <c r="IK138" s="415"/>
      <c r="IL138" s="415"/>
      <c r="IM138" s="415"/>
      <c r="IN138" s="415"/>
      <c r="IO138" s="415"/>
      <c r="IP138" s="415"/>
      <c r="IQ138" s="415"/>
      <c r="IR138" s="415"/>
      <c r="IS138" s="415"/>
      <c r="IT138" s="415"/>
      <c r="IU138" s="415"/>
    </row>
    <row r="139" spans="2:255">
      <c r="L139" s="758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P139" s="415"/>
      <c r="AQ139" s="415"/>
      <c r="AR139" s="415"/>
      <c r="AS139" s="415"/>
      <c r="AT139" s="415"/>
      <c r="AU139" s="415"/>
      <c r="AV139" s="415"/>
      <c r="AW139" s="415"/>
      <c r="AX139" s="415"/>
      <c r="AY139" s="415"/>
      <c r="AZ139" s="415"/>
      <c r="BA139" s="415"/>
      <c r="BB139" s="415"/>
      <c r="BC139" s="415"/>
      <c r="BD139" s="415"/>
      <c r="BE139" s="415"/>
      <c r="BF139" s="415"/>
      <c r="BG139" s="415"/>
      <c r="BH139" s="415"/>
      <c r="BI139" s="415"/>
      <c r="BJ139" s="415"/>
      <c r="BK139" s="415"/>
      <c r="BL139" s="415"/>
      <c r="BM139" s="415"/>
      <c r="BN139" s="415"/>
      <c r="BO139" s="415"/>
      <c r="BP139" s="415"/>
      <c r="BQ139" s="415"/>
      <c r="BR139" s="415"/>
      <c r="BS139" s="415"/>
      <c r="BT139" s="415"/>
      <c r="BU139" s="415"/>
      <c r="BV139" s="415"/>
      <c r="BW139" s="415"/>
      <c r="BX139" s="415"/>
      <c r="BY139" s="415"/>
      <c r="BZ139" s="415"/>
      <c r="CA139" s="415"/>
      <c r="CB139" s="415"/>
      <c r="CC139" s="415"/>
      <c r="CD139" s="415"/>
      <c r="CE139" s="415"/>
      <c r="CF139" s="415"/>
      <c r="CG139" s="415"/>
      <c r="CH139" s="415"/>
      <c r="CI139" s="415"/>
      <c r="CJ139" s="415"/>
      <c r="CK139" s="415"/>
      <c r="CL139" s="415"/>
      <c r="CM139" s="415"/>
      <c r="CN139" s="415"/>
      <c r="CO139" s="415"/>
      <c r="CP139" s="415"/>
      <c r="CQ139" s="415"/>
      <c r="CR139" s="415"/>
      <c r="CS139" s="415"/>
      <c r="CT139" s="415"/>
      <c r="CU139" s="415"/>
      <c r="CV139" s="415"/>
      <c r="CW139" s="415"/>
      <c r="CX139" s="415"/>
      <c r="CY139" s="415"/>
      <c r="CZ139" s="415"/>
      <c r="DA139" s="415"/>
      <c r="DB139" s="415"/>
      <c r="DC139" s="415"/>
      <c r="DD139" s="415"/>
      <c r="DE139" s="415"/>
      <c r="DF139" s="415"/>
      <c r="DG139" s="415"/>
      <c r="DH139" s="415"/>
      <c r="DI139" s="415"/>
      <c r="DJ139" s="415"/>
      <c r="DK139" s="415"/>
      <c r="DL139" s="415"/>
      <c r="DM139" s="415"/>
      <c r="DN139" s="415"/>
      <c r="DO139" s="415"/>
      <c r="DP139" s="415"/>
      <c r="DQ139" s="415"/>
      <c r="DR139" s="415"/>
      <c r="DS139" s="415"/>
      <c r="DT139" s="415"/>
      <c r="DU139" s="415"/>
      <c r="DV139" s="415"/>
      <c r="DW139" s="415"/>
      <c r="DX139" s="415"/>
      <c r="DY139" s="415"/>
      <c r="DZ139" s="415"/>
      <c r="EA139" s="415"/>
      <c r="EB139" s="415"/>
      <c r="EC139" s="415"/>
      <c r="ED139" s="415"/>
      <c r="EE139" s="415"/>
      <c r="EF139" s="415"/>
      <c r="EG139" s="415"/>
      <c r="EH139" s="415"/>
      <c r="EI139" s="415"/>
      <c r="EJ139" s="415"/>
      <c r="EK139" s="415"/>
      <c r="EL139" s="415"/>
      <c r="EM139" s="415"/>
      <c r="EN139" s="415"/>
      <c r="EO139" s="415"/>
      <c r="EP139" s="415"/>
      <c r="EQ139" s="415"/>
      <c r="ER139" s="415"/>
      <c r="ES139" s="415"/>
      <c r="ET139" s="415"/>
      <c r="EU139" s="415"/>
      <c r="EV139" s="415"/>
      <c r="EW139" s="415"/>
      <c r="EX139" s="415"/>
      <c r="EY139" s="415"/>
      <c r="EZ139" s="415"/>
      <c r="FA139" s="415"/>
      <c r="FB139" s="415"/>
      <c r="FC139" s="415"/>
      <c r="FD139" s="415"/>
      <c r="FE139" s="415"/>
      <c r="FF139" s="415"/>
      <c r="FG139" s="415"/>
      <c r="FH139" s="415"/>
      <c r="FI139" s="415"/>
      <c r="FJ139" s="415"/>
      <c r="FK139" s="415"/>
      <c r="FL139" s="415"/>
      <c r="FM139" s="415"/>
      <c r="FN139" s="415"/>
      <c r="FO139" s="415"/>
      <c r="FP139" s="415"/>
      <c r="FQ139" s="415"/>
      <c r="FR139" s="415"/>
      <c r="FS139" s="415"/>
      <c r="FT139" s="415"/>
      <c r="FU139" s="415"/>
      <c r="FV139" s="415"/>
      <c r="FW139" s="415"/>
      <c r="FX139" s="415"/>
      <c r="FY139" s="415"/>
      <c r="FZ139" s="415"/>
      <c r="GA139" s="415"/>
      <c r="GB139" s="415"/>
      <c r="GC139" s="415"/>
      <c r="GD139" s="415"/>
      <c r="GE139" s="415"/>
      <c r="GF139" s="415"/>
      <c r="GG139" s="415"/>
      <c r="GH139" s="415"/>
      <c r="GI139" s="415"/>
      <c r="GJ139" s="415"/>
      <c r="GK139" s="415"/>
      <c r="GL139" s="415"/>
      <c r="GM139" s="415"/>
      <c r="GN139" s="415"/>
      <c r="GO139" s="415"/>
      <c r="GP139" s="415"/>
      <c r="GQ139" s="415"/>
      <c r="GR139" s="415"/>
      <c r="GS139" s="415"/>
      <c r="GT139" s="415"/>
      <c r="GU139" s="415"/>
      <c r="GV139" s="415"/>
      <c r="GW139" s="415"/>
      <c r="GX139" s="415"/>
      <c r="GY139" s="415"/>
      <c r="GZ139" s="415"/>
      <c r="HA139" s="415"/>
      <c r="HB139" s="415"/>
      <c r="HC139" s="415"/>
      <c r="HD139" s="415"/>
      <c r="HE139" s="415"/>
      <c r="HF139" s="415"/>
      <c r="HG139" s="415"/>
      <c r="HH139" s="415"/>
      <c r="HI139" s="415"/>
      <c r="HJ139" s="415"/>
      <c r="HK139" s="415"/>
      <c r="HL139" s="415"/>
      <c r="HM139" s="415"/>
      <c r="HN139" s="415"/>
      <c r="HO139" s="415"/>
      <c r="HP139" s="415"/>
      <c r="HQ139" s="415"/>
      <c r="HR139" s="415"/>
      <c r="HS139" s="415"/>
      <c r="HT139" s="415"/>
      <c r="HU139" s="415"/>
      <c r="HV139" s="415"/>
      <c r="HW139" s="415"/>
      <c r="HX139" s="415"/>
      <c r="HY139" s="415"/>
      <c r="HZ139" s="415"/>
      <c r="IA139" s="415"/>
      <c r="IB139" s="415"/>
      <c r="IC139" s="415"/>
      <c r="ID139" s="415"/>
      <c r="IE139" s="415"/>
      <c r="IF139" s="415"/>
      <c r="IG139" s="415"/>
      <c r="IH139" s="415"/>
      <c r="II139" s="415"/>
      <c r="IJ139" s="415"/>
      <c r="IK139" s="415"/>
      <c r="IL139" s="415"/>
      <c r="IM139" s="415"/>
      <c r="IN139" s="415"/>
      <c r="IO139" s="415"/>
      <c r="IP139" s="415"/>
      <c r="IQ139" s="415"/>
      <c r="IR139" s="415"/>
      <c r="IS139" s="415"/>
      <c r="IT139" s="415"/>
      <c r="IU139" s="415"/>
    </row>
    <row r="140" spans="2:255" ht="18.5">
      <c r="L140" s="761"/>
      <c r="Z140" s="17"/>
      <c r="AA140" s="1109"/>
      <c r="AB140" s="1109"/>
      <c r="AC140" s="1109"/>
      <c r="AD140" s="1109"/>
      <c r="AE140" s="1109"/>
      <c r="AF140" s="1109"/>
      <c r="AG140" s="1109"/>
      <c r="AH140" s="1109"/>
      <c r="AI140" s="1109"/>
      <c r="AJ140" s="1109"/>
      <c r="AK140" s="1109"/>
      <c r="AL140" s="1109"/>
      <c r="AP140" s="415"/>
      <c r="AQ140" s="415"/>
      <c r="AR140" s="415"/>
      <c r="AS140" s="415"/>
      <c r="AT140" s="415"/>
      <c r="AU140" s="415"/>
      <c r="AV140" s="415"/>
      <c r="AW140" s="415"/>
      <c r="AX140" s="415"/>
      <c r="AY140" s="415"/>
      <c r="AZ140" s="415"/>
      <c r="BA140" s="415"/>
      <c r="BB140" s="415"/>
      <c r="BC140" s="415"/>
      <c r="BD140" s="415"/>
      <c r="BE140" s="415"/>
      <c r="BF140" s="415"/>
      <c r="BG140" s="415"/>
      <c r="BH140" s="415"/>
      <c r="BI140" s="415"/>
      <c r="BJ140" s="415"/>
      <c r="BK140" s="415"/>
      <c r="BL140" s="415"/>
      <c r="BM140" s="415"/>
      <c r="BN140" s="415"/>
      <c r="BO140" s="415"/>
      <c r="BP140" s="415"/>
      <c r="BQ140" s="415"/>
      <c r="BR140" s="415"/>
      <c r="BS140" s="415"/>
      <c r="BT140" s="415"/>
      <c r="BU140" s="415"/>
      <c r="BV140" s="415"/>
      <c r="BW140" s="415"/>
      <c r="BX140" s="415"/>
      <c r="BY140" s="415"/>
      <c r="BZ140" s="415"/>
      <c r="CA140" s="415"/>
      <c r="CB140" s="415"/>
      <c r="CC140" s="415"/>
      <c r="CD140" s="415"/>
      <c r="CE140" s="415"/>
      <c r="CF140" s="415"/>
      <c r="CG140" s="415"/>
      <c r="CH140" s="415"/>
      <c r="CI140" s="415"/>
      <c r="CJ140" s="415"/>
      <c r="CK140" s="415"/>
      <c r="CL140" s="415"/>
      <c r="CM140" s="415"/>
      <c r="CN140" s="415"/>
      <c r="CO140" s="415"/>
      <c r="CP140" s="415"/>
      <c r="CQ140" s="415"/>
      <c r="CR140" s="415"/>
      <c r="CS140" s="415"/>
      <c r="CT140" s="415"/>
      <c r="CU140" s="415"/>
      <c r="CV140" s="415"/>
      <c r="CW140" s="415"/>
      <c r="CX140" s="415"/>
      <c r="CY140" s="415"/>
      <c r="CZ140" s="415"/>
      <c r="DA140" s="415"/>
      <c r="DB140" s="415"/>
      <c r="DC140" s="415"/>
      <c r="DD140" s="415"/>
      <c r="DE140" s="415"/>
      <c r="DF140" s="415"/>
      <c r="DG140" s="415"/>
      <c r="DH140" s="415"/>
      <c r="DI140" s="415"/>
      <c r="DJ140" s="415"/>
      <c r="DK140" s="415"/>
      <c r="DL140" s="415"/>
      <c r="DM140" s="415"/>
      <c r="DN140" s="415"/>
      <c r="DO140" s="415"/>
      <c r="DP140" s="415"/>
      <c r="DQ140" s="415"/>
      <c r="DR140" s="415"/>
      <c r="DS140" s="415"/>
      <c r="DT140" s="415"/>
      <c r="DU140" s="415"/>
      <c r="DV140" s="415"/>
      <c r="DW140" s="415"/>
      <c r="DX140" s="415"/>
      <c r="DY140" s="415"/>
      <c r="DZ140" s="415"/>
      <c r="EA140" s="415"/>
      <c r="EB140" s="415"/>
      <c r="EC140" s="415"/>
      <c r="ED140" s="415"/>
      <c r="EE140" s="415"/>
      <c r="EF140" s="415"/>
      <c r="EG140" s="415"/>
      <c r="EH140" s="415"/>
      <c r="EI140" s="415"/>
      <c r="EJ140" s="415"/>
      <c r="EK140" s="415"/>
      <c r="EL140" s="415"/>
      <c r="EM140" s="415"/>
      <c r="EN140" s="415"/>
      <c r="EO140" s="415"/>
      <c r="EP140" s="415"/>
      <c r="EQ140" s="415"/>
      <c r="ER140" s="415"/>
      <c r="ES140" s="415"/>
      <c r="ET140" s="415"/>
      <c r="EU140" s="415"/>
      <c r="EV140" s="415"/>
      <c r="EW140" s="415"/>
      <c r="EX140" s="415"/>
      <c r="EY140" s="415"/>
      <c r="EZ140" s="415"/>
      <c r="FA140" s="415"/>
      <c r="FB140" s="415"/>
      <c r="FC140" s="415"/>
      <c r="FD140" s="415"/>
      <c r="FE140" s="415"/>
      <c r="FF140" s="415"/>
      <c r="FG140" s="415"/>
      <c r="FH140" s="415"/>
      <c r="FI140" s="415"/>
      <c r="FJ140" s="415"/>
      <c r="FK140" s="415"/>
      <c r="FL140" s="415"/>
      <c r="FM140" s="415"/>
      <c r="FN140" s="415"/>
      <c r="FO140" s="415"/>
      <c r="FP140" s="415"/>
      <c r="FQ140" s="415"/>
      <c r="FR140" s="415"/>
      <c r="FS140" s="415"/>
      <c r="FT140" s="415"/>
      <c r="FU140" s="415"/>
      <c r="FV140" s="415"/>
      <c r="FW140" s="415"/>
      <c r="FX140" s="415"/>
      <c r="FY140" s="415"/>
      <c r="FZ140" s="415"/>
      <c r="GA140" s="415"/>
      <c r="GB140" s="415"/>
      <c r="GC140" s="415"/>
      <c r="GD140" s="415"/>
      <c r="GE140" s="415"/>
      <c r="GF140" s="415"/>
      <c r="GG140" s="415"/>
      <c r="GH140" s="415"/>
      <c r="GI140" s="415"/>
      <c r="GJ140" s="415"/>
      <c r="GK140" s="415"/>
      <c r="GL140" s="415"/>
      <c r="GM140" s="415"/>
      <c r="GN140" s="415"/>
      <c r="GO140" s="415"/>
      <c r="GP140" s="415"/>
      <c r="GQ140" s="415"/>
      <c r="GR140" s="415"/>
      <c r="GS140" s="415"/>
      <c r="GT140" s="415"/>
      <c r="GU140" s="415"/>
      <c r="GV140" s="415"/>
      <c r="GW140" s="415"/>
      <c r="GX140" s="415"/>
      <c r="GY140" s="415"/>
      <c r="GZ140" s="415"/>
      <c r="HA140" s="415"/>
      <c r="HB140" s="415"/>
      <c r="HC140" s="415"/>
      <c r="HD140" s="415"/>
      <c r="HE140" s="415"/>
      <c r="HF140" s="415"/>
      <c r="HG140" s="415"/>
      <c r="HH140" s="415"/>
      <c r="HI140" s="415"/>
      <c r="HJ140" s="415"/>
      <c r="HK140" s="415"/>
      <c r="HL140" s="415"/>
      <c r="HM140" s="415"/>
      <c r="HN140" s="415"/>
      <c r="HO140" s="415"/>
      <c r="HP140" s="415"/>
      <c r="HQ140" s="415"/>
      <c r="HR140" s="415"/>
      <c r="HS140" s="415"/>
      <c r="HT140" s="415"/>
      <c r="HU140" s="415"/>
      <c r="HV140" s="415"/>
      <c r="HW140" s="415"/>
      <c r="HX140" s="415"/>
      <c r="HY140" s="415"/>
      <c r="HZ140" s="415"/>
      <c r="IA140" s="415"/>
      <c r="IB140" s="415"/>
      <c r="IC140" s="415"/>
      <c r="ID140" s="415"/>
      <c r="IE140" s="415"/>
      <c r="IF140" s="415"/>
      <c r="IG140" s="415"/>
      <c r="IH140" s="415"/>
      <c r="II140" s="415"/>
      <c r="IJ140" s="415"/>
      <c r="IK140" s="415"/>
      <c r="IL140" s="415"/>
      <c r="IM140" s="415"/>
      <c r="IN140" s="415"/>
      <c r="IO140" s="415"/>
      <c r="IP140" s="415"/>
      <c r="IQ140" s="415"/>
      <c r="IR140" s="415"/>
      <c r="IS140" s="415"/>
      <c r="IT140" s="415"/>
      <c r="IU140" s="415"/>
    </row>
    <row r="141" spans="2:255" ht="18.5">
      <c r="L141" s="761"/>
      <c r="Z141" s="17"/>
      <c r="AA141" s="1109"/>
      <c r="AB141" s="1109"/>
      <c r="AC141" s="1109"/>
      <c r="AD141" s="1109"/>
      <c r="AE141" s="1109"/>
      <c r="AF141" s="1109"/>
      <c r="AG141" s="1109"/>
      <c r="AH141" s="1109"/>
      <c r="AI141" s="109"/>
      <c r="AJ141" s="109"/>
      <c r="AK141" s="110"/>
      <c r="AL141" s="110"/>
      <c r="AP141" s="415"/>
      <c r="AQ141" s="415"/>
      <c r="AR141" s="415"/>
      <c r="AS141" s="415"/>
      <c r="AT141" s="415"/>
      <c r="AU141" s="415"/>
      <c r="AV141" s="415"/>
      <c r="AW141" s="415"/>
      <c r="AX141" s="415"/>
      <c r="AY141" s="415"/>
      <c r="AZ141" s="415"/>
      <c r="BA141" s="415"/>
      <c r="BB141" s="415"/>
      <c r="BC141" s="415"/>
      <c r="BD141" s="415"/>
      <c r="BE141" s="415"/>
      <c r="BF141" s="415"/>
      <c r="BG141" s="415"/>
      <c r="BH141" s="415"/>
      <c r="BI141" s="415"/>
      <c r="BJ141" s="415"/>
      <c r="BK141" s="415"/>
      <c r="BL141" s="415"/>
      <c r="BM141" s="415"/>
      <c r="BN141" s="415"/>
      <c r="BO141" s="415"/>
      <c r="BP141" s="415"/>
      <c r="BQ141" s="415"/>
      <c r="BR141" s="415"/>
      <c r="BS141" s="415"/>
      <c r="BT141" s="415"/>
      <c r="BU141" s="415"/>
      <c r="BV141" s="415"/>
      <c r="BW141" s="415"/>
      <c r="BX141" s="415"/>
      <c r="BY141" s="415"/>
      <c r="BZ141" s="415"/>
      <c r="CA141" s="415"/>
      <c r="CB141" s="415"/>
      <c r="CC141" s="415"/>
      <c r="CD141" s="415"/>
      <c r="CE141" s="415"/>
      <c r="CF141" s="415"/>
      <c r="CG141" s="415"/>
      <c r="CH141" s="415"/>
      <c r="CI141" s="415"/>
      <c r="CJ141" s="415"/>
      <c r="CK141" s="415"/>
      <c r="CL141" s="415"/>
      <c r="CM141" s="415"/>
      <c r="CN141" s="415"/>
      <c r="CO141" s="415"/>
      <c r="CP141" s="415"/>
      <c r="CQ141" s="415"/>
      <c r="CR141" s="415"/>
      <c r="CS141" s="415"/>
      <c r="CT141" s="415"/>
      <c r="CU141" s="415"/>
      <c r="CV141" s="415"/>
      <c r="CW141" s="415"/>
      <c r="CX141" s="415"/>
      <c r="CY141" s="415"/>
      <c r="CZ141" s="415"/>
      <c r="DA141" s="415"/>
      <c r="DB141" s="415"/>
      <c r="DC141" s="415"/>
      <c r="DD141" s="415"/>
      <c r="DE141" s="415"/>
      <c r="DF141" s="415"/>
      <c r="DG141" s="415"/>
      <c r="DH141" s="415"/>
      <c r="DI141" s="415"/>
      <c r="DJ141" s="415"/>
      <c r="DK141" s="415"/>
      <c r="DL141" s="415"/>
      <c r="DM141" s="415"/>
      <c r="DN141" s="415"/>
      <c r="DO141" s="415"/>
      <c r="DP141" s="415"/>
      <c r="DQ141" s="415"/>
      <c r="DR141" s="415"/>
      <c r="DS141" s="415"/>
      <c r="DT141" s="415"/>
      <c r="DU141" s="415"/>
      <c r="DV141" s="415"/>
      <c r="DW141" s="415"/>
      <c r="DX141" s="415"/>
      <c r="DY141" s="415"/>
      <c r="DZ141" s="415"/>
      <c r="EA141" s="415"/>
      <c r="EB141" s="415"/>
      <c r="EC141" s="415"/>
      <c r="ED141" s="415"/>
      <c r="EE141" s="415"/>
      <c r="EF141" s="415"/>
      <c r="EG141" s="415"/>
      <c r="EH141" s="415"/>
      <c r="EI141" s="415"/>
      <c r="EJ141" s="415"/>
      <c r="EK141" s="415"/>
      <c r="EL141" s="415"/>
      <c r="EM141" s="415"/>
      <c r="EN141" s="415"/>
      <c r="EO141" s="415"/>
      <c r="EP141" s="415"/>
      <c r="EQ141" s="415"/>
      <c r="ER141" s="415"/>
      <c r="ES141" s="415"/>
      <c r="ET141" s="415"/>
      <c r="EU141" s="415"/>
      <c r="EV141" s="415"/>
      <c r="EW141" s="415"/>
      <c r="EX141" s="415"/>
      <c r="EY141" s="415"/>
      <c r="EZ141" s="415"/>
      <c r="FA141" s="415"/>
      <c r="FB141" s="415"/>
      <c r="FC141" s="415"/>
      <c r="FD141" s="415"/>
      <c r="FE141" s="415"/>
      <c r="FF141" s="415"/>
      <c r="FG141" s="415"/>
      <c r="FH141" s="415"/>
      <c r="FI141" s="415"/>
      <c r="FJ141" s="415"/>
      <c r="FK141" s="415"/>
      <c r="FL141" s="415"/>
      <c r="FM141" s="415"/>
      <c r="FN141" s="415"/>
      <c r="FO141" s="415"/>
      <c r="FP141" s="415"/>
      <c r="FQ141" s="415"/>
      <c r="FR141" s="415"/>
      <c r="FS141" s="415"/>
      <c r="FT141" s="415"/>
      <c r="FU141" s="415"/>
      <c r="FV141" s="415"/>
      <c r="FW141" s="415"/>
      <c r="FX141" s="415"/>
      <c r="FY141" s="415"/>
      <c r="FZ141" s="415"/>
      <c r="GA141" s="415"/>
      <c r="GB141" s="415"/>
      <c r="GC141" s="415"/>
      <c r="GD141" s="415"/>
      <c r="GE141" s="415"/>
      <c r="GF141" s="415"/>
      <c r="GG141" s="415"/>
      <c r="GH141" s="415"/>
      <c r="GI141" s="415"/>
      <c r="GJ141" s="415"/>
      <c r="GK141" s="415"/>
      <c r="GL141" s="415"/>
      <c r="GM141" s="415"/>
      <c r="GN141" s="415"/>
      <c r="GO141" s="415"/>
      <c r="GP141" s="415"/>
      <c r="GQ141" s="415"/>
      <c r="GR141" s="415"/>
      <c r="GS141" s="415"/>
      <c r="GT141" s="415"/>
      <c r="GU141" s="415"/>
      <c r="GV141" s="415"/>
      <c r="GW141" s="415"/>
      <c r="GX141" s="415"/>
      <c r="GY141" s="415"/>
      <c r="GZ141" s="415"/>
      <c r="HA141" s="415"/>
      <c r="HB141" s="415"/>
      <c r="HC141" s="415"/>
      <c r="HD141" s="415"/>
      <c r="HE141" s="415"/>
      <c r="HF141" s="415"/>
      <c r="HG141" s="415"/>
      <c r="HH141" s="415"/>
      <c r="HI141" s="415"/>
      <c r="HJ141" s="415"/>
      <c r="HK141" s="415"/>
      <c r="HL141" s="415"/>
      <c r="HM141" s="415"/>
      <c r="HN141" s="415"/>
      <c r="HO141" s="415"/>
      <c r="HP141" s="415"/>
      <c r="HQ141" s="415"/>
      <c r="HR141" s="415"/>
      <c r="HS141" s="415"/>
      <c r="HT141" s="415"/>
      <c r="HU141" s="415"/>
      <c r="HV141" s="415"/>
      <c r="HW141" s="415"/>
      <c r="HX141" s="415"/>
      <c r="HY141" s="415"/>
      <c r="HZ141" s="415"/>
      <c r="IA141" s="415"/>
      <c r="IB141" s="415"/>
      <c r="IC141" s="415"/>
      <c r="ID141" s="415"/>
      <c r="IE141" s="415"/>
      <c r="IF141" s="415"/>
      <c r="IG141" s="415"/>
      <c r="IH141" s="415"/>
      <c r="II141" s="415"/>
      <c r="IJ141" s="415"/>
      <c r="IK141" s="415"/>
      <c r="IL141" s="415"/>
      <c r="IM141" s="415"/>
      <c r="IN141" s="415"/>
      <c r="IO141" s="415"/>
      <c r="IP141" s="415"/>
      <c r="IQ141" s="415"/>
      <c r="IR141" s="415"/>
      <c r="IS141" s="415"/>
      <c r="IT141" s="415"/>
      <c r="IU141" s="415"/>
    </row>
    <row r="142" spans="2:255">
      <c r="L142" s="758"/>
      <c r="Z142" s="17"/>
      <c r="AA142" s="1109"/>
      <c r="AB142" s="1109"/>
      <c r="AC142" s="1109"/>
      <c r="AD142" s="1109"/>
      <c r="AE142" s="1109"/>
      <c r="AF142" s="1109"/>
      <c r="AG142" s="1109"/>
      <c r="AH142" s="1109"/>
      <c r="AI142" s="111"/>
      <c r="AJ142" s="109"/>
      <c r="AK142" s="110"/>
      <c r="AL142" s="110"/>
      <c r="AP142" s="415"/>
      <c r="AQ142" s="415"/>
      <c r="AR142" s="415"/>
      <c r="AS142" s="415"/>
      <c r="AT142" s="415"/>
      <c r="AU142" s="415"/>
      <c r="AV142" s="415"/>
      <c r="AW142" s="415"/>
      <c r="AX142" s="415"/>
      <c r="AY142" s="415"/>
      <c r="AZ142" s="415"/>
      <c r="BA142" s="415"/>
      <c r="BB142" s="415"/>
      <c r="BC142" s="415"/>
      <c r="BD142" s="415"/>
      <c r="BE142" s="415"/>
      <c r="BF142" s="415"/>
      <c r="BG142" s="415"/>
      <c r="BH142" s="415"/>
      <c r="BI142" s="415"/>
      <c r="BJ142" s="415"/>
      <c r="BK142" s="415"/>
      <c r="BL142" s="415"/>
      <c r="BM142" s="415"/>
      <c r="BN142" s="415"/>
      <c r="BO142" s="415"/>
      <c r="BP142" s="415"/>
      <c r="BQ142" s="415"/>
      <c r="BR142" s="415"/>
      <c r="BS142" s="415"/>
      <c r="BT142" s="415"/>
      <c r="BU142" s="415"/>
      <c r="BV142" s="415"/>
      <c r="BW142" s="415"/>
      <c r="BX142" s="415"/>
      <c r="BY142" s="415"/>
      <c r="BZ142" s="415"/>
      <c r="CA142" s="415"/>
      <c r="CB142" s="415"/>
      <c r="CC142" s="415"/>
      <c r="CD142" s="415"/>
      <c r="CE142" s="415"/>
      <c r="CF142" s="415"/>
      <c r="CG142" s="415"/>
      <c r="CH142" s="415"/>
      <c r="CI142" s="415"/>
      <c r="CJ142" s="415"/>
      <c r="CK142" s="415"/>
      <c r="CL142" s="415"/>
      <c r="CM142" s="415"/>
      <c r="CN142" s="415"/>
      <c r="CO142" s="415"/>
      <c r="CP142" s="415"/>
      <c r="CQ142" s="415"/>
      <c r="CR142" s="415"/>
      <c r="CS142" s="415"/>
      <c r="CT142" s="415"/>
      <c r="CU142" s="415"/>
      <c r="CV142" s="415"/>
      <c r="CW142" s="415"/>
      <c r="CX142" s="415"/>
      <c r="CY142" s="415"/>
      <c r="CZ142" s="415"/>
      <c r="DA142" s="415"/>
      <c r="DB142" s="415"/>
      <c r="DC142" s="415"/>
      <c r="DD142" s="415"/>
      <c r="DE142" s="415"/>
      <c r="DF142" s="415"/>
      <c r="DG142" s="415"/>
      <c r="DH142" s="415"/>
      <c r="DI142" s="415"/>
      <c r="DJ142" s="415"/>
      <c r="DK142" s="415"/>
      <c r="DL142" s="415"/>
      <c r="DM142" s="415"/>
      <c r="DN142" s="415"/>
      <c r="DO142" s="415"/>
      <c r="DP142" s="415"/>
      <c r="DQ142" s="415"/>
      <c r="DR142" s="415"/>
      <c r="DS142" s="415"/>
      <c r="DT142" s="415"/>
      <c r="DU142" s="415"/>
      <c r="DV142" s="415"/>
      <c r="DW142" s="415"/>
      <c r="DX142" s="415"/>
      <c r="DY142" s="415"/>
      <c r="DZ142" s="415"/>
      <c r="EA142" s="415"/>
      <c r="EB142" s="415"/>
      <c r="EC142" s="415"/>
      <c r="ED142" s="415"/>
      <c r="EE142" s="415"/>
      <c r="EF142" s="415"/>
      <c r="EG142" s="415"/>
      <c r="EH142" s="415"/>
      <c r="EI142" s="415"/>
      <c r="EJ142" s="415"/>
      <c r="EK142" s="415"/>
      <c r="EL142" s="415"/>
      <c r="EM142" s="415"/>
      <c r="EN142" s="415"/>
      <c r="EO142" s="415"/>
      <c r="EP142" s="415"/>
      <c r="EQ142" s="415"/>
      <c r="ER142" s="415"/>
      <c r="ES142" s="415"/>
      <c r="ET142" s="415"/>
      <c r="EU142" s="415"/>
      <c r="EV142" s="415"/>
      <c r="EW142" s="415"/>
      <c r="EX142" s="415"/>
      <c r="EY142" s="415"/>
      <c r="EZ142" s="415"/>
      <c r="FA142" s="415"/>
      <c r="FB142" s="415"/>
      <c r="FC142" s="415"/>
      <c r="FD142" s="415"/>
      <c r="FE142" s="415"/>
      <c r="FF142" s="415"/>
      <c r="FG142" s="415"/>
      <c r="FH142" s="415"/>
      <c r="FI142" s="415"/>
      <c r="FJ142" s="415"/>
      <c r="FK142" s="415"/>
      <c r="FL142" s="415"/>
      <c r="FM142" s="415"/>
      <c r="FN142" s="415"/>
      <c r="FO142" s="415"/>
      <c r="FP142" s="415"/>
      <c r="FQ142" s="415"/>
      <c r="FR142" s="415"/>
      <c r="FS142" s="415"/>
      <c r="FT142" s="415"/>
      <c r="FU142" s="415"/>
      <c r="FV142" s="415"/>
      <c r="FW142" s="415"/>
      <c r="FX142" s="415"/>
      <c r="FY142" s="415"/>
      <c r="FZ142" s="415"/>
      <c r="GA142" s="415"/>
      <c r="GB142" s="415"/>
      <c r="GC142" s="415"/>
      <c r="GD142" s="415"/>
      <c r="GE142" s="415"/>
      <c r="GF142" s="415"/>
      <c r="GG142" s="415"/>
      <c r="GH142" s="415"/>
      <c r="GI142" s="415"/>
      <c r="GJ142" s="415"/>
      <c r="GK142" s="415"/>
      <c r="GL142" s="415"/>
      <c r="GM142" s="415"/>
      <c r="GN142" s="415"/>
      <c r="GO142" s="415"/>
      <c r="GP142" s="415"/>
      <c r="GQ142" s="415"/>
      <c r="GR142" s="415"/>
      <c r="GS142" s="415"/>
      <c r="GT142" s="415"/>
      <c r="GU142" s="415"/>
      <c r="GV142" s="415"/>
      <c r="GW142" s="415"/>
      <c r="GX142" s="415"/>
      <c r="GY142" s="415"/>
      <c r="GZ142" s="415"/>
      <c r="HA142" s="415"/>
      <c r="HB142" s="415"/>
      <c r="HC142" s="415"/>
      <c r="HD142" s="415"/>
      <c r="HE142" s="415"/>
      <c r="HF142" s="415"/>
      <c r="HG142" s="415"/>
      <c r="HH142" s="415"/>
      <c r="HI142" s="415"/>
      <c r="HJ142" s="415"/>
      <c r="HK142" s="415"/>
      <c r="HL142" s="415"/>
      <c r="HM142" s="415"/>
      <c r="HN142" s="415"/>
      <c r="HO142" s="415"/>
      <c r="HP142" s="415"/>
      <c r="HQ142" s="415"/>
      <c r="HR142" s="415"/>
      <c r="HS142" s="415"/>
      <c r="HT142" s="415"/>
      <c r="HU142" s="415"/>
      <c r="HV142" s="415"/>
      <c r="HW142" s="415"/>
      <c r="HX142" s="415"/>
      <c r="HY142" s="415"/>
      <c r="HZ142" s="415"/>
      <c r="IA142" s="415"/>
      <c r="IB142" s="415"/>
      <c r="IC142" s="415"/>
      <c r="ID142" s="415"/>
      <c r="IE142" s="415"/>
      <c r="IF142" s="415"/>
      <c r="IG142" s="415"/>
      <c r="IH142" s="415"/>
      <c r="II142" s="415"/>
      <c r="IJ142" s="415"/>
      <c r="IK142" s="415"/>
      <c r="IL142" s="415"/>
      <c r="IM142" s="415"/>
      <c r="IN142" s="415"/>
      <c r="IO142" s="415"/>
      <c r="IP142" s="415"/>
      <c r="IQ142" s="415"/>
      <c r="IR142" s="415"/>
      <c r="IS142" s="415"/>
      <c r="IT142" s="415"/>
      <c r="IU142" s="415"/>
    </row>
    <row r="143" spans="2:255">
      <c r="Z143" s="17"/>
      <c r="AA143" s="17"/>
      <c r="AB143" s="17"/>
      <c r="AC143" s="17"/>
      <c r="AD143" s="17"/>
      <c r="AE143" s="113"/>
      <c r="AF143" s="113"/>
      <c r="AG143" s="113"/>
      <c r="AH143" s="17"/>
      <c r="AI143" s="17"/>
      <c r="AJ143" s="17"/>
      <c r="AK143" s="17"/>
      <c r="AL143" s="17"/>
      <c r="AP143" s="415"/>
      <c r="AQ143" s="415"/>
      <c r="AR143" s="415"/>
      <c r="AS143" s="415"/>
      <c r="AT143" s="415"/>
      <c r="AU143" s="415"/>
      <c r="AV143" s="415"/>
      <c r="AW143" s="415"/>
      <c r="AX143" s="415"/>
      <c r="AY143" s="415"/>
      <c r="AZ143" s="415"/>
      <c r="BA143" s="415"/>
      <c r="BB143" s="415"/>
      <c r="BC143" s="415"/>
      <c r="BD143" s="415"/>
      <c r="BE143" s="415"/>
      <c r="BF143" s="415"/>
      <c r="BG143" s="415"/>
      <c r="BH143" s="415"/>
      <c r="BI143" s="415"/>
      <c r="BJ143" s="415"/>
      <c r="BK143" s="415"/>
      <c r="BL143" s="415"/>
      <c r="BM143" s="415"/>
      <c r="BN143" s="415"/>
      <c r="BO143" s="415"/>
      <c r="BP143" s="415"/>
      <c r="BQ143" s="415"/>
      <c r="BR143" s="415"/>
      <c r="BS143" s="415"/>
      <c r="BT143" s="415"/>
      <c r="BU143" s="415"/>
      <c r="BV143" s="415"/>
      <c r="BW143" s="415"/>
      <c r="BX143" s="415"/>
      <c r="BY143" s="415"/>
      <c r="BZ143" s="415"/>
      <c r="CA143" s="415"/>
      <c r="CB143" s="415"/>
      <c r="CC143" s="415"/>
      <c r="CD143" s="415"/>
      <c r="CE143" s="415"/>
      <c r="CF143" s="415"/>
      <c r="CG143" s="415"/>
      <c r="CH143" s="415"/>
      <c r="CI143" s="415"/>
      <c r="CJ143" s="415"/>
      <c r="CK143" s="415"/>
      <c r="CL143" s="415"/>
      <c r="CM143" s="415"/>
      <c r="CN143" s="415"/>
      <c r="CO143" s="415"/>
      <c r="CP143" s="415"/>
      <c r="CQ143" s="415"/>
      <c r="CR143" s="415"/>
      <c r="CS143" s="415"/>
      <c r="CT143" s="415"/>
      <c r="CU143" s="415"/>
      <c r="CV143" s="415"/>
      <c r="CW143" s="415"/>
      <c r="CX143" s="415"/>
      <c r="CY143" s="415"/>
      <c r="CZ143" s="415"/>
      <c r="DA143" s="415"/>
      <c r="DB143" s="415"/>
      <c r="DC143" s="415"/>
      <c r="DD143" s="415"/>
      <c r="DE143" s="415"/>
      <c r="DF143" s="415"/>
      <c r="DG143" s="415"/>
      <c r="DH143" s="415"/>
      <c r="DI143" s="415"/>
      <c r="DJ143" s="415"/>
      <c r="DK143" s="415"/>
      <c r="DL143" s="415"/>
      <c r="DM143" s="415"/>
      <c r="DN143" s="415"/>
      <c r="DO143" s="415"/>
      <c r="DP143" s="415"/>
      <c r="DQ143" s="415"/>
      <c r="DR143" s="415"/>
      <c r="DS143" s="415"/>
      <c r="DT143" s="415"/>
      <c r="DU143" s="415"/>
      <c r="DV143" s="415"/>
      <c r="DW143" s="415"/>
      <c r="DX143" s="415"/>
      <c r="DY143" s="415"/>
      <c r="DZ143" s="415"/>
      <c r="EA143" s="415"/>
      <c r="EB143" s="415"/>
      <c r="EC143" s="415"/>
      <c r="ED143" s="415"/>
      <c r="EE143" s="415"/>
      <c r="EF143" s="415"/>
      <c r="EG143" s="415"/>
      <c r="EH143" s="415"/>
      <c r="EI143" s="415"/>
      <c r="EJ143" s="415"/>
      <c r="EK143" s="415"/>
      <c r="EL143" s="415"/>
      <c r="EM143" s="415"/>
      <c r="EN143" s="415"/>
      <c r="EO143" s="415"/>
      <c r="EP143" s="415"/>
      <c r="EQ143" s="415"/>
      <c r="ER143" s="415"/>
      <c r="ES143" s="415"/>
      <c r="ET143" s="415"/>
      <c r="EU143" s="415"/>
      <c r="EV143" s="415"/>
      <c r="EW143" s="415"/>
      <c r="EX143" s="415"/>
      <c r="EY143" s="415"/>
      <c r="EZ143" s="415"/>
      <c r="FA143" s="415"/>
      <c r="FB143" s="415"/>
      <c r="FC143" s="415"/>
      <c r="FD143" s="415"/>
      <c r="FE143" s="415"/>
      <c r="FF143" s="415"/>
      <c r="FG143" s="415"/>
      <c r="FH143" s="415"/>
      <c r="FI143" s="415"/>
      <c r="FJ143" s="415"/>
      <c r="FK143" s="415"/>
      <c r="FL143" s="415"/>
      <c r="FM143" s="415"/>
      <c r="FN143" s="415"/>
      <c r="FO143" s="415"/>
      <c r="FP143" s="415"/>
      <c r="FQ143" s="415"/>
      <c r="FR143" s="415"/>
      <c r="FS143" s="415"/>
      <c r="FT143" s="415"/>
      <c r="FU143" s="415"/>
      <c r="FV143" s="415"/>
      <c r="FW143" s="415"/>
      <c r="FX143" s="415"/>
      <c r="FY143" s="415"/>
      <c r="FZ143" s="415"/>
      <c r="GA143" s="415"/>
      <c r="GB143" s="415"/>
      <c r="GC143" s="415"/>
      <c r="GD143" s="415"/>
      <c r="GE143" s="415"/>
      <c r="GF143" s="415"/>
      <c r="GG143" s="415"/>
      <c r="GH143" s="415"/>
      <c r="GI143" s="415"/>
      <c r="GJ143" s="415"/>
      <c r="GK143" s="415"/>
      <c r="GL143" s="415"/>
      <c r="GM143" s="415"/>
      <c r="GN143" s="415"/>
      <c r="GO143" s="415"/>
      <c r="GP143" s="415"/>
      <c r="GQ143" s="415"/>
      <c r="GR143" s="415"/>
      <c r="GS143" s="415"/>
      <c r="GT143" s="415"/>
      <c r="GU143" s="415"/>
      <c r="GV143" s="415"/>
      <c r="GW143" s="415"/>
      <c r="GX143" s="415"/>
      <c r="GY143" s="415"/>
      <c r="GZ143" s="415"/>
      <c r="HA143" s="415"/>
      <c r="HB143" s="415"/>
      <c r="HC143" s="415"/>
      <c r="HD143" s="415"/>
      <c r="HE143" s="415"/>
      <c r="HF143" s="415"/>
      <c r="HG143" s="415"/>
      <c r="HH143" s="415"/>
      <c r="HI143" s="415"/>
      <c r="HJ143" s="415"/>
      <c r="HK143" s="415"/>
      <c r="HL143" s="415"/>
      <c r="HM143" s="415"/>
      <c r="HN143" s="415"/>
      <c r="HO143" s="415"/>
      <c r="HP143" s="415"/>
      <c r="HQ143" s="415"/>
      <c r="HR143" s="415"/>
      <c r="HS143" s="415"/>
      <c r="HT143" s="415"/>
      <c r="HU143" s="415"/>
      <c r="HV143" s="415"/>
      <c r="HW143" s="415"/>
      <c r="HX143" s="415"/>
      <c r="HY143" s="415"/>
      <c r="HZ143" s="415"/>
      <c r="IA143" s="415"/>
      <c r="IB143" s="415"/>
      <c r="IC143" s="415"/>
      <c r="ID143" s="415"/>
      <c r="IE143" s="415"/>
      <c r="IF143" s="415"/>
      <c r="IG143" s="415"/>
      <c r="IH143" s="415"/>
      <c r="II143" s="415"/>
      <c r="IJ143" s="415"/>
      <c r="IK143" s="415"/>
      <c r="IL143" s="415"/>
      <c r="IM143" s="415"/>
      <c r="IN143" s="415"/>
      <c r="IO143" s="415"/>
      <c r="IP143" s="415"/>
      <c r="IQ143" s="415"/>
      <c r="IR143" s="415"/>
      <c r="IS143" s="415"/>
      <c r="IT143" s="415"/>
      <c r="IU143" s="415"/>
    </row>
    <row r="144" spans="2:255" ht="18.5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AA144" s="1110"/>
      <c r="AB144" s="1110"/>
      <c r="AC144" s="1110"/>
      <c r="AD144" s="32"/>
      <c r="AE144" s="15"/>
      <c r="AF144" s="15"/>
      <c r="AG144" s="15"/>
      <c r="AJ144" s="106"/>
      <c r="AK144" s="1097"/>
      <c r="AL144" s="1097"/>
      <c r="AP144" s="415"/>
      <c r="AQ144" s="415"/>
      <c r="AR144" s="415"/>
      <c r="AS144" s="415"/>
      <c r="AT144" s="415"/>
      <c r="AU144" s="415"/>
      <c r="AV144" s="415"/>
      <c r="AW144" s="415"/>
      <c r="AX144" s="415"/>
      <c r="AY144" s="415"/>
      <c r="AZ144" s="415"/>
      <c r="BA144" s="415"/>
      <c r="BB144" s="415"/>
      <c r="BC144" s="415"/>
      <c r="BD144" s="415"/>
      <c r="BE144" s="415"/>
      <c r="BF144" s="415"/>
      <c r="BG144" s="415"/>
      <c r="BH144" s="415"/>
      <c r="BI144" s="415"/>
      <c r="BJ144" s="415"/>
      <c r="BK144" s="415"/>
      <c r="BL144" s="415"/>
      <c r="BM144" s="415"/>
      <c r="BN144" s="415"/>
      <c r="BO144" s="415"/>
      <c r="BP144" s="415"/>
      <c r="BQ144" s="415"/>
      <c r="BR144" s="415"/>
      <c r="BS144" s="415"/>
      <c r="BT144" s="415"/>
      <c r="BU144" s="415"/>
      <c r="BV144" s="415"/>
      <c r="BW144" s="415"/>
      <c r="BX144" s="415"/>
      <c r="BY144" s="415"/>
      <c r="BZ144" s="415"/>
      <c r="CA144" s="415"/>
      <c r="CB144" s="415"/>
      <c r="CC144" s="415"/>
      <c r="CD144" s="415"/>
      <c r="CE144" s="415"/>
      <c r="CF144" s="415"/>
      <c r="CG144" s="415"/>
      <c r="CH144" s="415"/>
      <c r="CI144" s="415"/>
      <c r="CJ144" s="415"/>
      <c r="CK144" s="415"/>
      <c r="CL144" s="415"/>
      <c r="CM144" s="415"/>
      <c r="CN144" s="415"/>
      <c r="CO144" s="415"/>
      <c r="CP144" s="415"/>
      <c r="CQ144" s="415"/>
      <c r="CR144" s="415"/>
      <c r="CS144" s="415"/>
      <c r="CT144" s="415"/>
      <c r="CU144" s="415"/>
      <c r="CV144" s="415"/>
      <c r="CW144" s="415"/>
      <c r="CX144" s="415"/>
      <c r="CY144" s="415"/>
      <c r="CZ144" s="415"/>
      <c r="DA144" s="415"/>
      <c r="DB144" s="415"/>
      <c r="DC144" s="415"/>
      <c r="DD144" s="415"/>
      <c r="DE144" s="415"/>
      <c r="DF144" s="415"/>
      <c r="DG144" s="415"/>
      <c r="DH144" s="415"/>
      <c r="DI144" s="415"/>
      <c r="DJ144" s="415"/>
      <c r="DK144" s="415"/>
      <c r="DL144" s="415"/>
      <c r="DM144" s="415"/>
      <c r="DN144" s="415"/>
      <c r="DO144" s="415"/>
      <c r="DP144" s="415"/>
      <c r="DQ144" s="415"/>
      <c r="DR144" s="415"/>
      <c r="DS144" s="415"/>
      <c r="DT144" s="415"/>
      <c r="DU144" s="415"/>
      <c r="DV144" s="415"/>
      <c r="DW144" s="415"/>
      <c r="DX144" s="415"/>
      <c r="DY144" s="415"/>
      <c r="DZ144" s="415"/>
      <c r="EA144" s="415"/>
      <c r="EB144" s="415"/>
      <c r="EC144" s="415"/>
      <c r="ED144" s="415"/>
      <c r="EE144" s="415"/>
      <c r="EF144" s="415"/>
      <c r="EG144" s="415"/>
      <c r="EH144" s="415"/>
      <c r="EI144" s="415"/>
      <c r="EJ144" s="415"/>
      <c r="EK144" s="415"/>
      <c r="EL144" s="415"/>
      <c r="EM144" s="415"/>
      <c r="EN144" s="415"/>
      <c r="EO144" s="415"/>
      <c r="EP144" s="415"/>
      <c r="EQ144" s="415"/>
      <c r="ER144" s="415"/>
      <c r="ES144" s="415"/>
      <c r="ET144" s="415"/>
      <c r="EU144" s="415"/>
      <c r="EV144" s="415"/>
      <c r="EW144" s="415"/>
      <c r="EX144" s="415"/>
      <c r="EY144" s="415"/>
      <c r="EZ144" s="415"/>
      <c r="FA144" s="415"/>
      <c r="FB144" s="415"/>
      <c r="FC144" s="415"/>
      <c r="FD144" s="415"/>
      <c r="FE144" s="415"/>
      <c r="FF144" s="415"/>
      <c r="FG144" s="415"/>
      <c r="FH144" s="415"/>
      <c r="FI144" s="415"/>
      <c r="FJ144" s="415"/>
      <c r="FK144" s="415"/>
      <c r="FL144" s="415"/>
      <c r="FM144" s="415"/>
      <c r="FN144" s="415"/>
      <c r="FO144" s="415"/>
      <c r="FP144" s="415"/>
      <c r="FQ144" s="415"/>
      <c r="FR144" s="415"/>
      <c r="FS144" s="415"/>
      <c r="FT144" s="415"/>
      <c r="FU144" s="415"/>
      <c r="FV144" s="415"/>
      <c r="FW144" s="415"/>
      <c r="FX144" s="415"/>
      <c r="FY144" s="415"/>
      <c r="FZ144" s="415"/>
      <c r="GA144" s="415"/>
      <c r="GB144" s="415"/>
      <c r="GC144" s="415"/>
      <c r="GD144" s="415"/>
      <c r="GE144" s="415"/>
      <c r="GF144" s="415"/>
      <c r="GG144" s="415"/>
      <c r="GH144" s="415"/>
      <c r="GI144" s="415"/>
      <c r="GJ144" s="415"/>
      <c r="GK144" s="415"/>
      <c r="GL144" s="415"/>
      <c r="GM144" s="415"/>
      <c r="GN144" s="415"/>
      <c r="GO144" s="415"/>
      <c r="GP144" s="415"/>
      <c r="GQ144" s="415"/>
      <c r="GR144" s="415"/>
      <c r="GS144" s="415"/>
      <c r="GT144" s="415"/>
      <c r="GU144" s="415"/>
      <c r="GV144" s="415"/>
      <c r="GW144" s="415"/>
      <c r="GX144" s="415"/>
      <c r="GY144" s="415"/>
      <c r="GZ144" s="415"/>
      <c r="HA144" s="415"/>
      <c r="HB144" s="415"/>
      <c r="HC144" s="415"/>
      <c r="HD144" s="415"/>
      <c r="HE144" s="415"/>
      <c r="HF144" s="415"/>
      <c r="HG144" s="415"/>
      <c r="HH144" s="415"/>
      <c r="HI144" s="415"/>
      <c r="HJ144" s="415"/>
      <c r="HK144" s="415"/>
      <c r="HL144" s="415"/>
      <c r="HM144" s="415"/>
      <c r="HN144" s="415"/>
      <c r="HO144" s="415"/>
      <c r="HP144" s="415"/>
      <c r="HQ144" s="415"/>
      <c r="HR144" s="415"/>
      <c r="HS144" s="415"/>
      <c r="HT144" s="415"/>
      <c r="HU144" s="415"/>
      <c r="HV144" s="415"/>
      <c r="HW144" s="415"/>
      <c r="HX144" s="415"/>
      <c r="HY144" s="415"/>
      <c r="HZ144" s="415"/>
      <c r="IA144" s="415"/>
      <c r="IB144" s="415"/>
      <c r="IC144" s="415"/>
      <c r="ID144" s="415"/>
      <c r="IE144" s="415"/>
      <c r="IF144" s="415"/>
      <c r="IG144" s="415"/>
      <c r="IH144" s="415"/>
      <c r="II144" s="415"/>
      <c r="IJ144" s="415"/>
      <c r="IK144" s="415"/>
      <c r="IL144" s="415"/>
      <c r="IM144" s="415"/>
      <c r="IN144" s="415"/>
      <c r="IO144" s="415"/>
      <c r="IP144" s="415"/>
      <c r="IQ144" s="415"/>
      <c r="IR144" s="415"/>
      <c r="IS144" s="415"/>
      <c r="IT144" s="415"/>
      <c r="IU144" s="415"/>
    </row>
    <row r="145" spans="2:41" s="415" customFormat="1" ht="18.5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110"/>
      <c r="AB145" s="1110"/>
      <c r="AC145" s="1110"/>
      <c r="AD145" s="32"/>
      <c r="AE145" s="15"/>
      <c r="AF145" s="15"/>
      <c r="AG145" s="15"/>
      <c r="AH145" s="16"/>
      <c r="AI145" s="16"/>
      <c r="AJ145" s="106"/>
      <c r="AK145" s="1097"/>
      <c r="AL145" s="1097"/>
      <c r="AM145" s="16"/>
      <c r="AN145" s="16"/>
      <c r="AO145" s="16"/>
    </row>
    <row r="146" spans="2:41" s="415" customFormat="1" ht="18.5">
      <c r="B146" s="29"/>
      <c r="C146" s="756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110"/>
      <c r="AB146" s="1110"/>
      <c r="AC146" s="1110"/>
      <c r="AD146" s="11"/>
      <c r="AE146" s="16"/>
      <c r="AF146" s="16"/>
      <c r="AG146" s="16"/>
      <c r="AH146" s="16"/>
      <c r="AI146" s="16"/>
      <c r="AJ146" s="8"/>
      <c r="AK146" s="1097"/>
      <c r="AL146" s="1097"/>
      <c r="AM146" s="16"/>
      <c r="AN146" s="16"/>
      <c r="AO146" s="16"/>
    </row>
    <row r="147" spans="2:41" s="415" customFormat="1" ht="18.5">
      <c r="B147" s="29"/>
      <c r="C147" s="29"/>
      <c r="D147" s="29"/>
      <c r="E147" s="29"/>
      <c r="F147" s="29"/>
      <c r="G147" s="29"/>
      <c r="H147" s="29" t="s">
        <v>250</v>
      </c>
      <c r="I147" s="29"/>
      <c r="J147" s="29"/>
      <c r="K147" s="29"/>
      <c r="L147" s="29"/>
      <c r="M147" s="29"/>
      <c r="N147" s="29"/>
      <c r="O147" s="29"/>
      <c r="P147" s="29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110"/>
      <c r="AB147" s="1110"/>
      <c r="AC147" s="1110"/>
      <c r="AD147" s="758"/>
      <c r="AE147" s="17"/>
      <c r="AF147" s="17"/>
      <c r="AG147" s="744"/>
      <c r="AH147" s="744"/>
      <c r="AI147" s="16"/>
      <c r="AJ147" s="8"/>
      <c r="AK147" s="1097"/>
      <c r="AL147" s="1097"/>
      <c r="AM147" s="16"/>
      <c r="AN147" s="16"/>
      <c r="AO147" s="16"/>
    </row>
    <row r="148" spans="2:41" s="415" customFormat="1" ht="18.5" outlineLevel="1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110"/>
      <c r="AB148" s="1110"/>
      <c r="AC148" s="1110"/>
      <c r="AD148" s="758"/>
      <c r="AE148" s="17"/>
      <c r="AF148" s="17"/>
      <c r="AG148" s="744"/>
      <c r="AH148" s="744"/>
      <c r="AI148" s="16"/>
      <c r="AJ148" s="32"/>
      <c r="AK148" s="1097"/>
      <c r="AL148" s="1097"/>
      <c r="AM148" s="16"/>
      <c r="AN148" s="16"/>
      <c r="AO148" s="16"/>
    </row>
    <row r="149" spans="2:41" s="415" customFormat="1">
      <c r="B149" s="29"/>
      <c r="C149" s="29"/>
      <c r="D149" s="29"/>
      <c r="E149" s="29"/>
      <c r="F149" s="29"/>
      <c r="G149" s="29"/>
      <c r="H149" s="29"/>
      <c r="I149" s="31"/>
      <c r="J149" s="29"/>
      <c r="K149" s="29"/>
      <c r="L149" s="29"/>
      <c r="M149" s="29"/>
      <c r="N149" s="29"/>
      <c r="O149" s="29"/>
      <c r="P149" s="29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110"/>
      <c r="AB149" s="1110"/>
      <c r="AC149" s="1110"/>
      <c r="AD149" s="32"/>
      <c r="AE149" s="17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2:41" s="415" customFormat="1" hidden="1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110"/>
      <c r="AB150" s="1110"/>
      <c r="AC150" s="1110"/>
      <c r="AD150" s="32"/>
      <c r="AE150" s="17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2:41" s="415" customFormat="1">
      <c r="B151" s="29"/>
      <c r="C151" s="29"/>
      <c r="D151" s="112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110"/>
      <c r="AB151" s="1110"/>
      <c r="AC151" s="1110"/>
      <c r="AD151" s="32"/>
      <c r="AE151" s="17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2:41" s="415" customFormat="1">
      <c r="B152" s="29"/>
      <c r="C152" s="756"/>
      <c r="D152" s="112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2:41" s="415" customFormat="1">
      <c r="B153" s="29"/>
      <c r="C153" s="756"/>
      <c r="D153" s="112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2:41" s="415" customFormat="1">
      <c r="B154" s="29"/>
      <c r="C154" s="756"/>
      <c r="D154" s="112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2:41" s="415" customFormat="1">
      <c r="B155" s="29"/>
      <c r="C155" s="756"/>
      <c r="D155" s="112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2:41" s="415" customFormat="1">
      <c r="B156" s="29"/>
      <c r="C156" s="756"/>
      <c r="D156" s="112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2:41" s="415" customFormat="1">
      <c r="B157" s="29"/>
      <c r="C157" s="756"/>
      <c r="D157" s="112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2:41" s="415" customFormat="1">
      <c r="B158" s="29"/>
      <c r="C158" s="757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2:41" s="415" customFormat="1">
      <c r="B159" s="29"/>
      <c r="C159" s="757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2:41" s="415" customFormat="1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3" spans="2:255"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X163" s="415"/>
      <c r="Y163" s="415"/>
      <c r="Z163" s="415"/>
      <c r="AA163" s="415"/>
      <c r="AB163" s="415"/>
      <c r="AC163" s="415"/>
      <c r="AD163" s="415"/>
      <c r="AE163" s="415"/>
      <c r="AF163" s="415"/>
      <c r="AG163" s="415"/>
      <c r="AH163" s="415"/>
      <c r="AI163" s="415"/>
      <c r="AJ163" s="415"/>
      <c r="AK163" s="415"/>
      <c r="AL163" s="415"/>
      <c r="AM163" s="415"/>
      <c r="AN163" s="415"/>
      <c r="AO163" s="415"/>
      <c r="AP163" s="415"/>
      <c r="AQ163" s="415"/>
      <c r="AR163" s="415"/>
      <c r="AS163" s="415"/>
      <c r="AT163" s="415"/>
      <c r="AU163" s="415"/>
      <c r="AV163" s="415"/>
      <c r="AW163" s="415"/>
      <c r="AX163" s="415"/>
      <c r="AY163" s="415"/>
      <c r="AZ163" s="415"/>
      <c r="BA163" s="415"/>
      <c r="BB163" s="415"/>
      <c r="BC163" s="415"/>
      <c r="BD163" s="415"/>
      <c r="BE163" s="415"/>
      <c r="BF163" s="415"/>
      <c r="BG163" s="415"/>
      <c r="BH163" s="415"/>
      <c r="BI163" s="415"/>
      <c r="BJ163" s="415"/>
      <c r="BK163" s="415"/>
      <c r="BL163" s="415"/>
      <c r="BM163" s="415"/>
      <c r="BN163" s="415"/>
      <c r="BO163" s="415"/>
      <c r="BP163" s="415"/>
      <c r="BQ163" s="415"/>
      <c r="BR163" s="415"/>
      <c r="BS163" s="415"/>
      <c r="BT163" s="415"/>
      <c r="BU163" s="415"/>
      <c r="BV163" s="415"/>
      <c r="BW163" s="415"/>
      <c r="BX163" s="415"/>
      <c r="BY163" s="415"/>
      <c r="BZ163" s="415"/>
      <c r="CA163" s="415"/>
      <c r="CB163" s="415"/>
      <c r="CC163" s="415"/>
      <c r="CD163" s="415"/>
      <c r="CE163" s="415"/>
      <c r="CF163" s="415"/>
      <c r="CG163" s="415"/>
      <c r="CH163" s="415"/>
      <c r="CI163" s="415"/>
      <c r="CJ163" s="415"/>
      <c r="CK163" s="415"/>
      <c r="CL163" s="415"/>
      <c r="CM163" s="415"/>
      <c r="CN163" s="415"/>
      <c r="CO163" s="415"/>
      <c r="CP163" s="415"/>
      <c r="CQ163" s="415"/>
      <c r="CR163" s="415"/>
      <c r="CS163" s="415"/>
      <c r="CT163" s="415"/>
      <c r="CU163" s="415"/>
      <c r="CV163" s="415"/>
      <c r="CW163" s="415"/>
      <c r="CX163" s="415"/>
      <c r="CY163" s="415"/>
      <c r="CZ163" s="415"/>
      <c r="DA163" s="415"/>
      <c r="DB163" s="415"/>
      <c r="DC163" s="415"/>
      <c r="DD163" s="415"/>
      <c r="DE163" s="415"/>
      <c r="DF163" s="415"/>
      <c r="DG163" s="415"/>
      <c r="DH163" s="415"/>
      <c r="DI163" s="415"/>
      <c r="DJ163" s="415"/>
      <c r="DK163" s="415"/>
      <c r="DL163" s="415"/>
      <c r="DM163" s="415"/>
      <c r="DN163" s="415"/>
      <c r="DO163" s="415"/>
      <c r="DP163" s="415"/>
      <c r="DQ163" s="415"/>
      <c r="DR163" s="415"/>
      <c r="DS163" s="415"/>
      <c r="DT163" s="415"/>
      <c r="DU163" s="415"/>
      <c r="DV163" s="415"/>
      <c r="DW163" s="415"/>
      <c r="DX163" s="415"/>
      <c r="DY163" s="415"/>
      <c r="DZ163" s="415"/>
      <c r="EA163" s="415"/>
      <c r="EB163" s="415"/>
      <c r="EC163" s="415"/>
      <c r="ED163" s="415"/>
      <c r="EE163" s="415"/>
      <c r="EF163" s="415"/>
      <c r="EG163" s="415"/>
      <c r="EH163" s="415"/>
      <c r="EI163" s="415"/>
      <c r="EJ163" s="415"/>
      <c r="EK163" s="415"/>
      <c r="EL163" s="415"/>
      <c r="EM163" s="415"/>
      <c r="EN163" s="415"/>
      <c r="EO163" s="415"/>
      <c r="EP163" s="415"/>
      <c r="EQ163" s="415"/>
      <c r="ER163" s="415"/>
      <c r="ES163" s="415"/>
      <c r="ET163" s="415"/>
      <c r="EU163" s="415"/>
      <c r="EV163" s="415"/>
      <c r="EW163" s="415"/>
      <c r="EX163" s="415"/>
      <c r="EY163" s="415"/>
      <c r="EZ163" s="415"/>
      <c r="FA163" s="415"/>
      <c r="FB163" s="415"/>
      <c r="FC163" s="415"/>
      <c r="FD163" s="415"/>
      <c r="FE163" s="415"/>
      <c r="FF163" s="415"/>
      <c r="FG163" s="415"/>
      <c r="FH163" s="415"/>
      <c r="FI163" s="415"/>
      <c r="FJ163" s="415"/>
      <c r="FK163" s="415"/>
      <c r="FL163" s="415"/>
      <c r="FM163" s="415"/>
      <c r="FN163" s="415"/>
      <c r="FO163" s="415"/>
      <c r="FP163" s="415"/>
      <c r="FQ163" s="415"/>
      <c r="FR163" s="415"/>
      <c r="FS163" s="415"/>
      <c r="FT163" s="415"/>
      <c r="FU163" s="415"/>
      <c r="FV163" s="415"/>
      <c r="FW163" s="415"/>
      <c r="FX163" s="415"/>
      <c r="FY163" s="415"/>
      <c r="FZ163" s="415"/>
      <c r="GA163" s="415"/>
      <c r="GB163" s="415"/>
      <c r="GC163" s="415"/>
      <c r="GD163" s="415"/>
      <c r="GE163" s="415"/>
      <c r="GF163" s="415"/>
      <c r="GG163" s="415"/>
      <c r="GH163" s="415"/>
      <c r="GI163" s="415"/>
      <c r="GJ163" s="415"/>
      <c r="GK163" s="415"/>
      <c r="GL163" s="415"/>
      <c r="GM163" s="415"/>
      <c r="GN163" s="415"/>
      <c r="GO163" s="415"/>
      <c r="GP163" s="415"/>
      <c r="GQ163" s="415"/>
      <c r="GR163" s="415"/>
      <c r="GS163" s="415"/>
      <c r="GT163" s="415"/>
      <c r="GU163" s="415"/>
      <c r="GV163" s="415"/>
      <c r="GW163" s="415"/>
      <c r="GX163" s="415"/>
      <c r="GY163" s="415"/>
      <c r="GZ163" s="415"/>
      <c r="HA163" s="415"/>
      <c r="HB163" s="415"/>
      <c r="HC163" s="415"/>
      <c r="HD163" s="415"/>
      <c r="HE163" s="415"/>
      <c r="HF163" s="415"/>
      <c r="HG163" s="415"/>
      <c r="HH163" s="415"/>
      <c r="HI163" s="415"/>
      <c r="HJ163" s="415"/>
      <c r="HK163" s="415"/>
      <c r="HL163" s="415"/>
      <c r="HM163" s="415"/>
      <c r="HN163" s="415"/>
      <c r="HO163" s="415"/>
      <c r="HP163" s="415"/>
      <c r="HQ163" s="415"/>
      <c r="HR163" s="415"/>
      <c r="HS163" s="415"/>
      <c r="HT163" s="415"/>
      <c r="HU163" s="415"/>
      <c r="HV163" s="415"/>
      <c r="HW163" s="415"/>
      <c r="HX163" s="415"/>
      <c r="HY163" s="415"/>
      <c r="HZ163" s="415"/>
      <c r="IA163" s="415"/>
      <c r="IB163" s="415"/>
      <c r="IC163" s="415"/>
      <c r="ID163" s="415"/>
      <c r="IE163" s="415"/>
      <c r="IF163" s="415"/>
      <c r="IG163" s="415"/>
      <c r="IH163" s="415"/>
      <c r="II163" s="415"/>
      <c r="IJ163" s="415"/>
      <c r="IK163" s="415"/>
      <c r="IL163" s="415"/>
      <c r="IM163" s="415"/>
      <c r="IN163" s="415"/>
      <c r="IO163" s="415"/>
      <c r="IP163" s="415"/>
      <c r="IQ163" s="415"/>
      <c r="IR163" s="415"/>
      <c r="IS163" s="415"/>
      <c r="IT163" s="415"/>
      <c r="IU163" s="415"/>
    </row>
    <row r="164" spans="2:255"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X164" s="415"/>
      <c r="Y164" s="415"/>
      <c r="Z164" s="415"/>
      <c r="AA164" s="415"/>
      <c r="AB164" s="415"/>
      <c r="AC164" s="415"/>
      <c r="AD164" s="415"/>
      <c r="AE164" s="415"/>
      <c r="AF164" s="415"/>
      <c r="AG164" s="415"/>
      <c r="AH164" s="415"/>
      <c r="AI164" s="415"/>
      <c r="AJ164" s="415"/>
      <c r="AK164" s="415"/>
      <c r="AL164" s="415"/>
      <c r="AM164" s="415"/>
      <c r="AN164" s="415"/>
      <c r="AO164" s="415"/>
      <c r="AP164" s="415"/>
      <c r="AQ164" s="415"/>
      <c r="AR164" s="415"/>
      <c r="AS164" s="415"/>
      <c r="AT164" s="415"/>
      <c r="AU164" s="415"/>
      <c r="AV164" s="415"/>
      <c r="AW164" s="415"/>
      <c r="AX164" s="415"/>
      <c r="AY164" s="415"/>
      <c r="AZ164" s="415"/>
      <c r="BA164" s="415"/>
      <c r="BB164" s="415"/>
      <c r="BC164" s="415"/>
      <c r="BD164" s="415"/>
      <c r="BE164" s="415"/>
      <c r="BF164" s="415"/>
      <c r="BG164" s="415"/>
      <c r="BH164" s="415"/>
      <c r="BI164" s="415"/>
      <c r="BJ164" s="415"/>
      <c r="BK164" s="415"/>
      <c r="BL164" s="415"/>
      <c r="BM164" s="415"/>
      <c r="BN164" s="415"/>
      <c r="BO164" s="415"/>
      <c r="BP164" s="415"/>
      <c r="BQ164" s="415"/>
      <c r="BR164" s="415"/>
      <c r="BS164" s="415"/>
      <c r="BT164" s="415"/>
      <c r="BU164" s="415"/>
      <c r="BV164" s="415"/>
      <c r="BW164" s="415"/>
      <c r="BX164" s="415"/>
      <c r="BY164" s="415"/>
      <c r="BZ164" s="415"/>
      <c r="CA164" s="415"/>
      <c r="CB164" s="415"/>
      <c r="CC164" s="415"/>
      <c r="CD164" s="415"/>
      <c r="CE164" s="415"/>
      <c r="CF164" s="415"/>
      <c r="CG164" s="415"/>
      <c r="CH164" s="415"/>
      <c r="CI164" s="415"/>
      <c r="CJ164" s="415"/>
      <c r="CK164" s="415"/>
      <c r="CL164" s="415"/>
      <c r="CM164" s="415"/>
      <c r="CN164" s="415"/>
      <c r="CO164" s="415"/>
      <c r="CP164" s="415"/>
      <c r="CQ164" s="415"/>
      <c r="CR164" s="415"/>
      <c r="CS164" s="415"/>
      <c r="CT164" s="415"/>
      <c r="CU164" s="415"/>
      <c r="CV164" s="415"/>
      <c r="CW164" s="415"/>
      <c r="CX164" s="415"/>
      <c r="CY164" s="415"/>
      <c r="CZ164" s="415"/>
      <c r="DA164" s="415"/>
      <c r="DB164" s="415"/>
      <c r="DC164" s="415"/>
      <c r="DD164" s="415"/>
      <c r="DE164" s="415"/>
      <c r="DF164" s="415"/>
      <c r="DG164" s="415"/>
      <c r="DH164" s="415"/>
      <c r="DI164" s="415"/>
      <c r="DJ164" s="415"/>
      <c r="DK164" s="415"/>
      <c r="DL164" s="415"/>
      <c r="DM164" s="415"/>
      <c r="DN164" s="415"/>
      <c r="DO164" s="415"/>
      <c r="DP164" s="415"/>
      <c r="DQ164" s="415"/>
      <c r="DR164" s="415"/>
      <c r="DS164" s="415"/>
      <c r="DT164" s="415"/>
      <c r="DU164" s="415"/>
      <c r="DV164" s="415"/>
      <c r="DW164" s="415"/>
      <c r="DX164" s="415"/>
      <c r="DY164" s="415"/>
      <c r="DZ164" s="415"/>
      <c r="EA164" s="415"/>
      <c r="EB164" s="415"/>
      <c r="EC164" s="415"/>
      <c r="ED164" s="415"/>
      <c r="EE164" s="415"/>
      <c r="EF164" s="415"/>
      <c r="EG164" s="415"/>
      <c r="EH164" s="415"/>
      <c r="EI164" s="415"/>
      <c r="EJ164" s="415"/>
      <c r="EK164" s="415"/>
      <c r="EL164" s="415"/>
      <c r="EM164" s="415"/>
      <c r="EN164" s="415"/>
      <c r="EO164" s="415"/>
      <c r="EP164" s="415"/>
      <c r="EQ164" s="415"/>
      <c r="ER164" s="415"/>
      <c r="ES164" s="415"/>
      <c r="ET164" s="415"/>
      <c r="EU164" s="415"/>
      <c r="EV164" s="415"/>
      <c r="EW164" s="415"/>
      <c r="EX164" s="415"/>
      <c r="EY164" s="415"/>
      <c r="EZ164" s="415"/>
      <c r="FA164" s="415"/>
      <c r="FB164" s="415"/>
      <c r="FC164" s="415"/>
      <c r="FD164" s="415"/>
      <c r="FE164" s="415"/>
      <c r="FF164" s="415"/>
      <c r="FG164" s="415"/>
      <c r="FH164" s="415"/>
      <c r="FI164" s="415"/>
      <c r="FJ164" s="415"/>
      <c r="FK164" s="415"/>
      <c r="FL164" s="415"/>
      <c r="FM164" s="415"/>
      <c r="FN164" s="415"/>
      <c r="FO164" s="415"/>
      <c r="FP164" s="415"/>
      <c r="FQ164" s="415"/>
      <c r="FR164" s="415"/>
      <c r="FS164" s="415"/>
      <c r="FT164" s="415"/>
      <c r="FU164" s="415"/>
      <c r="FV164" s="415"/>
      <c r="FW164" s="415"/>
      <c r="FX164" s="415"/>
      <c r="FY164" s="415"/>
      <c r="FZ164" s="415"/>
      <c r="GA164" s="415"/>
      <c r="GB164" s="415"/>
      <c r="GC164" s="415"/>
      <c r="GD164" s="415"/>
      <c r="GE164" s="415"/>
      <c r="GF164" s="415"/>
      <c r="GG164" s="415"/>
      <c r="GH164" s="415"/>
      <c r="GI164" s="415"/>
      <c r="GJ164" s="415"/>
      <c r="GK164" s="415"/>
      <c r="GL164" s="415"/>
      <c r="GM164" s="415"/>
      <c r="GN164" s="415"/>
      <c r="GO164" s="415"/>
      <c r="GP164" s="415"/>
      <c r="GQ164" s="415"/>
      <c r="GR164" s="415"/>
      <c r="GS164" s="415"/>
      <c r="GT164" s="415"/>
      <c r="GU164" s="415"/>
      <c r="GV164" s="415"/>
      <c r="GW164" s="415"/>
      <c r="GX164" s="415"/>
      <c r="GY164" s="415"/>
      <c r="GZ164" s="415"/>
      <c r="HA164" s="415"/>
      <c r="HB164" s="415"/>
      <c r="HC164" s="415"/>
      <c r="HD164" s="415"/>
      <c r="HE164" s="415"/>
      <c r="HF164" s="415"/>
      <c r="HG164" s="415"/>
      <c r="HH164" s="415"/>
      <c r="HI164" s="415"/>
      <c r="HJ164" s="415"/>
      <c r="HK164" s="415"/>
      <c r="HL164" s="415"/>
      <c r="HM164" s="415"/>
      <c r="HN164" s="415"/>
      <c r="HO164" s="415"/>
      <c r="HP164" s="415"/>
      <c r="HQ164" s="415"/>
      <c r="HR164" s="415"/>
      <c r="HS164" s="415"/>
      <c r="HT164" s="415"/>
      <c r="HU164" s="415"/>
      <c r="HV164" s="415"/>
      <c r="HW164" s="415"/>
      <c r="HX164" s="415"/>
      <c r="HY164" s="415"/>
      <c r="HZ164" s="415"/>
      <c r="IA164" s="415"/>
      <c r="IB164" s="415"/>
      <c r="IC164" s="415"/>
      <c r="ID164" s="415"/>
      <c r="IE164" s="415"/>
      <c r="IF164" s="415"/>
      <c r="IG164" s="415"/>
      <c r="IH164" s="415"/>
      <c r="II164" s="415"/>
      <c r="IJ164" s="415"/>
      <c r="IK164" s="415"/>
      <c r="IL164" s="415"/>
      <c r="IM164" s="415"/>
      <c r="IN164" s="415"/>
      <c r="IO164" s="415"/>
      <c r="IP164" s="415"/>
      <c r="IQ164" s="415"/>
      <c r="IR164" s="415"/>
      <c r="IS164" s="415"/>
      <c r="IT164" s="415"/>
      <c r="IU164" s="415"/>
    </row>
    <row r="165" spans="2:255" ht="18.5"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Q165" s="15"/>
      <c r="R165" s="15"/>
      <c r="U165" s="106"/>
      <c r="V165" s="1097"/>
      <c r="W165" s="1097"/>
      <c r="X165" s="415"/>
      <c r="Y165" s="415"/>
      <c r="Z165" s="415"/>
      <c r="AA165" s="415"/>
      <c r="AB165" s="415"/>
      <c r="AC165" s="415"/>
      <c r="AD165" s="415"/>
      <c r="AE165" s="415"/>
      <c r="AF165" s="415"/>
      <c r="AG165" s="415"/>
      <c r="AH165" s="415"/>
      <c r="AI165" s="415"/>
      <c r="AJ165" s="415"/>
      <c r="AK165" s="415"/>
      <c r="AL165" s="415"/>
      <c r="AM165" s="415"/>
      <c r="AN165" s="415"/>
      <c r="AO165" s="415"/>
      <c r="AP165" s="415"/>
      <c r="AQ165" s="415"/>
      <c r="AR165" s="415"/>
      <c r="AS165" s="415"/>
      <c r="AT165" s="415"/>
      <c r="AU165" s="415"/>
      <c r="AV165" s="415"/>
      <c r="AW165" s="415"/>
      <c r="AX165" s="415"/>
      <c r="AY165" s="415"/>
      <c r="AZ165" s="415"/>
      <c r="BA165" s="415"/>
      <c r="BB165" s="415"/>
      <c r="BC165" s="415"/>
      <c r="BD165" s="415"/>
      <c r="BE165" s="415"/>
      <c r="BF165" s="415"/>
      <c r="BG165" s="415"/>
      <c r="BH165" s="415"/>
      <c r="BI165" s="415"/>
      <c r="BJ165" s="415"/>
      <c r="BK165" s="415"/>
      <c r="BL165" s="415"/>
      <c r="BM165" s="415"/>
      <c r="BN165" s="415"/>
      <c r="BO165" s="415"/>
      <c r="BP165" s="415"/>
      <c r="BQ165" s="415"/>
      <c r="BR165" s="415"/>
      <c r="BS165" s="415"/>
      <c r="BT165" s="415"/>
      <c r="BU165" s="415"/>
      <c r="BV165" s="415"/>
      <c r="BW165" s="415"/>
      <c r="BX165" s="415"/>
      <c r="BY165" s="415"/>
      <c r="BZ165" s="415"/>
      <c r="CA165" s="415"/>
      <c r="CB165" s="415"/>
      <c r="CC165" s="415"/>
      <c r="CD165" s="415"/>
      <c r="CE165" s="415"/>
      <c r="CF165" s="415"/>
      <c r="CG165" s="415"/>
      <c r="CH165" s="415"/>
      <c r="CI165" s="415"/>
      <c r="CJ165" s="415"/>
      <c r="CK165" s="415"/>
      <c r="CL165" s="415"/>
      <c r="CM165" s="415"/>
      <c r="CN165" s="415"/>
      <c r="CO165" s="415"/>
      <c r="CP165" s="415"/>
      <c r="CQ165" s="415"/>
      <c r="CR165" s="415"/>
      <c r="CS165" s="415"/>
      <c r="CT165" s="415"/>
      <c r="CU165" s="415"/>
      <c r="CV165" s="415"/>
      <c r="CW165" s="415"/>
      <c r="CX165" s="415"/>
      <c r="CY165" s="415"/>
      <c r="CZ165" s="415"/>
      <c r="DA165" s="415"/>
      <c r="DB165" s="415"/>
      <c r="DC165" s="415"/>
      <c r="DD165" s="415"/>
      <c r="DE165" s="415"/>
      <c r="DF165" s="415"/>
      <c r="DG165" s="415"/>
      <c r="DH165" s="415"/>
      <c r="DI165" s="415"/>
      <c r="DJ165" s="415"/>
      <c r="DK165" s="415"/>
      <c r="DL165" s="415"/>
      <c r="DM165" s="415"/>
      <c r="DN165" s="415"/>
      <c r="DO165" s="415"/>
      <c r="DP165" s="415"/>
      <c r="DQ165" s="415"/>
      <c r="DR165" s="415"/>
      <c r="DS165" s="415"/>
      <c r="DT165" s="415"/>
      <c r="DU165" s="415"/>
      <c r="DV165" s="415"/>
      <c r="DW165" s="415"/>
      <c r="DX165" s="415"/>
      <c r="DY165" s="415"/>
      <c r="DZ165" s="415"/>
      <c r="EA165" s="415"/>
      <c r="EB165" s="415"/>
      <c r="EC165" s="415"/>
      <c r="ED165" s="415"/>
      <c r="EE165" s="415"/>
      <c r="EF165" s="415"/>
      <c r="EG165" s="415"/>
      <c r="EH165" s="415"/>
      <c r="EI165" s="415"/>
      <c r="EJ165" s="415"/>
      <c r="EK165" s="415"/>
      <c r="EL165" s="415"/>
      <c r="EM165" s="415"/>
      <c r="EN165" s="415"/>
      <c r="EO165" s="415"/>
      <c r="EP165" s="415"/>
      <c r="EQ165" s="415"/>
      <c r="ER165" s="415"/>
      <c r="ES165" s="415"/>
      <c r="ET165" s="415"/>
      <c r="EU165" s="415"/>
      <c r="EV165" s="415"/>
      <c r="EW165" s="415"/>
      <c r="EX165" s="415"/>
      <c r="EY165" s="415"/>
      <c r="EZ165" s="415"/>
      <c r="FA165" s="415"/>
      <c r="FB165" s="415"/>
      <c r="FC165" s="415"/>
      <c r="FD165" s="415"/>
      <c r="FE165" s="415"/>
      <c r="FF165" s="415"/>
      <c r="FG165" s="415"/>
      <c r="FH165" s="415"/>
      <c r="FI165" s="415"/>
      <c r="FJ165" s="415"/>
      <c r="FK165" s="415"/>
      <c r="FL165" s="415"/>
      <c r="FM165" s="415"/>
      <c r="FN165" s="415"/>
      <c r="FO165" s="415"/>
      <c r="FP165" s="415"/>
      <c r="FQ165" s="415"/>
      <c r="FR165" s="415"/>
      <c r="FS165" s="415"/>
      <c r="FT165" s="415"/>
      <c r="FU165" s="415"/>
      <c r="FV165" s="415"/>
      <c r="FW165" s="415"/>
      <c r="FX165" s="415"/>
      <c r="FY165" s="415"/>
      <c r="FZ165" s="415"/>
      <c r="GA165" s="415"/>
      <c r="GB165" s="415"/>
      <c r="GC165" s="415"/>
      <c r="GD165" s="415"/>
      <c r="GE165" s="415"/>
      <c r="GF165" s="415"/>
      <c r="GG165" s="415"/>
      <c r="GH165" s="415"/>
      <c r="GI165" s="415"/>
      <c r="GJ165" s="415"/>
      <c r="GK165" s="415"/>
      <c r="GL165" s="415"/>
      <c r="GM165" s="415"/>
      <c r="GN165" s="415"/>
      <c r="GO165" s="415"/>
      <c r="GP165" s="415"/>
      <c r="GQ165" s="415"/>
      <c r="GR165" s="415"/>
      <c r="GS165" s="415"/>
      <c r="GT165" s="415"/>
      <c r="GU165" s="415"/>
      <c r="GV165" s="415"/>
      <c r="GW165" s="415"/>
      <c r="GX165" s="415"/>
      <c r="GY165" s="415"/>
      <c r="GZ165" s="415"/>
      <c r="HA165" s="415"/>
      <c r="HB165" s="415"/>
      <c r="HC165" s="415"/>
      <c r="HD165" s="415"/>
      <c r="HE165" s="415"/>
      <c r="HF165" s="415"/>
      <c r="HG165" s="415"/>
      <c r="HH165" s="415"/>
      <c r="HI165" s="415"/>
      <c r="HJ165" s="415"/>
      <c r="HK165" s="415"/>
      <c r="HL165" s="415"/>
      <c r="HM165" s="415"/>
      <c r="HN165" s="415"/>
      <c r="HO165" s="415"/>
      <c r="HP165" s="415"/>
      <c r="HQ165" s="415"/>
      <c r="HR165" s="415"/>
      <c r="HS165" s="415"/>
      <c r="HT165" s="415"/>
      <c r="HU165" s="415"/>
      <c r="HV165" s="415"/>
      <c r="HW165" s="415"/>
      <c r="HX165" s="415"/>
      <c r="HY165" s="415"/>
      <c r="HZ165" s="415"/>
      <c r="IA165" s="415"/>
      <c r="IB165" s="415"/>
      <c r="IC165" s="415"/>
      <c r="ID165" s="415"/>
      <c r="IE165" s="415"/>
      <c r="IF165" s="415"/>
      <c r="IG165" s="415"/>
      <c r="IH165" s="415"/>
      <c r="II165" s="415"/>
      <c r="IJ165" s="415"/>
      <c r="IK165" s="415"/>
      <c r="IL165" s="415"/>
      <c r="IM165" s="415"/>
      <c r="IN165" s="415"/>
      <c r="IO165" s="415"/>
      <c r="IP165" s="415"/>
      <c r="IQ165" s="415"/>
      <c r="IR165" s="415"/>
      <c r="IS165" s="415"/>
      <c r="IT165" s="415"/>
      <c r="IU165" s="415"/>
    </row>
    <row r="166" spans="2:255" ht="18.5"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Q166" s="15"/>
      <c r="R166" s="15"/>
      <c r="U166" s="106"/>
      <c r="V166" s="1097"/>
      <c r="W166" s="1097"/>
      <c r="X166" s="415"/>
      <c r="Y166" s="415"/>
      <c r="Z166" s="415"/>
      <c r="AA166" s="415"/>
      <c r="AB166" s="415"/>
      <c r="AC166" s="415"/>
      <c r="AD166" s="415"/>
      <c r="AE166" s="415"/>
      <c r="AF166" s="415"/>
      <c r="AG166" s="415"/>
      <c r="AH166" s="415"/>
      <c r="AI166" s="415"/>
      <c r="AJ166" s="415"/>
      <c r="AK166" s="415"/>
      <c r="AL166" s="415"/>
      <c r="AM166" s="415"/>
      <c r="AN166" s="415"/>
      <c r="AO166" s="415"/>
      <c r="AP166" s="415"/>
      <c r="AQ166" s="415"/>
      <c r="AR166" s="415"/>
      <c r="AS166" s="415"/>
      <c r="AT166" s="415"/>
      <c r="AU166" s="415"/>
      <c r="AV166" s="415"/>
      <c r="AW166" s="415"/>
      <c r="AX166" s="415"/>
      <c r="AY166" s="415"/>
      <c r="AZ166" s="415"/>
      <c r="BA166" s="415"/>
      <c r="BB166" s="415"/>
      <c r="BC166" s="415"/>
      <c r="BD166" s="415"/>
      <c r="BE166" s="415"/>
      <c r="BF166" s="415"/>
      <c r="BG166" s="415"/>
      <c r="BH166" s="415"/>
      <c r="BI166" s="415"/>
      <c r="BJ166" s="415"/>
      <c r="BK166" s="415"/>
      <c r="BL166" s="415"/>
      <c r="BM166" s="415"/>
      <c r="BN166" s="415"/>
      <c r="BO166" s="415"/>
      <c r="BP166" s="415"/>
      <c r="BQ166" s="415"/>
      <c r="BR166" s="415"/>
      <c r="BS166" s="415"/>
      <c r="BT166" s="415"/>
      <c r="BU166" s="415"/>
      <c r="BV166" s="415"/>
      <c r="BW166" s="415"/>
      <c r="BX166" s="415"/>
      <c r="BY166" s="415"/>
      <c r="BZ166" s="415"/>
      <c r="CA166" s="415"/>
      <c r="CB166" s="415"/>
      <c r="CC166" s="415"/>
      <c r="CD166" s="415"/>
      <c r="CE166" s="415"/>
      <c r="CF166" s="415"/>
      <c r="CG166" s="415"/>
      <c r="CH166" s="415"/>
      <c r="CI166" s="415"/>
      <c r="CJ166" s="415"/>
      <c r="CK166" s="415"/>
      <c r="CL166" s="415"/>
      <c r="CM166" s="415"/>
      <c r="CN166" s="415"/>
      <c r="CO166" s="415"/>
      <c r="CP166" s="415"/>
      <c r="CQ166" s="415"/>
      <c r="CR166" s="415"/>
      <c r="CS166" s="415"/>
      <c r="CT166" s="415"/>
      <c r="CU166" s="415"/>
      <c r="CV166" s="415"/>
      <c r="CW166" s="415"/>
      <c r="CX166" s="415"/>
      <c r="CY166" s="415"/>
      <c r="CZ166" s="415"/>
      <c r="DA166" s="415"/>
      <c r="DB166" s="415"/>
      <c r="DC166" s="415"/>
      <c r="DD166" s="415"/>
      <c r="DE166" s="415"/>
      <c r="DF166" s="415"/>
      <c r="DG166" s="415"/>
      <c r="DH166" s="415"/>
      <c r="DI166" s="415"/>
      <c r="DJ166" s="415"/>
      <c r="DK166" s="415"/>
      <c r="DL166" s="415"/>
      <c r="DM166" s="415"/>
      <c r="DN166" s="415"/>
      <c r="DO166" s="415"/>
      <c r="DP166" s="415"/>
      <c r="DQ166" s="415"/>
      <c r="DR166" s="415"/>
      <c r="DS166" s="415"/>
      <c r="DT166" s="415"/>
      <c r="DU166" s="415"/>
      <c r="DV166" s="415"/>
      <c r="DW166" s="415"/>
      <c r="DX166" s="415"/>
      <c r="DY166" s="415"/>
      <c r="DZ166" s="415"/>
      <c r="EA166" s="415"/>
      <c r="EB166" s="415"/>
      <c r="EC166" s="415"/>
      <c r="ED166" s="415"/>
      <c r="EE166" s="415"/>
      <c r="EF166" s="415"/>
      <c r="EG166" s="415"/>
      <c r="EH166" s="415"/>
      <c r="EI166" s="415"/>
      <c r="EJ166" s="415"/>
      <c r="EK166" s="415"/>
      <c r="EL166" s="415"/>
      <c r="EM166" s="415"/>
      <c r="EN166" s="415"/>
      <c r="EO166" s="415"/>
      <c r="EP166" s="415"/>
      <c r="EQ166" s="415"/>
      <c r="ER166" s="415"/>
      <c r="ES166" s="415"/>
      <c r="ET166" s="415"/>
      <c r="EU166" s="415"/>
      <c r="EV166" s="415"/>
      <c r="EW166" s="415"/>
      <c r="EX166" s="415"/>
      <c r="EY166" s="415"/>
      <c r="EZ166" s="415"/>
      <c r="FA166" s="415"/>
      <c r="FB166" s="415"/>
      <c r="FC166" s="415"/>
      <c r="FD166" s="415"/>
      <c r="FE166" s="415"/>
      <c r="FF166" s="415"/>
      <c r="FG166" s="415"/>
      <c r="FH166" s="415"/>
      <c r="FI166" s="415"/>
      <c r="FJ166" s="415"/>
      <c r="FK166" s="415"/>
      <c r="FL166" s="415"/>
      <c r="FM166" s="415"/>
      <c r="FN166" s="415"/>
      <c r="FO166" s="415"/>
      <c r="FP166" s="415"/>
      <c r="FQ166" s="415"/>
      <c r="FR166" s="415"/>
      <c r="FS166" s="415"/>
      <c r="FT166" s="415"/>
      <c r="FU166" s="415"/>
      <c r="FV166" s="415"/>
      <c r="FW166" s="415"/>
      <c r="FX166" s="415"/>
      <c r="FY166" s="415"/>
      <c r="FZ166" s="415"/>
      <c r="GA166" s="415"/>
      <c r="GB166" s="415"/>
      <c r="GC166" s="415"/>
      <c r="GD166" s="415"/>
      <c r="GE166" s="415"/>
      <c r="GF166" s="415"/>
      <c r="GG166" s="415"/>
      <c r="GH166" s="415"/>
      <c r="GI166" s="415"/>
      <c r="GJ166" s="415"/>
      <c r="GK166" s="415"/>
      <c r="GL166" s="415"/>
      <c r="GM166" s="415"/>
      <c r="GN166" s="415"/>
      <c r="GO166" s="415"/>
      <c r="GP166" s="415"/>
      <c r="GQ166" s="415"/>
      <c r="GR166" s="415"/>
      <c r="GS166" s="415"/>
      <c r="GT166" s="415"/>
      <c r="GU166" s="415"/>
      <c r="GV166" s="415"/>
      <c r="GW166" s="415"/>
      <c r="GX166" s="415"/>
      <c r="GY166" s="415"/>
      <c r="GZ166" s="415"/>
      <c r="HA166" s="415"/>
      <c r="HB166" s="415"/>
      <c r="HC166" s="415"/>
      <c r="HD166" s="415"/>
      <c r="HE166" s="415"/>
      <c r="HF166" s="415"/>
      <c r="HG166" s="415"/>
      <c r="HH166" s="415"/>
      <c r="HI166" s="415"/>
      <c r="HJ166" s="415"/>
      <c r="HK166" s="415"/>
      <c r="HL166" s="415"/>
      <c r="HM166" s="415"/>
      <c r="HN166" s="415"/>
      <c r="HO166" s="415"/>
      <c r="HP166" s="415"/>
      <c r="HQ166" s="415"/>
      <c r="HR166" s="415"/>
      <c r="HS166" s="415"/>
      <c r="HT166" s="415"/>
      <c r="HU166" s="415"/>
      <c r="HV166" s="415"/>
      <c r="HW166" s="415"/>
      <c r="HX166" s="415"/>
      <c r="HY166" s="415"/>
      <c r="HZ166" s="415"/>
      <c r="IA166" s="415"/>
      <c r="IB166" s="415"/>
      <c r="IC166" s="415"/>
      <c r="ID166" s="415"/>
      <c r="IE166" s="415"/>
      <c r="IF166" s="415"/>
      <c r="IG166" s="415"/>
      <c r="IH166" s="415"/>
      <c r="II166" s="415"/>
      <c r="IJ166" s="415"/>
      <c r="IK166" s="415"/>
      <c r="IL166" s="415"/>
      <c r="IM166" s="415"/>
      <c r="IN166" s="415"/>
      <c r="IO166" s="415"/>
      <c r="IP166" s="415"/>
      <c r="IQ166" s="415"/>
      <c r="IR166" s="415"/>
      <c r="IS166" s="415"/>
      <c r="IT166" s="415"/>
      <c r="IU166" s="415"/>
    </row>
    <row r="167" spans="2:255" ht="18.5">
      <c r="B167" s="415"/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U167" s="8"/>
      <c r="V167" s="1097"/>
      <c r="W167" s="1097"/>
      <c r="X167" s="415"/>
      <c r="Y167" s="415"/>
      <c r="Z167" s="415"/>
      <c r="AA167" s="415"/>
      <c r="AB167" s="415"/>
      <c r="AC167" s="415"/>
      <c r="AD167" s="415"/>
      <c r="AE167" s="415"/>
      <c r="AF167" s="415"/>
      <c r="AG167" s="415"/>
      <c r="AH167" s="415"/>
      <c r="AI167" s="415"/>
      <c r="AJ167" s="415"/>
      <c r="AK167" s="415"/>
      <c r="AL167" s="415"/>
      <c r="AM167" s="415"/>
      <c r="AN167" s="415"/>
      <c r="AO167" s="415"/>
      <c r="AP167" s="415"/>
      <c r="AQ167" s="415"/>
      <c r="AR167" s="415"/>
      <c r="AS167" s="415"/>
      <c r="AT167" s="415"/>
      <c r="AU167" s="415"/>
      <c r="AV167" s="415"/>
      <c r="AW167" s="415"/>
      <c r="AX167" s="415"/>
      <c r="AY167" s="415"/>
      <c r="AZ167" s="415"/>
      <c r="BA167" s="415"/>
      <c r="BB167" s="415"/>
      <c r="BC167" s="415"/>
      <c r="BD167" s="415"/>
      <c r="BE167" s="415"/>
      <c r="BF167" s="415"/>
      <c r="BG167" s="415"/>
      <c r="BH167" s="415"/>
      <c r="BI167" s="415"/>
      <c r="BJ167" s="415"/>
      <c r="BK167" s="415"/>
      <c r="BL167" s="415"/>
      <c r="BM167" s="415"/>
      <c r="BN167" s="415"/>
      <c r="BO167" s="415"/>
      <c r="BP167" s="415"/>
      <c r="BQ167" s="415"/>
      <c r="BR167" s="415"/>
      <c r="BS167" s="415"/>
      <c r="BT167" s="415"/>
      <c r="BU167" s="415"/>
      <c r="BV167" s="415"/>
      <c r="BW167" s="415"/>
      <c r="BX167" s="415"/>
      <c r="BY167" s="415"/>
      <c r="BZ167" s="415"/>
      <c r="CA167" s="415"/>
      <c r="CB167" s="415"/>
      <c r="CC167" s="415"/>
      <c r="CD167" s="415"/>
      <c r="CE167" s="415"/>
      <c r="CF167" s="415"/>
      <c r="CG167" s="415"/>
      <c r="CH167" s="415"/>
      <c r="CI167" s="415"/>
      <c r="CJ167" s="415"/>
      <c r="CK167" s="415"/>
      <c r="CL167" s="415"/>
      <c r="CM167" s="415"/>
      <c r="CN167" s="415"/>
      <c r="CO167" s="415"/>
      <c r="CP167" s="415"/>
      <c r="CQ167" s="415"/>
      <c r="CR167" s="415"/>
      <c r="CS167" s="415"/>
      <c r="CT167" s="415"/>
      <c r="CU167" s="415"/>
      <c r="CV167" s="415"/>
      <c r="CW167" s="415"/>
      <c r="CX167" s="415"/>
      <c r="CY167" s="415"/>
      <c r="CZ167" s="415"/>
      <c r="DA167" s="415"/>
      <c r="DB167" s="415"/>
      <c r="DC167" s="415"/>
      <c r="DD167" s="415"/>
      <c r="DE167" s="415"/>
      <c r="DF167" s="415"/>
      <c r="DG167" s="415"/>
      <c r="DH167" s="415"/>
      <c r="DI167" s="415"/>
      <c r="DJ167" s="415"/>
      <c r="DK167" s="415"/>
      <c r="DL167" s="415"/>
      <c r="DM167" s="415"/>
      <c r="DN167" s="415"/>
      <c r="DO167" s="415"/>
      <c r="DP167" s="415"/>
      <c r="DQ167" s="415"/>
      <c r="DR167" s="415"/>
      <c r="DS167" s="415"/>
      <c r="DT167" s="415"/>
      <c r="DU167" s="415"/>
      <c r="DV167" s="415"/>
      <c r="DW167" s="415"/>
      <c r="DX167" s="415"/>
      <c r="DY167" s="415"/>
      <c r="DZ167" s="415"/>
      <c r="EA167" s="415"/>
      <c r="EB167" s="415"/>
      <c r="EC167" s="415"/>
      <c r="ED167" s="415"/>
      <c r="EE167" s="415"/>
      <c r="EF167" s="415"/>
      <c r="EG167" s="415"/>
      <c r="EH167" s="415"/>
      <c r="EI167" s="415"/>
      <c r="EJ167" s="415"/>
      <c r="EK167" s="415"/>
      <c r="EL167" s="415"/>
      <c r="EM167" s="415"/>
      <c r="EN167" s="415"/>
      <c r="EO167" s="415"/>
      <c r="EP167" s="415"/>
      <c r="EQ167" s="415"/>
      <c r="ER167" s="415"/>
      <c r="ES167" s="415"/>
      <c r="ET167" s="415"/>
      <c r="EU167" s="415"/>
      <c r="EV167" s="415"/>
      <c r="EW167" s="415"/>
      <c r="EX167" s="415"/>
      <c r="EY167" s="415"/>
      <c r="EZ167" s="415"/>
      <c r="FA167" s="415"/>
      <c r="FB167" s="415"/>
      <c r="FC167" s="415"/>
      <c r="FD167" s="415"/>
      <c r="FE167" s="415"/>
      <c r="FF167" s="415"/>
      <c r="FG167" s="415"/>
      <c r="FH167" s="415"/>
      <c r="FI167" s="415"/>
      <c r="FJ167" s="415"/>
      <c r="FK167" s="415"/>
      <c r="FL167" s="415"/>
      <c r="FM167" s="415"/>
      <c r="FN167" s="415"/>
      <c r="FO167" s="415"/>
      <c r="FP167" s="415"/>
      <c r="FQ167" s="415"/>
      <c r="FR167" s="415"/>
      <c r="FS167" s="415"/>
      <c r="FT167" s="415"/>
      <c r="FU167" s="415"/>
      <c r="FV167" s="415"/>
      <c r="FW167" s="415"/>
      <c r="FX167" s="415"/>
      <c r="FY167" s="415"/>
      <c r="FZ167" s="415"/>
      <c r="GA167" s="415"/>
      <c r="GB167" s="415"/>
      <c r="GC167" s="415"/>
      <c r="GD167" s="415"/>
      <c r="GE167" s="415"/>
      <c r="GF167" s="415"/>
      <c r="GG167" s="415"/>
      <c r="GH167" s="415"/>
      <c r="GI167" s="415"/>
      <c r="GJ167" s="415"/>
      <c r="GK167" s="415"/>
      <c r="GL167" s="415"/>
      <c r="GM167" s="415"/>
      <c r="GN167" s="415"/>
      <c r="GO167" s="415"/>
      <c r="GP167" s="415"/>
      <c r="GQ167" s="415"/>
      <c r="GR167" s="415"/>
      <c r="GS167" s="415"/>
      <c r="GT167" s="415"/>
      <c r="GU167" s="415"/>
      <c r="GV167" s="415"/>
      <c r="GW167" s="415"/>
      <c r="GX167" s="415"/>
      <c r="GY167" s="415"/>
      <c r="GZ167" s="415"/>
      <c r="HA167" s="415"/>
      <c r="HB167" s="415"/>
      <c r="HC167" s="415"/>
      <c r="HD167" s="415"/>
      <c r="HE167" s="415"/>
      <c r="HF167" s="415"/>
      <c r="HG167" s="415"/>
      <c r="HH167" s="415"/>
      <c r="HI167" s="415"/>
      <c r="HJ167" s="415"/>
      <c r="HK167" s="415"/>
      <c r="HL167" s="415"/>
      <c r="HM167" s="415"/>
      <c r="HN167" s="415"/>
      <c r="HO167" s="415"/>
      <c r="HP167" s="415"/>
      <c r="HQ167" s="415"/>
      <c r="HR167" s="415"/>
      <c r="HS167" s="415"/>
      <c r="HT167" s="415"/>
      <c r="HU167" s="415"/>
      <c r="HV167" s="415"/>
      <c r="HW167" s="415"/>
      <c r="HX167" s="415"/>
      <c r="HY167" s="415"/>
      <c r="HZ167" s="415"/>
      <c r="IA167" s="415"/>
      <c r="IB167" s="415"/>
      <c r="IC167" s="415"/>
      <c r="ID167" s="415"/>
      <c r="IE167" s="415"/>
      <c r="IF167" s="415"/>
      <c r="IG167" s="415"/>
      <c r="IH167" s="415"/>
      <c r="II167" s="415"/>
      <c r="IJ167" s="415"/>
      <c r="IK167" s="415"/>
      <c r="IL167" s="415"/>
      <c r="IM167" s="415"/>
      <c r="IN167" s="415"/>
      <c r="IO167" s="415"/>
      <c r="IP167" s="415"/>
      <c r="IQ167" s="415"/>
      <c r="IR167" s="415"/>
      <c r="IS167" s="415"/>
      <c r="IT167" s="415"/>
      <c r="IU167" s="415"/>
    </row>
    <row r="168" spans="2:255" ht="18.5">
      <c r="B168" s="415"/>
      <c r="C168" s="415"/>
      <c r="D168" s="415"/>
      <c r="E168" s="415"/>
      <c r="F168" s="415"/>
      <c r="G168" s="415"/>
      <c r="H168" s="415"/>
      <c r="I168" s="415"/>
      <c r="J168" s="415"/>
      <c r="K168" s="415"/>
      <c r="L168" s="415"/>
      <c r="Q168" s="17"/>
      <c r="R168" s="744"/>
      <c r="S168" s="744"/>
      <c r="U168" s="8"/>
      <c r="V168" s="1097"/>
      <c r="W168" s="1097"/>
      <c r="X168" s="415"/>
      <c r="Y168" s="415"/>
      <c r="Z168" s="415"/>
      <c r="AA168" s="415"/>
      <c r="AB168" s="415"/>
      <c r="AC168" s="415"/>
      <c r="AD168" s="415"/>
      <c r="AE168" s="415"/>
      <c r="AF168" s="415"/>
      <c r="AG168" s="415"/>
      <c r="AH168" s="415"/>
      <c r="AI168" s="415"/>
      <c r="AJ168" s="415"/>
      <c r="AK168" s="415"/>
      <c r="AL168" s="415"/>
      <c r="AM168" s="415"/>
      <c r="AN168" s="415"/>
      <c r="AO168" s="415"/>
      <c r="AP168" s="415"/>
      <c r="AQ168" s="415"/>
      <c r="AR168" s="415"/>
      <c r="AS168" s="415"/>
      <c r="AT168" s="415"/>
      <c r="AU168" s="415"/>
      <c r="AV168" s="415"/>
      <c r="AW168" s="415"/>
      <c r="AX168" s="415"/>
      <c r="AY168" s="415"/>
      <c r="AZ168" s="415"/>
      <c r="BA168" s="415"/>
      <c r="BB168" s="415"/>
      <c r="BC168" s="415"/>
      <c r="BD168" s="415"/>
      <c r="BE168" s="415"/>
      <c r="BF168" s="415"/>
      <c r="BG168" s="415"/>
      <c r="BH168" s="415"/>
      <c r="BI168" s="415"/>
      <c r="BJ168" s="415"/>
      <c r="BK168" s="415"/>
      <c r="BL168" s="415"/>
      <c r="BM168" s="415"/>
      <c r="BN168" s="415"/>
      <c r="BO168" s="415"/>
      <c r="BP168" s="415"/>
      <c r="BQ168" s="415"/>
      <c r="BR168" s="415"/>
      <c r="BS168" s="415"/>
      <c r="BT168" s="415"/>
      <c r="BU168" s="415"/>
      <c r="BV168" s="415"/>
      <c r="BW168" s="415"/>
      <c r="BX168" s="415"/>
      <c r="BY168" s="415"/>
      <c r="BZ168" s="415"/>
      <c r="CA168" s="415"/>
      <c r="CB168" s="415"/>
      <c r="CC168" s="415"/>
      <c r="CD168" s="415"/>
      <c r="CE168" s="415"/>
      <c r="CF168" s="415"/>
      <c r="CG168" s="415"/>
      <c r="CH168" s="415"/>
      <c r="CI168" s="415"/>
      <c r="CJ168" s="415"/>
      <c r="CK168" s="415"/>
      <c r="CL168" s="415"/>
      <c r="CM168" s="415"/>
      <c r="CN168" s="415"/>
      <c r="CO168" s="415"/>
      <c r="CP168" s="415"/>
      <c r="CQ168" s="415"/>
      <c r="CR168" s="415"/>
      <c r="CS168" s="415"/>
      <c r="CT168" s="415"/>
      <c r="CU168" s="415"/>
      <c r="CV168" s="415"/>
      <c r="CW168" s="415"/>
      <c r="CX168" s="415"/>
      <c r="CY168" s="415"/>
      <c r="CZ168" s="415"/>
      <c r="DA168" s="415"/>
      <c r="DB168" s="415"/>
      <c r="DC168" s="415"/>
      <c r="DD168" s="415"/>
      <c r="DE168" s="415"/>
      <c r="DF168" s="415"/>
      <c r="DG168" s="415"/>
      <c r="DH168" s="415"/>
      <c r="DI168" s="415"/>
      <c r="DJ168" s="415"/>
      <c r="DK168" s="415"/>
      <c r="DL168" s="415"/>
      <c r="DM168" s="415"/>
      <c r="DN168" s="415"/>
      <c r="DO168" s="415"/>
      <c r="DP168" s="415"/>
      <c r="DQ168" s="415"/>
      <c r="DR168" s="415"/>
      <c r="DS168" s="415"/>
      <c r="DT168" s="415"/>
      <c r="DU168" s="415"/>
      <c r="DV168" s="415"/>
      <c r="DW168" s="415"/>
      <c r="DX168" s="415"/>
      <c r="DY168" s="415"/>
      <c r="DZ168" s="415"/>
      <c r="EA168" s="415"/>
      <c r="EB168" s="415"/>
      <c r="EC168" s="415"/>
      <c r="ED168" s="415"/>
      <c r="EE168" s="415"/>
      <c r="EF168" s="415"/>
      <c r="EG168" s="415"/>
      <c r="EH168" s="415"/>
      <c r="EI168" s="415"/>
      <c r="EJ168" s="415"/>
      <c r="EK168" s="415"/>
      <c r="EL168" s="415"/>
      <c r="EM168" s="415"/>
      <c r="EN168" s="415"/>
      <c r="EO168" s="415"/>
      <c r="EP168" s="415"/>
      <c r="EQ168" s="415"/>
      <c r="ER168" s="415"/>
      <c r="ES168" s="415"/>
      <c r="ET168" s="415"/>
      <c r="EU168" s="415"/>
      <c r="EV168" s="415"/>
      <c r="EW168" s="415"/>
      <c r="EX168" s="415"/>
      <c r="EY168" s="415"/>
      <c r="EZ168" s="415"/>
      <c r="FA168" s="415"/>
      <c r="FB168" s="415"/>
      <c r="FC168" s="415"/>
      <c r="FD168" s="415"/>
      <c r="FE168" s="415"/>
      <c r="FF168" s="415"/>
      <c r="FG168" s="415"/>
      <c r="FH168" s="415"/>
      <c r="FI168" s="415"/>
      <c r="FJ168" s="415"/>
      <c r="FK168" s="415"/>
      <c r="FL168" s="415"/>
      <c r="FM168" s="415"/>
      <c r="FN168" s="415"/>
      <c r="FO168" s="415"/>
      <c r="FP168" s="415"/>
      <c r="FQ168" s="415"/>
      <c r="FR168" s="415"/>
      <c r="FS168" s="415"/>
      <c r="FT168" s="415"/>
      <c r="FU168" s="415"/>
      <c r="FV168" s="415"/>
      <c r="FW168" s="415"/>
      <c r="FX168" s="415"/>
      <c r="FY168" s="415"/>
      <c r="FZ168" s="415"/>
      <c r="GA168" s="415"/>
      <c r="GB168" s="415"/>
      <c r="GC168" s="415"/>
      <c r="GD168" s="415"/>
      <c r="GE168" s="415"/>
      <c r="GF168" s="415"/>
      <c r="GG168" s="415"/>
      <c r="GH168" s="415"/>
      <c r="GI168" s="415"/>
      <c r="GJ168" s="415"/>
      <c r="GK168" s="415"/>
      <c r="GL168" s="415"/>
      <c r="GM168" s="415"/>
      <c r="GN168" s="415"/>
      <c r="GO168" s="415"/>
      <c r="GP168" s="415"/>
      <c r="GQ168" s="415"/>
      <c r="GR168" s="415"/>
      <c r="GS168" s="415"/>
      <c r="GT168" s="415"/>
      <c r="GU168" s="415"/>
      <c r="GV168" s="415"/>
      <c r="GW168" s="415"/>
      <c r="GX168" s="415"/>
      <c r="GY168" s="415"/>
      <c r="GZ168" s="415"/>
      <c r="HA168" s="415"/>
      <c r="HB168" s="415"/>
      <c r="HC168" s="415"/>
      <c r="HD168" s="415"/>
      <c r="HE168" s="415"/>
      <c r="HF168" s="415"/>
      <c r="HG168" s="415"/>
      <c r="HH168" s="415"/>
      <c r="HI168" s="415"/>
      <c r="HJ168" s="415"/>
      <c r="HK168" s="415"/>
      <c r="HL168" s="415"/>
      <c r="HM168" s="415"/>
      <c r="HN168" s="415"/>
      <c r="HO168" s="415"/>
      <c r="HP168" s="415"/>
      <c r="HQ168" s="415"/>
      <c r="HR168" s="415"/>
      <c r="HS168" s="415"/>
      <c r="HT168" s="415"/>
      <c r="HU168" s="415"/>
      <c r="HV168" s="415"/>
      <c r="HW168" s="415"/>
      <c r="HX168" s="415"/>
      <c r="HY168" s="415"/>
      <c r="HZ168" s="415"/>
      <c r="IA168" s="415"/>
      <c r="IB168" s="415"/>
      <c r="IC168" s="415"/>
      <c r="ID168" s="415"/>
      <c r="IE168" s="415"/>
      <c r="IF168" s="415"/>
      <c r="IG168" s="415"/>
      <c r="IH168" s="415"/>
      <c r="II168" s="415"/>
      <c r="IJ168" s="415"/>
      <c r="IK168" s="415"/>
      <c r="IL168" s="415"/>
      <c r="IM168" s="415"/>
      <c r="IN168" s="415"/>
      <c r="IO168" s="415"/>
      <c r="IP168" s="415"/>
      <c r="IQ168" s="415"/>
      <c r="IR168" s="415"/>
      <c r="IS168" s="415"/>
      <c r="IT168" s="415"/>
      <c r="IU168" s="415"/>
    </row>
    <row r="169" spans="2:255" ht="18.5">
      <c r="B169" s="415"/>
      <c r="C169" s="415"/>
      <c r="D169" s="415"/>
      <c r="E169" s="415"/>
      <c r="F169" s="415"/>
      <c r="G169" s="415"/>
      <c r="H169" s="415"/>
      <c r="I169" s="415"/>
      <c r="J169" s="415"/>
      <c r="K169" s="415"/>
      <c r="L169" s="415"/>
      <c r="Q169" s="17"/>
      <c r="R169" s="744"/>
      <c r="S169" s="744"/>
      <c r="U169" s="32"/>
      <c r="V169" s="1097"/>
      <c r="W169" s="1097"/>
      <c r="X169" s="415"/>
      <c r="Y169" s="415"/>
      <c r="Z169" s="415"/>
      <c r="AA169" s="415"/>
      <c r="AB169" s="415"/>
      <c r="AC169" s="415"/>
      <c r="AD169" s="415"/>
      <c r="AE169" s="415"/>
      <c r="AF169" s="415"/>
      <c r="AG169" s="415"/>
      <c r="AH169" s="415"/>
      <c r="AI169" s="415"/>
      <c r="AJ169" s="415"/>
      <c r="AK169" s="415"/>
      <c r="AL169" s="415"/>
      <c r="AM169" s="415"/>
      <c r="AN169" s="415"/>
      <c r="AO169" s="415"/>
      <c r="AP169" s="415"/>
      <c r="AQ169" s="415"/>
      <c r="AR169" s="415"/>
      <c r="AS169" s="415"/>
      <c r="AT169" s="415"/>
      <c r="AU169" s="415"/>
      <c r="AV169" s="415"/>
      <c r="AW169" s="415"/>
      <c r="AX169" s="415"/>
      <c r="AY169" s="415"/>
      <c r="AZ169" s="415"/>
      <c r="BA169" s="415"/>
      <c r="BB169" s="415"/>
      <c r="BC169" s="415"/>
      <c r="BD169" s="415"/>
      <c r="BE169" s="415"/>
      <c r="BF169" s="415"/>
      <c r="BG169" s="415"/>
      <c r="BH169" s="415"/>
      <c r="BI169" s="415"/>
      <c r="BJ169" s="415"/>
      <c r="BK169" s="415"/>
      <c r="BL169" s="415"/>
      <c r="BM169" s="415"/>
      <c r="BN169" s="415"/>
      <c r="BO169" s="415"/>
      <c r="BP169" s="415"/>
      <c r="BQ169" s="415"/>
      <c r="BR169" s="415"/>
      <c r="BS169" s="415"/>
      <c r="BT169" s="415"/>
      <c r="BU169" s="415"/>
      <c r="BV169" s="415"/>
      <c r="BW169" s="415"/>
      <c r="BX169" s="415"/>
      <c r="BY169" s="415"/>
      <c r="BZ169" s="415"/>
      <c r="CA169" s="415"/>
      <c r="CB169" s="415"/>
      <c r="CC169" s="415"/>
      <c r="CD169" s="415"/>
      <c r="CE169" s="415"/>
      <c r="CF169" s="415"/>
      <c r="CG169" s="415"/>
      <c r="CH169" s="415"/>
      <c r="CI169" s="415"/>
      <c r="CJ169" s="415"/>
      <c r="CK169" s="415"/>
      <c r="CL169" s="415"/>
      <c r="CM169" s="415"/>
      <c r="CN169" s="415"/>
      <c r="CO169" s="415"/>
      <c r="CP169" s="415"/>
      <c r="CQ169" s="415"/>
      <c r="CR169" s="415"/>
      <c r="CS169" s="415"/>
      <c r="CT169" s="415"/>
      <c r="CU169" s="415"/>
      <c r="CV169" s="415"/>
      <c r="CW169" s="415"/>
      <c r="CX169" s="415"/>
      <c r="CY169" s="415"/>
      <c r="CZ169" s="415"/>
      <c r="DA169" s="415"/>
      <c r="DB169" s="415"/>
      <c r="DC169" s="415"/>
      <c r="DD169" s="415"/>
      <c r="DE169" s="415"/>
      <c r="DF169" s="415"/>
      <c r="DG169" s="415"/>
      <c r="DH169" s="415"/>
      <c r="DI169" s="415"/>
      <c r="DJ169" s="415"/>
      <c r="DK169" s="415"/>
      <c r="DL169" s="415"/>
      <c r="DM169" s="415"/>
      <c r="DN169" s="415"/>
      <c r="DO169" s="415"/>
      <c r="DP169" s="415"/>
      <c r="DQ169" s="415"/>
      <c r="DR169" s="415"/>
      <c r="DS169" s="415"/>
      <c r="DT169" s="415"/>
      <c r="DU169" s="415"/>
      <c r="DV169" s="415"/>
      <c r="DW169" s="415"/>
      <c r="DX169" s="415"/>
      <c r="DY169" s="415"/>
      <c r="DZ169" s="415"/>
      <c r="EA169" s="415"/>
      <c r="EB169" s="415"/>
      <c r="EC169" s="415"/>
      <c r="ED169" s="415"/>
      <c r="EE169" s="415"/>
      <c r="EF169" s="415"/>
      <c r="EG169" s="415"/>
      <c r="EH169" s="415"/>
      <c r="EI169" s="415"/>
      <c r="EJ169" s="415"/>
      <c r="EK169" s="415"/>
      <c r="EL169" s="415"/>
      <c r="EM169" s="415"/>
      <c r="EN169" s="415"/>
      <c r="EO169" s="415"/>
      <c r="EP169" s="415"/>
      <c r="EQ169" s="415"/>
      <c r="ER169" s="415"/>
      <c r="ES169" s="415"/>
      <c r="ET169" s="415"/>
      <c r="EU169" s="415"/>
      <c r="EV169" s="415"/>
      <c r="EW169" s="415"/>
      <c r="EX169" s="415"/>
      <c r="EY169" s="415"/>
      <c r="EZ169" s="415"/>
      <c r="FA169" s="415"/>
      <c r="FB169" s="415"/>
      <c r="FC169" s="415"/>
      <c r="FD169" s="415"/>
      <c r="FE169" s="415"/>
      <c r="FF169" s="415"/>
      <c r="FG169" s="415"/>
      <c r="FH169" s="415"/>
      <c r="FI169" s="415"/>
      <c r="FJ169" s="415"/>
      <c r="FK169" s="415"/>
      <c r="FL169" s="415"/>
      <c r="FM169" s="415"/>
      <c r="FN169" s="415"/>
      <c r="FO169" s="415"/>
      <c r="FP169" s="415"/>
      <c r="FQ169" s="415"/>
      <c r="FR169" s="415"/>
      <c r="FS169" s="415"/>
      <c r="FT169" s="415"/>
      <c r="FU169" s="415"/>
      <c r="FV169" s="415"/>
      <c r="FW169" s="415"/>
      <c r="FX169" s="415"/>
      <c r="FY169" s="415"/>
      <c r="FZ169" s="415"/>
      <c r="GA169" s="415"/>
      <c r="GB169" s="415"/>
      <c r="GC169" s="415"/>
      <c r="GD169" s="415"/>
      <c r="GE169" s="415"/>
      <c r="GF169" s="415"/>
      <c r="GG169" s="415"/>
      <c r="GH169" s="415"/>
      <c r="GI169" s="415"/>
      <c r="GJ169" s="415"/>
      <c r="GK169" s="415"/>
      <c r="GL169" s="415"/>
      <c r="GM169" s="415"/>
      <c r="GN169" s="415"/>
      <c r="GO169" s="415"/>
      <c r="GP169" s="415"/>
      <c r="GQ169" s="415"/>
      <c r="GR169" s="415"/>
      <c r="GS169" s="415"/>
      <c r="GT169" s="415"/>
      <c r="GU169" s="415"/>
      <c r="GV169" s="415"/>
      <c r="GW169" s="415"/>
      <c r="GX169" s="415"/>
      <c r="GY169" s="415"/>
      <c r="GZ169" s="415"/>
      <c r="HA169" s="415"/>
      <c r="HB169" s="415"/>
      <c r="HC169" s="415"/>
      <c r="HD169" s="415"/>
      <c r="HE169" s="415"/>
      <c r="HF169" s="415"/>
      <c r="HG169" s="415"/>
      <c r="HH169" s="415"/>
      <c r="HI169" s="415"/>
      <c r="HJ169" s="415"/>
      <c r="HK169" s="415"/>
      <c r="HL169" s="415"/>
      <c r="HM169" s="415"/>
      <c r="HN169" s="415"/>
      <c r="HO169" s="415"/>
      <c r="HP169" s="415"/>
      <c r="HQ169" s="415"/>
      <c r="HR169" s="415"/>
      <c r="HS169" s="415"/>
      <c r="HT169" s="415"/>
      <c r="HU169" s="415"/>
      <c r="HV169" s="415"/>
      <c r="HW169" s="415"/>
      <c r="HX169" s="415"/>
      <c r="HY169" s="415"/>
      <c r="HZ169" s="415"/>
      <c r="IA169" s="415"/>
      <c r="IB169" s="415"/>
      <c r="IC169" s="415"/>
      <c r="ID169" s="415"/>
      <c r="IE169" s="415"/>
      <c r="IF169" s="415"/>
      <c r="IG169" s="415"/>
      <c r="IH169" s="415"/>
      <c r="II169" s="415"/>
      <c r="IJ169" s="415"/>
      <c r="IK169" s="415"/>
      <c r="IL169" s="415"/>
      <c r="IM169" s="415"/>
      <c r="IN169" s="415"/>
      <c r="IO169" s="415"/>
      <c r="IP169" s="415"/>
      <c r="IQ169" s="415"/>
      <c r="IR169" s="415"/>
      <c r="IS169" s="415"/>
      <c r="IT169" s="415"/>
      <c r="IU169" s="415"/>
    </row>
    <row r="170" spans="2:255" ht="18.5">
      <c r="B170" s="415"/>
      <c r="C170" s="415"/>
      <c r="D170" s="415"/>
      <c r="E170" s="415"/>
      <c r="F170" s="415"/>
      <c r="G170" s="415"/>
      <c r="H170" s="415"/>
      <c r="I170" s="415"/>
      <c r="J170" s="415"/>
      <c r="K170" s="415"/>
      <c r="L170" s="415"/>
      <c r="Q170" s="17"/>
      <c r="R170" s="744"/>
      <c r="S170" s="744"/>
      <c r="U170" s="32"/>
      <c r="V170" s="1097"/>
      <c r="W170" s="1097"/>
      <c r="X170" s="415"/>
      <c r="Y170" s="415"/>
      <c r="Z170" s="415"/>
      <c r="AA170" s="415"/>
      <c r="AB170" s="415"/>
      <c r="AC170" s="415"/>
      <c r="AD170" s="415"/>
      <c r="AE170" s="415"/>
      <c r="AF170" s="415"/>
      <c r="AG170" s="415"/>
      <c r="AH170" s="415"/>
      <c r="AI170" s="415"/>
      <c r="AJ170" s="415"/>
      <c r="AK170" s="415"/>
      <c r="AL170" s="415"/>
      <c r="AM170" s="415"/>
      <c r="AN170" s="415"/>
      <c r="AO170" s="415"/>
      <c r="AP170" s="415"/>
      <c r="AQ170" s="415"/>
      <c r="AR170" s="415"/>
      <c r="AS170" s="415"/>
      <c r="AT170" s="415"/>
      <c r="AU170" s="415"/>
      <c r="AV170" s="415"/>
      <c r="AW170" s="415"/>
      <c r="AX170" s="415"/>
      <c r="AY170" s="415"/>
      <c r="AZ170" s="415"/>
      <c r="BA170" s="415"/>
      <c r="BB170" s="415"/>
      <c r="BC170" s="415"/>
      <c r="BD170" s="415"/>
      <c r="BE170" s="415"/>
      <c r="BF170" s="415"/>
      <c r="BG170" s="415"/>
      <c r="BH170" s="415"/>
      <c r="BI170" s="415"/>
      <c r="BJ170" s="415"/>
      <c r="BK170" s="415"/>
      <c r="BL170" s="415"/>
      <c r="BM170" s="415"/>
      <c r="BN170" s="415"/>
      <c r="BO170" s="415"/>
      <c r="BP170" s="415"/>
      <c r="BQ170" s="415"/>
      <c r="BR170" s="415"/>
      <c r="BS170" s="415"/>
      <c r="BT170" s="415"/>
      <c r="BU170" s="415"/>
      <c r="BV170" s="415"/>
      <c r="BW170" s="415"/>
      <c r="BX170" s="415"/>
      <c r="BY170" s="415"/>
      <c r="BZ170" s="415"/>
      <c r="CA170" s="415"/>
      <c r="CB170" s="415"/>
      <c r="CC170" s="415"/>
      <c r="CD170" s="415"/>
      <c r="CE170" s="415"/>
      <c r="CF170" s="415"/>
      <c r="CG170" s="415"/>
      <c r="CH170" s="415"/>
      <c r="CI170" s="415"/>
      <c r="CJ170" s="415"/>
      <c r="CK170" s="415"/>
      <c r="CL170" s="415"/>
      <c r="CM170" s="415"/>
      <c r="CN170" s="415"/>
      <c r="CO170" s="415"/>
      <c r="CP170" s="415"/>
      <c r="CQ170" s="415"/>
      <c r="CR170" s="415"/>
      <c r="CS170" s="415"/>
      <c r="CT170" s="415"/>
      <c r="CU170" s="415"/>
      <c r="CV170" s="415"/>
      <c r="CW170" s="415"/>
      <c r="CX170" s="415"/>
      <c r="CY170" s="415"/>
      <c r="CZ170" s="415"/>
      <c r="DA170" s="415"/>
      <c r="DB170" s="415"/>
      <c r="DC170" s="415"/>
      <c r="DD170" s="415"/>
      <c r="DE170" s="415"/>
      <c r="DF170" s="415"/>
      <c r="DG170" s="415"/>
      <c r="DH170" s="415"/>
      <c r="DI170" s="415"/>
      <c r="DJ170" s="415"/>
      <c r="DK170" s="415"/>
      <c r="DL170" s="415"/>
      <c r="DM170" s="415"/>
      <c r="DN170" s="415"/>
      <c r="DO170" s="415"/>
      <c r="DP170" s="415"/>
      <c r="DQ170" s="415"/>
      <c r="DR170" s="415"/>
      <c r="DS170" s="415"/>
      <c r="DT170" s="415"/>
      <c r="DU170" s="415"/>
      <c r="DV170" s="415"/>
      <c r="DW170" s="415"/>
      <c r="DX170" s="415"/>
      <c r="DY170" s="415"/>
      <c r="DZ170" s="415"/>
      <c r="EA170" s="415"/>
      <c r="EB170" s="415"/>
      <c r="EC170" s="415"/>
      <c r="ED170" s="415"/>
      <c r="EE170" s="415"/>
      <c r="EF170" s="415"/>
      <c r="EG170" s="415"/>
      <c r="EH170" s="415"/>
      <c r="EI170" s="415"/>
      <c r="EJ170" s="415"/>
      <c r="EK170" s="415"/>
      <c r="EL170" s="415"/>
      <c r="EM170" s="415"/>
      <c r="EN170" s="415"/>
      <c r="EO170" s="415"/>
      <c r="EP170" s="415"/>
      <c r="EQ170" s="415"/>
      <c r="ER170" s="415"/>
      <c r="ES170" s="415"/>
      <c r="ET170" s="415"/>
      <c r="EU170" s="415"/>
      <c r="EV170" s="415"/>
      <c r="EW170" s="415"/>
      <c r="EX170" s="415"/>
      <c r="EY170" s="415"/>
      <c r="EZ170" s="415"/>
      <c r="FA170" s="415"/>
      <c r="FB170" s="415"/>
      <c r="FC170" s="415"/>
      <c r="FD170" s="415"/>
      <c r="FE170" s="415"/>
      <c r="FF170" s="415"/>
      <c r="FG170" s="415"/>
      <c r="FH170" s="415"/>
      <c r="FI170" s="415"/>
      <c r="FJ170" s="415"/>
      <c r="FK170" s="415"/>
      <c r="FL170" s="415"/>
      <c r="FM170" s="415"/>
      <c r="FN170" s="415"/>
      <c r="FO170" s="415"/>
      <c r="FP170" s="415"/>
      <c r="FQ170" s="415"/>
      <c r="FR170" s="415"/>
      <c r="FS170" s="415"/>
      <c r="FT170" s="415"/>
      <c r="FU170" s="415"/>
      <c r="FV170" s="415"/>
      <c r="FW170" s="415"/>
      <c r="FX170" s="415"/>
      <c r="FY170" s="415"/>
      <c r="FZ170" s="415"/>
      <c r="GA170" s="415"/>
      <c r="GB170" s="415"/>
      <c r="GC170" s="415"/>
      <c r="GD170" s="415"/>
      <c r="GE170" s="415"/>
      <c r="GF170" s="415"/>
      <c r="GG170" s="415"/>
      <c r="GH170" s="415"/>
      <c r="GI170" s="415"/>
      <c r="GJ170" s="415"/>
      <c r="GK170" s="415"/>
      <c r="GL170" s="415"/>
      <c r="GM170" s="415"/>
      <c r="GN170" s="415"/>
      <c r="GO170" s="415"/>
      <c r="GP170" s="415"/>
      <c r="GQ170" s="415"/>
      <c r="GR170" s="415"/>
      <c r="GS170" s="415"/>
      <c r="GT170" s="415"/>
      <c r="GU170" s="415"/>
      <c r="GV170" s="415"/>
      <c r="GW170" s="415"/>
      <c r="GX170" s="415"/>
      <c r="GY170" s="415"/>
      <c r="GZ170" s="415"/>
      <c r="HA170" s="415"/>
      <c r="HB170" s="415"/>
      <c r="HC170" s="415"/>
      <c r="HD170" s="415"/>
      <c r="HE170" s="415"/>
      <c r="HF170" s="415"/>
      <c r="HG170" s="415"/>
      <c r="HH170" s="415"/>
      <c r="HI170" s="415"/>
      <c r="HJ170" s="415"/>
      <c r="HK170" s="415"/>
      <c r="HL170" s="415"/>
      <c r="HM170" s="415"/>
      <c r="HN170" s="415"/>
      <c r="HO170" s="415"/>
      <c r="HP170" s="415"/>
      <c r="HQ170" s="415"/>
      <c r="HR170" s="415"/>
      <c r="HS170" s="415"/>
      <c r="HT170" s="415"/>
      <c r="HU170" s="415"/>
      <c r="HV170" s="415"/>
      <c r="HW170" s="415"/>
      <c r="HX170" s="415"/>
      <c r="HY170" s="415"/>
      <c r="HZ170" s="415"/>
      <c r="IA170" s="415"/>
      <c r="IB170" s="415"/>
      <c r="IC170" s="415"/>
      <c r="ID170" s="415"/>
      <c r="IE170" s="415"/>
      <c r="IF170" s="415"/>
      <c r="IG170" s="415"/>
      <c r="IH170" s="415"/>
      <c r="II170" s="415"/>
      <c r="IJ170" s="415"/>
      <c r="IK170" s="415"/>
      <c r="IL170" s="415"/>
      <c r="IM170" s="415"/>
      <c r="IN170" s="415"/>
      <c r="IO170" s="415"/>
      <c r="IP170" s="415"/>
      <c r="IQ170" s="415"/>
      <c r="IR170" s="415"/>
      <c r="IS170" s="415"/>
      <c r="IT170" s="415"/>
      <c r="IU170" s="415"/>
    </row>
    <row r="171" spans="2:255" ht="18.5"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Q171" s="17"/>
      <c r="R171" s="744"/>
      <c r="S171" s="744"/>
      <c r="U171" s="106"/>
      <c r="V171" s="1097"/>
      <c r="W171" s="1097"/>
      <c r="X171" s="415"/>
      <c r="Y171" s="415"/>
      <c r="Z171" s="415"/>
      <c r="AA171" s="415"/>
      <c r="AB171" s="415"/>
      <c r="AC171" s="415"/>
      <c r="AD171" s="415"/>
      <c r="AE171" s="415"/>
      <c r="AF171" s="415"/>
      <c r="AG171" s="415"/>
      <c r="AH171" s="415"/>
      <c r="AI171" s="415"/>
      <c r="AJ171" s="415"/>
      <c r="AK171" s="415"/>
      <c r="AL171" s="415"/>
      <c r="AM171" s="415"/>
      <c r="AN171" s="415"/>
      <c r="AO171" s="415"/>
      <c r="AP171" s="415"/>
      <c r="AQ171" s="415"/>
      <c r="AR171" s="415"/>
      <c r="AS171" s="415"/>
      <c r="AT171" s="415"/>
      <c r="AU171" s="415"/>
      <c r="AV171" s="415"/>
      <c r="AW171" s="415"/>
      <c r="AX171" s="415"/>
      <c r="AY171" s="415"/>
      <c r="AZ171" s="415"/>
      <c r="BA171" s="415"/>
      <c r="BB171" s="415"/>
      <c r="BC171" s="415"/>
      <c r="BD171" s="415"/>
      <c r="BE171" s="415"/>
      <c r="BF171" s="415"/>
      <c r="BG171" s="415"/>
      <c r="BH171" s="415"/>
      <c r="BI171" s="415"/>
      <c r="BJ171" s="415"/>
      <c r="BK171" s="415"/>
      <c r="BL171" s="415"/>
      <c r="BM171" s="415"/>
      <c r="BN171" s="415"/>
      <c r="BO171" s="415"/>
      <c r="BP171" s="415"/>
      <c r="BQ171" s="415"/>
      <c r="BR171" s="415"/>
      <c r="BS171" s="415"/>
      <c r="BT171" s="415"/>
      <c r="BU171" s="415"/>
      <c r="BV171" s="415"/>
      <c r="BW171" s="415"/>
      <c r="BX171" s="415"/>
      <c r="BY171" s="415"/>
      <c r="BZ171" s="415"/>
      <c r="CA171" s="415"/>
      <c r="CB171" s="415"/>
      <c r="CC171" s="415"/>
      <c r="CD171" s="415"/>
      <c r="CE171" s="415"/>
      <c r="CF171" s="415"/>
      <c r="CG171" s="415"/>
      <c r="CH171" s="415"/>
      <c r="CI171" s="415"/>
      <c r="CJ171" s="415"/>
      <c r="CK171" s="415"/>
      <c r="CL171" s="415"/>
      <c r="CM171" s="415"/>
      <c r="CN171" s="415"/>
      <c r="CO171" s="415"/>
      <c r="CP171" s="415"/>
      <c r="CQ171" s="415"/>
      <c r="CR171" s="415"/>
      <c r="CS171" s="415"/>
      <c r="CT171" s="415"/>
      <c r="CU171" s="415"/>
      <c r="CV171" s="415"/>
      <c r="CW171" s="415"/>
      <c r="CX171" s="415"/>
      <c r="CY171" s="415"/>
      <c r="CZ171" s="415"/>
      <c r="DA171" s="415"/>
      <c r="DB171" s="415"/>
      <c r="DC171" s="415"/>
      <c r="DD171" s="415"/>
      <c r="DE171" s="415"/>
      <c r="DF171" s="415"/>
      <c r="DG171" s="415"/>
      <c r="DH171" s="415"/>
      <c r="DI171" s="415"/>
      <c r="DJ171" s="415"/>
      <c r="DK171" s="415"/>
      <c r="DL171" s="415"/>
      <c r="DM171" s="415"/>
      <c r="DN171" s="415"/>
      <c r="DO171" s="415"/>
      <c r="DP171" s="415"/>
      <c r="DQ171" s="415"/>
      <c r="DR171" s="415"/>
      <c r="DS171" s="415"/>
      <c r="DT171" s="415"/>
      <c r="DU171" s="415"/>
      <c r="DV171" s="415"/>
      <c r="DW171" s="415"/>
      <c r="DX171" s="415"/>
      <c r="DY171" s="415"/>
      <c r="DZ171" s="415"/>
      <c r="EA171" s="415"/>
      <c r="EB171" s="415"/>
      <c r="EC171" s="415"/>
      <c r="ED171" s="415"/>
      <c r="EE171" s="415"/>
      <c r="EF171" s="415"/>
      <c r="EG171" s="415"/>
      <c r="EH171" s="415"/>
      <c r="EI171" s="415"/>
      <c r="EJ171" s="415"/>
      <c r="EK171" s="415"/>
      <c r="EL171" s="415"/>
      <c r="EM171" s="415"/>
      <c r="EN171" s="415"/>
      <c r="EO171" s="415"/>
      <c r="EP171" s="415"/>
      <c r="EQ171" s="415"/>
      <c r="ER171" s="415"/>
      <c r="ES171" s="415"/>
      <c r="ET171" s="415"/>
      <c r="EU171" s="415"/>
      <c r="EV171" s="415"/>
      <c r="EW171" s="415"/>
      <c r="EX171" s="415"/>
      <c r="EY171" s="415"/>
      <c r="EZ171" s="415"/>
      <c r="FA171" s="415"/>
      <c r="FB171" s="415"/>
      <c r="FC171" s="415"/>
      <c r="FD171" s="415"/>
      <c r="FE171" s="415"/>
      <c r="FF171" s="415"/>
      <c r="FG171" s="415"/>
      <c r="FH171" s="415"/>
      <c r="FI171" s="415"/>
      <c r="FJ171" s="415"/>
      <c r="FK171" s="415"/>
      <c r="FL171" s="415"/>
      <c r="FM171" s="415"/>
      <c r="FN171" s="415"/>
      <c r="FO171" s="415"/>
      <c r="FP171" s="415"/>
      <c r="FQ171" s="415"/>
      <c r="FR171" s="415"/>
      <c r="FS171" s="415"/>
      <c r="FT171" s="415"/>
      <c r="FU171" s="415"/>
      <c r="FV171" s="415"/>
      <c r="FW171" s="415"/>
      <c r="FX171" s="415"/>
      <c r="FY171" s="415"/>
      <c r="FZ171" s="415"/>
      <c r="GA171" s="415"/>
      <c r="GB171" s="415"/>
      <c r="GC171" s="415"/>
      <c r="GD171" s="415"/>
      <c r="GE171" s="415"/>
      <c r="GF171" s="415"/>
      <c r="GG171" s="415"/>
      <c r="GH171" s="415"/>
      <c r="GI171" s="415"/>
      <c r="GJ171" s="415"/>
      <c r="GK171" s="415"/>
      <c r="GL171" s="415"/>
      <c r="GM171" s="415"/>
      <c r="GN171" s="415"/>
      <c r="GO171" s="415"/>
      <c r="GP171" s="415"/>
      <c r="GQ171" s="415"/>
      <c r="GR171" s="415"/>
      <c r="GS171" s="415"/>
      <c r="GT171" s="415"/>
      <c r="GU171" s="415"/>
      <c r="GV171" s="415"/>
      <c r="GW171" s="415"/>
      <c r="GX171" s="415"/>
      <c r="GY171" s="415"/>
      <c r="GZ171" s="415"/>
      <c r="HA171" s="415"/>
      <c r="HB171" s="415"/>
      <c r="HC171" s="415"/>
      <c r="HD171" s="415"/>
      <c r="HE171" s="415"/>
      <c r="HF171" s="415"/>
      <c r="HG171" s="415"/>
      <c r="HH171" s="415"/>
      <c r="HI171" s="415"/>
      <c r="HJ171" s="415"/>
      <c r="HK171" s="415"/>
      <c r="HL171" s="415"/>
      <c r="HM171" s="415"/>
      <c r="HN171" s="415"/>
      <c r="HO171" s="415"/>
      <c r="HP171" s="415"/>
      <c r="HQ171" s="415"/>
      <c r="HR171" s="415"/>
      <c r="HS171" s="415"/>
      <c r="HT171" s="415"/>
      <c r="HU171" s="415"/>
      <c r="HV171" s="415"/>
      <c r="HW171" s="415"/>
      <c r="HX171" s="415"/>
      <c r="HY171" s="415"/>
      <c r="HZ171" s="415"/>
      <c r="IA171" s="415"/>
      <c r="IB171" s="415"/>
      <c r="IC171" s="415"/>
      <c r="ID171" s="415"/>
      <c r="IE171" s="415"/>
      <c r="IF171" s="415"/>
      <c r="IG171" s="415"/>
      <c r="IH171" s="415"/>
      <c r="II171" s="415"/>
      <c r="IJ171" s="415"/>
      <c r="IK171" s="415"/>
      <c r="IL171" s="415"/>
      <c r="IM171" s="415"/>
      <c r="IN171" s="415"/>
      <c r="IO171" s="415"/>
      <c r="IP171" s="415"/>
      <c r="IQ171" s="415"/>
      <c r="IR171" s="415"/>
      <c r="IS171" s="415"/>
      <c r="IT171" s="415"/>
      <c r="IU171" s="415"/>
    </row>
    <row r="172" spans="2:255" ht="18.5">
      <c r="B172" s="415"/>
      <c r="C172" s="415"/>
      <c r="D172" s="415"/>
      <c r="E172" s="415"/>
      <c r="F172" s="415"/>
      <c r="G172" s="415"/>
      <c r="H172" s="415"/>
      <c r="I172" s="415"/>
      <c r="J172" s="415"/>
      <c r="K172" s="415"/>
      <c r="L172" s="415"/>
      <c r="Q172" s="17"/>
      <c r="R172" s="744"/>
      <c r="S172" s="744"/>
      <c r="U172" s="106"/>
      <c r="V172" s="1097"/>
      <c r="W172" s="1097"/>
      <c r="X172" s="415"/>
      <c r="Y172" s="415"/>
      <c r="Z172" s="415"/>
      <c r="AA172" s="415"/>
      <c r="AB172" s="415"/>
      <c r="AC172" s="415"/>
      <c r="AD172" s="415"/>
      <c r="AE172" s="415"/>
      <c r="AF172" s="415"/>
      <c r="AG172" s="415"/>
      <c r="AH172" s="415"/>
      <c r="AI172" s="415"/>
      <c r="AJ172" s="415"/>
      <c r="AK172" s="415"/>
      <c r="AL172" s="415"/>
      <c r="AM172" s="415"/>
      <c r="AN172" s="415"/>
      <c r="AO172" s="415"/>
      <c r="AP172" s="415"/>
      <c r="AQ172" s="415"/>
      <c r="AR172" s="415"/>
      <c r="AS172" s="415"/>
      <c r="AT172" s="415"/>
      <c r="AU172" s="415"/>
      <c r="AV172" s="415"/>
      <c r="AW172" s="415"/>
      <c r="AX172" s="415"/>
      <c r="AY172" s="415"/>
      <c r="AZ172" s="415"/>
      <c r="BA172" s="415"/>
      <c r="BB172" s="415"/>
      <c r="BC172" s="415"/>
      <c r="BD172" s="415"/>
      <c r="BE172" s="415"/>
      <c r="BF172" s="415"/>
      <c r="BG172" s="415"/>
      <c r="BH172" s="415"/>
      <c r="BI172" s="415"/>
      <c r="BJ172" s="415"/>
      <c r="BK172" s="415"/>
      <c r="BL172" s="415"/>
      <c r="BM172" s="415"/>
      <c r="BN172" s="415"/>
      <c r="BO172" s="415"/>
      <c r="BP172" s="415"/>
      <c r="BQ172" s="415"/>
      <c r="BR172" s="415"/>
      <c r="BS172" s="415"/>
      <c r="BT172" s="415"/>
      <c r="BU172" s="415"/>
      <c r="BV172" s="415"/>
      <c r="BW172" s="415"/>
      <c r="BX172" s="415"/>
      <c r="BY172" s="415"/>
      <c r="BZ172" s="415"/>
      <c r="CA172" s="415"/>
      <c r="CB172" s="415"/>
      <c r="CC172" s="415"/>
      <c r="CD172" s="415"/>
      <c r="CE172" s="415"/>
      <c r="CF172" s="415"/>
      <c r="CG172" s="415"/>
      <c r="CH172" s="415"/>
      <c r="CI172" s="415"/>
      <c r="CJ172" s="415"/>
      <c r="CK172" s="415"/>
      <c r="CL172" s="415"/>
      <c r="CM172" s="415"/>
      <c r="CN172" s="415"/>
      <c r="CO172" s="415"/>
      <c r="CP172" s="415"/>
      <c r="CQ172" s="415"/>
      <c r="CR172" s="415"/>
      <c r="CS172" s="415"/>
      <c r="CT172" s="415"/>
      <c r="CU172" s="415"/>
      <c r="CV172" s="415"/>
      <c r="CW172" s="415"/>
      <c r="CX172" s="415"/>
      <c r="CY172" s="415"/>
      <c r="CZ172" s="415"/>
      <c r="DA172" s="415"/>
      <c r="DB172" s="415"/>
      <c r="DC172" s="415"/>
      <c r="DD172" s="415"/>
      <c r="DE172" s="415"/>
      <c r="DF172" s="415"/>
      <c r="DG172" s="415"/>
      <c r="DH172" s="415"/>
      <c r="DI172" s="415"/>
      <c r="DJ172" s="415"/>
      <c r="DK172" s="415"/>
      <c r="DL172" s="415"/>
      <c r="DM172" s="415"/>
      <c r="DN172" s="415"/>
      <c r="DO172" s="415"/>
      <c r="DP172" s="415"/>
      <c r="DQ172" s="415"/>
      <c r="DR172" s="415"/>
      <c r="DS172" s="415"/>
      <c r="DT172" s="415"/>
      <c r="DU172" s="415"/>
      <c r="DV172" s="415"/>
      <c r="DW172" s="415"/>
      <c r="DX172" s="415"/>
      <c r="DY172" s="415"/>
      <c r="DZ172" s="415"/>
      <c r="EA172" s="415"/>
      <c r="EB172" s="415"/>
      <c r="EC172" s="415"/>
      <c r="ED172" s="415"/>
      <c r="EE172" s="415"/>
      <c r="EF172" s="415"/>
      <c r="EG172" s="415"/>
      <c r="EH172" s="415"/>
      <c r="EI172" s="415"/>
      <c r="EJ172" s="415"/>
      <c r="EK172" s="415"/>
      <c r="EL172" s="415"/>
      <c r="EM172" s="415"/>
      <c r="EN172" s="415"/>
      <c r="EO172" s="415"/>
      <c r="EP172" s="415"/>
      <c r="EQ172" s="415"/>
      <c r="ER172" s="415"/>
      <c r="ES172" s="415"/>
      <c r="ET172" s="415"/>
      <c r="EU172" s="415"/>
      <c r="EV172" s="415"/>
      <c r="EW172" s="415"/>
      <c r="EX172" s="415"/>
      <c r="EY172" s="415"/>
      <c r="EZ172" s="415"/>
      <c r="FA172" s="415"/>
      <c r="FB172" s="415"/>
      <c r="FC172" s="415"/>
      <c r="FD172" s="415"/>
      <c r="FE172" s="415"/>
      <c r="FF172" s="415"/>
      <c r="FG172" s="415"/>
      <c r="FH172" s="415"/>
      <c r="FI172" s="415"/>
      <c r="FJ172" s="415"/>
      <c r="FK172" s="415"/>
      <c r="FL172" s="415"/>
      <c r="FM172" s="415"/>
      <c r="FN172" s="415"/>
      <c r="FO172" s="415"/>
      <c r="FP172" s="415"/>
      <c r="FQ172" s="415"/>
      <c r="FR172" s="415"/>
      <c r="FS172" s="415"/>
      <c r="FT172" s="415"/>
      <c r="FU172" s="415"/>
      <c r="FV172" s="415"/>
      <c r="FW172" s="415"/>
      <c r="FX172" s="415"/>
      <c r="FY172" s="415"/>
      <c r="FZ172" s="415"/>
      <c r="GA172" s="415"/>
      <c r="GB172" s="415"/>
      <c r="GC172" s="415"/>
      <c r="GD172" s="415"/>
      <c r="GE172" s="415"/>
      <c r="GF172" s="415"/>
      <c r="GG172" s="415"/>
      <c r="GH172" s="415"/>
      <c r="GI172" s="415"/>
      <c r="GJ172" s="415"/>
      <c r="GK172" s="415"/>
      <c r="GL172" s="415"/>
      <c r="GM172" s="415"/>
      <c r="GN172" s="415"/>
      <c r="GO172" s="415"/>
      <c r="GP172" s="415"/>
      <c r="GQ172" s="415"/>
      <c r="GR172" s="415"/>
      <c r="GS172" s="415"/>
      <c r="GT172" s="415"/>
      <c r="GU172" s="415"/>
      <c r="GV172" s="415"/>
      <c r="GW172" s="415"/>
      <c r="GX172" s="415"/>
      <c r="GY172" s="415"/>
      <c r="GZ172" s="415"/>
      <c r="HA172" s="415"/>
      <c r="HB172" s="415"/>
      <c r="HC172" s="415"/>
      <c r="HD172" s="415"/>
      <c r="HE172" s="415"/>
      <c r="HF172" s="415"/>
      <c r="HG172" s="415"/>
      <c r="HH172" s="415"/>
      <c r="HI172" s="415"/>
      <c r="HJ172" s="415"/>
      <c r="HK172" s="415"/>
      <c r="HL172" s="415"/>
      <c r="HM172" s="415"/>
      <c r="HN172" s="415"/>
      <c r="HO172" s="415"/>
      <c r="HP172" s="415"/>
      <c r="HQ172" s="415"/>
      <c r="HR172" s="415"/>
      <c r="HS172" s="415"/>
      <c r="HT172" s="415"/>
      <c r="HU172" s="415"/>
      <c r="HV172" s="415"/>
      <c r="HW172" s="415"/>
      <c r="HX172" s="415"/>
      <c r="HY172" s="415"/>
      <c r="HZ172" s="415"/>
      <c r="IA172" s="415"/>
      <c r="IB172" s="415"/>
      <c r="IC172" s="415"/>
      <c r="ID172" s="415"/>
      <c r="IE172" s="415"/>
      <c r="IF172" s="415"/>
      <c r="IG172" s="415"/>
      <c r="IH172" s="415"/>
      <c r="II172" s="415"/>
      <c r="IJ172" s="415"/>
      <c r="IK172" s="415"/>
      <c r="IL172" s="415"/>
      <c r="IM172" s="415"/>
      <c r="IN172" s="415"/>
      <c r="IO172" s="415"/>
      <c r="IP172" s="415"/>
      <c r="IQ172" s="415"/>
      <c r="IR172" s="415"/>
      <c r="IS172" s="415"/>
      <c r="IT172" s="415"/>
      <c r="IU172" s="415"/>
    </row>
    <row r="173" spans="2:255"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X173" s="415"/>
      <c r="Y173" s="415"/>
      <c r="Z173" s="415"/>
      <c r="AA173" s="415"/>
      <c r="AB173" s="415"/>
      <c r="AC173" s="415"/>
      <c r="AD173" s="415"/>
      <c r="AE173" s="415"/>
      <c r="AF173" s="415"/>
      <c r="AG173" s="415"/>
      <c r="AH173" s="415"/>
      <c r="AI173" s="415"/>
      <c r="AJ173" s="415"/>
      <c r="AK173" s="415"/>
      <c r="AL173" s="415"/>
      <c r="AM173" s="415"/>
      <c r="AN173" s="415"/>
      <c r="AO173" s="415"/>
      <c r="AP173" s="415"/>
      <c r="AQ173" s="415"/>
      <c r="AR173" s="415"/>
      <c r="AS173" s="415"/>
      <c r="AT173" s="415"/>
      <c r="AU173" s="415"/>
      <c r="AV173" s="415"/>
      <c r="AW173" s="415"/>
      <c r="AX173" s="415"/>
      <c r="AY173" s="415"/>
      <c r="AZ173" s="415"/>
      <c r="BA173" s="415"/>
      <c r="BB173" s="415"/>
      <c r="BC173" s="415"/>
      <c r="BD173" s="415"/>
      <c r="BE173" s="415"/>
      <c r="BF173" s="415"/>
      <c r="BG173" s="415"/>
      <c r="BH173" s="415"/>
      <c r="BI173" s="415"/>
      <c r="BJ173" s="415"/>
      <c r="BK173" s="415"/>
      <c r="BL173" s="415"/>
      <c r="BM173" s="415"/>
      <c r="BN173" s="415"/>
      <c r="BO173" s="415"/>
      <c r="BP173" s="415"/>
      <c r="BQ173" s="415"/>
      <c r="BR173" s="415"/>
      <c r="BS173" s="415"/>
      <c r="BT173" s="415"/>
      <c r="BU173" s="415"/>
      <c r="BV173" s="415"/>
      <c r="BW173" s="415"/>
      <c r="BX173" s="415"/>
      <c r="BY173" s="415"/>
      <c r="BZ173" s="415"/>
      <c r="CA173" s="415"/>
      <c r="CB173" s="415"/>
      <c r="CC173" s="415"/>
      <c r="CD173" s="415"/>
      <c r="CE173" s="415"/>
      <c r="CF173" s="415"/>
      <c r="CG173" s="415"/>
      <c r="CH173" s="415"/>
      <c r="CI173" s="415"/>
      <c r="CJ173" s="415"/>
      <c r="CK173" s="415"/>
      <c r="CL173" s="415"/>
      <c r="CM173" s="415"/>
      <c r="CN173" s="415"/>
      <c r="CO173" s="415"/>
      <c r="CP173" s="415"/>
      <c r="CQ173" s="415"/>
      <c r="CR173" s="415"/>
      <c r="CS173" s="415"/>
      <c r="CT173" s="415"/>
      <c r="CU173" s="415"/>
      <c r="CV173" s="415"/>
      <c r="CW173" s="415"/>
      <c r="CX173" s="415"/>
      <c r="CY173" s="415"/>
      <c r="CZ173" s="415"/>
      <c r="DA173" s="415"/>
      <c r="DB173" s="415"/>
      <c r="DC173" s="415"/>
      <c r="DD173" s="415"/>
      <c r="DE173" s="415"/>
      <c r="DF173" s="415"/>
      <c r="DG173" s="415"/>
      <c r="DH173" s="415"/>
      <c r="DI173" s="415"/>
      <c r="DJ173" s="415"/>
      <c r="DK173" s="415"/>
      <c r="DL173" s="415"/>
      <c r="DM173" s="415"/>
      <c r="DN173" s="415"/>
      <c r="DO173" s="415"/>
      <c r="DP173" s="415"/>
      <c r="DQ173" s="415"/>
      <c r="DR173" s="415"/>
      <c r="DS173" s="415"/>
      <c r="DT173" s="415"/>
      <c r="DU173" s="415"/>
      <c r="DV173" s="415"/>
      <c r="DW173" s="415"/>
      <c r="DX173" s="415"/>
      <c r="DY173" s="415"/>
      <c r="DZ173" s="415"/>
      <c r="EA173" s="415"/>
      <c r="EB173" s="415"/>
      <c r="EC173" s="415"/>
      <c r="ED173" s="415"/>
      <c r="EE173" s="415"/>
      <c r="EF173" s="415"/>
      <c r="EG173" s="415"/>
      <c r="EH173" s="415"/>
      <c r="EI173" s="415"/>
      <c r="EJ173" s="415"/>
      <c r="EK173" s="415"/>
      <c r="EL173" s="415"/>
      <c r="EM173" s="415"/>
      <c r="EN173" s="415"/>
      <c r="EO173" s="415"/>
      <c r="EP173" s="415"/>
      <c r="EQ173" s="415"/>
      <c r="ER173" s="415"/>
      <c r="ES173" s="415"/>
      <c r="ET173" s="415"/>
      <c r="EU173" s="415"/>
      <c r="EV173" s="415"/>
      <c r="EW173" s="415"/>
      <c r="EX173" s="415"/>
      <c r="EY173" s="415"/>
      <c r="EZ173" s="415"/>
      <c r="FA173" s="415"/>
      <c r="FB173" s="415"/>
      <c r="FC173" s="415"/>
      <c r="FD173" s="415"/>
      <c r="FE173" s="415"/>
      <c r="FF173" s="415"/>
      <c r="FG173" s="415"/>
      <c r="FH173" s="415"/>
      <c r="FI173" s="415"/>
      <c r="FJ173" s="415"/>
      <c r="FK173" s="415"/>
      <c r="FL173" s="415"/>
      <c r="FM173" s="415"/>
      <c r="FN173" s="415"/>
      <c r="FO173" s="415"/>
      <c r="FP173" s="415"/>
      <c r="FQ173" s="415"/>
      <c r="FR173" s="415"/>
      <c r="FS173" s="415"/>
      <c r="FT173" s="415"/>
      <c r="FU173" s="415"/>
      <c r="FV173" s="415"/>
      <c r="FW173" s="415"/>
      <c r="FX173" s="415"/>
      <c r="FY173" s="415"/>
      <c r="FZ173" s="415"/>
      <c r="GA173" s="415"/>
      <c r="GB173" s="415"/>
      <c r="GC173" s="415"/>
      <c r="GD173" s="415"/>
      <c r="GE173" s="415"/>
      <c r="GF173" s="415"/>
      <c r="GG173" s="415"/>
      <c r="GH173" s="415"/>
      <c r="GI173" s="415"/>
      <c r="GJ173" s="415"/>
      <c r="GK173" s="415"/>
      <c r="GL173" s="415"/>
      <c r="GM173" s="415"/>
      <c r="GN173" s="415"/>
      <c r="GO173" s="415"/>
      <c r="GP173" s="415"/>
      <c r="GQ173" s="415"/>
      <c r="GR173" s="415"/>
      <c r="GS173" s="415"/>
      <c r="GT173" s="415"/>
      <c r="GU173" s="415"/>
      <c r="GV173" s="415"/>
      <c r="GW173" s="415"/>
      <c r="GX173" s="415"/>
      <c r="GY173" s="415"/>
      <c r="GZ173" s="415"/>
      <c r="HA173" s="415"/>
      <c r="HB173" s="415"/>
      <c r="HC173" s="415"/>
      <c r="HD173" s="415"/>
      <c r="HE173" s="415"/>
      <c r="HF173" s="415"/>
      <c r="HG173" s="415"/>
      <c r="HH173" s="415"/>
      <c r="HI173" s="415"/>
      <c r="HJ173" s="415"/>
      <c r="HK173" s="415"/>
      <c r="HL173" s="415"/>
      <c r="HM173" s="415"/>
      <c r="HN173" s="415"/>
      <c r="HO173" s="415"/>
      <c r="HP173" s="415"/>
      <c r="HQ173" s="415"/>
      <c r="HR173" s="415"/>
      <c r="HS173" s="415"/>
      <c r="HT173" s="415"/>
      <c r="HU173" s="415"/>
      <c r="HV173" s="415"/>
      <c r="HW173" s="415"/>
      <c r="HX173" s="415"/>
      <c r="HY173" s="415"/>
      <c r="HZ173" s="415"/>
      <c r="IA173" s="415"/>
      <c r="IB173" s="415"/>
      <c r="IC173" s="415"/>
      <c r="ID173" s="415"/>
      <c r="IE173" s="415"/>
      <c r="IF173" s="415"/>
      <c r="IG173" s="415"/>
      <c r="IH173" s="415"/>
      <c r="II173" s="415"/>
      <c r="IJ173" s="415"/>
      <c r="IK173" s="415"/>
      <c r="IL173" s="415"/>
      <c r="IM173" s="415"/>
      <c r="IN173" s="415"/>
      <c r="IO173" s="415"/>
      <c r="IP173" s="415"/>
      <c r="IQ173" s="415"/>
      <c r="IR173" s="415"/>
      <c r="IS173" s="415"/>
      <c r="IT173" s="415"/>
      <c r="IU173" s="415"/>
    </row>
    <row r="174" spans="2:255"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X174" s="415"/>
      <c r="Y174" s="415"/>
      <c r="Z174" s="415"/>
      <c r="AA174" s="415"/>
      <c r="AB174" s="415"/>
      <c r="AC174" s="415"/>
      <c r="AD174" s="415"/>
      <c r="AE174" s="415"/>
      <c r="AF174" s="415"/>
      <c r="AG174" s="415"/>
      <c r="AH174" s="415"/>
      <c r="AI174" s="415"/>
      <c r="AJ174" s="415"/>
      <c r="AK174" s="415"/>
      <c r="AL174" s="415"/>
      <c r="AM174" s="415"/>
      <c r="AN174" s="415"/>
      <c r="AO174" s="415"/>
      <c r="AP174" s="415"/>
      <c r="AQ174" s="415"/>
      <c r="AR174" s="415"/>
      <c r="AS174" s="415"/>
      <c r="AT174" s="415"/>
      <c r="AU174" s="415"/>
      <c r="AV174" s="415"/>
      <c r="AW174" s="415"/>
      <c r="AX174" s="415"/>
      <c r="AY174" s="415"/>
      <c r="AZ174" s="415"/>
      <c r="BA174" s="415"/>
      <c r="BB174" s="415"/>
      <c r="BC174" s="415"/>
      <c r="BD174" s="415"/>
      <c r="BE174" s="415"/>
      <c r="BF174" s="415"/>
      <c r="BG174" s="415"/>
      <c r="BH174" s="415"/>
      <c r="BI174" s="415"/>
      <c r="BJ174" s="415"/>
      <c r="BK174" s="415"/>
      <c r="BL174" s="415"/>
      <c r="BM174" s="415"/>
      <c r="BN174" s="415"/>
      <c r="BO174" s="415"/>
      <c r="BP174" s="415"/>
      <c r="BQ174" s="415"/>
      <c r="BR174" s="415"/>
      <c r="BS174" s="415"/>
      <c r="BT174" s="415"/>
      <c r="BU174" s="415"/>
      <c r="BV174" s="415"/>
      <c r="BW174" s="415"/>
      <c r="BX174" s="415"/>
      <c r="BY174" s="415"/>
      <c r="BZ174" s="415"/>
      <c r="CA174" s="415"/>
      <c r="CB174" s="415"/>
      <c r="CC174" s="415"/>
      <c r="CD174" s="415"/>
      <c r="CE174" s="415"/>
      <c r="CF174" s="415"/>
      <c r="CG174" s="415"/>
      <c r="CH174" s="415"/>
      <c r="CI174" s="415"/>
      <c r="CJ174" s="415"/>
      <c r="CK174" s="415"/>
      <c r="CL174" s="415"/>
      <c r="CM174" s="415"/>
      <c r="CN174" s="415"/>
      <c r="CO174" s="415"/>
      <c r="CP174" s="415"/>
      <c r="CQ174" s="415"/>
      <c r="CR174" s="415"/>
      <c r="CS174" s="415"/>
      <c r="CT174" s="415"/>
      <c r="CU174" s="415"/>
      <c r="CV174" s="415"/>
      <c r="CW174" s="415"/>
      <c r="CX174" s="415"/>
      <c r="CY174" s="415"/>
      <c r="CZ174" s="415"/>
      <c r="DA174" s="415"/>
      <c r="DB174" s="415"/>
      <c r="DC174" s="415"/>
      <c r="DD174" s="415"/>
      <c r="DE174" s="415"/>
      <c r="DF174" s="415"/>
      <c r="DG174" s="415"/>
      <c r="DH174" s="415"/>
      <c r="DI174" s="415"/>
      <c r="DJ174" s="415"/>
      <c r="DK174" s="415"/>
      <c r="DL174" s="415"/>
      <c r="DM174" s="415"/>
      <c r="DN174" s="415"/>
      <c r="DO174" s="415"/>
      <c r="DP174" s="415"/>
      <c r="DQ174" s="415"/>
      <c r="DR174" s="415"/>
      <c r="DS174" s="415"/>
      <c r="DT174" s="415"/>
      <c r="DU174" s="415"/>
      <c r="DV174" s="415"/>
      <c r="DW174" s="415"/>
      <c r="DX174" s="415"/>
      <c r="DY174" s="415"/>
      <c r="DZ174" s="415"/>
      <c r="EA174" s="415"/>
      <c r="EB174" s="415"/>
      <c r="EC174" s="415"/>
      <c r="ED174" s="415"/>
      <c r="EE174" s="415"/>
      <c r="EF174" s="415"/>
      <c r="EG174" s="415"/>
      <c r="EH174" s="415"/>
      <c r="EI174" s="415"/>
      <c r="EJ174" s="415"/>
      <c r="EK174" s="415"/>
      <c r="EL174" s="415"/>
      <c r="EM174" s="415"/>
      <c r="EN174" s="415"/>
      <c r="EO174" s="415"/>
      <c r="EP174" s="415"/>
      <c r="EQ174" s="415"/>
      <c r="ER174" s="415"/>
      <c r="ES174" s="415"/>
      <c r="ET174" s="415"/>
      <c r="EU174" s="415"/>
      <c r="EV174" s="415"/>
      <c r="EW174" s="415"/>
      <c r="EX174" s="415"/>
      <c r="EY174" s="415"/>
      <c r="EZ174" s="415"/>
      <c r="FA174" s="415"/>
      <c r="FB174" s="415"/>
      <c r="FC174" s="415"/>
      <c r="FD174" s="415"/>
      <c r="FE174" s="415"/>
      <c r="FF174" s="415"/>
      <c r="FG174" s="415"/>
      <c r="FH174" s="415"/>
      <c r="FI174" s="415"/>
      <c r="FJ174" s="415"/>
      <c r="FK174" s="415"/>
      <c r="FL174" s="415"/>
      <c r="FM174" s="415"/>
      <c r="FN174" s="415"/>
      <c r="FO174" s="415"/>
      <c r="FP174" s="415"/>
      <c r="FQ174" s="415"/>
      <c r="FR174" s="415"/>
      <c r="FS174" s="415"/>
      <c r="FT174" s="415"/>
      <c r="FU174" s="415"/>
      <c r="FV174" s="415"/>
      <c r="FW174" s="415"/>
      <c r="FX174" s="415"/>
      <c r="FY174" s="415"/>
      <c r="FZ174" s="415"/>
      <c r="GA174" s="415"/>
      <c r="GB174" s="415"/>
      <c r="GC174" s="415"/>
      <c r="GD174" s="415"/>
      <c r="GE174" s="415"/>
      <c r="GF174" s="415"/>
      <c r="GG174" s="415"/>
      <c r="GH174" s="415"/>
      <c r="GI174" s="415"/>
      <c r="GJ174" s="415"/>
      <c r="GK174" s="415"/>
      <c r="GL174" s="415"/>
      <c r="GM174" s="415"/>
      <c r="GN174" s="415"/>
      <c r="GO174" s="415"/>
      <c r="GP174" s="415"/>
      <c r="GQ174" s="415"/>
      <c r="GR174" s="415"/>
      <c r="GS174" s="415"/>
      <c r="GT174" s="415"/>
      <c r="GU174" s="415"/>
      <c r="GV174" s="415"/>
      <c r="GW174" s="415"/>
      <c r="GX174" s="415"/>
      <c r="GY174" s="415"/>
      <c r="GZ174" s="415"/>
      <c r="HA174" s="415"/>
      <c r="HB174" s="415"/>
      <c r="HC174" s="415"/>
      <c r="HD174" s="415"/>
      <c r="HE174" s="415"/>
      <c r="HF174" s="415"/>
      <c r="HG174" s="415"/>
      <c r="HH174" s="415"/>
      <c r="HI174" s="415"/>
      <c r="HJ174" s="415"/>
      <c r="HK174" s="415"/>
      <c r="HL174" s="415"/>
      <c r="HM174" s="415"/>
      <c r="HN174" s="415"/>
      <c r="HO174" s="415"/>
      <c r="HP174" s="415"/>
      <c r="HQ174" s="415"/>
      <c r="HR174" s="415"/>
      <c r="HS174" s="415"/>
      <c r="HT174" s="415"/>
      <c r="HU174" s="415"/>
      <c r="HV174" s="415"/>
      <c r="HW174" s="415"/>
      <c r="HX174" s="415"/>
      <c r="HY174" s="415"/>
      <c r="HZ174" s="415"/>
      <c r="IA174" s="415"/>
      <c r="IB174" s="415"/>
      <c r="IC174" s="415"/>
      <c r="ID174" s="415"/>
      <c r="IE174" s="415"/>
      <c r="IF174" s="415"/>
      <c r="IG174" s="415"/>
      <c r="IH174" s="415"/>
      <c r="II174" s="415"/>
      <c r="IJ174" s="415"/>
      <c r="IK174" s="415"/>
      <c r="IL174" s="415"/>
      <c r="IM174" s="415"/>
      <c r="IN174" s="415"/>
      <c r="IO174" s="415"/>
      <c r="IP174" s="415"/>
      <c r="IQ174" s="415"/>
      <c r="IR174" s="415"/>
      <c r="IS174" s="415"/>
      <c r="IT174" s="415"/>
      <c r="IU174" s="415"/>
    </row>
    <row r="175" spans="2:255"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X175" s="415"/>
      <c r="Y175" s="415"/>
      <c r="Z175" s="415"/>
      <c r="AA175" s="415"/>
      <c r="AB175" s="415"/>
      <c r="AC175" s="415"/>
      <c r="AD175" s="415"/>
      <c r="AE175" s="415"/>
      <c r="AF175" s="415"/>
      <c r="AG175" s="415"/>
      <c r="AH175" s="415"/>
      <c r="AI175" s="415"/>
      <c r="AJ175" s="415"/>
      <c r="AK175" s="415"/>
      <c r="AL175" s="415"/>
      <c r="AM175" s="415"/>
      <c r="AN175" s="415"/>
      <c r="AO175" s="415"/>
      <c r="AP175" s="415"/>
      <c r="AQ175" s="415"/>
      <c r="AR175" s="415"/>
      <c r="AS175" s="415"/>
      <c r="AT175" s="415"/>
      <c r="AU175" s="415"/>
      <c r="AV175" s="415"/>
      <c r="AW175" s="415"/>
      <c r="AX175" s="415"/>
      <c r="AY175" s="415"/>
      <c r="AZ175" s="415"/>
      <c r="BA175" s="415"/>
      <c r="BB175" s="415"/>
      <c r="BC175" s="415"/>
      <c r="BD175" s="415"/>
      <c r="BE175" s="415"/>
      <c r="BF175" s="415"/>
      <c r="BG175" s="415"/>
      <c r="BH175" s="415"/>
      <c r="BI175" s="415"/>
      <c r="BJ175" s="415"/>
      <c r="BK175" s="415"/>
      <c r="BL175" s="415"/>
      <c r="BM175" s="415"/>
      <c r="BN175" s="415"/>
      <c r="BO175" s="415"/>
      <c r="BP175" s="415"/>
      <c r="BQ175" s="415"/>
      <c r="BR175" s="415"/>
      <c r="BS175" s="415"/>
      <c r="BT175" s="415"/>
      <c r="BU175" s="415"/>
      <c r="BV175" s="415"/>
      <c r="BW175" s="415"/>
      <c r="BX175" s="415"/>
      <c r="BY175" s="415"/>
      <c r="BZ175" s="415"/>
      <c r="CA175" s="415"/>
      <c r="CB175" s="415"/>
      <c r="CC175" s="415"/>
      <c r="CD175" s="415"/>
      <c r="CE175" s="415"/>
      <c r="CF175" s="415"/>
      <c r="CG175" s="415"/>
      <c r="CH175" s="415"/>
      <c r="CI175" s="415"/>
      <c r="CJ175" s="415"/>
      <c r="CK175" s="415"/>
      <c r="CL175" s="415"/>
      <c r="CM175" s="415"/>
      <c r="CN175" s="415"/>
      <c r="CO175" s="415"/>
      <c r="CP175" s="415"/>
      <c r="CQ175" s="415"/>
      <c r="CR175" s="415"/>
      <c r="CS175" s="415"/>
      <c r="CT175" s="415"/>
      <c r="CU175" s="415"/>
      <c r="CV175" s="415"/>
      <c r="CW175" s="415"/>
      <c r="CX175" s="415"/>
      <c r="CY175" s="415"/>
      <c r="CZ175" s="415"/>
      <c r="DA175" s="415"/>
      <c r="DB175" s="415"/>
      <c r="DC175" s="415"/>
      <c r="DD175" s="415"/>
      <c r="DE175" s="415"/>
      <c r="DF175" s="415"/>
      <c r="DG175" s="415"/>
      <c r="DH175" s="415"/>
      <c r="DI175" s="415"/>
      <c r="DJ175" s="415"/>
      <c r="DK175" s="415"/>
      <c r="DL175" s="415"/>
      <c r="DM175" s="415"/>
      <c r="DN175" s="415"/>
      <c r="DO175" s="415"/>
      <c r="DP175" s="415"/>
      <c r="DQ175" s="415"/>
      <c r="DR175" s="415"/>
      <c r="DS175" s="415"/>
      <c r="DT175" s="415"/>
      <c r="DU175" s="415"/>
      <c r="DV175" s="415"/>
      <c r="DW175" s="415"/>
      <c r="DX175" s="415"/>
      <c r="DY175" s="415"/>
      <c r="DZ175" s="415"/>
      <c r="EA175" s="415"/>
      <c r="EB175" s="415"/>
      <c r="EC175" s="415"/>
      <c r="ED175" s="415"/>
      <c r="EE175" s="415"/>
      <c r="EF175" s="415"/>
      <c r="EG175" s="415"/>
      <c r="EH175" s="415"/>
      <c r="EI175" s="415"/>
      <c r="EJ175" s="415"/>
      <c r="EK175" s="415"/>
      <c r="EL175" s="415"/>
      <c r="EM175" s="415"/>
      <c r="EN175" s="415"/>
      <c r="EO175" s="415"/>
      <c r="EP175" s="415"/>
      <c r="EQ175" s="415"/>
      <c r="ER175" s="415"/>
      <c r="ES175" s="415"/>
      <c r="ET175" s="415"/>
      <c r="EU175" s="415"/>
      <c r="EV175" s="415"/>
      <c r="EW175" s="415"/>
      <c r="EX175" s="415"/>
      <c r="EY175" s="415"/>
      <c r="EZ175" s="415"/>
      <c r="FA175" s="415"/>
      <c r="FB175" s="415"/>
      <c r="FC175" s="415"/>
      <c r="FD175" s="415"/>
      <c r="FE175" s="415"/>
      <c r="FF175" s="415"/>
      <c r="FG175" s="415"/>
      <c r="FH175" s="415"/>
      <c r="FI175" s="415"/>
      <c r="FJ175" s="415"/>
      <c r="FK175" s="415"/>
      <c r="FL175" s="415"/>
      <c r="FM175" s="415"/>
      <c r="FN175" s="415"/>
      <c r="FO175" s="415"/>
      <c r="FP175" s="415"/>
      <c r="FQ175" s="415"/>
      <c r="FR175" s="415"/>
      <c r="FS175" s="415"/>
      <c r="FT175" s="415"/>
      <c r="FU175" s="415"/>
      <c r="FV175" s="415"/>
      <c r="FW175" s="415"/>
      <c r="FX175" s="415"/>
      <c r="FY175" s="415"/>
      <c r="FZ175" s="415"/>
      <c r="GA175" s="415"/>
      <c r="GB175" s="415"/>
      <c r="GC175" s="415"/>
      <c r="GD175" s="415"/>
      <c r="GE175" s="415"/>
      <c r="GF175" s="415"/>
      <c r="GG175" s="415"/>
      <c r="GH175" s="415"/>
      <c r="GI175" s="415"/>
      <c r="GJ175" s="415"/>
      <c r="GK175" s="415"/>
      <c r="GL175" s="415"/>
      <c r="GM175" s="415"/>
      <c r="GN175" s="415"/>
      <c r="GO175" s="415"/>
      <c r="GP175" s="415"/>
      <c r="GQ175" s="415"/>
      <c r="GR175" s="415"/>
      <c r="GS175" s="415"/>
      <c r="GT175" s="415"/>
      <c r="GU175" s="415"/>
      <c r="GV175" s="415"/>
      <c r="GW175" s="415"/>
      <c r="GX175" s="415"/>
      <c r="GY175" s="415"/>
      <c r="GZ175" s="415"/>
      <c r="HA175" s="415"/>
      <c r="HB175" s="415"/>
      <c r="HC175" s="415"/>
      <c r="HD175" s="415"/>
      <c r="HE175" s="415"/>
      <c r="HF175" s="415"/>
      <c r="HG175" s="415"/>
      <c r="HH175" s="415"/>
      <c r="HI175" s="415"/>
      <c r="HJ175" s="415"/>
      <c r="HK175" s="415"/>
      <c r="HL175" s="415"/>
      <c r="HM175" s="415"/>
      <c r="HN175" s="415"/>
      <c r="HO175" s="415"/>
      <c r="HP175" s="415"/>
      <c r="HQ175" s="415"/>
      <c r="HR175" s="415"/>
      <c r="HS175" s="415"/>
      <c r="HT175" s="415"/>
      <c r="HU175" s="415"/>
      <c r="HV175" s="415"/>
      <c r="HW175" s="415"/>
      <c r="HX175" s="415"/>
      <c r="HY175" s="415"/>
      <c r="HZ175" s="415"/>
      <c r="IA175" s="415"/>
      <c r="IB175" s="415"/>
      <c r="IC175" s="415"/>
      <c r="ID175" s="415"/>
      <c r="IE175" s="415"/>
      <c r="IF175" s="415"/>
      <c r="IG175" s="415"/>
      <c r="IH175" s="415"/>
      <c r="II175" s="415"/>
      <c r="IJ175" s="415"/>
      <c r="IK175" s="415"/>
      <c r="IL175" s="415"/>
      <c r="IM175" s="415"/>
      <c r="IN175" s="415"/>
      <c r="IO175" s="415"/>
      <c r="IP175" s="415"/>
      <c r="IQ175" s="415"/>
      <c r="IR175" s="415"/>
      <c r="IS175" s="415"/>
      <c r="IT175" s="415"/>
      <c r="IU175" s="415"/>
    </row>
  </sheetData>
  <sheetProtection formatCells="0" formatColumns="0" formatRows="0" insertColumns="0" insertRows="0" deleteColumns="0" deleteRows="0"/>
  <mergeCells count="119">
    <mergeCell ref="B124:D124"/>
    <mergeCell ref="B121:D121"/>
    <mergeCell ref="Q40:R40"/>
    <mergeCell ref="D71:M71"/>
    <mergeCell ref="B81:C81"/>
    <mergeCell ref="D81:H81"/>
    <mergeCell ref="I81:M81"/>
    <mergeCell ref="B70:C70"/>
    <mergeCell ref="A1:P1"/>
    <mergeCell ref="O84:O85"/>
    <mergeCell ref="P84:P85"/>
    <mergeCell ref="D13:K13"/>
    <mergeCell ref="D14:K14"/>
    <mergeCell ref="D22:E22"/>
    <mergeCell ref="D23:E23"/>
    <mergeCell ref="C26:I26"/>
    <mergeCell ref="J26:K26"/>
    <mergeCell ref="D41:E41"/>
    <mergeCell ref="F41:G41"/>
    <mergeCell ref="I41:K41"/>
    <mergeCell ref="B19:C19"/>
    <mergeCell ref="I2:P2"/>
    <mergeCell ref="L30:M30"/>
    <mergeCell ref="L31:M31"/>
    <mergeCell ref="D70:I70"/>
    <mergeCell ref="N94:N95"/>
    <mergeCell ref="N84:N85"/>
    <mergeCell ref="D97:K97"/>
    <mergeCell ref="D96:K96"/>
    <mergeCell ref="L98:M98"/>
    <mergeCell ref="I95:M95"/>
    <mergeCell ref="L39:P39"/>
    <mergeCell ref="D40:E40"/>
    <mergeCell ref="F40:G40"/>
    <mergeCell ref="I40:K40"/>
    <mergeCell ref="M40:N40"/>
    <mergeCell ref="O40:P40"/>
    <mergeCell ref="D95:H95"/>
    <mergeCell ref="B84:B85"/>
    <mergeCell ref="C84:C85"/>
    <mergeCell ref="D84:M84"/>
    <mergeCell ref="B86:B93"/>
    <mergeCell ref="B94:C94"/>
    <mergeCell ref="B95:C95"/>
    <mergeCell ref="B113:I113"/>
    <mergeCell ref="D82:H82"/>
    <mergeCell ref="I82:M82"/>
    <mergeCell ref="AA149:AC149"/>
    <mergeCell ref="AA150:AC150"/>
    <mergeCell ref="AA151:AC151"/>
    <mergeCell ref="L99:M99"/>
    <mergeCell ref="AA147:AC147"/>
    <mergeCell ref="AA148:AC148"/>
    <mergeCell ref="AK148:AL148"/>
    <mergeCell ref="D98:K98"/>
    <mergeCell ref="AA145:AC145"/>
    <mergeCell ref="AA146:AC146"/>
    <mergeCell ref="AK145:AL145"/>
    <mergeCell ref="AK146:AL146"/>
    <mergeCell ref="AA140:AL140"/>
    <mergeCell ref="AK144:AL144"/>
    <mergeCell ref="B118:I118"/>
    <mergeCell ref="D103:K103"/>
    <mergeCell ref="D102:K102"/>
    <mergeCell ref="D101:K101"/>
    <mergeCell ref="L103:M103"/>
    <mergeCell ref="L102:M102"/>
    <mergeCell ref="L101:M101"/>
    <mergeCell ref="L100:M100"/>
    <mergeCell ref="D100:K100"/>
    <mergeCell ref="AK147:AL147"/>
    <mergeCell ref="Q19:R23"/>
    <mergeCell ref="Y23:Z23"/>
    <mergeCell ref="Y24:Z24"/>
    <mergeCell ref="C28:I28"/>
    <mergeCell ref="C30:I30"/>
    <mergeCell ref="AA141:AH141"/>
    <mergeCell ref="AA142:AH142"/>
    <mergeCell ref="AA144:AC144"/>
    <mergeCell ref="T37:Y37"/>
    <mergeCell ref="D39:E39"/>
    <mergeCell ref="F39:G39"/>
    <mergeCell ref="I39:K39"/>
    <mergeCell ref="L26:M26"/>
    <mergeCell ref="H22:L23"/>
    <mergeCell ref="S20:S23"/>
    <mergeCell ref="L32:M32"/>
    <mergeCell ref="L97:M97"/>
    <mergeCell ref="L96:M96"/>
    <mergeCell ref="D94:H94"/>
    <mergeCell ref="I94:M94"/>
    <mergeCell ref="L27:M27"/>
    <mergeCell ref="L28:M28"/>
    <mergeCell ref="L29:M29"/>
    <mergeCell ref="Q70:S70"/>
    <mergeCell ref="V169:W169"/>
    <mergeCell ref="V170:W170"/>
    <mergeCell ref="V171:W171"/>
    <mergeCell ref="V172:W172"/>
    <mergeCell ref="B71:B72"/>
    <mergeCell ref="B73:B80"/>
    <mergeCell ref="C71:C72"/>
    <mergeCell ref="N105:N106"/>
    <mergeCell ref="O105:O106"/>
    <mergeCell ref="P105:P106"/>
    <mergeCell ref="P116:P117"/>
    <mergeCell ref="R84:R85"/>
    <mergeCell ref="S84:S85"/>
    <mergeCell ref="T84:T85"/>
    <mergeCell ref="U84:U85"/>
    <mergeCell ref="B112:I112"/>
    <mergeCell ref="B114:I114"/>
    <mergeCell ref="B115:I115"/>
    <mergeCell ref="D99:K99"/>
    <mergeCell ref="V165:W165"/>
    <mergeCell ref="V166:W166"/>
    <mergeCell ref="V168:W168"/>
    <mergeCell ref="V167:W167"/>
    <mergeCell ref="B82:C82"/>
  </mergeCells>
  <dataValidations disablePrompts="1" count="8">
    <dataValidation type="list" allowBlank="1" showInputMessage="1" showErrorMessage="1" sqref="F153 M119:M120 M115:M117" xr:uid="{00000000-0002-0000-0200-000000000000}">
      <formula1>#REF!</formula1>
    </dataValidation>
    <dataValidation type="list" allowBlank="1" showInputMessage="1" showErrorMessage="1" sqref="M121" xr:uid="{00000000-0002-0000-0200-000001000000}">
      <formula1>$I$151</formula1>
    </dataValidation>
    <dataValidation type="list" allowBlank="1" showInputMessage="1" showErrorMessage="1" sqref="M122" xr:uid="{00000000-0002-0000-0200-000002000000}">
      <formula1>$H$147:$H$148</formula1>
    </dataValidation>
    <dataValidation type="list" allowBlank="1" showInputMessage="1" showErrorMessage="1" sqref="F152" xr:uid="{00000000-0002-0000-0200-000003000000}">
      <formula1>$N$146:$N$150</formula1>
    </dataValidation>
    <dataValidation type="list" allowBlank="1" showInputMessage="1" showErrorMessage="1" sqref="Q19" xr:uid="{00000000-0002-0000-0200-000004000000}">
      <formula1>$S$27:$S$28</formula1>
    </dataValidation>
    <dataValidation type="list" allowBlank="1" showInputMessage="1" showErrorMessage="1" sqref="D24" xr:uid="{00000000-0002-0000-0200-000006000000}">
      <formula1>$O$25:$O$25</formula1>
    </dataValidation>
    <dataValidation type="list" allowBlank="1" showInputMessage="1" showErrorMessage="1" sqref="C28:I28" xr:uid="{00000000-0002-0000-0200-000007000000}">
      <formula1>$X$23:$X$24</formula1>
    </dataValidation>
    <dataValidation type="list" allowBlank="1" showInputMessage="1" showErrorMessage="1" sqref="D22:E23" xr:uid="{A7B06486-2CCB-46CF-B64D-5837C9535B84}">
      <formula1>$Q$24:$Q$25</formula1>
    </dataValidation>
  </dataValidations>
  <printOptions horizontalCentered="1"/>
  <pageMargins left="0.23622047244094499" right="0.23622047244094499" top="0.511811023622047" bottom="0.23622047244094499" header="0.23622047244094499" footer="0.23622047244094499"/>
  <pageSetup paperSize="9" scale="55" orientation="portrait" r:id="rId1"/>
  <headerFooter>
    <oddHeader xml:space="preserve">&amp;R&amp;"-,Regular"&amp;8SH.044-18 / Rev 1 </oddHeader>
  </headerFooter>
  <rowBreaks count="1" manualBreakCount="1">
    <brk id="68" max="1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983992C1-D082-469D-B1B3-CE40910E449D}">
          <x14:formula1>
            <xm:f>'Lembar Penyelia'!$V$14:$V$15</xm:f>
          </x14:formula1>
          <xm:sqref>C30:I30</xm:sqref>
        </x14:dataValidation>
        <x14:dataValidation type="list" allowBlank="1" showInputMessage="1" showErrorMessage="1" xr:uid="{00000000-0002-0000-0200-00000B000000}">
          <x14:formula1>
            <xm:f>'Data Alat'!$O$6:$O$30</xm:f>
          </x14:formula1>
          <xm:sqref>B121:D121</xm:sqref>
        </x14:dataValidation>
        <x14:dataValidation type="list" allowBlank="1" showInputMessage="1" showErrorMessage="1" xr:uid="{00000000-0002-0000-0200-000009000000}">
          <x14:formula1>
            <xm:f>'DB Thermo'!$A$390:$A$408</xm:f>
          </x14:formula1>
          <xm:sqref>B115:I115</xm:sqref>
        </x14:dataValidation>
        <x14:dataValidation type="list" allowBlank="1" showInputMessage="1" showErrorMessage="1" xr:uid="{00000000-0002-0000-0200-00000A000000}">
          <x14:formula1>
            <xm:f>ESA!$A$166:$A$177</xm:f>
          </x14:formula1>
          <xm:sqref>B114:I114</xm:sqref>
        </x14:dataValidation>
        <x14:dataValidation type="list" allowBlank="1" showInputMessage="1" showErrorMessage="1" xr:uid="{384B1423-0B84-43F3-9E70-ECFB92BE1801}">
          <x14:formula1>
            <xm:f>'Data Alat'!$A$4:$A$19</xm:f>
          </x14:formula1>
          <xm:sqref>B112:I112</xm:sqref>
        </x14:dataValidation>
        <x14:dataValidation type="list" allowBlank="1" showInputMessage="1" showErrorMessage="1" xr:uid="{0ADA8733-1658-44C4-A434-018200DC6F18}">
          <x14:formula1>
            <xm:f>'Data Alat'!$A$20:$A$24</xm:f>
          </x14:formula1>
          <xm:sqref>B113:I113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2:V88"/>
  <sheetViews>
    <sheetView showGridLines="0" view="pageBreakPreview" topLeftCell="A4" zoomScale="90" zoomScaleNormal="80" zoomScaleSheetLayoutView="90" workbookViewId="0">
      <selection activeCell="F11" sqref="F11"/>
    </sheetView>
  </sheetViews>
  <sheetFormatPr defaultColWidth="9" defaultRowHeight="14"/>
  <cols>
    <col min="1" max="1" width="14.81640625" style="3" customWidth="1"/>
    <col min="2" max="2" width="14.1796875" style="3" customWidth="1"/>
    <col min="3" max="3" width="4" style="3" customWidth="1"/>
    <col min="4" max="4" width="6.7265625" style="3" customWidth="1"/>
    <col min="5" max="5" width="10.54296875" style="3" customWidth="1"/>
    <col min="6" max="6" width="8.26953125" style="3" customWidth="1"/>
    <col min="7" max="7" width="9.26953125" style="3" customWidth="1"/>
    <col min="8" max="8" width="11.453125" style="3" customWidth="1"/>
    <col min="9" max="9" width="8.1796875" style="3" customWidth="1"/>
    <col min="10" max="10" width="4" style="3" hidden="1"/>
    <col min="11" max="11" width="12.54296875" style="3" customWidth="1"/>
    <col min="12" max="12" width="8.7265625" style="3" customWidth="1"/>
    <col min="13" max="13" width="19.54296875" style="3" customWidth="1"/>
    <col min="14" max="14" width="20.26953125" style="3" customWidth="1"/>
    <col min="15" max="21" width="9.1796875" style="3" customWidth="1"/>
    <col min="22" max="22" width="17.7265625" style="3" customWidth="1"/>
    <col min="23" max="250" width="9.1796875" style="3" customWidth="1"/>
    <col min="251" max="16384" width="9" style="3"/>
  </cols>
  <sheetData>
    <row r="2" spans="1:21">
      <c r="A2" s="1160" t="s">
        <v>251</v>
      </c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  <c r="M2" s="1160"/>
      <c r="N2" s="1160"/>
    </row>
    <row r="3" spans="1:21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1:2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5" spans="1:21" ht="18" customHeight="1">
      <c r="A5" s="3" t="s">
        <v>252</v>
      </c>
      <c r="B5" s="141">
        <f>ID!$D$8</f>
        <v>0.5</v>
      </c>
      <c r="C5" s="3" t="s">
        <v>253</v>
      </c>
      <c r="D5" s="141"/>
    </row>
    <row r="6" spans="1:21" ht="18" customHeight="1">
      <c r="A6" s="3" t="s">
        <v>254</v>
      </c>
      <c r="B6" s="141">
        <f>ID!B73</f>
        <v>160</v>
      </c>
      <c r="C6" s="3" t="s">
        <v>253</v>
      </c>
      <c r="I6" s="144"/>
    </row>
    <row r="7" spans="1:21" ht="18" customHeight="1">
      <c r="A7" s="1162" t="s">
        <v>255</v>
      </c>
      <c r="B7" s="1162"/>
      <c r="C7" s="1162"/>
      <c r="D7" s="1162" t="s">
        <v>256</v>
      </c>
      <c r="E7" s="1162" t="s">
        <v>257</v>
      </c>
      <c r="F7" s="1162" t="s">
        <v>258</v>
      </c>
      <c r="G7" s="1162" t="s">
        <v>259</v>
      </c>
      <c r="H7" s="1162" t="s">
        <v>260</v>
      </c>
      <c r="I7" s="1162" t="s">
        <v>261</v>
      </c>
      <c r="J7" s="1162"/>
      <c r="K7" s="1162" t="s">
        <v>262</v>
      </c>
      <c r="L7" s="1162" t="s">
        <v>263</v>
      </c>
      <c r="M7" s="1162" t="s">
        <v>264</v>
      </c>
      <c r="N7" s="1162" t="s">
        <v>265</v>
      </c>
    </row>
    <row r="8" spans="1:21" ht="18" customHeight="1">
      <c r="A8" s="1162"/>
      <c r="B8" s="1162"/>
      <c r="C8" s="1162"/>
      <c r="D8" s="1162"/>
      <c r="E8" s="1162"/>
      <c r="F8" s="1162"/>
      <c r="G8" s="1162"/>
      <c r="H8" s="1162"/>
      <c r="I8" s="1162"/>
      <c r="J8" s="1162"/>
      <c r="K8" s="1162"/>
      <c r="L8" s="1162"/>
      <c r="M8" s="1162"/>
      <c r="N8" s="1162"/>
    </row>
    <row r="9" spans="1:21" ht="18" customHeight="1">
      <c r="A9" s="150" t="s">
        <v>266</v>
      </c>
      <c r="B9" s="151"/>
      <c r="C9" s="67"/>
      <c r="D9" s="152" t="s">
        <v>267</v>
      </c>
      <c r="E9" s="140" t="s">
        <v>268</v>
      </c>
      <c r="F9" s="977">
        <f>MAX(ID!N86:N93)</f>
        <v>0.82268527801746327</v>
      </c>
      <c r="G9" s="140">
        <f>SQRT(10)</f>
        <v>3.1622776601683795</v>
      </c>
      <c r="H9" s="990">
        <f>F9/G9</f>
        <v>0.26015592760240364</v>
      </c>
      <c r="I9" s="140">
        <v>1</v>
      </c>
      <c r="J9" s="140"/>
      <c r="K9" s="991">
        <f>H9*I9</f>
        <v>0.26015592760240364</v>
      </c>
      <c r="L9" s="140">
        <f>10-1</f>
        <v>9</v>
      </c>
      <c r="M9" s="991">
        <f>K9^2</f>
        <v>6.7681106666667087E-2</v>
      </c>
      <c r="N9" s="976">
        <f t="shared" ref="N9:N15" si="0">(K9)^4/L9</f>
        <v>5.0897024440275202E-4</v>
      </c>
    </row>
    <row r="10" spans="1:21" ht="17" customHeight="1">
      <c r="A10" s="1188" t="s">
        <v>269</v>
      </c>
      <c r="B10" s="1189"/>
      <c r="C10" s="1190"/>
      <c r="D10" s="152" t="s">
        <v>267</v>
      </c>
      <c r="E10" s="140" t="s">
        <v>268</v>
      </c>
      <c r="F10" s="155">
        <f>Drift!C167</f>
        <v>0.25</v>
      </c>
      <c r="G10" s="155">
        <v>2</v>
      </c>
      <c r="H10" s="155">
        <f t="shared" ref="H10:H15" si="1">F10/G10</f>
        <v>0.125</v>
      </c>
      <c r="I10" s="140">
        <v>1</v>
      </c>
      <c r="J10" s="140"/>
      <c r="K10" s="155">
        <f t="shared" ref="K10:K15" si="2">H10*I10</f>
        <v>0.125</v>
      </c>
      <c r="L10" s="156">
        <v>50</v>
      </c>
      <c r="M10" s="157">
        <f t="shared" ref="M10:M15" si="3">(H10*I10)^2</f>
        <v>1.5625E-2</v>
      </c>
      <c r="N10" s="154">
        <f t="shared" si="0"/>
        <v>4.8828125000000001E-6</v>
      </c>
    </row>
    <row r="11" spans="1:21" ht="18" customHeight="1">
      <c r="A11" s="1188" t="s">
        <v>270</v>
      </c>
      <c r="B11" s="1189"/>
      <c r="C11" s="1190"/>
      <c r="D11" s="152" t="s">
        <v>267</v>
      </c>
      <c r="E11" s="140" t="s">
        <v>271</v>
      </c>
      <c r="F11" s="992">
        <f>Drift!C166</f>
        <v>8.3333333333333329E-2</v>
      </c>
      <c r="G11" s="992">
        <f>SQRT(3)</f>
        <v>1.7320508075688772</v>
      </c>
      <c r="H11" s="993">
        <f>F11/G11</f>
        <v>4.8112522432468816E-2</v>
      </c>
      <c r="I11" s="994">
        <v>1</v>
      </c>
      <c r="J11" s="995"/>
      <c r="K11" s="993">
        <f t="shared" si="2"/>
        <v>4.8112522432468816E-2</v>
      </c>
      <c r="L11" s="994">
        <v>50</v>
      </c>
      <c r="M11" s="992">
        <f t="shared" si="3"/>
        <v>2.3148148148148151E-3</v>
      </c>
      <c r="N11" s="996">
        <f t="shared" si="0"/>
        <v>1.0716735253772293E-7</v>
      </c>
    </row>
    <row r="12" spans="1:21" ht="18" customHeight="1">
      <c r="A12" s="1178" t="s">
        <v>272</v>
      </c>
      <c r="B12" s="1178"/>
      <c r="C12" s="1178"/>
      <c r="D12" s="152" t="s">
        <v>267</v>
      </c>
      <c r="E12" s="140" t="s">
        <v>271</v>
      </c>
      <c r="F12" s="155">
        <f>B5/2</f>
        <v>0.25</v>
      </c>
      <c r="G12" s="155">
        <f>SQRT(3)</f>
        <v>1.7320508075688772</v>
      </c>
      <c r="H12" s="155">
        <f t="shared" si="1"/>
        <v>0.14433756729740646</v>
      </c>
      <c r="I12" s="140">
        <v>1</v>
      </c>
      <c r="J12" s="152"/>
      <c r="K12" s="155">
        <f t="shared" si="2"/>
        <v>0.14433756729740646</v>
      </c>
      <c r="L12" s="156">
        <v>50</v>
      </c>
      <c r="M12" s="157">
        <f t="shared" si="3"/>
        <v>2.0833333333333339E-2</v>
      </c>
      <c r="N12" s="154">
        <f t="shared" si="0"/>
        <v>8.6805555555555606E-6</v>
      </c>
    </row>
    <row r="13" spans="1:21" ht="18" customHeight="1">
      <c r="A13" s="1178" t="s">
        <v>273</v>
      </c>
      <c r="B13" s="1178"/>
      <c r="C13" s="1178"/>
      <c r="D13" s="152" t="s">
        <v>267</v>
      </c>
      <c r="E13" s="140" t="s">
        <v>271</v>
      </c>
      <c r="F13" s="155">
        <f>ID!L98/2</f>
        <v>4.4166666666654919E-2</v>
      </c>
      <c r="G13" s="155">
        <f>SQRT(3)</f>
        <v>1.7320508075688772</v>
      </c>
      <c r="H13" s="155">
        <f t="shared" si="1"/>
        <v>2.5499636889201691E-2</v>
      </c>
      <c r="I13" s="140">
        <v>1</v>
      </c>
      <c r="J13" s="152"/>
      <c r="K13" s="155">
        <f t="shared" si="2"/>
        <v>2.5499636889201691E-2</v>
      </c>
      <c r="L13" s="156">
        <v>50</v>
      </c>
      <c r="M13" s="157">
        <f t="shared" si="3"/>
        <v>6.502314814811357E-4</v>
      </c>
      <c r="N13" s="154">
        <f t="shared" si="0"/>
        <v>8.4560195901830496E-9</v>
      </c>
    </row>
    <row r="14" spans="1:21" ht="18" customHeight="1">
      <c r="A14" s="1188" t="s">
        <v>274</v>
      </c>
      <c r="B14" s="1189"/>
      <c r="C14" s="1190"/>
      <c r="D14" s="152" t="s">
        <v>267</v>
      </c>
      <c r="E14" s="140" t="s">
        <v>271</v>
      </c>
      <c r="F14" s="155">
        <f>ID!L99/2</f>
        <v>0.78233333333334087</v>
      </c>
      <c r="G14" s="155">
        <f>SQRT(3)</f>
        <v>1.7320508075688772</v>
      </c>
      <c r="H14" s="155">
        <f t="shared" si="1"/>
        <v>0.45168036059602162</v>
      </c>
      <c r="I14" s="140">
        <v>1</v>
      </c>
      <c r="J14" s="152"/>
      <c r="K14" s="155">
        <f t="shared" si="2"/>
        <v>0.45168036059602162</v>
      </c>
      <c r="L14" s="156">
        <v>50</v>
      </c>
      <c r="M14" s="157">
        <f t="shared" si="3"/>
        <v>0.20401514814815214</v>
      </c>
      <c r="N14" s="154">
        <f t="shared" si="0"/>
        <v>8.324436134782492E-4</v>
      </c>
      <c r="O14" s="739"/>
      <c r="P14" s="739"/>
      <c r="Q14" s="739"/>
      <c r="R14" s="739"/>
      <c r="S14" s="739"/>
    </row>
    <row r="15" spans="1:21" ht="18" customHeight="1">
      <c r="A15" s="1178" t="s">
        <v>275</v>
      </c>
      <c r="B15" s="1178"/>
      <c r="C15" s="1178"/>
      <c r="D15" s="152" t="s">
        <v>267</v>
      </c>
      <c r="E15" s="140" t="s">
        <v>271</v>
      </c>
      <c r="F15" s="155">
        <f>ID!O94/2</f>
        <v>0</v>
      </c>
      <c r="G15" s="155">
        <f>SQRT(3)</f>
        <v>1.7320508075688772</v>
      </c>
      <c r="H15" s="155">
        <f t="shared" si="1"/>
        <v>0</v>
      </c>
      <c r="I15" s="140">
        <v>1</v>
      </c>
      <c r="J15" s="152"/>
      <c r="K15" s="155">
        <f t="shared" si="2"/>
        <v>0</v>
      </c>
      <c r="L15" s="156">
        <v>50</v>
      </c>
      <c r="M15" s="157">
        <f t="shared" si="3"/>
        <v>0</v>
      </c>
      <c r="N15" s="154">
        <f t="shared" si="0"/>
        <v>0</v>
      </c>
      <c r="O15" s="739"/>
      <c r="P15" s="739"/>
      <c r="Q15" s="739"/>
      <c r="R15" s="739"/>
      <c r="S15" s="739"/>
    </row>
    <row r="16" spans="1:21" ht="18" customHeight="1">
      <c r="A16" s="1178"/>
      <c r="B16" s="1178"/>
      <c r="C16" s="1178"/>
      <c r="D16" s="152"/>
      <c r="E16" s="140"/>
      <c r="F16" s="153"/>
      <c r="G16" s="153"/>
      <c r="H16" s="153"/>
      <c r="I16" s="140"/>
      <c r="J16" s="152"/>
      <c r="K16" s="153"/>
      <c r="L16" s="156"/>
      <c r="M16" s="157"/>
      <c r="N16" s="157"/>
      <c r="O16" s="739"/>
      <c r="P16" s="739"/>
      <c r="Q16" s="739"/>
      <c r="R16" s="739"/>
      <c r="S16" s="739"/>
      <c r="T16" s="735"/>
      <c r="U16" s="735"/>
    </row>
    <row r="17" spans="1:22" ht="18" customHeight="1">
      <c r="E17" s="141"/>
      <c r="H17" s="1178" t="s">
        <v>276</v>
      </c>
      <c r="I17" s="1178"/>
      <c r="J17" s="1178"/>
      <c r="K17" s="1178"/>
      <c r="L17" s="1178"/>
      <c r="M17" s="975">
        <f>SQRT(SUM(M9:M16))</f>
        <v>0.55778099146927596</v>
      </c>
      <c r="N17" s="983">
        <f>SUM(N9:N16)</f>
        <v>1.3550928493086846E-3</v>
      </c>
      <c r="O17" s="738"/>
      <c r="P17" s="738"/>
      <c r="Q17" s="738"/>
      <c r="R17" s="738"/>
      <c r="S17" s="738"/>
      <c r="T17" s="735"/>
      <c r="U17" s="735"/>
    </row>
    <row r="18" spans="1:22" ht="18" customHeight="1">
      <c r="H18" s="1178" t="s">
        <v>277</v>
      </c>
      <c r="I18" s="1178"/>
      <c r="J18" s="1178"/>
      <c r="K18" s="1178"/>
      <c r="L18" s="1178"/>
      <c r="M18" s="158"/>
      <c r="N18" s="975">
        <f>M17^4/N17</f>
        <v>71.430844747080258</v>
      </c>
      <c r="O18" s="738"/>
      <c r="P18" s="738"/>
      <c r="Q18" s="742"/>
      <c r="R18" s="742"/>
      <c r="S18" s="742"/>
      <c r="T18" s="736"/>
      <c r="U18" s="736"/>
      <c r="V18" s="144"/>
    </row>
    <row r="19" spans="1:22" ht="18" customHeight="1">
      <c r="H19" s="1178" t="s">
        <v>278</v>
      </c>
      <c r="I19" s="1178"/>
      <c r="J19" s="1178"/>
      <c r="K19" s="1178"/>
      <c r="L19" s="1178"/>
      <c r="M19" s="159"/>
      <c r="N19" s="978">
        <f>1.95996+(2.37356/N18)+(2.818745/N18^2)+(2.546662/N18^3)+(1.761829/N18^4)+(0.245458/N18^5)+(1.000764/N18^6)</f>
        <v>1.9937482764872987</v>
      </c>
      <c r="O19" s="738" t="s">
        <v>279</v>
      </c>
      <c r="P19" s="738" t="s">
        <v>280</v>
      </c>
      <c r="Q19" s="742" t="s">
        <v>281</v>
      </c>
      <c r="R19" s="742" t="s">
        <v>282</v>
      </c>
      <c r="S19" s="742"/>
      <c r="T19" s="736"/>
      <c r="U19" s="736"/>
      <c r="V19" s="144"/>
    </row>
    <row r="20" spans="1:22" ht="18" customHeight="1">
      <c r="H20" s="1179" t="s">
        <v>283</v>
      </c>
      <c r="I20" s="1179"/>
      <c r="J20" s="1179"/>
      <c r="K20" s="1179"/>
      <c r="L20" s="1179"/>
      <c r="M20" s="160"/>
      <c r="N20" s="979">
        <f>M17*N19</f>
        <v>1.1120748903992457</v>
      </c>
      <c r="O20" s="981">
        <f>N20</f>
        <v>1.1120748903992457</v>
      </c>
      <c r="P20" s="982" t="str">
        <f>IF(O20&gt;=10,"0",IF(O20&lt;1,"0.00","0.0"))</f>
        <v>0.0</v>
      </c>
      <c r="Q20" s="980" t="str">
        <f>TEXT(O20,$P$20)</f>
        <v>1.1</v>
      </c>
      <c r="R20" s="980" t="str">
        <f>IF(Q20&lt;"0.74",0.74,Q20)</f>
        <v>1.1</v>
      </c>
      <c r="S20" s="742"/>
      <c r="T20" s="736"/>
      <c r="U20" s="736"/>
      <c r="V20" s="144"/>
    </row>
    <row r="21" spans="1:22" ht="18" customHeight="1">
      <c r="E21" s="191"/>
      <c r="O21" s="738"/>
      <c r="P21" s="738"/>
      <c r="Q21" s="742"/>
      <c r="R21" s="742"/>
      <c r="S21" s="742"/>
      <c r="T21" s="736"/>
      <c r="U21" s="736"/>
      <c r="V21" s="144"/>
    </row>
    <row r="22" spans="1:22" s="144" customFormat="1" ht="18" customHeight="1">
      <c r="N22" s="980">
        <f>IF(N20&lt;0.74,0.74,M17*N19)</f>
        <v>1.1120748903992457</v>
      </c>
      <c r="O22" s="742"/>
      <c r="P22" s="742"/>
      <c r="Q22" s="742"/>
      <c r="R22" s="742"/>
      <c r="S22" s="742"/>
      <c r="T22" s="736"/>
      <c r="U22" s="736"/>
    </row>
    <row r="23" spans="1:22" s="192" customFormat="1" ht="18" customHeight="1">
      <c r="A23" s="1180" t="s">
        <v>284</v>
      </c>
      <c r="B23" s="1180"/>
      <c r="C23" s="1180"/>
      <c r="D23" s="1180"/>
      <c r="E23" s="1180"/>
      <c r="F23" s="1180"/>
      <c r="G23" s="1180"/>
      <c r="H23" s="1180"/>
      <c r="I23" s="1180"/>
      <c r="J23" s="1180"/>
      <c r="K23" s="1180"/>
      <c r="L23" s="1180"/>
      <c r="M23" s="1180"/>
      <c r="N23" s="1180"/>
      <c r="O23" s="741"/>
      <c r="P23" s="741"/>
      <c r="Q23" s="741"/>
      <c r="R23" s="741"/>
      <c r="S23" s="741"/>
      <c r="T23" s="737"/>
      <c r="U23" s="737"/>
    </row>
    <row r="24" spans="1:22" s="144" customFormat="1" ht="18" customHeight="1">
      <c r="A24" s="161" t="s">
        <v>252</v>
      </c>
      <c r="B24" s="162">
        <f>ID!$D$8</f>
        <v>0.5</v>
      </c>
      <c r="C24" s="161" t="s">
        <v>253</v>
      </c>
      <c r="D24" s="162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740"/>
      <c r="P24" s="740"/>
      <c r="Q24" s="740"/>
      <c r="R24" s="740"/>
      <c r="S24" s="740"/>
      <c r="T24" s="736"/>
      <c r="U24" s="736"/>
    </row>
    <row r="25" spans="1:22" s="144" customFormat="1" ht="16" customHeight="1">
      <c r="A25" s="161" t="s">
        <v>254</v>
      </c>
      <c r="B25" s="162">
        <f>ID!B73</f>
        <v>160</v>
      </c>
      <c r="C25" s="161" t="s">
        <v>253</v>
      </c>
      <c r="D25" s="161"/>
      <c r="E25" s="161"/>
      <c r="F25" s="161"/>
      <c r="G25" s="161"/>
      <c r="H25" s="161"/>
      <c r="I25" s="163"/>
      <c r="J25" s="161"/>
      <c r="K25" s="161"/>
      <c r="L25" s="161"/>
      <c r="M25" s="161"/>
      <c r="N25" s="161"/>
    </row>
    <row r="26" spans="1:22" s="144" customFormat="1" ht="16" customHeight="1">
      <c r="A26" s="1183" t="s">
        <v>255</v>
      </c>
      <c r="B26" s="1165"/>
      <c r="C26" s="1184"/>
      <c r="D26" s="1163" t="s">
        <v>256</v>
      </c>
      <c r="E26" s="1165" t="s">
        <v>257</v>
      </c>
      <c r="F26" s="1165" t="s">
        <v>258</v>
      </c>
      <c r="G26" s="1165" t="s">
        <v>259</v>
      </c>
      <c r="H26" s="1165" t="s">
        <v>285</v>
      </c>
      <c r="I26" s="1165" t="s">
        <v>286</v>
      </c>
      <c r="J26" s="1165"/>
      <c r="K26" s="1165" t="s">
        <v>287</v>
      </c>
      <c r="L26" s="1165" t="s">
        <v>288</v>
      </c>
      <c r="M26" s="1165" t="s">
        <v>289</v>
      </c>
      <c r="N26" s="1181" t="s">
        <v>290</v>
      </c>
      <c r="Q26" s="1160"/>
      <c r="R26" s="1160"/>
      <c r="S26" s="1160"/>
      <c r="T26" s="1160"/>
    </row>
    <row r="27" spans="1:22" s="144" customFormat="1" ht="16" customHeight="1">
      <c r="A27" s="1185"/>
      <c r="B27" s="1186"/>
      <c r="C27" s="1187"/>
      <c r="D27" s="1164"/>
      <c r="E27" s="1166"/>
      <c r="F27" s="1166"/>
      <c r="G27" s="1166"/>
      <c r="H27" s="1166"/>
      <c r="I27" s="1166"/>
      <c r="J27" s="1166"/>
      <c r="K27" s="1166"/>
      <c r="L27" s="1166"/>
      <c r="M27" s="1166"/>
      <c r="N27" s="1182"/>
      <c r="Q27" s="143"/>
      <c r="R27" s="143"/>
      <c r="S27" s="143"/>
      <c r="T27" s="143"/>
    </row>
    <row r="28" spans="1:22" s="144" customFormat="1" ht="16" customHeight="1">
      <c r="A28" s="164" t="s">
        <v>291</v>
      </c>
      <c r="B28" s="165"/>
      <c r="C28" s="166"/>
      <c r="D28" s="167" t="s">
        <v>292</v>
      </c>
      <c r="E28" s="168" t="s">
        <v>268</v>
      </c>
      <c r="F28" s="169">
        <v>0.28999999999999998</v>
      </c>
      <c r="G28" s="169">
        <v>2</v>
      </c>
      <c r="H28" s="170">
        <f>0.29/2</f>
        <v>0.14499999999999999</v>
      </c>
      <c r="I28" s="168">
        <v>1</v>
      </c>
      <c r="J28" s="168"/>
      <c r="K28" s="170">
        <f>0.145*1</f>
        <v>0.14499999999999999</v>
      </c>
      <c r="L28" s="171">
        <f t="shared" ref="L28:L33" si="4">((100/10)^2)*0.5</f>
        <v>50</v>
      </c>
      <c r="M28" s="172">
        <f>(0.145*1)^2</f>
        <v>2.1024999999999999E-2</v>
      </c>
      <c r="N28" s="173">
        <f t="shared" ref="N28:N33" si="5">(K28)^4/L28</f>
        <v>8.8410124999999981E-6</v>
      </c>
    </row>
    <row r="29" spans="1:22" s="144" customFormat="1" ht="16" customHeight="1">
      <c r="A29" s="164" t="s">
        <v>293</v>
      </c>
      <c r="B29" s="165"/>
      <c r="C29" s="166"/>
      <c r="D29" s="167" t="s">
        <v>292</v>
      </c>
      <c r="E29" s="168" t="s">
        <v>271</v>
      </c>
      <c r="F29" s="169">
        <f>0.0943/2</f>
        <v>4.7149999999999997E-2</v>
      </c>
      <c r="G29" s="169">
        <v>1.7321</v>
      </c>
      <c r="H29" s="170">
        <f>0.04716/1.73205</f>
        <v>2.7227851389971421E-2</v>
      </c>
      <c r="I29" s="171">
        <v>1</v>
      </c>
      <c r="J29" s="168"/>
      <c r="K29" s="170">
        <f>0.0272*1</f>
        <v>2.7199999999999998E-2</v>
      </c>
      <c r="L29" s="171">
        <f t="shared" si="4"/>
        <v>50</v>
      </c>
      <c r="M29" s="172">
        <f>(0.0272*1)^2</f>
        <v>7.3983999999999996E-4</v>
      </c>
      <c r="N29" s="173">
        <f t="shared" si="5"/>
        <v>1.0947264511999999E-8</v>
      </c>
    </row>
    <row r="30" spans="1:22" s="144" customFormat="1" ht="16" customHeight="1">
      <c r="A30" s="1170" t="s">
        <v>294</v>
      </c>
      <c r="B30" s="1171"/>
      <c r="C30" s="1172"/>
      <c r="D30" s="167" t="s">
        <v>292</v>
      </c>
      <c r="E30" s="168" t="s">
        <v>271</v>
      </c>
      <c r="F30" s="169">
        <f>0.5/2</f>
        <v>0.25</v>
      </c>
      <c r="G30" s="169">
        <v>1.7321</v>
      </c>
      <c r="H30" s="170">
        <f>0.25/1.7321</f>
        <v>0.14433346804457017</v>
      </c>
      <c r="I30" s="168">
        <v>1</v>
      </c>
      <c r="J30" s="174"/>
      <c r="K30" s="170">
        <f>0.1443*1</f>
        <v>0.14430000000000001</v>
      </c>
      <c r="L30" s="171">
        <f t="shared" si="4"/>
        <v>50</v>
      </c>
      <c r="M30" s="172">
        <f>(0.1443*1)^2</f>
        <v>2.0822490000000003E-2</v>
      </c>
      <c r="N30" s="173">
        <f t="shared" si="5"/>
        <v>8.6715217960020013E-6</v>
      </c>
    </row>
    <row r="31" spans="1:22" s="144" customFormat="1" ht="16" customHeight="1">
      <c r="A31" s="1170" t="s">
        <v>295</v>
      </c>
      <c r="B31" s="1171"/>
      <c r="C31" s="1172"/>
      <c r="D31" s="167" t="s">
        <v>292</v>
      </c>
      <c r="E31" s="168" t="s">
        <v>268</v>
      </c>
      <c r="F31" s="703">
        <f>(0.2006)/2</f>
        <v>0.1003</v>
      </c>
      <c r="G31" s="169">
        <v>1.7321</v>
      </c>
      <c r="H31" s="170">
        <f>0.1003/1.7321</f>
        <v>5.7906587379481553E-2</v>
      </c>
      <c r="I31" s="168">
        <v>1</v>
      </c>
      <c r="J31" s="174"/>
      <c r="K31" s="170">
        <f>0.0579*1</f>
        <v>5.79E-2</v>
      </c>
      <c r="L31" s="171">
        <f t="shared" si="4"/>
        <v>50</v>
      </c>
      <c r="M31" s="172">
        <f>(0.0579*1)^2</f>
        <v>3.3524100000000001E-3</v>
      </c>
      <c r="N31" s="173">
        <f t="shared" si="5"/>
        <v>2.2477305616200002E-7</v>
      </c>
    </row>
    <row r="32" spans="1:22" s="144" customFormat="1" ht="16" customHeight="1">
      <c r="A32" s="175" t="s">
        <v>296</v>
      </c>
      <c r="B32" s="176"/>
      <c r="C32" s="177"/>
      <c r="D32" s="167" t="s">
        <v>292</v>
      </c>
      <c r="E32" s="168" t="s">
        <v>268</v>
      </c>
      <c r="F32" s="178">
        <f>0.15/2</f>
        <v>7.4999999999999997E-2</v>
      </c>
      <c r="G32" s="169">
        <v>1.7321</v>
      </c>
      <c r="H32" s="170">
        <f>0.075/1.7321</f>
        <v>4.3300040413371051E-2</v>
      </c>
      <c r="I32" s="168">
        <v>1</v>
      </c>
      <c r="J32" s="174"/>
      <c r="K32" s="170">
        <f>0.0433*1</f>
        <v>4.3299999999999998E-2</v>
      </c>
      <c r="L32" s="171">
        <f t="shared" si="4"/>
        <v>50</v>
      </c>
      <c r="M32" s="172">
        <f>(0.0433*1)^2</f>
        <v>1.8748899999999999E-3</v>
      </c>
      <c r="N32" s="173">
        <f t="shared" si="5"/>
        <v>7.0304250241999999E-8</v>
      </c>
    </row>
    <row r="33" spans="1:22" s="144" customFormat="1" ht="16" customHeight="1">
      <c r="A33" s="1173" t="s">
        <v>297</v>
      </c>
      <c r="B33" s="1174"/>
      <c r="C33" s="1175"/>
      <c r="D33" s="179" t="s">
        <v>292</v>
      </c>
      <c r="E33" s="180" t="s">
        <v>271</v>
      </c>
      <c r="F33" s="181">
        <f>0/2</f>
        <v>0</v>
      </c>
      <c r="G33" s="169">
        <v>1.7321</v>
      </c>
      <c r="H33" s="170">
        <f>0/1.7321</f>
        <v>0</v>
      </c>
      <c r="I33" s="180">
        <v>1</v>
      </c>
      <c r="J33" s="182"/>
      <c r="K33" s="170">
        <f>0*1</f>
        <v>0</v>
      </c>
      <c r="L33" s="171">
        <f t="shared" si="4"/>
        <v>50</v>
      </c>
      <c r="M33" s="172">
        <f>(0*1)^2</f>
        <v>0</v>
      </c>
      <c r="N33" s="173">
        <f t="shared" si="5"/>
        <v>0</v>
      </c>
      <c r="V33" s="193"/>
    </row>
    <row r="34" spans="1:22" s="144" customFormat="1" ht="16" customHeight="1">
      <c r="A34" s="161"/>
      <c r="B34" s="161"/>
      <c r="C34" s="161"/>
      <c r="D34" s="161"/>
      <c r="E34" s="162"/>
      <c r="F34" s="161"/>
      <c r="G34" s="161"/>
      <c r="H34" s="1176" t="s">
        <v>276</v>
      </c>
      <c r="I34" s="1177"/>
      <c r="J34" s="1177"/>
      <c r="K34" s="1177"/>
      <c r="L34" s="1177"/>
      <c r="M34" s="183">
        <f>SQRT(SUM(M28:M33))</f>
        <v>0.21866556656227334</v>
      </c>
      <c r="N34" s="184">
        <f>SUM(N28:N33)</f>
        <v>1.7818558866917999E-5</v>
      </c>
    </row>
    <row r="35" spans="1:22" s="144" customFormat="1" ht="16" customHeight="1">
      <c r="A35" s="161"/>
      <c r="B35" s="161"/>
      <c r="C35" s="161"/>
      <c r="D35" s="161"/>
      <c r="E35" s="161"/>
      <c r="F35" s="161"/>
      <c r="G35" s="161"/>
      <c r="H35" s="1170" t="s">
        <v>277</v>
      </c>
      <c r="I35" s="1171"/>
      <c r="J35" s="1171"/>
      <c r="K35" s="1171"/>
      <c r="L35" s="1171"/>
      <c r="M35" s="185"/>
      <c r="N35" s="186">
        <f>M34^4/N34</f>
        <v>128.30660768428018</v>
      </c>
    </row>
    <row r="36" spans="1:22" s="144" customFormat="1" ht="16" customHeight="1">
      <c r="A36" s="161"/>
      <c r="B36" s="161"/>
      <c r="C36" s="161"/>
      <c r="D36" s="161"/>
      <c r="E36" s="161"/>
      <c r="F36" s="161"/>
      <c r="G36" s="161"/>
      <c r="H36" s="1170" t="s">
        <v>278</v>
      </c>
      <c r="I36" s="1171"/>
      <c r="J36" s="1171"/>
      <c r="K36" s="1171"/>
      <c r="L36" s="1171"/>
      <c r="M36" s="187"/>
      <c r="N36" s="188">
        <f>1.95996+(2.37356/N35)+(2.818745/N35^2)+(2.546662/N35^3)+(1.761829/N35^4)+(0.245458/N35^5)+(1.000764/N35^6)</f>
        <v>1.9786315586515477</v>
      </c>
    </row>
    <row r="37" spans="1:22" s="144" customFormat="1" ht="16" customHeight="1">
      <c r="A37" s="161"/>
      <c r="B37" s="161"/>
      <c r="C37" s="161"/>
      <c r="D37" s="161"/>
      <c r="E37" s="161"/>
      <c r="F37" s="161"/>
      <c r="G37" s="161"/>
      <c r="H37" s="1168" t="s">
        <v>283</v>
      </c>
      <c r="I37" s="1169"/>
      <c r="J37" s="1169"/>
      <c r="K37" s="1169"/>
      <c r="L37" s="1169"/>
      <c r="M37" s="189"/>
      <c r="N37" s="190">
        <f>M34*N36</f>
        <v>0.43265859079053465</v>
      </c>
    </row>
    <row r="38" spans="1:22" s="144" customFormat="1" ht="16" customHeight="1">
      <c r="A38" s="194"/>
      <c r="B38" s="194"/>
      <c r="C38" s="194"/>
      <c r="D38" s="194"/>
      <c r="E38" s="195"/>
      <c r="F38" s="194"/>
      <c r="G38" s="194"/>
      <c r="H38" s="194"/>
      <c r="I38" s="194"/>
      <c r="J38" s="194"/>
      <c r="K38" s="194"/>
      <c r="L38" s="194"/>
      <c r="M38" s="194"/>
      <c r="N38" s="194"/>
    </row>
    <row r="39" spans="1:22" s="144" customFormat="1" ht="16" customHeight="1"/>
    <row r="40" spans="1:22" s="144" customFormat="1" ht="16" customHeight="1"/>
    <row r="41" spans="1:22" s="144" customFormat="1" ht="16" customHeight="1"/>
    <row r="42" spans="1:22" s="144" customFormat="1" ht="16" customHeight="1">
      <c r="A42" s="1160"/>
      <c r="B42" s="1160"/>
    </row>
    <row r="43" spans="1:22" s="144" customFormat="1" ht="16" customHeight="1">
      <c r="A43" s="1160"/>
      <c r="B43" s="1160"/>
      <c r="C43" s="143"/>
      <c r="D43" s="143"/>
      <c r="E43" s="143"/>
      <c r="F43" s="143"/>
      <c r="G43" s="143"/>
      <c r="H43" s="143"/>
      <c r="I43" s="143"/>
      <c r="J43" s="143"/>
      <c r="K43" s="143"/>
      <c r="M43" s="143"/>
      <c r="N43" s="143"/>
      <c r="O43" s="143"/>
    </row>
    <row r="44" spans="1:22" s="144" customFormat="1" ht="16" customHeight="1">
      <c r="A44" s="1159"/>
      <c r="B44" s="1159"/>
      <c r="C44" s="134"/>
      <c r="D44" s="134"/>
      <c r="E44" s="134"/>
      <c r="F44" s="134"/>
      <c r="G44" s="134"/>
      <c r="H44" s="134"/>
      <c r="I44" s="134"/>
      <c r="J44" s="196"/>
      <c r="K44" s="134"/>
      <c r="M44" s="197"/>
      <c r="N44" s="143"/>
      <c r="O44" s="197"/>
    </row>
    <row r="45" spans="1:22" s="144" customFormat="1" ht="16" customHeight="1">
      <c r="A45" s="1159"/>
      <c r="B45" s="1159"/>
      <c r="C45" s="134"/>
      <c r="D45" s="134"/>
      <c r="E45" s="134"/>
      <c r="F45" s="134"/>
      <c r="G45" s="134"/>
      <c r="H45" s="134"/>
      <c r="I45" s="198"/>
      <c r="J45" s="199"/>
      <c r="K45" s="198"/>
      <c r="L45" s="145"/>
      <c r="M45" s="200"/>
      <c r="N45" s="200"/>
      <c r="O45" s="200"/>
    </row>
    <row r="46" spans="1:22" s="144" customFormat="1" ht="16" customHeight="1">
      <c r="A46" s="1159"/>
      <c r="B46" s="1159"/>
      <c r="C46" s="134"/>
      <c r="D46" s="134"/>
      <c r="E46" s="134"/>
      <c r="F46" s="134"/>
      <c r="G46" s="134"/>
      <c r="H46" s="134"/>
      <c r="I46" s="198"/>
      <c r="J46" s="199"/>
      <c r="K46" s="198"/>
      <c r="L46" s="145"/>
      <c r="M46" s="145"/>
      <c r="N46" s="145"/>
      <c r="O46" s="145"/>
    </row>
    <row r="47" spans="1:22" s="144" customFormat="1" ht="16" customHeight="1">
      <c r="A47" s="1159"/>
      <c r="B47" s="1159"/>
      <c r="C47" s="134"/>
      <c r="D47" s="134"/>
      <c r="E47" s="134"/>
      <c r="F47" s="134"/>
      <c r="G47" s="134"/>
      <c r="H47" s="134"/>
      <c r="I47" s="198"/>
      <c r="J47" s="199"/>
      <c r="K47" s="198"/>
      <c r="L47" s="145"/>
      <c r="M47" s="145"/>
      <c r="N47" s="145"/>
      <c r="O47" s="145"/>
    </row>
    <row r="48" spans="1:22" s="144" customFormat="1" ht="16" customHeight="1">
      <c r="A48" s="1159"/>
      <c r="B48" s="1159"/>
      <c r="C48" s="198"/>
      <c r="D48" s="198"/>
      <c r="E48" s="198"/>
      <c r="F48" s="198"/>
      <c r="G48" s="198"/>
      <c r="H48" s="198"/>
      <c r="I48" s="198"/>
      <c r="J48" s="199"/>
      <c r="K48" s="198"/>
      <c r="L48" s="145"/>
      <c r="M48" s="145"/>
      <c r="N48" s="145"/>
      <c r="O48" s="145"/>
      <c r="P48" s="145"/>
      <c r="Q48" s="145"/>
    </row>
    <row r="49" spans="1:17" s="144" customFormat="1" ht="16" customHeight="1">
      <c r="A49" s="1159"/>
      <c r="B49" s="1159"/>
      <c r="C49" s="127"/>
      <c r="D49" s="127"/>
      <c r="E49" s="198"/>
      <c r="F49" s="198"/>
      <c r="G49" s="198"/>
      <c r="H49" s="198"/>
      <c r="I49" s="198"/>
      <c r="J49" s="199"/>
      <c r="K49" s="198"/>
      <c r="L49" s="145"/>
      <c r="M49" s="145"/>
      <c r="N49" s="145"/>
      <c r="O49" s="145"/>
      <c r="P49" s="145"/>
      <c r="Q49" s="145"/>
    </row>
    <row r="50" spans="1:17" s="145" customFormat="1" ht="16" customHeight="1">
      <c r="A50" s="1167"/>
      <c r="B50" s="1167"/>
      <c r="C50" s="127"/>
      <c r="D50" s="127"/>
      <c r="E50" s="198"/>
      <c r="F50" s="198"/>
      <c r="G50" s="198"/>
      <c r="H50" s="198"/>
      <c r="I50" s="198"/>
      <c r="J50" s="199"/>
      <c r="K50" s="198"/>
    </row>
    <row r="51" spans="1:17" s="145" customFormat="1" ht="16" customHeight="1">
      <c r="A51" s="1167"/>
      <c r="B51" s="1167"/>
      <c r="C51" s="127"/>
      <c r="D51" s="127"/>
      <c r="E51" s="198"/>
      <c r="F51" s="198"/>
      <c r="G51" s="198"/>
      <c r="H51" s="198"/>
      <c r="I51" s="198"/>
      <c r="J51" s="199"/>
      <c r="K51" s="198"/>
    </row>
    <row r="52" spans="1:17" s="145" customFormat="1" ht="16" customHeight="1">
      <c r="A52" s="1167"/>
      <c r="B52" s="1167"/>
      <c r="C52" s="127"/>
      <c r="D52" s="127"/>
      <c r="E52" s="198"/>
      <c r="F52" s="198"/>
      <c r="G52" s="198"/>
      <c r="H52" s="198"/>
      <c r="I52" s="198"/>
      <c r="J52" s="199"/>
      <c r="K52" s="198"/>
    </row>
    <row r="53" spans="1:17" s="144" customFormat="1" ht="16" customHeight="1">
      <c r="A53" s="1159"/>
      <c r="B53" s="1159"/>
      <c r="C53" s="127"/>
      <c r="D53" s="127"/>
      <c r="E53" s="198"/>
      <c r="F53" s="198"/>
      <c r="G53" s="198"/>
      <c r="H53" s="198"/>
      <c r="I53" s="198"/>
      <c r="J53" s="199"/>
      <c r="K53" s="198"/>
      <c r="L53" s="145"/>
      <c r="M53" s="145"/>
      <c r="N53" s="145"/>
      <c r="O53" s="145"/>
      <c r="P53" s="145"/>
      <c r="Q53" s="145"/>
    </row>
    <row r="54" spans="1:17" s="144" customFormat="1" ht="16" customHeight="1">
      <c r="A54" s="1160"/>
      <c r="B54" s="1160"/>
      <c r="C54" s="143"/>
      <c r="D54" s="143"/>
      <c r="E54" s="143"/>
      <c r="F54" s="143"/>
      <c r="G54" s="143"/>
      <c r="H54" s="143"/>
      <c r="I54" s="200"/>
      <c r="J54" s="145"/>
      <c r="K54" s="200"/>
      <c r="L54" s="145"/>
      <c r="M54" s="145"/>
      <c r="N54" s="145"/>
      <c r="O54" s="145"/>
      <c r="P54" s="145"/>
      <c r="Q54" s="145"/>
    </row>
    <row r="55" spans="1:17" s="144" customFormat="1" ht="16" customHeight="1">
      <c r="I55" s="145"/>
      <c r="J55" s="145"/>
      <c r="K55" s="145"/>
      <c r="L55" s="145"/>
      <c r="M55" s="145"/>
      <c r="N55" s="145"/>
      <c r="O55" s="145"/>
      <c r="P55" s="145"/>
      <c r="Q55" s="145"/>
    </row>
    <row r="56" spans="1:17" s="144" customFormat="1" ht="16" customHeight="1">
      <c r="I56" s="145"/>
      <c r="J56" s="145"/>
      <c r="K56" s="145"/>
      <c r="L56" s="145"/>
      <c r="M56" s="145"/>
      <c r="N56" s="145"/>
      <c r="O56" s="145"/>
      <c r="P56" s="145"/>
      <c r="Q56" s="145"/>
    </row>
    <row r="57" spans="1:17" s="144" customFormat="1" ht="16" customHeight="1">
      <c r="I57" s="145"/>
      <c r="J57" s="145"/>
      <c r="K57" s="145"/>
      <c r="L57" s="145"/>
      <c r="M57" s="145"/>
      <c r="N57" s="145"/>
      <c r="O57" s="145"/>
      <c r="P57" s="145"/>
      <c r="Q57" s="145"/>
    </row>
    <row r="58" spans="1:17" s="144" customFormat="1" ht="16" customHeight="1">
      <c r="I58" s="145"/>
      <c r="J58" s="145"/>
      <c r="K58" s="145"/>
      <c r="L58" s="145"/>
      <c r="M58" s="145"/>
      <c r="N58" s="145"/>
      <c r="O58" s="145"/>
      <c r="P58" s="145"/>
      <c r="Q58" s="145"/>
    </row>
    <row r="59" spans="1:17" s="144" customFormat="1" ht="16" customHeight="1">
      <c r="I59" s="145"/>
      <c r="J59" s="145"/>
      <c r="K59" s="145"/>
      <c r="L59" s="145"/>
      <c r="M59" s="145"/>
      <c r="N59" s="145"/>
      <c r="O59" s="145"/>
      <c r="P59" s="145"/>
      <c r="Q59" s="145"/>
    </row>
    <row r="60" spans="1:17" ht="16" customHeight="1">
      <c r="I60" s="125"/>
      <c r="J60" s="125"/>
      <c r="K60" s="125"/>
      <c r="L60" s="125"/>
      <c r="M60" s="145"/>
      <c r="N60" s="145"/>
      <c r="O60" s="145"/>
      <c r="P60" s="145"/>
      <c r="Q60" s="145"/>
    </row>
    <row r="61" spans="1:17" ht="16" customHeight="1">
      <c r="I61" s="125"/>
      <c r="J61" s="125"/>
      <c r="K61" s="125"/>
      <c r="L61" s="125"/>
      <c r="M61" s="145"/>
      <c r="N61" s="145"/>
      <c r="O61" s="145"/>
      <c r="P61" s="145"/>
      <c r="Q61" s="145"/>
    </row>
    <row r="62" spans="1:17" ht="16" customHeight="1">
      <c r="I62" s="125"/>
      <c r="J62" s="125"/>
      <c r="K62" s="125"/>
      <c r="L62" s="125"/>
      <c r="M62" s="145"/>
      <c r="N62" s="145"/>
      <c r="O62" s="145"/>
      <c r="P62" s="145"/>
      <c r="Q62" s="145"/>
    </row>
    <row r="63" spans="1:17" ht="16" customHeight="1">
      <c r="I63" s="125"/>
      <c r="J63" s="125"/>
      <c r="K63" s="125"/>
      <c r="L63" s="125"/>
      <c r="M63" s="145"/>
      <c r="N63" s="145"/>
      <c r="O63" s="145"/>
      <c r="P63" s="145"/>
      <c r="Q63" s="145"/>
    </row>
    <row r="64" spans="1:17" ht="16" customHeight="1">
      <c r="I64" s="125"/>
      <c r="J64" s="125"/>
      <c r="K64" s="125"/>
      <c r="L64" s="125"/>
      <c r="M64" s="145"/>
      <c r="N64" s="145"/>
      <c r="O64" s="145"/>
      <c r="P64" s="145"/>
      <c r="Q64" s="145"/>
    </row>
    <row r="65" spans="9:17" ht="16" customHeight="1">
      <c r="I65" s="125"/>
      <c r="J65" s="125"/>
      <c r="K65" s="125"/>
      <c r="L65" s="125"/>
      <c r="M65" s="145"/>
      <c r="N65" s="145"/>
      <c r="O65" s="145"/>
      <c r="P65" s="145"/>
      <c r="Q65" s="145"/>
    </row>
    <row r="66" spans="9:17" ht="16" customHeight="1">
      <c r="I66" s="125"/>
      <c r="J66" s="125"/>
      <c r="K66" s="125"/>
      <c r="L66" s="125"/>
      <c r="M66" s="200"/>
      <c r="N66" s="200"/>
      <c r="O66" s="200"/>
    </row>
    <row r="67" spans="9:17" ht="16" customHeight="1">
      <c r="I67" s="125"/>
      <c r="J67" s="125"/>
      <c r="K67" s="125"/>
      <c r="L67" s="125"/>
      <c r="M67" s="201"/>
      <c r="N67" s="200"/>
      <c r="O67" s="201"/>
    </row>
    <row r="68" spans="9:17" ht="16" customHeight="1">
      <c r="I68" s="125"/>
      <c r="J68" s="125"/>
      <c r="K68" s="125"/>
      <c r="L68" s="125"/>
      <c r="M68" s="200"/>
      <c r="N68" s="200"/>
      <c r="O68" s="200"/>
    </row>
    <row r="69" spans="9:17" ht="16" customHeight="1">
      <c r="I69" s="125"/>
      <c r="J69" s="125"/>
      <c r="K69" s="125"/>
      <c r="L69" s="125"/>
      <c r="M69" s="125"/>
      <c r="N69" s="125"/>
      <c r="O69" s="125"/>
    </row>
    <row r="70" spans="9:17">
      <c r="I70" s="125"/>
      <c r="J70" s="125"/>
      <c r="K70" s="125"/>
      <c r="L70" s="125"/>
      <c r="M70" s="1161"/>
      <c r="N70" s="1161"/>
      <c r="O70" s="1161"/>
    </row>
    <row r="71" spans="9:17">
      <c r="I71" s="125"/>
      <c r="J71" s="125"/>
      <c r="K71" s="125"/>
      <c r="L71" s="125"/>
      <c r="M71" s="200"/>
      <c r="N71" s="200"/>
      <c r="O71" s="200"/>
    </row>
    <row r="72" spans="9:17">
      <c r="I72" s="125"/>
      <c r="J72" s="125"/>
      <c r="K72" s="125"/>
      <c r="L72" s="125"/>
      <c r="M72" s="201"/>
      <c r="N72" s="200"/>
      <c r="O72" s="201"/>
    </row>
    <row r="73" spans="9:17">
      <c r="I73" s="125"/>
      <c r="J73" s="125"/>
      <c r="K73" s="125"/>
      <c r="L73" s="125"/>
      <c r="M73" s="200"/>
      <c r="N73" s="200"/>
      <c r="O73" s="200"/>
    </row>
    <row r="74" spans="9:17">
      <c r="I74" s="125"/>
      <c r="J74" s="125"/>
      <c r="K74" s="125"/>
      <c r="L74" s="125"/>
      <c r="M74" s="125"/>
      <c r="N74" s="125"/>
      <c r="O74" s="125"/>
    </row>
    <row r="75" spans="9:17">
      <c r="I75" s="125"/>
      <c r="J75" s="125"/>
      <c r="K75" s="125"/>
      <c r="L75" s="125"/>
      <c r="M75" s="1161"/>
      <c r="N75" s="1161"/>
      <c r="O75" s="1161"/>
    </row>
    <row r="76" spans="9:17">
      <c r="I76" s="125"/>
      <c r="J76" s="125"/>
      <c r="K76" s="125"/>
      <c r="L76" s="125"/>
      <c r="M76" s="200"/>
      <c r="N76" s="200"/>
      <c r="O76" s="200"/>
    </row>
    <row r="77" spans="9:17">
      <c r="I77" s="125"/>
      <c r="J77" s="125"/>
      <c r="K77" s="125"/>
      <c r="L77" s="125"/>
      <c r="M77" s="201"/>
      <c r="N77" s="200"/>
      <c r="O77" s="201"/>
    </row>
    <row r="78" spans="9:17">
      <c r="I78" s="125"/>
      <c r="J78" s="125"/>
      <c r="K78" s="125"/>
      <c r="L78" s="125"/>
      <c r="M78" s="200"/>
      <c r="N78" s="200"/>
      <c r="O78" s="200"/>
    </row>
    <row r="79" spans="9:17">
      <c r="I79" s="125"/>
      <c r="J79" s="125"/>
      <c r="K79" s="125"/>
      <c r="L79" s="125"/>
      <c r="M79" s="125"/>
      <c r="N79" s="125"/>
      <c r="O79" s="125"/>
    </row>
    <row r="80" spans="9:17">
      <c r="I80" s="125"/>
      <c r="J80" s="125"/>
      <c r="K80" s="125"/>
      <c r="L80" s="125"/>
      <c r="M80" s="125"/>
      <c r="N80" s="125"/>
      <c r="O80" s="125"/>
    </row>
    <row r="88" spans="1:8">
      <c r="A88" s="202"/>
      <c r="H88" s="202"/>
    </row>
  </sheetData>
  <mergeCells count="57">
    <mergeCell ref="A2:N2"/>
    <mergeCell ref="A10:C10"/>
    <mergeCell ref="A11:C11"/>
    <mergeCell ref="A12:C12"/>
    <mergeCell ref="A13:C13"/>
    <mergeCell ref="L7:L8"/>
    <mergeCell ref="M7:M8"/>
    <mergeCell ref="N7:N8"/>
    <mergeCell ref="I7:J8"/>
    <mergeCell ref="A7:C8"/>
    <mergeCell ref="A14:C14"/>
    <mergeCell ref="A15:C15"/>
    <mergeCell ref="A16:C16"/>
    <mergeCell ref="H17:L17"/>
    <mergeCell ref="H18:L18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31:C31"/>
    <mergeCell ref="A33:C33"/>
    <mergeCell ref="H34:L34"/>
    <mergeCell ref="H35:L35"/>
    <mergeCell ref="H36:L36"/>
    <mergeCell ref="H37:L37"/>
    <mergeCell ref="A44:B44"/>
    <mergeCell ref="A45:B45"/>
    <mergeCell ref="A46:B46"/>
    <mergeCell ref="A47:B47"/>
    <mergeCell ref="A42:B43"/>
    <mergeCell ref="A48:B48"/>
    <mergeCell ref="A49:B49"/>
    <mergeCell ref="A50:B50"/>
    <mergeCell ref="A51:B51"/>
    <mergeCell ref="A52:B52"/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</mergeCells>
  <printOptions horizontalCentered="1"/>
  <pageMargins left="0.511811023622047" right="0.23622047244094499" top="0.511811023622047" bottom="0.23622047244094499" header="0.23622047244094499" footer="0.23622047244094499"/>
  <pageSetup paperSize="9" scale="64" orientation="portrait" r:id="rId1"/>
  <headerFooter>
    <oddHeader>&amp;R&amp;"-,Regular"&amp;8SH.UB - 044-18 / Rev  : 0</oddHeader>
    <oddFooter>&amp;C&amp;"-,Regular"&amp;8&amp;K00-021Software Laboratorium Incubator 2017&amp;R&amp;K00-049Steril Kering 1.8.2022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AD72"/>
  <sheetViews>
    <sheetView showGridLines="0" view="pageBreakPreview" topLeftCell="A48" zoomScale="55" zoomScaleNormal="100" zoomScaleSheetLayoutView="100" workbookViewId="0">
      <selection activeCell="R75" sqref="R75"/>
    </sheetView>
  </sheetViews>
  <sheetFormatPr defaultColWidth="9" defaultRowHeight="14.5"/>
  <cols>
    <col min="1" max="1" width="4.7265625" style="38" customWidth="1"/>
    <col min="2" max="2" width="12.26953125" style="38" customWidth="1"/>
    <col min="3" max="3" width="12.7265625" style="38" customWidth="1"/>
    <col min="4" max="4" width="14.7265625" style="38" customWidth="1"/>
    <col min="5" max="6" width="12.1796875" style="38" customWidth="1"/>
    <col min="7" max="7" width="11.453125" style="38" customWidth="1"/>
    <col min="8" max="8" width="10.54296875" style="38" customWidth="1"/>
    <col min="9" max="9" width="7.81640625" style="38" customWidth="1"/>
    <col min="10" max="10" width="9.26953125" style="38" customWidth="1"/>
    <col min="11" max="11" width="7.1796875" style="38" customWidth="1"/>
    <col min="12" max="12" width="10" style="38" customWidth="1"/>
    <col min="13" max="13" width="24.453125" style="38" customWidth="1"/>
    <col min="14" max="14" width="13.81640625" style="38" customWidth="1"/>
    <col min="15" max="15" width="11.81640625" style="38" customWidth="1"/>
    <col min="16" max="16" width="9.26953125" style="38" customWidth="1"/>
    <col min="17" max="17" width="15.453125" style="38" customWidth="1"/>
    <col min="18" max="18" width="16.1796875" style="38" customWidth="1"/>
    <col min="19" max="258" width="9.1796875" style="38" customWidth="1"/>
    <col min="259" max="16384" width="9" style="38"/>
  </cols>
  <sheetData>
    <row r="1" spans="1:30" s="3" customFormat="1" ht="19.5" customHeight="1">
      <c r="A1" s="1057" t="s">
        <v>298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203"/>
    </row>
    <row r="2" spans="1:30" s="3" customFormat="1" ht="18.75" customHeight="1">
      <c r="A2" s="1209" t="str">
        <f>ID!H2&amp;" "&amp;ID!I2</f>
        <v>Nomor Sertifikat : 47 / 1 / IX - 20 / E - 024.34 DL</v>
      </c>
      <c r="B2" s="1209"/>
      <c r="C2" s="1209"/>
      <c r="D2" s="1209"/>
      <c r="E2" s="1209"/>
      <c r="F2" s="1209"/>
      <c r="G2" s="1209"/>
      <c r="H2" s="1209"/>
      <c r="I2" s="1209"/>
      <c r="J2" s="1209"/>
      <c r="K2" s="1209"/>
      <c r="L2" s="1209"/>
      <c r="M2" s="125"/>
    </row>
    <row r="3" spans="1:30" ht="15.75" customHeight="1">
      <c r="C3" s="117"/>
      <c r="D3" s="117"/>
      <c r="E3" s="117"/>
      <c r="F3" s="117"/>
      <c r="G3" s="117"/>
      <c r="H3" s="117"/>
      <c r="I3" s="117"/>
      <c r="J3" s="117"/>
      <c r="K3" s="117"/>
    </row>
    <row r="4" spans="1:30" s="3" customFormat="1" ht="15.75" customHeight="1">
      <c r="A4" s="125" t="s">
        <v>299</v>
      </c>
      <c r="D4" s="126" t="s">
        <v>3</v>
      </c>
      <c r="E4" s="124" t="str">
        <f>ID!D5</f>
        <v>memmert</v>
      </c>
      <c r="J4" s="12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s="3" customFormat="1" ht="15.75" customHeight="1">
      <c r="A5" s="125" t="s">
        <v>300</v>
      </c>
      <c r="D5" s="126" t="s">
        <v>3</v>
      </c>
      <c r="E5" s="124" t="str">
        <f>ID!D6</f>
        <v>INB 400</v>
      </c>
      <c r="J5" s="12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s="3" customFormat="1" ht="15.75" customHeight="1">
      <c r="A6" s="125" t="s">
        <v>301</v>
      </c>
      <c r="D6" s="126" t="s">
        <v>3</v>
      </c>
      <c r="E6" s="124" t="str">
        <f>ID!D7</f>
        <v>E406.0655</v>
      </c>
      <c r="J6" s="126"/>
      <c r="P6" s="1229" t="str">
        <f>IF(H27="-",S14,ID!Q19)</f>
        <v>NG</v>
      </c>
      <c r="Q6" s="1229"/>
      <c r="R6" s="1162" t="s">
        <v>44</v>
      </c>
      <c r="S6" s="1162" t="s">
        <v>302</v>
      </c>
      <c r="T6" s="1162" t="s">
        <v>303</v>
      </c>
      <c r="V6" s="1230" t="str">
        <f>IF(H25="-",V9,IF(OR(H27="-",P6=S14),V7,IF(OR(R8&gt;S8,C27=V15),"",IF(H27&gt;J27,V8,""))))</f>
        <v>Tidak terdapat grounding di ruangan</v>
      </c>
      <c r="W6" s="1230"/>
      <c r="X6" s="1230"/>
      <c r="Y6" s="1230"/>
      <c r="Z6" s="1230"/>
      <c r="AA6" s="1230"/>
      <c r="AB6" s="1230"/>
      <c r="AC6" s="1230"/>
      <c r="AD6" s="1230"/>
    </row>
    <row r="7" spans="1:30" s="3" customFormat="1" ht="15.75" customHeight="1">
      <c r="A7" s="125" t="s">
        <v>6</v>
      </c>
      <c r="D7" s="126" t="s">
        <v>3</v>
      </c>
      <c r="E7" s="146">
        <f>ID!D8</f>
        <v>0.5</v>
      </c>
      <c r="F7" s="125" t="str">
        <f>ID!E8</f>
        <v>°C</v>
      </c>
      <c r="G7" s="125"/>
      <c r="H7" s="125"/>
      <c r="I7" s="126"/>
      <c r="P7" s="1229"/>
      <c r="Q7" s="1229"/>
      <c r="R7" s="1162"/>
      <c r="S7" s="1162"/>
      <c r="T7" s="1162"/>
      <c r="V7" s="1225" t="s">
        <v>304</v>
      </c>
      <c r="W7" s="1225"/>
      <c r="X7" s="1225"/>
      <c r="Y7" s="1225"/>
      <c r="Z7" s="1225"/>
      <c r="AA7" s="1225"/>
      <c r="AB7" s="1225"/>
      <c r="AC7" s="1225"/>
      <c r="AD7" s="1225"/>
    </row>
    <row r="8" spans="1:30" s="3" customFormat="1" ht="15.75" customHeight="1">
      <c r="A8" s="125" t="s">
        <v>305</v>
      </c>
      <c r="D8" s="126" t="s">
        <v>3</v>
      </c>
      <c r="E8" s="124" t="str">
        <f>ID!D9</f>
        <v>20 Mei 2019</v>
      </c>
      <c r="G8" s="125"/>
      <c r="H8" s="125"/>
      <c r="I8" s="126"/>
      <c r="P8" s="140" t="s">
        <v>306</v>
      </c>
      <c r="Q8" s="652" t="s">
        <v>307</v>
      </c>
      <c r="R8" s="653">
        <f>ID!S20</f>
        <v>10</v>
      </c>
      <c r="S8" s="654">
        <f>ESA!P142</f>
        <v>11.820000654400014</v>
      </c>
      <c r="T8" s="655">
        <v>100</v>
      </c>
      <c r="V8" s="1225" t="s">
        <v>114</v>
      </c>
      <c r="W8" s="1225"/>
      <c r="X8" s="1225"/>
      <c r="Y8" s="1225"/>
      <c r="Z8" s="1225"/>
      <c r="AA8" s="1225"/>
      <c r="AB8" s="1225"/>
      <c r="AC8" s="1225"/>
      <c r="AD8" s="1225"/>
    </row>
    <row r="9" spans="1:30" s="3" customFormat="1" ht="15.75" customHeight="1">
      <c r="A9" s="125" t="s">
        <v>8</v>
      </c>
      <c r="D9" s="126" t="s">
        <v>3</v>
      </c>
      <c r="E9" s="124" t="str">
        <f>ID!D10</f>
        <v>20 Mei 2021</v>
      </c>
      <c r="G9" s="125"/>
      <c r="H9" s="125"/>
      <c r="I9" s="126"/>
      <c r="V9" s="3" t="s">
        <v>308</v>
      </c>
    </row>
    <row r="10" spans="1:30" s="3" customFormat="1" ht="15.75" customHeight="1">
      <c r="A10" s="125" t="s">
        <v>309</v>
      </c>
      <c r="D10" s="126" t="s">
        <v>3</v>
      </c>
      <c r="E10" s="124" t="str">
        <f>ID!D11</f>
        <v>Laboratorium</v>
      </c>
      <c r="G10" s="125"/>
      <c r="H10" s="125"/>
      <c r="I10" s="126"/>
    </row>
    <row r="11" spans="1:30" s="3" customFormat="1" ht="15.75" customHeight="1">
      <c r="A11" s="125" t="s">
        <v>310</v>
      </c>
      <c r="D11" s="126" t="s">
        <v>3</v>
      </c>
      <c r="E11" s="124" t="str">
        <f>ID!D12</f>
        <v>Laboratorium</v>
      </c>
      <c r="G11" s="125"/>
      <c r="H11" s="125"/>
      <c r="I11" s="126"/>
      <c r="V11" s="1226" t="s">
        <v>311</v>
      </c>
      <c r="W11" s="1227"/>
      <c r="X11" s="1227"/>
      <c r="Y11" s="1227"/>
      <c r="Z11" s="1227"/>
      <c r="AA11" s="1227"/>
      <c r="AB11" s="1228"/>
    </row>
    <row r="12" spans="1:30" s="3" customFormat="1" ht="15.75" customHeight="1">
      <c r="A12" s="125" t="s">
        <v>197</v>
      </c>
      <c r="D12" s="126" t="s">
        <v>3</v>
      </c>
      <c r="E12" s="124" t="str">
        <f>ID!D13</f>
        <v xml:space="preserve">MK 044-18 </v>
      </c>
      <c r="G12" s="125"/>
      <c r="H12" s="125"/>
      <c r="I12" s="126"/>
      <c r="P12" s="1162" t="s">
        <v>312</v>
      </c>
      <c r="Q12" s="1191" t="s">
        <v>303</v>
      </c>
      <c r="S12" s="140" t="s">
        <v>313</v>
      </c>
      <c r="V12" s="656" t="s">
        <v>314</v>
      </c>
      <c r="W12" s="657"/>
      <c r="X12" s="657"/>
      <c r="Y12" s="657"/>
      <c r="Z12" s="657"/>
      <c r="AA12" s="658"/>
      <c r="AB12" s="339">
        <v>0.2</v>
      </c>
      <c r="AC12" s="3" t="s">
        <v>315</v>
      </c>
      <c r="AD12" s="659"/>
    </row>
    <row r="13" spans="1:30" s="3" customFormat="1" ht="17.149999999999999" customHeight="1">
      <c r="C13" s="125"/>
      <c r="D13" s="125"/>
      <c r="E13" s="1216"/>
      <c r="F13" s="1216"/>
      <c r="G13" s="1216"/>
      <c r="H13" s="1216"/>
      <c r="I13" s="1216"/>
      <c r="J13" s="1216"/>
      <c r="K13" s="1216"/>
      <c r="L13" s="1216"/>
      <c r="P13" s="1162"/>
      <c r="Q13" s="1192"/>
      <c r="S13" s="140" t="s">
        <v>202</v>
      </c>
      <c r="V13" s="660" t="s">
        <v>316</v>
      </c>
      <c r="W13" s="661"/>
      <c r="X13" s="661"/>
      <c r="Y13" s="661"/>
      <c r="Z13" s="661"/>
      <c r="AA13" s="662"/>
      <c r="AB13" s="339">
        <v>0.3</v>
      </c>
      <c r="AC13" s="3" t="s">
        <v>317</v>
      </c>
      <c r="AD13" s="659"/>
    </row>
    <row r="14" spans="1:30" s="3" customFormat="1" ht="15.75" customHeight="1">
      <c r="A14" s="144" t="s">
        <v>11</v>
      </c>
      <c r="B14" s="145" t="s">
        <v>12</v>
      </c>
      <c r="D14" s="145"/>
      <c r="F14" s="141"/>
      <c r="G14" s="127"/>
      <c r="H14" s="125"/>
      <c r="I14" s="125"/>
      <c r="J14" s="125"/>
      <c r="K14" s="125"/>
      <c r="P14" s="654" t="str">
        <f>IF(OR(R8="",C27=V15,P6=S14),H27,IF(H27&gt;J27,S8,H27))</f>
        <v>-</v>
      </c>
      <c r="Q14" s="663">
        <f>IF(OR(R8="",C27=V15,P6=S14),J27,IF(H27&gt;J27,T8,J27))</f>
        <v>500</v>
      </c>
      <c r="S14" s="140" t="s">
        <v>212</v>
      </c>
      <c r="V14" s="664" t="s">
        <v>43</v>
      </c>
      <c r="W14" s="665"/>
      <c r="X14" s="665"/>
      <c r="Y14" s="665"/>
      <c r="Z14" s="665"/>
      <c r="AA14" s="662"/>
      <c r="AB14" s="339">
        <v>500</v>
      </c>
      <c r="AC14" s="659"/>
      <c r="AD14" s="659"/>
    </row>
    <row r="15" spans="1:30" s="3" customFormat="1" ht="15.75" customHeight="1">
      <c r="B15" s="148" t="s">
        <v>318</v>
      </c>
      <c r="D15" s="126" t="s">
        <v>3</v>
      </c>
      <c r="E15" s="684" t="str">
        <f>'DB Thermo'!T381</f>
        <v>( 25.4 ± 0.6 ) °C</v>
      </c>
      <c r="F15" s="685"/>
      <c r="G15" s="686"/>
      <c r="H15" s="687"/>
      <c r="I15" s="688"/>
      <c r="J15" s="688"/>
      <c r="K15" s="688"/>
      <c r="L15" s="688"/>
      <c r="V15" s="664" t="s">
        <v>208</v>
      </c>
      <c r="W15" s="665"/>
      <c r="X15" s="665"/>
      <c r="Y15" s="665"/>
      <c r="Z15" s="665"/>
      <c r="AA15" s="662"/>
      <c r="AB15" s="339">
        <v>100</v>
      </c>
      <c r="AC15" s="659"/>
      <c r="AD15" s="659"/>
    </row>
    <row r="16" spans="1:30" s="3" customFormat="1" ht="15.75" customHeight="1">
      <c r="B16" s="148" t="s">
        <v>130</v>
      </c>
      <c r="D16" s="126" t="s">
        <v>3</v>
      </c>
      <c r="E16" s="684" t="str">
        <f>'DB Thermo'!T382</f>
        <v>( 61.3 ± 2.3 ) %RH</v>
      </c>
      <c r="F16" s="689"/>
      <c r="G16" s="688"/>
      <c r="H16" s="687"/>
      <c r="I16" s="688"/>
      <c r="J16" s="688"/>
      <c r="K16" s="688"/>
      <c r="L16" s="688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s="3" customFormat="1" ht="15.75" customHeight="1">
      <c r="B17" s="148" t="s">
        <v>19</v>
      </c>
      <c r="D17" s="126" t="s">
        <v>3</v>
      </c>
      <c r="E17" s="1217" t="str">
        <f>ESA!N144</f>
        <v>( 202.4 ± 2.4 ) Volt</v>
      </c>
      <c r="F17" s="1217"/>
      <c r="G17" s="125"/>
      <c r="H17" s="141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s="3" customFormat="1" ht="9" customHeight="1">
      <c r="C18" s="144"/>
      <c r="D18" s="144"/>
      <c r="E18" s="144"/>
      <c r="F18" s="125"/>
      <c r="K18" s="128"/>
    </row>
    <row r="19" spans="1:30" s="3" customFormat="1" ht="15.75" customHeight="1">
      <c r="A19" s="144" t="s">
        <v>21</v>
      </c>
      <c r="B19" s="144" t="s">
        <v>22</v>
      </c>
      <c r="H19" s="128"/>
      <c r="J19" s="124"/>
    </row>
    <row r="20" spans="1:30" s="3" customFormat="1" ht="15.75" customHeight="1">
      <c r="B20" s="124" t="s">
        <v>319</v>
      </c>
      <c r="D20" s="204" t="s">
        <v>3</v>
      </c>
      <c r="E20" s="3" t="str">
        <f>ID!D22</f>
        <v>Baik</v>
      </c>
      <c r="G20" s="129"/>
      <c r="H20" s="129"/>
      <c r="I20" s="129"/>
      <c r="J20" s="129"/>
      <c r="K20" s="129"/>
      <c r="L20" s="129"/>
    </row>
    <row r="21" spans="1:30" s="3" customFormat="1" ht="15.75" customHeight="1">
      <c r="B21" s="124" t="s">
        <v>320</v>
      </c>
      <c r="D21" s="204" t="s">
        <v>3</v>
      </c>
      <c r="E21" s="3" t="str">
        <f>ID!D23</f>
        <v>Baik</v>
      </c>
      <c r="G21" s="129"/>
      <c r="H21" s="129"/>
      <c r="I21" s="129"/>
      <c r="J21" s="129"/>
      <c r="K21" s="129"/>
      <c r="L21" s="129"/>
      <c r="N21" s="1191" t="s">
        <v>321</v>
      </c>
      <c r="O21" s="1162"/>
    </row>
    <row r="22" spans="1:30" s="3" customFormat="1" ht="9" customHeight="1">
      <c r="C22" s="124"/>
      <c r="D22" s="204"/>
      <c r="G22" s="130"/>
      <c r="H22" s="130"/>
      <c r="I22" s="130"/>
      <c r="J22" s="130"/>
      <c r="K22" s="130"/>
      <c r="L22" s="130"/>
      <c r="N22" s="1192"/>
      <c r="O22" s="1162"/>
    </row>
    <row r="23" spans="1:30" s="3" customFormat="1" ht="15.75" customHeight="1">
      <c r="A23" s="144" t="s">
        <v>28</v>
      </c>
      <c r="B23" s="144" t="s">
        <v>322</v>
      </c>
      <c r="F23" s="125"/>
      <c r="K23" s="128"/>
      <c r="N23" s="205" t="s">
        <v>323</v>
      </c>
      <c r="O23" s="206">
        <f>IF(E20="Tidak Baik",0,5%)</f>
        <v>0.05</v>
      </c>
      <c r="T23" s="120" t="s">
        <v>35</v>
      </c>
    </row>
    <row r="24" spans="1:30" s="3" customFormat="1" ht="32.25" customHeight="1">
      <c r="B24" s="334" t="s">
        <v>30</v>
      </c>
      <c r="C24" s="1218" t="s">
        <v>31</v>
      </c>
      <c r="D24" s="1218"/>
      <c r="E24" s="1218"/>
      <c r="F24" s="1218"/>
      <c r="G24" s="1218"/>
      <c r="H24" s="1219" t="s">
        <v>32</v>
      </c>
      <c r="I24" s="1219"/>
      <c r="J24" s="1219" t="s">
        <v>33</v>
      </c>
      <c r="K24" s="1220"/>
      <c r="N24" s="205" t="s">
        <v>324</v>
      </c>
      <c r="O24" s="206">
        <f>IF(E21="Tidak Baik",0,5%)</f>
        <v>0.05</v>
      </c>
      <c r="T24" s="120" t="s">
        <v>38</v>
      </c>
    </row>
    <row r="25" spans="1:30" s="3" customFormat="1" ht="15.75" customHeight="1">
      <c r="B25" s="140">
        <v>1</v>
      </c>
      <c r="C25" s="119" t="str">
        <f>ID!C27</f>
        <v>Resistansi Isolasi</v>
      </c>
      <c r="D25" s="131"/>
      <c r="E25" s="131"/>
      <c r="F25" s="131"/>
      <c r="G25" s="132"/>
      <c r="H25" s="1210" t="str">
        <f>ESA!P138</f>
        <v>OL</v>
      </c>
      <c r="I25" s="1211"/>
      <c r="J25" s="1124">
        <f>ID!L27</f>
        <v>2</v>
      </c>
      <c r="K25" s="1124"/>
      <c r="O25" s="671">
        <f>SUM(O23:O24)</f>
        <v>0.1</v>
      </c>
      <c r="T25" s="122" t="s">
        <v>325</v>
      </c>
    </row>
    <row r="26" spans="1:30" s="3" customFormat="1" ht="15.75" customHeight="1">
      <c r="B26" s="140">
        <v>2</v>
      </c>
      <c r="C26" s="121" t="str">
        <f>ID!C28</f>
        <v>Resistansi pembumian protektif (kabel dapat dilepas)</v>
      </c>
      <c r="D26" s="207"/>
      <c r="E26" s="207"/>
      <c r="F26" s="207"/>
      <c r="G26" s="208"/>
      <c r="H26" s="1212">
        <f>ESA!P139</f>
        <v>0.10000100000000001</v>
      </c>
      <c r="I26" s="1213"/>
      <c r="J26" s="1125">
        <f>ID!L28</f>
        <v>0.2</v>
      </c>
      <c r="K26" s="1125"/>
    </row>
    <row r="27" spans="1:30" s="3" customFormat="1" ht="15.75" customHeight="1">
      <c r="B27" s="140">
        <v>3</v>
      </c>
      <c r="C27" s="1222" t="str">
        <f>ID!C30</f>
        <v>Arus bocor peralatan untuk peralatan elektromedik kelas I</v>
      </c>
      <c r="D27" s="1223"/>
      <c r="E27" s="1223"/>
      <c r="F27" s="1223"/>
      <c r="G27" s="1224"/>
      <c r="H27" s="1214" t="str">
        <f>ESA!P140</f>
        <v>-</v>
      </c>
      <c r="I27" s="1215"/>
      <c r="J27" s="1155">
        <f>ID!L30</f>
        <v>500</v>
      </c>
      <c r="K27" s="1155"/>
      <c r="M27" s="1200"/>
      <c r="N27" s="1200"/>
    </row>
    <row r="28" spans="1:30" s="3" customFormat="1" ht="9" customHeight="1">
      <c r="H28" s="141"/>
      <c r="I28" s="141"/>
      <c r="J28" s="1199"/>
      <c r="K28" s="1199"/>
      <c r="L28" s="333"/>
      <c r="M28" s="333"/>
      <c r="N28" s="209"/>
    </row>
    <row r="29" spans="1:30" s="3" customFormat="1" ht="15.75" customHeight="1">
      <c r="A29" s="144" t="s">
        <v>46</v>
      </c>
      <c r="B29" s="144" t="s">
        <v>47</v>
      </c>
      <c r="L29" s="123"/>
      <c r="M29" s="1200"/>
      <c r="N29" s="1200"/>
      <c r="P29" s="142"/>
      <c r="Q29" s="142"/>
      <c r="R29" s="210"/>
    </row>
    <row r="30" spans="1:30" s="3" customFormat="1" ht="15.75" customHeight="1">
      <c r="K30" s="1200"/>
      <c r="L30" s="1200"/>
      <c r="M30" s="1200"/>
      <c r="N30" s="211" t="s">
        <v>321</v>
      </c>
      <c r="O30" s="212"/>
    </row>
    <row r="31" spans="1:30" s="3" customFormat="1" ht="15.75" customHeight="1">
      <c r="G31" s="213" t="s">
        <v>326</v>
      </c>
      <c r="H31" s="214">
        <f>ID!B37</f>
        <v>0.4</v>
      </c>
      <c r="I31" s="215" t="s">
        <v>327</v>
      </c>
      <c r="K31" s="1200"/>
      <c r="L31" s="133"/>
      <c r="M31" s="133"/>
      <c r="N31" s="216">
        <v>1</v>
      </c>
      <c r="O31" s="217">
        <f>IF(H25&gt;2,10%,0)</f>
        <v>0.1</v>
      </c>
    </row>
    <row r="32" spans="1:30" s="3" customFormat="1" ht="15.75" customHeight="1">
      <c r="G32" s="218" t="s">
        <v>328</v>
      </c>
      <c r="H32" s="219">
        <f>ID!C37</f>
        <v>0.33</v>
      </c>
      <c r="I32" s="220" t="s">
        <v>327</v>
      </c>
      <c r="K32" s="141"/>
      <c r="L32" s="134"/>
      <c r="M32" s="134"/>
      <c r="N32" s="216">
        <v>2</v>
      </c>
      <c r="O32" s="221">
        <f>IF(OR(H26&lt;=J26,H26="-",H26="OL"),10%,0)</f>
        <v>0.1</v>
      </c>
    </row>
    <row r="33" spans="1:19" s="3" customFormat="1" ht="15.75" customHeight="1">
      <c r="G33" s="218" t="s">
        <v>329</v>
      </c>
      <c r="H33" s="219">
        <f>ID!D37</f>
        <v>0.4</v>
      </c>
      <c r="I33" s="220" t="s">
        <v>327</v>
      </c>
      <c r="J33" s="124"/>
      <c r="K33" s="141"/>
      <c r="L33" s="134"/>
      <c r="M33" s="134"/>
      <c r="N33" s="212">
        <v>3</v>
      </c>
      <c r="O33" s="217">
        <f>IF(P14&lt;=Q14,20%,0)</f>
        <v>0</v>
      </c>
    </row>
    <row r="34" spans="1:19" s="3" customFormat="1" ht="15.75" customHeight="1">
      <c r="G34" s="222" t="s">
        <v>330</v>
      </c>
      <c r="H34" s="223">
        <f>ID!E37</f>
        <v>5.2800000000000007E-2</v>
      </c>
      <c r="I34" s="224" t="s">
        <v>331</v>
      </c>
      <c r="K34" s="141"/>
      <c r="L34" s="134"/>
      <c r="M34" s="134"/>
      <c r="O34" s="671">
        <f>IF(OR(H27="-",O33=20%),SUM(O31:O33),0)</f>
        <v>0.2</v>
      </c>
      <c r="Q34" s="225">
        <f>IF(OR(H27="-",H27&lt;500),O34,0)</f>
        <v>0.2</v>
      </c>
    </row>
    <row r="35" spans="1:19" s="3" customFormat="1" ht="15.75" customHeight="1">
      <c r="K35" s="141"/>
      <c r="L35" s="134"/>
      <c r="M35" s="134"/>
    </row>
    <row r="36" spans="1:19" s="3" customFormat="1" ht="15.75" customHeight="1">
      <c r="G36" s="213" t="s">
        <v>332</v>
      </c>
      <c r="H36" s="226">
        <f>ID!B40</f>
        <v>5</v>
      </c>
      <c r="I36" s="227" t="s">
        <v>16</v>
      </c>
      <c r="K36" s="141"/>
      <c r="L36" s="134"/>
      <c r="M36" s="134"/>
    </row>
    <row r="37" spans="1:19" s="3" customFormat="1" ht="15.75" customHeight="1">
      <c r="G37" s="222" t="s">
        <v>333</v>
      </c>
      <c r="H37" s="228">
        <f>ID!C40</f>
        <v>10</v>
      </c>
      <c r="I37" s="224" t="s">
        <v>16</v>
      </c>
      <c r="K37" s="141"/>
      <c r="L37" s="134"/>
      <c r="M37" s="134"/>
      <c r="N37" s="143"/>
      <c r="O37" s="141"/>
      <c r="P37" s="144"/>
      <c r="Q37" s="144"/>
    </row>
    <row r="38" spans="1:19" s="3" customFormat="1" ht="15" customHeight="1">
      <c r="K38" s="141"/>
      <c r="L38" s="134"/>
      <c r="M38" s="134"/>
      <c r="N38" s="148"/>
      <c r="P38" s="141"/>
      <c r="Q38" s="141"/>
    </row>
    <row r="39" spans="1:19" s="3" customFormat="1" ht="18" customHeight="1">
      <c r="B39" s="1098" t="s">
        <v>334</v>
      </c>
      <c r="C39" s="1098" t="s">
        <v>335</v>
      </c>
      <c r="D39" s="1123" t="s">
        <v>336</v>
      </c>
      <c r="E39" s="1123"/>
      <c r="F39" s="1123"/>
      <c r="G39" s="1123"/>
      <c r="H39" s="1123"/>
      <c r="I39" s="1114" t="s">
        <v>64</v>
      </c>
      <c r="J39" s="1221"/>
      <c r="K39" s="1098" t="s">
        <v>337</v>
      </c>
      <c r="L39" s="1098"/>
      <c r="N39" s="140" t="s">
        <v>321</v>
      </c>
      <c r="O39" s="212"/>
    </row>
    <row r="40" spans="1:19" s="3" customFormat="1" ht="15.75" customHeight="1">
      <c r="B40" s="1098"/>
      <c r="C40" s="1098"/>
      <c r="D40" s="1207" t="s">
        <v>338</v>
      </c>
      <c r="E40" s="1207" t="s">
        <v>339</v>
      </c>
      <c r="F40" s="1207" t="s">
        <v>340</v>
      </c>
      <c r="G40" s="1207" t="s">
        <v>238</v>
      </c>
      <c r="H40" s="1114" t="s">
        <v>233</v>
      </c>
      <c r="I40" s="1195" t="s">
        <v>341</v>
      </c>
      <c r="J40" s="1196"/>
      <c r="K40" s="1098"/>
      <c r="L40" s="1098"/>
      <c r="N40" s="1198" t="s">
        <v>342</v>
      </c>
      <c r="O40" s="1193">
        <f>IF(ABS(H42)+ABS(K42)&lt;=ABS(5),50%,0)</f>
        <v>0.5</v>
      </c>
      <c r="R40" s="3" t="s">
        <v>233</v>
      </c>
    </row>
    <row r="41" spans="1:19" s="3" customFormat="1" ht="21" customHeight="1">
      <c r="B41" s="1098"/>
      <c r="C41" s="1098"/>
      <c r="D41" s="1207"/>
      <c r="E41" s="1207"/>
      <c r="F41" s="1207"/>
      <c r="G41" s="1207"/>
      <c r="H41" s="1114"/>
      <c r="I41" s="1195"/>
      <c r="J41" s="1196"/>
      <c r="K41" s="1098"/>
      <c r="L41" s="1098"/>
      <c r="N41" s="1198"/>
      <c r="O41" s="1194"/>
      <c r="R41" s="196">
        <f>D42-C42</f>
        <v>1.4641666666666708</v>
      </c>
      <c r="S41" s="3" t="str">
        <f>TEXT(R41,'Uncertainty Budget'!$P$20)</f>
        <v>1.5</v>
      </c>
    </row>
    <row r="42" spans="1:19" s="3" customFormat="1" ht="33" customHeight="1">
      <c r="B42" s="99">
        <f>ID!B86</f>
        <v>160</v>
      </c>
      <c r="C42" s="26">
        <f>ID!L96</f>
        <v>160</v>
      </c>
      <c r="D42" s="27">
        <f>ID!L97</f>
        <v>161.46416666666667</v>
      </c>
      <c r="E42" s="27">
        <f>ID!L98</f>
        <v>8.8333333333309838E-2</v>
      </c>
      <c r="F42" s="27">
        <f>ID!L99</f>
        <v>1.5646666666666817</v>
      </c>
      <c r="G42" s="27">
        <f>ID!L100</f>
        <v>1.6483333333333405</v>
      </c>
      <c r="H42" s="307">
        <f>D42-C42</f>
        <v>1.4641666666666708</v>
      </c>
      <c r="I42" s="1195"/>
      <c r="J42" s="1196"/>
      <c r="K42" s="1197">
        <f>LH!N45</f>
        <v>1.1120748903992457</v>
      </c>
      <c r="L42" s="1197"/>
      <c r="N42" s="1191" t="s">
        <v>238</v>
      </c>
      <c r="O42" s="1193">
        <f>IF(ABS(G42)+ABS(K42)&lt;=10,50%,0)</f>
        <v>0.5</v>
      </c>
    </row>
    <row r="43" spans="1:19" s="3" customFormat="1" ht="9" customHeight="1">
      <c r="N43" s="1192"/>
      <c r="O43" s="1194"/>
      <c r="P43" s="125"/>
      <c r="Q43" s="148"/>
    </row>
    <row r="44" spans="1:19" s="3" customFormat="1" ht="14">
      <c r="A44" s="229" t="s">
        <v>86</v>
      </c>
      <c r="B44" s="135" t="s">
        <v>87</v>
      </c>
      <c r="C44" s="230"/>
      <c r="D44" s="5"/>
      <c r="E44" s="229"/>
      <c r="F44" s="6"/>
      <c r="G44" s="230"/>
      <c r="H44" s="230"/>
      <c r="I44" s="230"/>
      <c r="J44" s="230"/>
      <c r="K44" s="230"/>
      <c r="L44" s="230"/>
      <c r="N44" s="141"/>
      <c r="O44" s="149"/>
      <c r="P44" s="123"/>
      <c r="Q44" s="123"/>
    </row>
    <row r="45" spans="1:19" s="3" customFormat="1" ht="14.25" customHeight="1">
      <c r="A45" s="230"/>
      <c r="B45" s="4" t="str">
        <f>ID!B106</f>
        <v>Ketidakpastian pengukuran dilaporkan pada tingkat kepercayaan 95% dengan faktor cakupan k=2</v>
      </c>
      <c r="C45" s="230"/>
      <c r="D45" s="230"/>
      <c r="E45" s="5"/>
      <c r="F45" s="6"/>
      <c r="G45" s="230"/>
      <c r="H45" s="230"/>
      <c r="I45" s="230"/>
      <c r="J45" s="230"/>
      <c r="K45" s="230"/>
      <c r="L45" s="230"/>
      <c r="N45" s="231" t="s">
        <v>343</v>
      </c>
      <c r="O45" s="672">
        <f>IF(AND(O40=50%,O42=50%),50%,0)</f>
        <v>0.5</v>
      </c>
      <c r="P45" s="123"/>
      <c r="Q45" s="123"/>
    </row>
    <row r="46" spans="1:19" s="3" customFormat="1" ht="14">
      <c r="A46" s="230"/>
      <c r="B46" s="4" t="str">
        <f>ID!B107</f>
        <v>Hasil pengukuran keselamatan listrik tertelusur ke Satuan Internasional ( SI ) melalui PT. Kaliman</v>
      </c>
      <c r="C46" s="230"/>
      <c r="D46" s="230"/>
      <c r="E46" s="5"/>
      <c r="F46" s="6"/>
      <c r="G46" s="230"/>
      <c r="H46" s="230"/>
      <c r="I46" s="230"/>
      <c r="J46" s="230"/>
      <c r="K46" s="230"/>
      <c r="L46" s="230"/>
      <c r="N46" s="231"/>
      <c r="O46" s="141"/>
      <c r="P46" s="123"/>
      <c r="Q46" s="123"/>
    </row>
    <row r="47" spans="1:19" s="3" customFormat="1" ht="14">
      <c r="A47" s="230"/>
      <c r="B47" s="4" t="str">
        <f>ID!B108</f>
        <v>Hasil pengujian kinerja suhu tertelusur ke Satuan SI melalui Laboratorium SNSU-BSN</v>
      </c>
      <c r="C47" s="230"/>
      <c r="D47" s="230"/>
      <c r="E47" s="5"/>
      <c r="F47" s="6"/>
      <c r="G47" s="230"/>
      <c r="H47" s="230"/>
      <c r="I47" s="230"/>
      <c r="J47" s="230"/>
      <c r="K47" s="230"/>
      <c r="L47" s="230"/>
      <c r="N47" s="231"/>
      <c r="O47" s="141"/>
      <c r="P47" s="123"/>
      <c r="Q47" s="123"/>
      <c r="R47" s="225"/>
    </row>
    <row r="48" spans="1:19" s="3" customFormat="1" ht="14">
      <c r="A48" s="230"/>
      <c r="B48" s="4" t="str">
        <f>ID!B109</f>
        <v>Tidak terdapat grounding di ruangan</v>
      </c>
      <c r="C48" s="230"/>
      <c r="D48" s="230"/>
      <c r="E48" s="5"/>
      <c r="F48" s="6"/>
      <c r="G48" s="230"/>
      <c r="H48" s="230"/>
      <c r="I48" s="230"/>
      <c r="J48" s="230"/>
      <c r="K48" s="230"/>
      <c r="L48" s="230"/>
      <c r="N48" s="231"/>
      <c r="O48" s="141"/>
      <c r="P48" s="123"/>
      <c r="Q48" s="123"/>
    </row>
    <row r="49" spans="1:18" s="3" customFormat="1" ht="9" customHeight="1">
      <c r="A49" s="230"/>
      <c r="B49" s="230"/>
      <c r="C49" s="4"/>
      <c r="D49" s="230"/>
      <c r="E49" s="5"/>
      <c r="F49" s="6"/>
      <c r="G49" s="230"/>
      <c r="H49" s="230"/>
      <c r="I49" s="230"/>
      <c r="J49" s="230"/>
      <c r="K49" s="230"/>
      <c r="L49" s="230"/>
      <c r="N49" s="231"/>
      <c r="O49" s="141"/>
      <c r="P49" s="123"/>
      <c r="Q49" s="123"/>
    </row>
    <row r="50" spans="1:18" s="3" customFormat="1">
      <c r="A50" s="229" t="s">
        <v>89</v>
      </c>
      <c r="B50" s="232" t="s">
        <v>90</v>
      </c>
      <c r="C50" s="230"/>
      <c r="D50" s="230"/>
      <c r="E50" s="233"/>
      <c r="F50" s="230"/>
      <c r="G50" s="230"/>
      <c r="H50" s="230"/>
      <c r="I50" s="230"/>
      <c r="J50" s="230"/>
      <c r="K50" s="230"/>
      <c r="L50" s="230"/>
      <c r="M50" s="335"/>
      <c r="N50" s="146"/>
      <c r="O50" s="146"/>
      <c r="P50" s="231"/>
      <c r="Q50" s="147"/>
    </row>
    <row r="51" spans="1:18" s="3" customFormat="1" ht="14">
      <c r="A51" s="230"/>
      <c r="B51" s="234" t="str">
        <f>ID!B112</f>
        <v>Wireless Temperature Recorder : Merek : HIOKI, Model : LR 8510, SN : 210411984</v>
      </c>
      <c r="C51" s="230"/>
      <c r="D51" s="5"/>
      <c r="E51" s="6"/>
      <c r="F51" s="230"/>
      <c r="G51" s="230"/>
      <c r="H51" s="230"/>
      <c r="I51" s="230"/>
      <c r="J51" s="230"/>
      <c r="K51" s="136"/>
      <c r="L51" s="230"/>
    </row>
    <row r="52" spans="1:18" s="3" customFormat="1" ht="14">
      <c r="A52" s="230"/>
      <c r="B52" s="1208" t="str">
        <f>IF('Data Alat'!A67="OK",ID!B113,"")</f>
        <v>Temperature Recorder, Merek : HIOKI, Model : LR 8410, SN : 200812985</v>
      </c>
      <c r="C52" s="1208"/>
      <c r="D52" s="1208"/>
      <c r="E52" s="1208"/>
      <c r="F52" s="1208"/>
      <c r="G52" s="1208"/>
      <c r="H52" s="1208"/>
      <c r="I52" s="1208"/>
      <c r="J52" s="230"/>
      <c r="K52" s="136"/>
      <c r="L52" s="230"/>
    </row>
    <row r="53" spans="1:18" s="3" customFormat="1" ht="15.75" customHeight="1">
      <c r="A53" s="230"/>
      <c r="B53" s="234" t="str">
        <f>ID!B114</f>
        <v>Electrical Safety Analyzer, Merek : Fluke, Model : ESA 615, SN : 2853077</v>
      </c>
      <c r="C53" s="230"/>
      <c r="D53" s="5"/>
      <c r="E53" s="6"/>
      <c r="F53" s="230"/>
      <c r="G53" s="230"/>
      <c r="H53" s="230"/>
      <c r="I53" s="230"/>
      <c r="J53" s="230"/>
      <c r="K53" s="136"/>
      <c r="L53" s="230"/>
    </row>
    <row r="54" spans="1:18" s="3" customFormat="1" ht="14">
      <c r="A54" s="230"/>
      <c r="B54" s="234" t="str">
        <f>ID!B115</f>
        <v>Thermohygrolight, Merek : EXTECH, Model : SD700, SN : A.100618</v>
      </c>
      <c r="C54" s="230"/>
      <c r="D54" s="5"/>
      <c r="E54" s="6"/>
      <c r="F54" s="230"/>
      <c r="G54" s="230"/>
      <c r="H54" s="230"/>
      <c r="I54" s="230"/>
      <c r="J54" s="230"/>
      <c r="K54" s="136"/>
      <c r="L54" s="230"/>
    </row>
    <row r="55" spans="1:18" s="3" customFormat="1" ht="9" customHeight="1">
      <c r="A55" s="230"/>
      <c r="B55" s="230"/>
      <c r="C55" s="234"/>
      <c r="D55" s="5"/>
      <c r="E55" s="6"/>
      <c r="F55" s="230"/>
      <c r="G55" s="230"/>
      <c r="H55" s="230"/>
      <c r="I55" s="230"/>
      <c r="J55" s="230"/>
      <c r="K55" s="136"/>
      <c r="L55" s="230"/>
      <c r="Q55" s="3" t="s">
        <v>42</v>
      </c>
      <c r="R55" s="225">
        <f>Q34</f>
        <v>0.2</v>
      </c>
    </row>
    <row r="56" spans="1:18" s="3" customFormat="1" ht="14">
      <c r="A56" s="229" t="s">
        <v>103</v>
      </c>
      <c r="B56" s="235" t="s">
        <v>104</v>
      </c>
      <c r="C56" s="230"/>
      <c r="D56" s="5"/>
      <c r="E56" s="6"/>
      <c r="F56" s="230"/>
      <c r="G56" s="230"/>
      <c r="H56" s="230"/>
      <c r="I56" s="230"/>
      <c r="J56" s="230"/>
      <c r="K56" s="136"/>
      <c r="L56" s="230"/>
      <c r="O56" s="149"/>
      <c r="Q56" s="3" t="s">
        <v>344</v>
      </c>
      <c r="R56" s="225">
        <v>0.4</v>
      </c>
    </row>
    <row r="57" spans="1:18" s="3" customFormat="1" ht="15" customHeight="1">
      <c r="A57" s="230"/>
      <c r="B57" s="234" t="str">
        <f>ID!B118</f>
        <v>Alat yang dikalibrasi dalam batas toleransi dan dinyatakan LAIK PAKAI, dimana hasil atau skor akhir sama dengan atau melampaui 70% berdasarkan Keputusan Direktur Jenderal Pelayanan Kesehatan No : HK.02.02/V/0412/2020</v>
      </c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O57" s="149"/>
      <c r="Q57" s="3" t="s">
        <v>345</v>
      </c>
      <c r="R57" s="225">
        <f>Q34</f>
        <v>0.2</v>
      </c>
    </row>
    <row r="58" spans="1:18" s="3" customFormat="1" ht="9" customHeight="1">
      <c r="A58" s="230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O58" s="149"/>
      <c r="Q58" s="3" t="s">
        <v>346</v>
      </c>
      <c r="R58" s="225">
        <f>O34</f>
        <v>0.2</v>
      </c>
    </row>
    <row r="59" spans="1:18" s="3" customFormat="1" ht="20.25" customHeight="1">
      <c r="A59" s="230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</row>
    <row r="60" spans="1:18" s="3" customFormat="1" ht="20.25" customHeight="1">
      <c r="A60" s="230"/>
      <c r="B60" s="138"/>
      <c r="C60" s="138"/>
      <c r="D60" s="138"/>
      <c r="E60" s="138"/>
      <c r="F60" s="138"/>
      <c r="G60" s="138"/>
      <c r="H60" s="138"/>
      <c r="I60" s="138"/>
      <c r="J60" s="138"/>
      <c r="K60" s="136"/>
      <c r="L60" s="230"/>
    </row>
    <row r="61" spans="1:18" s="3" customFormat="1" ht="14">
      <c r="A61" s="229" t="s">
        <v>106</v>
      </c>
      <c r="B61" s="139" t="s">
        <v>107</v>
      </c>
      <c r="C61" s="230"/>
      <c r="D61" s="137"/>
      <c r="E61" s="7"/>
      <c r="F61" s="1202"/>
      <c r="G61" s="1202"/>
      <c r="H61" s="1202"/>
      <c r="I61" s="230"/>
      <c r="J61" s="230"/>
      <c r="K61" s="230"/>
      <c r="L61" s="230"/>
    </row>
    <row r="62" spans="1:18" s="3" customFormat="1" ht="18" customHeight="1">
      <c r="A62" s="230"/>
      <c r="B62" s="137" t="str">
        <f>ID!B121</f>
        <v>Donny Martha</v>
      </c>
      <c r="C62" s="230"/>
      <c r="D62" s="5"/>
      <c r="E62" s="6"/>
      <c r="F62" s="236"/>
      <c r="G62" s="237"/>
      <c r="H62" s="236"/>
      <c r="I62" s="230"/>
      <c r="J62" s="230"/>
      <c r="K62" s="230"/>
      <c r="L62" s="230"/>
      <c r="N62" s="225"/>
      <c r="Q62" s="1201">
        <f>VLOOKUP(B48,Q55:R58,2,TRUE)</f>
        <v>0.2</v>
      </c>
      <c r="R62" s="1201"/>
    </row>
    <row r="63" spans="1:18" hidden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Q63" s="1201"/>
      <c r="R63" s="1201"/>
    </row>
    <row r="64" spans="1:18" hidden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36"/>
    </row>
    <row r="65" spans="1:1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>
      <c r="A66" s="34"/>
      <c r="B66" s="1203" t="s">
        <v>347</v>
      </c>
      <c r="C66" s="1203"/>
      <c r="D66" s="1203"/>
      <c r="E66" s="1204" t="s">
        <v>110</v>
      </c>
      <c r="F66" s="1204"/>
      <c r="G66" s="673" t="s">
        <v>348</v>
      </c>
      <c r="H66" s="1204" t="s">
        <v>349</v>
      </c>
      <c r="I66" s="1204"/>
      <c r="J66" s="34"/>
      <c r="K66" s="34"/>
      <c r="L66" s="34"/>
    </row>
    <row r="67" spans="1:12">
      <c r="A67" s="34"/>
      <c r="B67" s="730" t="s">
        <v>350</v>
      </c>
      <c r="C67" s="731" t="str">
        <f>ID!B121</f>
        <v>Donny Martha</v>
      </c>
      <c r="D67" s="732"/>
      <c r="E67" s="731" t="str">
        <f>ID!B124</f>
        <v>18 Oktober 2023</v>
      </c>
      <c r="F67" s="731"/>
      <c r="G67" s="733"/>
      <c r="H67" s="1201">
        <f>SUM(O23,O24,O34,O45)</f>
        <v>0.8</v>
      </c>
      <c r="I67" s="1201"/>
      <c r="J67" s="34"/>
      <c r="K67" s="34"/>
      <c r="L67" s="34"/>
    </row>
    <row r="68" spans="1:12">
      <c r="A68" s="34"/>
      <c r="B68" s="1205" t="s">
        <v>351</v>
      </c>
      <c r="C68" s="1205"/>
      <c r="D68" s="1205"/>
      <c r="E68" s="1206"/>
      <c r="F68" s="1206"/>
      <c r="G68" s="734"/>
      <c r="H68" s="1201"/>
      <c r="I68" s="1201"/>
      <c r="J68" s="238"/>
      <c r="K68" s="34"/>
      <c r="L68" s="34"/>
    </row>
    <row r="69" spans="1:12">
      <c r="A69" s="34"/>
      <c r="B69" s="34"/>
      <c r="C69" s="239"/>
      <c r="D69" s="239"/>
      <c r="E69" s="239"/>
      <c r="F69" s="239"/>
      <c r="G69" s="239"/>
      <c r="H69" s="239"/>
      <c r="I69" s="239"/>
      <c r="J69" s="34"/>
      <c r="K69" s="34"/>
    </row>
    <row r="70" spans="1:12">
      <c r="A70" s="34"/>
      <c r="B70" s="34"/>
      <c r="C70" s="239"/>
      <c r="D70" s="239"/>
      <c r="E70" s="239"/>
      <c r="F70" s="239"/>
      <c r="G70" s="239"/>
      <c r="H70" s="239"/>
      <c r="I70" s="239"/>
      <c r="J70" s="34"/>
      <c r="K70" s="34"/>
    </row>
    <row r="71" spans="1:12">
      <c r="A71" s="34"/>
      <c r="B71" s="34"/>
      <c r="C71" s="240"/>
      <c r="D71" s="240"/>
      <c r="E71" s="239"/>
      <c r="F71" s="239"/>
      <c r="G71" s="239"/>
      <c r="H71" s="239"/>
      <c r="I71" s="239"/>
      <c r="J71" s="34"/>
      <c r="K71" s="241"/>
    </row>
    <row r="72" spans="1:12">
      <c r="C72" s="242"/>
      <c r="D72" s="242"/>
      <c r="E72" s="242"/>
      <c r="F72" s="242"/>
      <c r="G72" s="242"/>
      <c r="H72" s="242"/>
      <c r="I72" s="242"/>
    </row>
  </sheetData>
  <sheetProtection formatCells="0" formatColumns="0" formatRows="0" insertColumns="0" insertRows="0" deleteColumns="0" deleteRows="0"/>
  <mergeCells count="56">
    <mergeCell ref="Q62:R63"/>
    <mergeCell ref="V8:AD8"/>
    <mergeCell ref="V11:AB11"/>
    <mergeCell ref="P12:P13"/>
    <mergeCell ref="Q12:Q13"/>
    <mergeCell ref="P6:Q7"/>
    <mergeCell ref="R6:R7"/>
    <mergeCell ref="S6:S7"/>
    <mergeCell ref="T6:T7"/>
    <mergeCell ref="V6:AD6"/>
    <mergeCell ref="V7:AD7"/>
    <mergeCell ref="B52:I52"/>
    <mergeCell ref="A2:L2"/>
    <mergeCell ref="A1:L1"/>
    <mergeCell ref="H25:I25"/>
    <mergeCell ref="H26:I26"/>
    <mergeCell ref="H27:I27"/>
    <mergeCell ref="E13:L13"/>
    <mergeCell ref="E17:F17"/>
    <mergeCell ref="C24:G24"/>
    <mergeCell ref="H24:I24"/>
    <mergeCell ref="J24:K24"/>
    <mergeCell ref="I39:J39"/>
    <mergeCell ref="K30:K31"/>
    <mergeCell ref="C27:G27"/>
    <mergeCell ref="B39:B41"/>
    <mergeCell ref="C39:C41"/>
    <mergeCell ref="D40:D41"/>
    <mergeCell ref="E40:E41"/>
    <mergeCell ref="F40:F41"/>
    <mergeCell ref="D39:H39"/>
    <mergeCell ref="G40:G41"/>
    <mergeCell ref="H40:H41"/>
    <mergeCell ref="H67:I68"/>
    <mergeCell ref="F61:H61"/>
    <mergeCell ref="B66:D66"/>
    <mergeCell ref="E66:F66"/>
    <mergeCell ref="H66:I66"/>
    <mergeCell ref="B68:D68"/>
    <mergeCell ref="E68:F68"/>
    <mergeCell ref="N42:N43"/>
    <mergeCell ref="O21:O22"/>
    <mergeCell ref="O40:O41"/>
    <mergeCell ref="O42:O43"/>
    <mergeCell ref="I40:J42"/>
    <mergeCell ref="K39:L41"/>
    <mergeCell ref="K42:L42"/>
    <mergeCell ref="N21:N22"/>
    <mergeCell ref="N40:N41"/>
    <mergeCell ref="J28:K28"/>
    <mergeCell ref="M29:N29"/>
    <mergeCell ref="L30:M30"/>
    <mergeCell ref="J25:K25"/>
    <mergeCell ref="J26:K26"/>
    <mergeCell ref="J27:K27"/>
    <mergeCell ref="M27:N27"/>
  </mergeCells>
  <printOptions horizontalCentered="1"/>
  <pageMargins left="0.511811023622047" right="0.23622047244094499" top="0.511811023622047" bottom="0.23622047244094499" header="0.23622047244094499" footer="0.23622047244094499"/>
  <pageSetup paperSize="9" scale="75" orientation="portrait" r:id="rId1"/>
  <headerFooter>
    <oddHeader>&amp;R&amp;"-,Regular"&amp;8SH.LP - 044-18 / Rev  : 1</oddHeader>
    <oddFooter>&amp;R&amp;11&amp;K00-049Steril Kering 25.5.2023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$H$62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T101"/>
  <sheetViews>
    <sheetView showGridLines="0" view="pageBreakPreview" zoomScale="60" zoomScaleNormal="100" workbookViewId="0">
      <selection activeCell="E11" sqref="E11"/>
    </sheetView>
  </sheetViews>
  <sheetFormatPr defaultColWidth="9" defaultRowHeight="15.5"/>
  <cols>
    <col min="1" max="1" width="4.453125" style="16" customWidth="1"/>
    <col min="2" max="2" width="5.54296875" style="16" customWidth="1"/>
    <col min="3" max="3" width="16" style="16" customWidth="1"/>
    <col min="4" max="4" width="5.26953125" style="16" customWidth="1"/>
    <col min="5" max="5" width="9.54296875" style="16" customWidth="1"/>
    <col min="6" max="6" width="11.26953125" style="16" customWidth="1"/>
    <col min="7" max="7" width="10" style="16" customWidth="1"/>
    <col min="8" max="8" width="11.54296875" style="16" customWidth="1"/>
    <col min="9" max="9" width="10.26953125" style="16" customWidth="1"/>
    <col min="10" max="10" width="9.453125" style="16" customWidth="1"/>
    <col min="11" max="11" width="6.81640625" style="16" customWidth="1"/>
    <col min="12" max="12" width="10" style="16" customWidth="1"/>
    <col min="13" max="13" width="8" style="16" customWidth="1"/>
    <col min="14" max="14" width="9.7265625" style="16" customWidth="1"/>
    <col min="15" max="15" width="7.81640625" style="16" customWidth="1"/>
    <col min="16" max="16" width="9.1796875" style="16" customWidth="1"/>
    <col min="17" max="17" width="9.26953125" style="16" customWidth="1"/>
    <col min="18" max="18" width="23.453125" style="16" customWidth="1"/>
    <col min="19" max="258" width="9.1796875" style="16" customWidth="1"/>
    <col min="259" max="16384" width="9" style="16"/>
  </cols>
  <sheetData>
    <row r="1" spans="1:14" ht="19.5" customHeight="1">
      <c r="A1" s="1057" t="str">
        <f>'Lembar Penyelia'!A1:L1</f>
        <v>Hasil Kalibrasi Sterilisator Kering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</row>
    <row r="2" spans="1:14" ht="19.5" customHeight="1">
      <c r="A2" s="962" t="str">
        <f>'Lembar Penyelia'!A2</f>
        <v>Nomor Sertifikat : 47 / 1 / IX - 20 / E - 024.34 DL</v>
      </c>
      <c r="B2" s="998"/>
      <c r="C2" s="998"/>
      <c r="D2" s="998"/>
      <c r="E2" s="998"/>
      <c r="F2" s="998"/>
      <c r="G2" s="998"/>
      <c r="H2" s="998"/>
      <c r="I2" s="998"/>
      <c r="J2" s="998"/>
      <c r="K2" s="998"/>
      <c r="L2" s="998"/>
      <c r="M2" s="998"/>
      <c r="N2" s="998"/>
    </row>
    <row r="3" spans="1:14" ht="14.15" customHeight="1">
      <c r="D3" s="999"/>
      <c r="E3" s="999"/>
      <c r="F3" s="999"/>
      <c r="G3" s="999"/>
      <c r="H3" s="999"/>
      <c r="I3" s="999"/>
      <c r="J3" s="999"/>
      <c r="K3" s="999"/>
      <c r="L3" s="999"/>
      <c r="M3" s="999"/>
    </row>
    <row r="4" spans="1:14" ht="15.75" customHeight="1">
      <c r="A4" s="17" t="s">
        <v>352</v>
      </c>
      <c r="B4" s="17"/>
      <c r="D4" s="18" t="s">
        <v>3</v>
      </c>
      <c r="E4" s="1018" t="str">
        <f>'Lembar Penyelia'!E4</f>
        <v>memmert</v>
      </c>
      <c r="F4" s="1003"/>
      <c r="L4" s="17"/>
      <c r="M4" s="18"/>
    </row>
    <row r="5" spans="1:14" ht="15.75" customHeight="1">
      <c r="A5" s="17" t="s">
        <v>4</v>
      </c>
      <c r="B5" s="17"/>
      <c r="D5" s="18" t="s">
        <v>3</v>
      </c>
      <c r="E5" s="1018" t="str">
        <f>'Lembar Penyelia'!E5</f>
        <v>INB 400</v>
      </c>
      <c r="F5" s="1003"/>
      <c r="L5" s="17"/>
      <c r="M5" s="18"/>
    </row>
    <row r="6" spans="1:14" ht="15.75" customHeight="1">
      <c r="A6" s="17" t="s">
        <v>353</v>
      </c>
      <c r="B6" s="17"/>
      <c r="D6" s="18" t="s">
        <v>3</v>
      </c>
      <c r="E6" s="1018" t="str">
        <f>'Lembar Penyelia'!E6</f>
        <v>E406.0655</v>
      </c>
      <c r="F6" s="1003"/>
      <c r="L6" s="17"/>
      <c r="M6" s="18"/>
    </row>
    <row r="7" spans="1:14">
      <c r="A7" s="17" t="s">
        <v>6</v>
      </c>
      <c r="B7" s="17"/>
      <c r="D7" s="18" t="s">
        <v>3</v>
      </c>
      <c r="E7" s="1019">
        <f>'Lembar Penyelia'!E7</f>
        <v>0.5</v>
      </c>
      <c r="F7" s="17" t="s">
        <v>16</v>
      </c>
      <c r="I7" s="17"/>
      <c r="J7" s="17"/>
      <c r="K7" s="18"/>
    </row>
    <row r="8" spans="1:14" ht="15.75" customHeight="1">
      <c r="A8" s="17" t="s">
        <v>354</v>
      </c>
      <c r="B8" s="17"/>
      <c r="D8" s="18" t="s">
        <v>3</v>
      </c>
      <c r="E8" s="1018" t="str">
        <f>'Lembar Penyelia'!E8</f>
        <v>20 Mei 2019</v>
      </c>
      <c r="F8" s="1003"/>
      <c r="I8" s="17"/>
      <c r="J8" s="17"/>
      <c r="K8" s="18"/>
    </row>
    <row r="9" spans="1:14" ht="15.75" customHeight="1">
      <c r="A9" s="17" t="s">
        <v>8</v>
      </c>
      <c r="B9" s="17"/>
      <c r="D9" s="18" t="s">
        <v>3</v>
      </c>
      <c r="E9" s="1018" t="str">
        <f>'Lembar Penyelia'!E9</f>
        <v>20 Mei 2021</v>
      </c>
      <c r="F9" s="1003"/>
      <c r="I9" s="17"/>
      <c r="J9" s="17"/>
      <c r="K9" s="18"/>
    </row>
    <row r="10" spans="1:14" ht="15.75" customHeight="1">
      <c r="A10" s="17" t="s">
        <v>355</v>
      </c>
      <c r="B10" s="17"/>
      <c r="D10" s="18" t="s">
        <v>3</v>
      </c>
      <c r="E10" s="1018" t="str">
        <f>'Lembar Penyelia'!E10</f>
        <v>Laboratorium</v>
      </c>
      <c r="F10" s="1003"/>
      <c r="I10" s="17"/>
      <c r="J10" s="17"/>
      <c r="K10" s="18"/>
    </row>
    <row r="11" spans="1:14" ht="15.75" customHeight="1">
      <c r="A11" s="17" t="s">
        <v>196</v>
      </c>
      <c r="B11" s="17"/>
      <c r="D11" s="18" t="s">
        <v>3</v>
      </c>
      <c r="E11" s="1018" t="str">
        <f>'Lembar Penyelia'!E11</f>
        <v>Laboratorium</v>
      </c>
      <c r="F11" s="1003"/>
      <c r="I11" s="17"/>
      <c r="J11" s="17"/>
      <c r="K11" s="18"/>
    </row>
    <row r="12" spans="1:14" ht="15.75" customHeight="1">
      <c r="A12" s="17" t="s">
        <v>356</v>
      </c>
      <c r="B12" s="17"/>
      <c r="D12" s="18" t="s">
        <v>3</v>
      </c>
      <c r="E12" s="772" t="str">
        <f>'Lembar Penyelia'!E12</f>
        <v xml:space="preserve">MK 044-18 </v>
      </c>
      <c r="I12" s="17"/>
      <c r="J12" s="17"/>
      <c r="K12" s="18"/>
    </row>
    <row r="13" spans="1:14" ht="14.15" customHeight="1">
      <c r="D13" s="17"/>
      <c r="E13" s="1148"/>
      <c r="F13" s="1148"/>
      <c r="G13" s="1148"/>
      <c r="H13" s="1148"/>
      <c r="I13" s="1148"/>
      <c r="J13" s="1148"/>
      <c r="K13" s="1148"/>
      <c r="L13" s="1148"/>
      <c r="M13" s="1003"/>
    </row>
    <row r="14" spans="1:14" ht="15.75" customHeight="1">
      <c r="A14" s="21" t="s">
        <v>357</v>
      </c>
      <c r="B14" s="22" t="s">
        <v>12</v>
      </c>
      <c r="C14" s="288"/>
      <c r="E14" s="22"/>
      <c r="H14" s="1000"/>
      <c r="I14" s="999"/>
      <c r="J14" s="1004"/>
      <c r="K14" s="17"/>
      <c r="L14" s="17"/>
      <c r="M14" s="17"/>
    </row>
    <row r="15" spans="1:14" ht="15.75" customHeight="1">
      <c r="B15" s="17" t="s">
        <v>15</v>
      </c>
      <c r="D15" s="18" t="s">
        <v>3</v>
      </c>
      <c r="E15" s="770" t="str">
        <f>'DB Thermo'!N390</f>
        <v>25.4</v>
      </c>
      <c r="F15" s="771" t="s">
        <v>369</v>
      </c>
      <c r="G15" s="770" t="str">
        <f>'DB Thermo'!O390</f>
        <v>0.6</v>
      </c>
      <c r="H15" s="772" t="s">
        <v>16</v>
      </c>
      <c r="I15" s="291"/>
    </row>
    <row r="16" spans="1:14" ht="15.75" customHeight="1">
      <c r="B16" s="1004" t="s">
        <v>130</v>
      </c>
      <c r="D16" s="18" t="s">
        <v>3</v>
      </c>
      <c r="E16" s="770" t="str">
        <f>'DB Thermo'!N391</f>
        <v>61.3</v>
      </c>
      <c r="F16" s="771" t="s">
        <v>369</v>
      </c>
      <c r="G16" s="770" t="str">
        <f>'DB Thermo'!O391</f>
        <v>2.3</v>
      </c>
      <c r="H16" s="772" t="s">
        <v>18</v>
      </c>
      <c r="I16" s="17"/>
    </row>
    <row r="17" spans="1:20" ht="15.75" customHeight="1">
      <c r="B17" s="1004" t="s">
        <v>19</v>
      </c>
      <c r="D17" s="18" t="s">
        <v>3</v>
      </c>
      <c r="E17" s="770">
        <f>ESA!N143</f>
        <v>202.39599999999999</v>
      </c>
      <c r="F17" s="771" t="s">
        <v>369</v>
      </c>
      <c r="G17" s="770">
        <f>ESA!O143</f>
        <v>2.4287519999999998</v>
      </c>
      <c r="H17" s="773" t="s">
        <v>201</v>
      </c>
      <c r="J17" s="17"/>
    </row>
    <row r="18" spans="1:20" ht="10" customHeight="1">
      <c r="D18" s="21"/>
      <c r="E18" s="21"/>
      <c r="F18" s="21"/>
      <c r="G18" s="21"/>
      <c r="H18" s="17"/>
      <c r="M18" s="1006"/>
    </row>
    <row r="19" spans="1:20" ht="15.75" customHeight="1">
      <c r="A19" s="21" t="s">
        <v>21</v>
      </c>
      <c r="B19" s="21" t="str">
        <f>'Lembar Penyelia'!B19</f>
        <v>Pemeriksaan Kondisi Fisik dan Fungsi Alat</v>
      </c>
      <c r="C19" s="288"/>
      <c r="J19" s="1006"/>
      <c r="L19" s="1003"/>
    </row>
    <row r="20" spans="1:20" ht="15.75" customHeight="1">
      <c r="B20" s="16" t="s">
        <v>358</v>
      </c>
      <c r="D20" s="9" t="s">
        <v>3</v>
      </c>
      <c r="E20" s="678" t="str">
        <f>'Lembar Penyelia'!E20</f>
        <v>Baik</v>
      </c>
      <c r="J20" s="23"/>
      <c r="K20" s="23"/>
      <c r="L20" s="23"/>
      <c r="M20" s="23"/>
      <c r="N20" s="23"/>
      <c r="O20" s="23"/>
    </row>
    <row r="21" spans="1:20" ht="15.75" customHeight="1">
      <c r="B21" s="16" t="s">
        <v>320</v>
      </c>
      <c r="D21" s="9" t="s">
        <v>3</v>
      </c>
      <c r="E21" s="678" t="str">
        <f>'Lembar Penyelia'!E21</f>
        <v>Baik</v>
      </c>
      <c r="I21" s="23"/>
      <c r="J21" s="23"/>
      <c r="K21" s="23"/>
      <c r="L21" s="23"/>
      <c r="M21" s="23"/>
      <c r="N21" s="23"/>
      <c r="O21" s="23"/>
    </row>
    <row r="22" spans="1:20" ht="10" customHeight="1">
      <c r="F22" s="1000"/>
      <c r="G22" s="1000"/>
      <c r="I22" s="23"/>
      <c r="J22" s="1009"/>
      <c r="K22" s="1009"/>
      <c r="L22" s="1009"/>
      <c r="M22" s="1009"/>
      <c r="N22" s="1009"/>
      <c r="O22" s="1009"/>
    </row>
    <row r="23" spans="1:20" ht="15.75" customHeight="1">
      <c r="A23" s="21" t="s">
        <v>28</v>
      </c>
      <c r="B23" s="21" t="str">
        <f>'Lembar Penyelia'!B23</f>
        <v>Pengujian Keselamatan Kelistrikan</v>
      </c>
      <c r="C23" s="288"/>
      <c r="H23" s="17"/>
      <c r="M23" s="1006"/>
    </row>
    <row r="24" spans="1:20" ht="30" customHeight="1">
      <c r="B24" s="1005" t="s">
        <v>30</v>
      </c>
      <c r="C24" s="1115" t="s">
        <v>31</v>
      </c>
      <c r="D24" s="1115"/>
      <c r="E24" s="1115"/>
      <c r="F24" s="1115"/>
      <c r="G24" s="1115"/>
      <c r="H24" s="1115"/>
      <c r="I24" s="1115"/>
      <c r="J24" s="1115" t="s">
        <v>32</v>
      </c>
      <c r="K24" s="1115"/>
      <c r="L24" s="1115" t="s">
        <v>33</v>
      </c>
      <c r="M24" s="1115"/>
    </row>
    <row r="25" spans="1:20" ht="15" customHeight="1">
      <c r="B25" s="722">
        <v>1</v>
      </c>
      <c r="C25" s="723" t="str">
        <f>'Lembar Penyelia'!C25</f>
        <v>Resistansi Isolasi</v>
      </c>
      <c r="D25" s="724"/>
      <c r="E25" s="724"/>
      <c r="F25" s="724"/>
      <c r="G25" s="724"/>
      <c r="H25" s="724"/>
      <c r="I25" s="725"/>
      <c r="J25" s="777" t="str">
        <f>'Lembar Penyelia'!H25</f>
        <v>OL</v>
      </c>
      <c r="K25" s="780"/>
      <c r="L25" s="1244">
        <f>'Lembar Penyelia'!J25</f>
        <v>2</v>
      </c>
      <c r="M25" s="1244"/>
    </row>
    <row r="26" spans="1:20" ht="15" customHeight="1">
      <c r="B26" s="726">
        <v>2</v>
      </c>
      <c r="C26" s="774" t="str">
        <f>'Lembar Penyelia'!C26</f>
        <v>Resistansi pembumian protektif (kabel dapat dilepas)</v>
      </c>
      <c r="D26" s="298"/>
      <c r="E26" s="298"/>
      <c r="F26" s="298"/>
      <c r="G26" s="298"/>
      <c r="H26" s="298"/>
      <c r="I26" s="727"/>
      <c r="J26" s="1015">
        <f>'Lembar Penyelia'!H26</f>
        <v>0.10000100000000001</v>
      </c>
      <c r="K26" s="776" t="s">
        <v>38</v>
      </c>
      <c r="L26" s="1245">
        <f>'Lembar Penyelia'!J26</f>
        <v>0.2</v>
      </c>
      <c r="M26" s="1245"/>
    </row>
    <row r="27" spans="1:20" ht="15" customHeight="1">
      <c r="B27" s="728">
        <v>3</v>
      </c>
      <c r="C27" s="775" t="str">
        <f>'Lembar Penyelia'!C27</f>
        <v>Arus bocor peralatan untuk peralatan elektromedik kelas I</v>
      </c>
      <c r="D27" s="25"/>
      <c r="E27" s="25"/>
      <c r="F27" s="25"/>
      <c r="G27" s="25"/>
      <c r="H27" s="25"/>
      <c r="I27" s="37"/>
      <c r="J27" s="779" t="str">
        <f>'Lembar Penyelia'!H27</f>
        <v>-</v>
      </c>
      <c r="K27" s="778"/>
      <c r="L27" s="1246">
        <f>'Lembar Penyelia'!J27</f>
        <v>500</v>
      </c>
      <c r="M27" s="1246"/>
    </row>
    <row r="28" spans="1:20" ht="15" hidden="1" customHeight="1">
      <c r="B28" s="56"/>
      <c r="C28" s="292"/>
      <c r="D28" s="293"/>
      <c r="E28" s="293"/>
      <c r="F28" s="293"/>
      <c r="G28" s="58"/>
      <c r="H28" s="58"/>
      <c r="I28" s="69"/>
      <c r="J28" s="294"/>
      <c r="K28" s="69"/>
      <c r="L28" s="1059"/>
      <c r="M28" s="1059"/>
    </row>
    <row r="29" spans="1:20" ht="15" hidden="1" customHeight="1">
      <c r="B29" s="295"/>
      <c r="C29" s="296"/>
      <c r="D29" s="297"/>
      <c r="E29" s="297"/>
      <c r="F29" s="297"/>
      <c r="G29" s="298"/>
      <c r="H29" s="298"/>
      <c r="I29" s="299"/>
      <c r="J29" s="300"/>
      <c r="K29" s="299"/>
      <c r="L29" s="1247"/>
      <c r="M29" s="1247"/>
    </row>
    <row r="30" spans="1:20" ht="15" hidden="1" customHeight="1">
      <c r="B30" s="61"/>
      <c r="C30" s="301"/>
      <c r="D30" s="302"/>
      <c r="E30" s="302"/>
      <c r="F30" s="302"/>
      <c r="G30" s="25"/>
      <c r="H30" s="25"/>
      <c r="I30" s="71"/>
      <c r="J30" s="303"/>
      <c r="K30" s="71"/>
      <c r="L30" s="1054"/>
      <c r="M30" s="1054"/>
    </row>
    <row r="31" spans="1:20" ht="10" customHeight="1">
      <c r="D31" s="1008"/>
      <c r="J31" s="1000"/>
      <c r="L31" s="9"/>
      <c r="M31" s="1003"/>
      <c r="N31" s="304"/>
      <c r="P31" s="8"/>
    </row>
    <row r="32" spans="1:20" ht="15.75" customHeight="1">
      <c r="A32" s="28" t="s">
        <v>46</v>
      </c>
      <c r="B32" s="21" t="str">
        <f>'Lembar Penyelia'!B29</f>
        <v>Pengujian Kinerja</v>
      </c>
      <c r="N32" s="15"/>
      <c r="O32" s="15"/>
      <c r="P32" s="8"/>
      <c r="R32" s="12"/>
      <c r="S32" s="12"/>
      <c r="T32" s="305"/>
    </row>
    <row r="33" spans="1:19" ht="15.75" customHeight="1">
      <c r="G33" s="306"/>
      <c r="H33" s="1114" t="s">
        <v>359</v>
      </c>
      <c r="I33" s="1114"/>
      <c r="J33" s="1114"/>
      <c r="M33" s="1110"/>
      <c r="N33" s="1110"/>
      <c r="O33" s="1110"/>
      <c r="P33" s="9"/>
    </row>
    <row r="34" spans="1:19" ht="15.75" customHeight="1">
      <c r="G34" s="306"/>
      <c r="H34" s="722" t="s">
        <v>360</v>
      </c>
      <c r="I34" s="970">
        <f>'Lembar Penyelia'!H31</f>
        <v>0.4</v>
      </c>
      <c r="J34" s="729" t="s">
        <v>361</v>
      </c>
      <c r="M34" s="1110"/>
      <c r="N34" s="35"/>
      <c r="O34" s="35"/>
      <c r="P34" s="9"/>
    </row>
    <row r="35" spans="1:19" ht="15.75" customHeight="1">
      <c r="G35" s="306"/>
      <c r="H35" s="726" t="s">
        <v>328</v>
      </c>
      <c r="I35" s="971">
        <f>'Lembar Penyelia'!H32</f>
        <v>0.33</v>
      </c>
      <c r="J35" s="727" t="s">
        <v>361</v>
      </c>
      <c r="M35" s="1000"/>
      <c r="N35" s="36"/>
      <c r="O35" s="36"/>
      <c r="P35" s="9"/>
    </row>
    <row r="36" spans="1:19" ht="15.75" customHeight="1">
      <c r="G36" s="306"/>
      <c r="H36" s="726" t="s">
        <v>362</v>
      </c>
      <c r="I36" s="971">
        <f>'Lembar Penyelia'!H33</f>
        <v>0.4</v>
      </c>
      <c r="J36" s="727" t="s">
        <v>361</v>
      </c>
      <c r="M36" s="1000"/>
      <c r="N36" s="36"/>
      <c r="O36" s="36"/>
    </row>
    <row r="37" spans="1:19" ht="15.75" customHeight="1">
      <c r="G37" s="306"/>
      <c r="H37" s="728" t="s">
        <v>330</v>
      </c>
      <c r="I37" s="972">
        <f>'Lembar Penyelia'!H34</f>
        <v>5.2800000000000007E-2</v>
      </c>
      <c r="J37" s="37" t="s">
        <v>363</v>
      </c>
      <c r="M37" s="1000"/>
      <c r="N37" s="36"/>
      <c r="O37" s="36"/>
    </row>
    <row r="38" spans="1:19" ht="12" customHeight="1">
      <c r="M38" s="1000"/>
      <c r="N38" s="36"/>
      <c r="O38" s="36"/>
    </row>
    <row r="39" spans="1:19" ht="15.75" customHeight="1">
      <c r="H39" s="1007" t="s">
        <v>364</v>
      </c>
      <c r="I39" s="118">
        <f>'Lembar Penyelia'!H36</f>
        <v>5</v>
      </c>
      <c r="J39" s="53" t="s">
        <v>16</v>
      </c>
      <c r="M39" s="1000"/>
      <c r="N39" s="36"/>
      <c r="O39" s="36"/>
    </row>
    <row r="40" spans="1:19" ht="15.75" customHeight="1">
      <c r="H40" s="1007" t="s">
        <v>365</v>
      </c>
      <c r="I40" s="118">
        <f>'Lembar Penyelia'!H37</f>
        <v>10</v>
      </c>
      <c r="J40" s="53" t="s">
        <v>16</v>
      </c>
      <c r="M40" s="1000"/>
      <c r="N40" s="36"/>
      <c r="O40" s="36"/>
      <c r="P40" s="288"/>
      <c r="Q40" s="1000"/>
      <c r="R40" s="21"/>
      <c r="S40" s="21"/>
    </row>
    <row r="41" spans="1:19" ht="12" customHeight="1">
      <c r="M41" s="1000"/>
      <c r="N41" s="36"/>
      <c r="O41" s="36"/>
      <c r="P41" s="1004"/>
      <c r="R41" s="1000"/>
      <c r="S41" s="1000"/>
    </row>
    <row r="42" spans="1:19" ht="25" customHeight="1">
      <c r="B42" s="1115" t="s">
        <v>366</v>
      </c>
      <c r="C42" s="1115"/>
      <c r="D42" s="1115" t="s">
        <v>367</v>
      </c>
      <c r="E42" s="1115"/>
      <c r="F42" s="1231" t="s">
        <v>336</v>
      </c>
      <c r="G42" s="1232"/>
      <c r="H42" s="1232"/>
      <c r="I42" s="1232"/>
      <c r="J42" s="1233"/>
      <c r="K42" s="1234" t="s">
        <v>64</v>
      </c>
      <c r="L42" s="1234"/>
      <c r="M42" s="1115" t="s">
        <v>368</v>
      </c>
      <c r="N42" s="1115"/>
      <c r="O42" s="36"/>
    </row>
    <row r="43" spans="1:19" ht="15.75" customHeight="1">
      <c r="B43" s="1115"/>
      <c r="C43" s="1115"/>
      <c r="D43" s="1115"/>
      <c r="E43" s="1115"/>
      <c r="F43" s="1239" t="s">
        <v>338</v>
      </c>
      <c r="G43" s="1239" t="s">
        <v>339</v>
      </c>
      <c r="H43" s="1239" t="s">
        <v>340</v>
      </c>
      <c r="I43" s="1240" t="s">
        <v>238</v>
      </c>
      <c r="J43" s="1234" t="s">
        <v>233</v>
      </c>
      <c r="K43" s="1235" t="str">
        <f>'Lembar Penyelia'!I40</f>
        <v>Akurasi suhu     ± 5°C         Variasi total       ≤ 10°C</v>
      </c>
      <c r="L43" s="1236"/>
      <c r="M43" s="1115"/>
      <c r="N43" s="1115"/>
      <c r="P43" s="1004"/>
      <c r="Q43" s="1100"/>
    </row>
    <row r="44" spans="1:19" ht="30" customHeight="1">
      <c r="B44" s="1115"/>
      <c r="C44" s="1115"/>
      <c r="D44" s="1115"/>
      <c r="E44" s="1115"/>
      <c r="F44" s="1239"/>
      <c r="G44" s="1239"/>
      <c r="H44" s="1239"/>
      <c r="I44" s="1241"/>
      <c r="J44" s="1234"/>
      <c r="K44" s="1235"/>
      <c r="L44" s="1236"/>
      <c r="M44" s="1115"/>
      <c r="N44" s="1115"/>
      <c r="P44" s="1004"/>
      <c r="Q44" s="1100"/>
    </row>
    <row r="45" spans="1:19" ht="23.15" customHeight="1">
      <c r="B45" s="1242">
        <f>'Lembar Penyelia'!B42</f>
        <v>160</v>
      </c>
      <c r="C45" s="1242"/>
      <c r="D45" s="1243">
        <f>'Lembar Penyelia'!C42</f>
        <v>160</v>
      </c>
      <c r="E45" s="1243"/>
      <c r="F45" s="969">
        <f>'Lembar Penyelia'!D42</f>
        <v>161.46416666666667</v>
      </c>
      <c r="G45" s="969">
        <f>'Lembar Penyelia'!E42</f>
        <v>8.8333333333309838E-2</v>
      </c>
      <c r="H45" s="969">
        <f>'Lembar Penyelia'!F42</f>
        <v>1.5646666666666817</v>
      </c>
      <c r="I45" s="969">
        <f>'Lembar Penyelia'!G42</f>
        <v>1.6483333333333405</v>
      </c>
      <c r="J45" s="1010">
        <f>'Lembar Penyelia'!H42</f>
        <v>1.4641666666666708</v>
      </c>
      <c r="K45" s="1237"/>
      <c r="L45" s="1238"/>
      <c r="M45" s="717" t="s">
        <v>369</v>
      </c>
      <c r="N45" s="1010">
        <f>'Uncertainty Budget'!N20</f>
        <v>1.1120748903992457</v>
      </c>
      <c r="P45" s="22"/>
      <c r="Q45" s="1100"/>
    </row>
    <row r="46" spans="1:19" ht="10" customHeight="1">
      <c r="P46" s="17"/>
      <c r="Q46" s="308"/>
    </row>
    <row r="47" spans="1:19" ht="15.75" customHeight="1">
      <c r="A47" s="309" t="s">
        <v>86</v>
      </c>
      <c r="B47" s="309" t="s">
        <v>87</v>
      </c>
      <c r="C47" s="29"/>
      <c r="D47" s="29"/>
      <c r="E47" s="1001"/>
      <c r="F47" s="66"/>
      <c r="G47" s="66"/>
      <c r="H47" s="310"/>
      <c r="I47" s="29"/>
      <c r="J47" s="29"/>
      <c r="K47" s="29"/>
      <c r="L47" s="29"/>
      <c r="M47" s="29"/>
      <c r="N47" s="29"/>
      <c r="P47" s="32"/>
      <c r="Q47" s="1000"/>
      <c r="R47" s="15"/>
      <c r="S47" s="15"/>
    </row>
    <row r="48" spans="1:19" ht="15.75" customHeight="1">
      <c r="A48" s="311"/>
      <c r="B48" s="1011" t="str">
        <f>'Lembar Penyelia'!B45</f>
        <v>Ketidakpastian pengukuran dilaporkan pada tingkat kepercayaan 95% dengan faktor cakupan k=2</v>
      </c>
      <c r="C48" s="29"/>
      <c r="D48" s="29"/>
      <c r="E48" s="29"/>
      <c r="F48" s="1001"/>
      <c r="G48" s="1001"/>
      <c r="H48" s="310"/>
      <c r="I48" s="29"/>
      <c r="J48" s="29"/>
      <c r="K48" s="29"/>
      <c r="L48" s="29"/>
      <c r="M48" s="29"/>
      <c r="N48" s="29"/>
      <c r="P48" s="32"/>
      <c r="Q48" s="1000"/>
      <c r="R48" s="15"/>
      <c r="S48" s="15"/>
    </row>
    <row r="49" spans="1:19" ht="15.75" customHeight="1">
      <c r="A49" s="311"/>
      <c r="B49" s="1011" t="str">
        <f>'Lembar Penyelia'!B46</f>
        <v>Hasil pengukuran keselamatan listrik tertelusur ke Satuan Internasional ( SI ) melalui PT. Kaliman</v>
      </c>
      <c r="C49" s="29"/>
      <c r="D49" s="29"/>
      <c r="E49" s="29"/>
      <c r="F49" s="1001"/>
      <c r="G49" s="1001"/>
      <c r="H49" s="310"/>
      <c r="I49" s="29"/>
      <c r="J49" s="29"/>
      <c r="K49" s="29"/>
      <c r="L49" s="29"/>
      <c r="M49" s="29"/>
      <c r="N49" s="29"/>
      <c r="P49" s="32"/>
      <c r="Q49" s="1000"/>
      <c r="R49" s="15"/>
      <c r="S49" s="15"/>
    </row>
    <row r="50" spans="1:19" ht="15.75" customHeight="1">
      <c r="A50" s="311"/>
      <c r="B50" s="1011" t="str">
        <f>'Lembar Penyelia'!B47</f>
        <v>Hasil pengujian kinerja suhu tertelusur ke Satuan SI melalui Laboratorium SNSU-BSN</v>
      </c>
      <c r="C50" s="29"/>
      <c r="D50" s="29"/>
      <c r="E50" s="29"/>
      <c r="F50" s="1001"/>
      <c r="G50" s="1001"/>
      <c r="H50" s="310"/>
      <c r="I50" s="29"/>
      <c r="J50" s="29"/>
      <c r="K50" s="29"/>
      <c r="L50" s="29"/>
      <c r="M50" s="29"/>
      <c r="N50" s="29"/>
      <c r="P50" s="32"/>
      <c r="Q50" s="1000"/>
      <c r="R50" s="15"/>
      <c r="S50" s="15"/>
    </row>
    <row r="51" spans="1:19" ht="15" customHeight="1">
      <c r="A51" s="311"/>
      <c r="B51" s="1022" t="str">
        <f>'Lembar Penyelia'!B48</f>
        <v>Tidak terdapat grounding di ruangan</v>
      </c>
      <c r="C51" s="1021"/>
      <c r="D51" s="1021"/>
      <c r="E51" s="1021"/>
      <c r="F51" s="1021"/>
      <c r="G51" s="1021"/>
      <c r="H51" s="1021"/>
      <c r="I51" s="1021"/>
      <c r="J51" s="1021"/>
      <c r="K51" s="1021"/>
      <c r="L51" s="1021"/>
      <c r="M51" s="1021"/>
      <c r="N51" s="29"/>
      <c r="P51" s="32"/>
      <c r="Q51" s="1000"/>
      <c r="R51" s="15"/>
      <c r="S51" s="15"/>
    </row>
    <row r="52" spans="1:19" ht="10" customHeight="1">
      <c r="A52" s="311"/>
      <c r="B52" s="29"/>
      <c r="C52" s="29"/>
      <c r="D52" s="768"/>
      <c r="E52" s="29"/>
      <c r="F52" s="31"/>
      <c r="G52" s="31"/>
      <c r="H52" s="312"/>
      <c r="I52" s="29"/>
      <c r="J52" s="29"/>
      <c r="K52" s="29"/>
      <c r="L52" s="29"/>
      <c r="M52" s="29"/>
      <c r="N52" s="29"/>
      <c r="P52" s="10"/>
      <c r="Q52" s="11"/>
      <c r="R52" s="313"/>
      <c r="S52" s="313"/>
    </row>
    <row r="53" spans="1:19" ht="15.75" customHeight="1">
      <c r="A53" s="309" t="s">
        <v>370</v>
      </c>
      <c r="B53" s="30" t="s">
        <v>90</v>
      </c>
      <c r="C53" s="29"/>
      <c r="D53" s="29"/>
      <c r="E53" s="29"/>
      <c r="F53" s="31"/>
      <c r="G53" s="31"/>
      <c r="H53" s="29"/>
      <c r="I53" s="29"/>
      <c r="J53" s="29"/>
      <c r="K53" s="29"/>
      <c r="L53" s="29"/>
      <c r="M53" s="29"/>
      <c r="N53" s="29"/>
      <c r="P53" s="11"/>
      <c r="Q53" s="11"/>
      <c r="R53" s="32"/>
      <c r="S53" s="313"/>
    </row>
    <row r="54" spans="1:19" ht="15.75" customHeight="1">
      <c r="A54" s="311"/>
      <c r="B54" s="973" t="str">
        <f>'Lembar Penyelia'!B51</f>
        <v>Wireless Temperature Recorder : Merek : HIOKI, Model : LR 8510, SN : 210411984</v>
      </c>
      <c r="C54" s="29"/>
      <c r="D54" s="29"/>
      <c r="E54" s="29"/>
      <c r="F54" s="314"/>
      <c r="G54" s="314"/>
      <c r="H54" s="29"/>
      <c r="I54" s="29"/>
      <c r="J54" s="29"/>
      <c r="K54" s="29"/>
      <c r="L54" s="29"/>
      <c r="M54" s="112"/>
      <c r="N54" s="29"/>
    </row>
    <row r="55" spans="1:19" ht="15.75" customHeight="1">
      <c r="A55" s="311"/>
      <c r="B55" s="973" t="str">
        <f>'Lembar Penyelia'!B53</f>
        <v>Electrical Safety Analyzer, Merek : Fluke, Model : ESA 615, SN : 2853077</v>
      </c>
      <c r="C55" s="31"/>
      <c r="D55" s="31"/>
      <c r="E55" s="31"/>
      <c r="F55" s="31"/>
      <c r="G55" s="31"/>
      <c r="H55" s="31"/>
      <c r="I55" s="31"/>
      <c r="J55" s="29"/>
      <c r="K55" s="29"/>
      <c r="L55" s="29"/>
      <c r="M55" s="112"/>
      <c r="N55" s="29"/>
    </row>
    <row r="56" spans="1:19" ht="15.75" customHeight="1">
      <c r="A56" s="311"/>
      <c r="B56" s="974" t="str">
        <f>ID!$B$113</f>
        <v>Temperature Recorder, Merek : HIOKI, Model : LR 8410, SN : 200812985</v>
      </c>
      <c r="C56" s="29"/>
      <c r="D56" s="29"/>
      <c r="E56" s="1001"/>
      <c r="F56" s="315"/>
      <c r="G56" s="315"/>
      <c r="H56" s="29"/>
      <c r="I56" s="29"/>
      <c r="J56" s="29"/>
      <c r="K56" s="29"/>
      <c r="L56" s="29"/>
      <c r="M56" s="112"/>
      <c r="N56" s="29"/>
    </row>
    <row r="57" spans="1:19" ht="8.15" customHeight="1">
      <c r="A57" s="311"/>
      <c r="B57" s="29"/>
      <c r="C57" s="29"/>
      <c r="D57" s="316"/>
      <c r="E57" s="1001"/>
      <c r="F57" s="315"/>
      <c r="G57" s="315"/>
      <c r="H57" s="29"/>
      <c r="I57" s="29"/>
      <c r="J57" s="29"/>
      <c r="K57" s="29"/>
      <c r="L57" s="29"/>
      <c r="M57" s="112"/>
      <c r="N57" s="29"/>
    </row>
    <row r="58" spans="1:19" ht="15.75" customHeight="1">
      <c r="A58" s="309" t="s">
        <v>371</v>
      </c>
      <c r="B58" s="317" t="s">
        <v>104</v>
      </c>
      <c r="C58" s="29"/>
      <c r="D58" s="29"/>
      <c r="E58" s="1001"/>
      <c r="F58" s="310"/>
      <c r="G58" s="310"/>
      <c r="H58" s="29"/>
      <c r="I58" s="29"/>
      <c r="J58" s="29"/>
      <c r="K58" s="29"/>
      <c r="L58" s="29"/>
      <c r="M58" s="112"/>
      <c r="N58" s="29"/>
    </row>
    <row r="59" spans="1:19" s="319" customFormat="1" ht="30" customHeight="1">
      <c r="A59" s="318"/>
      <c r="B59" s="1014" t="s">
        <v>187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9" ht="10.5" customHeight="1">
      <c r="A60" s="311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29"/>
      <c r="M60" s="112"/>
      <c r="N60" s="29"/>
    </row>
    <row r="61" spans="1:19" ht="15.75" customHeight="1">
      <c r="A61" s="309" t="s">
        <v>106</v>
      </c>
      <c r="B61" s="321" t="str">
        <f>'Lembar Penyelia'!B61</f>
        <v>Petugas Kalibrasi</v>
      </c>
      <c r="C61" s="29"/>
      <c r="D61" s="29"/>
      <c r="E61" s="1001"/>
      <c r="F61" s="310"/>
      <c r="G61" s="310"/>
      <c r="H61" s="29"/>
      <c r="I61" s="29"/>
      <c r="J61" s="29"/>
      <c r="K61" s="29"/>
      <c r="L61" s="29"/>
      <c r="M61" s="112"/>
      <c r="N61" s="29"/>
    </row>
    <row r="62" spans="1:19" ht="15.75" customHeight="1">
      <c r="A62" s="29"/>
      <c r="B62" s="974" t="str">
        <f>'Lembar Penyelia'!B62</f>
        <v>Donny Martha</v>
      </c>
      <c r="C62" s="29"/>
      <c r="D62" s="29"/>
      <c r="E62" s="1002"/>
      <c r="F62" s="312"/>
      <c r="G62" s="312"/>
      <c r="H62" s="29"/>
      <c r="I62" s="29"/>
      <c r="J62" s="29"/>
      <c r="K62" s="29"/>
      <c r="L62" s="29"/>
      <c r="M62" s="29"/>
      <c r="N62" s="29"/>
    </row>
    <row r="63" spans="1:19" ht="14.15" hidden="1" customHeight="1">
      <c r="A63" s="29"/>
      <c r="B63" s="29"/>
      <c r="C63" s="29"/>
      <c r="D63" s="1002"/>
      <c r="E63" s="1002"/>
      <c r="F63" s="312"/>
      <c r="G63" s="312"/>
      <c r="H63" s="29"/>
      <c r="I63" s="29"/>
      <c r="J63" s="29"/>
      <c r="K63" s="29"/>
      <c r="L63" s="29"/>
      <c r="M63" s="29"/>
      <c r="N63" s="29"/>
    </row>
    <row r="64" spans="1:19" ht="14.15" customHeight="1">
      <c r="A64" s="29"/>
      <c r="B64" s="29"/>
      <c r="C64" s="29"/>
      <c r="D64" s="1002"/>
      <c r="E64" s="1002"/>
      <c r="F64" s="312"/>
      <c r="G64" s="312"/>
      <c r="H64" s="29"/>
      <c r="I64" s="29"/>
      <c r="J64" s="29"/>
      <c r="K64" s="29"/>
      <c r="L64" s="29"/>
      <c r="M64" s="29"/>
      <c r="N64" s="29"/>
    </row>
    <row r="65" spans="1:14" ht="14.15" customHeight="1">
      <c r="A65" s="29"/>
      <c r="B65" s="29"/>
      <c r="C65" s="29"/>
      <c r="D65" s="1002"/>
      <c r="E65" s="1002"/>
      <c r="F65" s="312"/>
      <c r="G65" s="312"/>
      <c r="H65" s="29"/>
      <c r="I65" s="29"/>
      <c r="J65" s="29"/>
      <c r="K65" s="29"/>
      <c r="L65" s="29"/>
      <c r="M65" s="29"/>
      <c r="N65" s="29"/>
    </row>
    <row r="66" spans="1:14" ht="14.15" hidden="1" customHeight="1">
      <c r="A66" s="29"/>
      <c r="B66" s="29"/>
      <c r="C66" s="29"/>
      <c r="D66" s="1002"/>
      <c r="E66" s="1002"/>
      <c r="F66" s="312"/>
      <c r="G66" s="312"/>
      <c r="H66" s="29"/>
      <c r="I66" s="29"/>
      <c r="J66" s="29"/>
      <c r="K66" s="29"/>
      <c r="L66" s="29"/>
      <c r="M66" s="29"/>
      <c r="N66" s="29"/>
    </row>
    <row r="67" spans="1:14" ht="14.15" customHeight="1">
      <c r="A67" s="29"/>
      <c r="B67" s="29"/>
      <c r="C67" s="29"/>
      <c r="D67" s="1002"/>
      <c r="E67" s="1002"/>
      <c r="F67" s="312"/>
      <c r="G67" s="312"/>
      <c r="H67" s="29"/>
      <c r="I67" s="29"/>
      <c r="J67" s="29"/>
      <c r="K67" s="29"/>
      <c r="L67" s="29"/>
      <c r="M67" s="29"/>
      <c r="N67" s="29"/>
    </row>
    <row r="68" spans="1:14" ht="14.15" customHeight="1">
      <c r="A68" s="29"/>
      <c r="B68" s="29"/>
      <c r="C68" s="29"/>
      <c r="D68" s="1002"/>
      <c r="E68" s="1002"/>
      <c r="F68" s="312"/>
      <c r="G68" s="312"/>
      <c r="H68" s="29"/>
      <c r="I68" s="29"/>
      <c r="J68" s="29" t="s">
        <v>372</v>
      </c>
      <c r="K68" s="29"/>
      <c r="L68" s="29"/>
      <c r="M68" s="29"/>
      <c r="N68" s="29"/>
    </row>
    <row r="69" spans="1:14" ht="15.75" customHeight="1">
      <c r="A69" s="29"/>
      <c r="B69" s="29"/>
      <c r="C69" s="29"/>
      <c r="D69" s="29"/>
      <c r="E69" s="29"/>
      <c r="F69" s="29"/>
      <c r="G69" s="29"/>
      <c r="H69" s="29"/>
      <c r="I69" s="1016" t="str">
        <f>IF(J77="Farid Wajidi, SKM","a.n","")</f>
        <v/>
      </c>
      <c r="J69" s="29" t="s">
        <v>375</v>
      </c>
      <c r="K69" s="29"/>
      <c r="L69" s="322"/>
      <c r="M69" s="29"/>
      <c r="N69" s="29"/>
    </row>
    <row r="70" spans="1:14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 t="s">
        <v>378</v>
      </c>
      <c r="K70" s="29"/>
      <c r="L70" s="322"/>
      <c r="M70" s="29"/>
      <c r="N70" s="29"/>
    </row>
    <row r="71" spans="1:14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322"/>
      <c r="M71" s="29"/>
      <c r="N71" s="29"/>
    </row>
    <row r="72" spans="1:14" ht="15.75" customHeight="1">
      <c r="A72" s="29"/>
      <c r="B72" s="29"/>
      <c r="C72" s="29"/>
      <c r="D72" s="323"/>
      <c r="E72" s="323"/>
      <c r="F72" s="66"/>
      <c r="G72" s="66"/>
      <c r="H72" s="66"/>
      <c r="I72" s="29"/>
      <c r="J72" s="66"/>
      <c r="K72" s="66"/>
      <c r="L72" s="324"/>
      <c r="M72" s="29"/>
      <c r="N72" s="29"/>
    </row>
    <row r="73" spans="1:14" ht="15.75" customHeight="1">
      <c r="A73" s="29"/>
      <c r="B73" s="29"/>
      <c r="C73" s="29"/>
      <c r="D73" s="325"/>
      <c r="E73" s="325"/>
      <c r="F73" s="322"/>
      <c r="G73" s="322"/>
      <c r="H73" s="322"/>
      <c r="I73" s="29"/>
      <c r="J73" s="322"/>
      <c r="K73" s="322"/>
      <c r="L73" s="324"/>
      <c r="M73" s="29"/>
      <c r="N73" s="29"/>
    </row>
    <row r="74" spans="1:14" ht="15.75" customHeight="1">
      <c r="A74" s="29"/>
      <c r="B74" s="29"/>
      <c r="C74" s="29"/>
      <c r="D74" s="325"/>
      <c r="E74" s="325"/>
      <c r="F74" s="322"/>
      <c r="G74" s="322"/>
      <c r="H74" s="322"/>
      <c r="I74" s="29"/>
      <c r="J74" s="322"/>
      <c r="K74" s="322"/>
      <c r="L74" s="324"/>
      <c r="M74" s="29"/>
      <c r="N74" s="29"/>
    </row>
    <row r="75" spans="1:14" ht="15.75" hidden="1" customHeight="1">
      <c r="A75" s="29"/>
      <c r="B75" s="29"/>
      <c r="C75" s="29"/>
      <c r="D75" s="323"/>
      <c r="E75" s="323"/>
      <c r="F75" s="323"/>
      <c r="G75" s="323"/>
      <c r="H75" s="323"/>
      <c r="I75" s="29"/>
      <c r="J75" s="326"/>
      <c r="K75" s="326"/>
      <c r="L75" s="29"/>
      <c r="M75" s="29"/>
      <c r="N75" s="29"/>
    </row>
    <row r="76" spans="1:14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1017" t="str">
        <f>IF(ID!B121="Choirul Huda","Farid Wajidi, SKM","Choirul Huda, S.Tr.Kes")</f>
        <v>Choirul Huda, S.Tr.Kes</v>
      </c>
      <c r="K77" s="29"/>
      <c r="L77" s="29"/>
      <c r="M77" s="29"/>
      <c r="N77" s="29"/>
    </row>
    <row r="78" spans="1:14" ht="15.75" hidden="1" customHeight="1">
      <c r="A78" s="29"/>
      <c r="B78" s="29"/>
      <c r="C78" s="29"/>
      <c r="D78" s="29"/>
      <c r="E78" s="29"/>
      <c r="F78" s="29"/>
      <c r="G78" s="29"/>
      <c r="H78" s="29"/>
      <c r="I78" s="29"/>
      <c r="J78" s="29" t="s">
        <v>377</v>
      </c>
      <c r="K78" s="29"/>
      <c r="L78" s="29"/>
      <c r="M78" s="29"/>
      <c r="N78" s="29"/>
    </row>
    <row r="79" spans="1:14" ht="15.75" hidden="1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1017" t="str">
        <f>IF(J77="Farid Wajidi, SKM","NIP 196712101990031000","NIP 198008062010121001")</f>
        <v>NIP 198008062010121001</v>
      </c>
      <c r="K80" s="29"/>
      <c r="L80" s="29"/>
      <c r="M80" s="29"/>
      <c r="N80" s="29"/>
    </row>
    <row r="81" spans="1:20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</row>
    <row r="82" spans="1:20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20" ht="15.75" hidden="1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20" ht="15.75" hidden="1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spans="1:20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spans="1:20" ht="9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spans="1:20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20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M88" s="416" t="s">
        <v>379</v>
      </c>
      <c r="N88" s="29"/>
    </row>
    <row r="89" spans="1:20" ht="21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 spans="1:2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 spans="1:20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 spans="1:20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spans="1:20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spans="1:20">
      <c r="S94" s="16">
        <f>IF(ID!$B$121="Choirul Huda",1,0)</f>
        <v>0</v>
      </c>
    </row>
    <row r="95" spans="1:20">
      <c r="R95" s="16">
        <v>1</v>
      </c>
      <c r="S95" s="1020" t="s">
        <v>373</v>
      </c>
      <c r="T95" s="692" t="s">
        <v>374</v>
      </c>
    </row>
    <row r="96" spans="1:20">
      <c r="R96" s="16">
        <v>0</v>
      </c>
      <c r="S96" s="690" t="s">
        <v>376</v>
      </c>
      <c r="T96" s="693" t="s">
        <v>377</v>
      </c>
    </row>
    <row r="97" spans="19:19">
      <c r="S97" s="230" t="e">
        <f>VLOOKUP($S$94,$R$95:$S$96,2)</f>
        <v>#N/A</v>
      </c>
    </row>
    <row r="98" spans="19:19">
      <c r="S98" s="691"/>
    </row>
    <row r="99" spans="19:19">
      <c r="S99" s="691"/>
    </row>
    <row r="100" spans="19:19">
      <c r="S100" s="691"/>
    </row>
    <row r="101" spans="19:19">
      <c r="S101" s="691"/>
    </row>
  </sheetData>
  <sheetProtection formatCells="0" formatColumns="0" formatRows="0" insertColumns="0" insertRows="0" deleteColumns="0" deleteRows="0"/>
  <dataConsolidate/>
  <mergeCells count="28">
    <mergeCell ref="A1:N1"/>
    <mergeCell ref="E13:L13"/>
    <mergeCell ref="C24:I24"/>
    <mergeCell ref="J24:K24"/>
    <mergeCell ref="L24:M24"/>
    <mergeCell ref="L25:M25"/>
    <mergeCell ref="L26:M26"/>
    <mergeCell ref="L27:M27"/>
    <mergeCell ref="L28:M28"/>
    <mergeCell ref="L29:M29"/>
    <mergeCell ref="L30:M30"/>
    <mergeCell ref="H33:J33"/>
    <mergeCell ref="B42:C44"/>
    <mergeCell ref="D42:E44"/>
    <mergeCell ref="B45:C45"/>
    <mergeCell ref="D45:E45"/>
    <mergeCell ref="N33:O33"/>
    <mergeCell ref="F42:J42"/>
    <mergeCell ref="K42:L42"/>
    <mergeCell ref="M33:M34"/>
    <mergeCell ref="Q43:Q45"/>
    <mergeCell ref="K43:L45"/>
    <mergeCell ref="M42:N44"/>
    <mergeCell ref="F43:F44"/>
    <mergeCell ref="G43:G44"/>
    <mergeCell ref="H43:H44"/>
    <mergeCell ref="I43:I44"/>
    <mergeCell ref="J43:J44"/>
  </mergeCells>
  <printOptions horizontalCentered="1"/>
  <pageMargins left="0.511811023622047" right="0.23622047244094499" top="0.39370078740157499" bottom="0.39370078740157499" header="0.23622047244094499" footer="0.23622047244094499"/>
  <pageSetup paperSize="9" scale="63" orientation="portrait" r:id="rId1"/>
  <headerFooter>
    <oddHeader>&amp;R&amp;"-,Regular"&amp;8SH.LHK - 044-18 / Rev 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D3FE-1085-45DD-9E83-CE10CA067318}">
  <dimension ref="A1:AX219"/>
  <sheetViews>
    <sheetView topLeftCell="D124" zoomScale="60" workbookViewId="0">
      <selection activeCell="D124" sqref="A1:XFD1048576"/>
    </sheetView>
  </sheetViews>
  <sheetFormatPr defaultColWidth="9" defaultRowHeight="12.5"/>
  <cols>
    <col min="1" max="7" width="9.54296875" style="804" customWidth="1"/>
    <col min="8" max="8" width="9.54296875" style="803" customWidth="1"/>
    <col min="9" max="14" width="9.54296875" style="804" customWidth="1"/>
    <col min="15" max="15" width="14" style="804" customWidth="1"/>
    <col min="16" max="16" width="9.54296875" style="803" customWidth="1"/>
    <col min="17" max="23" width="9.54296875" style="804" customWidth="1"/>
    <col min="24" max="24" width="9" style="803"/>
    <col min="25" max="16384" width="9" style="804"/>
  </cols>
  <sheetData>
    <row r="1" spans="1:25" ht="48" customHeight="1">
      <c r="A1" s="1248" t="s">
        <v>492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50"/>
      <c r="Y1" s="804" t="s">
        <v>42</v>
      </c>
    </row>
    <row r="2" spans="1:25" ht="25.5" customHeight="1">
      <c r="A2" s="1251">
        <v>1</v>
      </c>
      <c r="B2" s="1254" t="str">
        <f>A166</f>
        <v>Electrical Safety Analyzer, Merek : Fluke, Model : ESA 620, SN : 1837056</v>
      </c>
      <c r="C2" s="1254"/>
      <c r="D2" s="1254"/>
      <c r="E2" s="1254"/>
      <c r="F2" s="1254"/>
      <c r="G2" s="1254"/>
      <c r="H2" s="805"/>
      <c r="I2" s="1251">
        <v>2</v>
      </c>
      <c r="J2" s="1254" t="str">
        <f>A167</f>
        <v>Electrical Safety Analyzer, Merek : Fluke, Model : ESA 620, SN : 1834020</v>
      </c>
      <c r="K2" s="1254"/>
      <c r="L2" s="1254"/>
      <c r="M2" s="1254"/>
      <c r="N2" s="1254"/>
      <c r="O2" s="1254"/>
      <c r="P2" s="805"/>
      <c r="Q2" s="1251">
        <v>3</v>
      </c>
      <c r="R2" s="1254" t="str">
        <f>A168</f>
        <v>Electrical Safety Analyzer, Merek : Fluke, Model : ESA 615, SN : 2853077</v>
      </c>
      <c r="S2" s="1254"/>
      <c r="T2" s="1254"/>
      <c r="U2" s="1254"/>
      <c r="V2" s="1254"/>
      <c r="W2" s="1254"/>
    </row>
    <row r="3" spans="1:25" ht="15" customHeight="1">
      <c r="A3" s="1252"/>
      <c r="B3" s="1255" t="s">
        <v>493</v>
      </c>
      <c r="C3" s="1255"/>
      <c r="D3" s="1255"/>
      <c r="E3" s="1255"/>
      <c r="F3" s="806"/>
      <c r="G3" s="806"/>
      <c r="H3" s="807"/>
      <c r="I3" s="1252"/>
      <c r="J3" s="1255" t="s">
        <v>493</v>
      </c>
      <c r="K3" s="1255"/>
      <c r="L3" s="1255"/>
      <c r="M3" s="1255"/>
      <c r="N3" s="806"/>
      <c r="O3" s="806"/>
      <c r="P3" s="807"/>
      <c r="Q3" s="1252"/>
      <c r="R3" s="1255" t="s">
        <v>493</v>
      </c>
      <c r="S3" s="1255"/>
      <c r="T3" s="1255"/>
      <c r="U3" s="1255"/>
      <c r="V3" s="808"/>
      <c r="W3" s="808"/>
    </row>
    <row r="4" spans="1:25" ht="12.75" customHeight="1">
      <c r="A4" s="1252"/>
      <c r="B4" s="1259" t="s">
        <v>494</v>
      </c>
      <c r="C4" s="1260"/>
      <c r="D4" s="1260"/>
      <c r="E4" s="1261"/>
      <c r="F4" s="809" t="s">
        <v>495</v>
      </c>
      <c r="G4" s="809" t="s">
        <v>396</v>
      </c>
      <c r="H4" s="810"/>
      <c r="I4" s="1252"/>
      <c r="J4" s="1259" t="s">
        <v>494</v>
      </c>
      <c r="K4" s="1260"/>
      <c r="L4" s="1260"/>
      <c r="M4" s="1261"/>
      <c r="N4" s="809" t="s">
        <v>495</v>
      </c>
      <c r="O4" s="809" t="s">
        <v>396</v>
      </c>
      <c r="P4" s="810"/>
      <c r="Q4" s="1252"/>
      <c r="R4" s="1259" t="s">
        <v>494</v>
      </c>
      <c r="S4" s="1260"/>
      <c r="T4" s="1260"/>
      <c r="U4" s="1261"/>
      <c r="V4" s="809" t="s">
        <v>495</v>
      </c>
      <c r="W4" s="809" t="s">
        <v>396</v>
      </c>
    </row>
    <row r="5" spans="1:25" ht="15" customHeight="1">
      <c r="A5" s="1252"/>
      <c r="B5" s="808" t="s">
        <v>496</v>
      </c>
      <c r="C5" s="809">
        <v>2019</v>
      </c>
      <c r="D5" s="809">
        <v>2019</v>
      </c>
      <c r="E5" s="809">
        <v>2020</v>
      </c>
      <c r="F5" s="809"/>
      <c r="G5" s="809"/>
      <c r="H5" s="810"/>
      <c r="I5" s="1252"/>
      <c r="J5" s="808" t="s">
        <v>496</v>
      </c>
      <c r="K5" s="809">
        <v>2017</v>
      </c>
      <c r="L5" s="809">
        <v>2017</v>
      </c>
      <c r="M5" s="809">
        <v>2019</v>
      </c>
      <c r="N5" s="809"/>
      <c r="O5" s="809"/>
      <c r="P5" s="810"/>
      <c r="Q5" s="1252"/>
      <c r="R5" s="808" t="s">
        <v>496</v>
      </c>
      <c r="S5" s="809">
        <v>2018</v>
      </c>
      <c r="T5" s="809">
        <v>2021</v>
      </c>
      <c r="U5" s="809">
        <v>2022</v>
      </c>
      <c r="V5" s="809"/>
      <c r="W5" s="809"/>
    </row>
    <row r="6" spans="1:25" ht="15" customHeight="1">
      <c r="A6" s="1252"/>
      <c r="B6" s="811">
        <v>150</v>
      </c>
      <c r="C6" s="812">
        <v>0.76</v>
      </c>
      <c r="D6" s="812">
        <v>0.76</v>
      </c>
      <c r="E6" s="812">
        <v>0.31</v>
      </c>
      <c r="F6" s="813">
        <f t="shared" ref="F6:F11" si="0">0.5*(MAX(C6:E6)-MIN(C6:E6))</f>
        <v>0.22500000000000001</v>
      </c>
      <c r="G6" s="814">
        <f>B6*$H$6</f>
        <v>1.8</v>
      </c>
      <c r="H6" s="810">
        <f>1.2/100</f>
        <v>1.2E-2</v>
      </c>
      <c r="I6" s="1252"/>
      <c r="J6" s="811">
        <v>150</v>
      </c>
      <c r="K6" s="815">
        <v>0.23</v>
      </c>
      <c r="L6" s="815">
        <v>0.23</v>
      </c>
      <c r="M6" s="812">
        <v>0.15</v>
      </c>
      <c r="N6" s="813">
        <f t="shared" ref="N6:N11" si="1">0.5*(MAX(K6:M6)-MIN(K6:M6))</f>
        <v>4.0000000000000008E-2</v>
      </c>
      <c r="O6" s="814">
        <f>J6*$P$6</f>
        <v>1.8</v>
      </c>
      <c r="P6" s="810">
        <f>1.2/100</f>
        <v>1.2E-2</v>
      </c>
      <c r="Q6" s="1252"/>
      <c r="R6" s="816">
        <v>150</v>
      </c>
      <c r="S6" s="815">
        <v>-7.0000000000000007E-2</v>
      </c>
      <c r="T6" s="815">
        <v>-1.6</v>
      </c>
      <c r="U6" s="815">
        <v>-1.43</v>
      </c>
      <c r="V6" s="813">
        <f t="shared" ref="V6:V11" si="2">0.5*(MAX(S6:U6)-MIN(S6:U6))</f>
        <v>0.76500000000000001</v>
      </c>
      <c r="W6" s="817">
        <f>R6*$X$6</f>
        <v>1.8</v>
      </c>
      <c r="X6" s="803">
        <f>1.2/100</f>
        <v>1.2E-2</v>
      </c>
    </row>
    <row r="7" spans="1:25" ht="12.75" customHeight="1">
      <c r="A7" s="1252"/>
      <c r="B7" s="811">
        <v>180</v>
      </c>
      <c r="C7" s="818">
        <v>-0.13</v>
      </c>
      <c r="D7" s="818">
        <v>-0.13</v>
      </c>
      <c r="E7" s="818">
        <v>0.1</v>
      </c>
      <c r="F7" s="813">
        <f t="shared" si="0"/>
        <v>0.115</v>
      </c>
      <c r="G7" s="814">
        <f t="shared" ref="G7:G11" si="3">B7*$H$6</f>
        <v>2.16</v>
      </c>
      <c r="H7" s="810"/>
      <c r="I7" s="1252"/>
      <c r="J7" s="811">
        <v>180</v>
      </c>
      <c r="K7" s="815">
        <v>-0.06</v>
      </c>
      <c r="L7" s="815">
        <v>-0.06</v>
      </c>
      <c r="M7" s="818">
        <v>0.12</v>
      </c>
      <c r="N7" s="813">
        <f t="shared" si="1"/>
        <v>0.09</v>
      </c>
      <c r="O7" s="814">
        <f t="shared" ref="O7:O11" si="4">J7*$P$6</f>
        <v>2.16</v>
      </c>
      <c r="P7" s="810"/>
      <c r="Q7" s="1252"/>
      <c r="R7" s="819">
        <v>180</v>
      </c>
      <c r="S7" s="815">
        <v>-0.13</v>
      </c>
      <c r="T7" s="815">
        <v>-1.9</v>
      </c>
      <c r="U7" s="815">
        <v>-1.81</v>
      </c>
      <c r="V7" s="813">
        <f t="shared" si="2"/>
        <v>0.88500000000000001</v>
      </c>
      <c r="W7" s="817">
        <f t="shared" ref="W7:W11" si="5">R7*$X$6</f>
        <v>2.16</v>
      </c>
    </row>
    <row r="8" spans="1:25" ht="12.75" customHeight="1">
      <c r="A8" s="1252"/>
      <c r="B8" s="811">
        <v>200</v>
      </c>
      <c r="C8" s="818">
        <v>-0.16</v>
      </c>
      <c r="D8" s="818">
        <v>-0.16</v>
      </c>
      <c r="E8" s="818">
        <v>-0.04</v>
      </c>
      <c r="F8" s="813">
        <f t="shared" si="0"/>
        <v>0.06</v>
      </c>
      <c r="G8" s="814">
        <f t="shared" si="3"/>
        <v>2.4</v>
      </c>
      <c r="H8" s="810"/>
      <c r="I8" s="1252"/>
      <c r="J8" s="811">
        <v>200</v>
      </c>
      <c r="K8" s="815">
        <v>-0.18</v>
      </c>
      <c r="L8" s="815">
        <v>-0.18</v>
      </c>
      <c r="M8" s="818">
        <v>0.06</v>
      </c>
      <c r="N8" s="813">
        <f t="shared" si="1"/>
        <v>0.12</v>
      </c>
      <c r="O8" s="814">
        <f t="shared" si="4"/>
        <v>2.4</v>
      </c>
      <c r="P8" s="810"/>
      <c r="Q8" s="1252"/>
      <c r="R8" s="819">
        <v>200</v>
      </c>
      <c r="S8" s="815">
        <v>-0.26</v>
      </c>
      <c r="T8" s="815">
        <v>-2.14</v>
      </c>
      <c r="U8" s="815">
        <v>-2.0499999999999998</v>
      </c>
      <c r="V8" s="813">
        <f t="shared" si="2"/>
        <v>0.94000000000000006</v>
      </c>
      <c r="W8" s="817">
        <f t="shared" si="5"/>
        <v>2.4</v>
      </c>
    </row>
    <row r="9" spans="1:25" ht="12.75" customHeight="1">
      <c r="A9" s="1252"/>
      <c r="B9" s="811">
        <v>220</v>
      </c>
      <c r="C9" s="818">
        <v>-0.18</v>
      </c>
      <c r="D9" s="818">
        <v>-0.18</v>
      </c>
      <c r="E9" s="818">
        <v>-0.28000000000000003</v>
      </c>
      <c r="F9" s="813">
        <f t="shared" si="0"/>
        <v>5.0000000000000017E-2</v>
      </c>
      <c r="G9" s="814">
        <f t="shared" si="3"/>
        <v>2.64</v>
      </c>
      <c r="H9" s="810"/>
      <c r="I9" s="1252"/>
      <c r="J9" s="811">
        <v>220</v>
      </c>
      <c r="K9" s="815">
        <v>-0.03</v>
      </c>
      <c r="L9" s="815">
        <v>-0.03</v>
      </c>
      <c r="M9" s="818">
        <v>0.05</v>
      </c>
      <c r="N9" s="813">
        <f t="shared" si="1"/>
        <v>0.04</v>
      </c>
      <c r="O9" s="814">
        <f t="shared" si="4"/>
        <v>2.64</v>
      </c>
      <c r="P9" s="810"/>
      <c r="Q9" s="1252"/>
      <c r="R9" s="819">
        <v>220</v>
      </c>
      <c r="S9" s="815">
        <v>-0.28999999999999998</v>
      </c>
      <c r="T9" s="815">
        <v>-3.44</v>
      </c>
      <c r="U9" s="815">
        <v>-2.29</v>
      </c>
      <c r="V9" s="813">
        <f t="shared" si="2"/>
        <v>1.575</v>
      </c>
      <c r="W9" s="817">
        <f t="shared" si="5"/>
        <v>2.64</v>
      </c>
    </row>
    <row r="10" spans="1:25" ht="12.75" customHeight="1">
      <c r="A10" s="1252"/>
      <c r="B10" s="811">
        <v>230</v>
      </c>
      <c r="C10" s="818">
        <v>-0.26</v>
      </c>
      <c r="D10" s="818">
        <v>-0.26</v>
      </c>
      <c r="E10" s="818">
        <v>-0.2</v>
      </c>
      <c r="F10" s="813">
        <f t="shared" si="0"/>
        <v>0.03</v>
      </c>
      <c r="G10" s="814">
        <f t="shared" si="3"/>
        <v>2.7600000000000002</v>
      </c>
      <c r="H10" s="810"/>
      <c r="I10" s="1252"/>
      <c r="J10" s="811">
        <v>230</v>
      </c>
      <c r="K10" s="815">
        <v>-10.02</v>
      </c>
      <c r="L10" s="815">
        <v>-10.02</v>
      </c>
      <c r="M10" s="818">
        <v>0.05</v>
      </c>
      <c r="N10" s="813">
        <f t="shared" si="1"/>
        <v>5.0350000000000001</v>
      </c>
      <c r="O10" s="814">
        <f t="shared" si="4"/>
        <v>2.7600000000000002</v>
      </c>
      <c r="P10" s="810"/>
      <c r="Q10" s="1252"/>
      <c r="R10" s="819">
        <v>230</v>
      </c>
      <c r="S10" s="815">
        <v>-0.23</v>
      </c>
      <c r="T10" s="815">
        <v>-2.52</v>
      </c>
      <c r="U10" s="815">
        <v>-11.79</v>
      </c>
      <c r="V10" s="813">
        <f t="shared" si="2"/>
        <v>5.7799999999999994</v>
      </c>
      <c r="W10" s="817">
        <f t="shared" si="5"/>
        <v>2.7600000000000002</v>
      </c>
    </row>
    <row r="11" spans="1:25" ht="12.75" customHeight="1">
      <c r="A11" s="1252"/>
      <c r="B11" s="811">
        <v>250</v>
      </c>
      <c r="C11" s="818">
        <v>9.9999999999999995E-7</v>
      </c>
      <c r="D11" s="818">
        <v>9.9999999999999995E-7</v>
      </c>
      <c r="E11" s="818">
        <v>9.9999999999999995E-7</v>
      </c>
      <c r="F11" s="813">
        <f t="shared" si="0"/>
        <v>0</v>
      </c>
      <c r="G11" s="814">
        <f t="shared" si="3"/>
        <v>3</v>
      </c>
      <c r="H11" s="810"/>
      <c r="I11" s="1252"/>
      <c r="J11" s="811">
        <v>250</v>
      </c>
      <c r="K11" s="815">
        <v>9.9999999999999995E-7</v>
      </c>
      <c r="L11" s="815">
        <v>9.9999999999999995E-7</v>
      </c>
      <c r="M11" s="818">
        <v>9.9999999999999995E-7</v>
      </c>
      <c r="N11" s="813">
        <f t="shared" si="1"/>
        <v>0</v>
      </c>
      <c r="O11" s="814">
        <f t="shared" si="4"/>
        <v>3</v>
      </c>
      <c r="P11" s="810"/>
      <c r="Q11" s="1252"/>
      <c r="R11" s="819">
        <v>250</v>
      </c>
      <c r="S11" s="815">
        <v>9.9999999999999995E-7</v>
      </c>
      <c r="T11" s="820">
        <v>9.9999999999999995E-7</v>
      </c>
      <c r="U11" s="820">
        <v>9.9999999999999995E-7</v>
      </c>
      <c r="V11" s="813">
        <f t="shared" si="2"/>
        <v>0</v>
      </c>
      <c r="W11" s="817">
        <f t="shared" si="5"/>
        <v>3</v>
      </c>
    </row>
    <row r="12" spans="1:25" ht="12.75" customHeight="1">
      <c r="A12" s="1252"/>
      <c r="B12" s="1256" t="s">
        <v>497</v>
      </c>
      <c r="C12" s="1257"/>
      <c r="D12" s="1257"/>
      <c r="E12" s="1258"/>
      <c r="F12" s="809" t="s">
        <v>495</v>
      </c>
      <c r="G12" s="809" t="s">
        <v>396</v>
      </c>
      <c r="H12" s="810"/>
      <c r="I12" s="1252"/>
      <c r="J12" s="1256" t="s">
        <v>497</v>
      </c>
      <c r="K12" s="1257"/>
      <c r="L12" s="1257"/>
      <c r="M12" s="1258"/>
      <c r="N12" s="809" t="s">
        <v>495</v>
      </c>
      <c r="O12" s="809" t="s">
        <v>396</v>
      </c>
      <c r="P12" s="810"/>
      <c r="Q12" s="1252"/>
      <c r="R12" s="1256" t="s">
        <v>497</v>
      </c>
      <c r="S12" s="1257"/>
      <c r="T12" s="1257"/>
      <c r="U12" s="1258"/>
      <c r="V12" s="809" t="s">
        <v>495</v>
      </c>
      <c r="W12" s="809" t="s">
        <v>396</v>
      </c>
    </row>
    <row r="13" spans="1:25" ht="15" customHeight="1">
      <c r="A13" s="1252"/>
      <c r="B13" s="808" t="s">
        <v>498</v>
      </c>
      <c r="C13" s="809">
        <f>C5</f>
        <v>2019</v>
      </c>
      <c r="D13" s="809">
        <f>D5</f>
        <v>2019</v>
      </c>
      <c r="E13" s="809">
        <f>E5</f>
        <v>2020</v>
      </c>
      <c r="F13" s="809"/>
      <c r="G13" s="809"/>
      <c r="H13" s="810"/>
      <c r="I13" s="1252"/>
      <c r="J13" s="808" t="s">
        <v>498</v>
      </c>
      <c r="K13" s="809">
        <f>K5</f>
        <v>2017</v>
      </c>
      <c r="L13" s="809">
        <f>L5</f>
        <v>2017</v>
      </c>
      <c r="M13" s="809">
        <f>M5</f>
        <v>2019</v>
      </c>
      <c r="N13" s="809"/>
      <c r="O13" s="809"/>
      <c r="P13" s="810"/>
      <c r="Q13" s="1252"/>
      <c r="R13" s="808" t="s">
        <v>498</v>
      </c>
      <c r="S13" s="809">
        <f>S5</f>
        <v>2018</v>
      </c>
      <c r="T13" s="809">
        <f>T5</f>
        <v>2021</v>
      </c>
      <c r="U13" s="809">
        <f>U5</f>
        <v>2022</v>
      </c>
      <c r="V13" s="809"/>
      <c r="W13" s="809"/>
    </row>
    <row r="14" spans="1:25" ht="12.75" customHeight="1">
      <c r="A14" s="1252"/>
      <c r="B14" s="821">
        <v>9.9999999999999995E-7</v>
      </c>
      <c r="C14" s="821">
        <v>9.9999999999999995E-7</v>
      </c>
      <c r="D14" s="821">
        <v>9.9999999999999995E-7</v>
      </c>
      <c r="E14" s="822">
        <v>0</v>
      </c>
      <c r="F14" s="813">
        <f t="shared" ref="F14:F19" si="6">0.5*(MAX(C14:E14)-MIN(C14:E14))</f>
        <v>4.9999999999999998E-7</v>
      </c>
      <c r="G14" s="823">
        <f>B14*$H$14</f>
        <v>5.8999999999999999E-9</v>
      </c>
      <c r="H14" s="810">
        <f>0.59/100</f>
        <v>5.8999999999999999E-3</v>
      </c>
      <c r="I14" s="1252"/>
      <c r="J14" s="824">
        <v>9.9999999999999995E-7</v>
      </c>
      <c r="K14" s="815">
        <v>9.9999999999999995E-7</v>
      </c>
      <c r="L14" s="815">
        <v>9.9999999999999995E-7</v>
      </c>
      <c r="M14" s="818">
        <v>9.9999999999999995E-7</v>
      </c>
      <c r="N14" s="813">
        <f t="shared" ref="N14:N19" si="7">0.5*(MAX(K14:M14)-MIN(K14:M14))</f>
        <v>0</v>
      </c>
      <c r="O14" s="823">
        <f>J14*$P$14</f>
        <v>5.8999999999999999E-9</v>
      </c>
      <c r="P14" s="810">
        <f>0.59/100</f>
        <v>5.8999999999999999E-3</v>
      </c>
      <c r="Q14" s="1252"/>
      <c r="R14" s="815">
        <v>9.9999999999999995E-7</v>
      </c>
      <c r="S14" s="814">
        <v>9.9999999999999995E-7</v>
      </c>
      <c r="T14" s="818">
        <v>9.9999999999999995E-7</v>
      </c>
      <c r="U14" s="818">
        <v>9.9999999999999995E-7</v>
      </c>
      <c r="V14" s="813">
        <f t="shared" ref="V14:V19" si="8">0.5*(MAX(S14:U14)-MIN(S14:U14))</f>
        <v>0</v>
      </c>
      <c r="W14" s="823">
        <f>R14*$X$14</f>
        <v>5.8999999999999999E-9</v>
      </c>
      <c r="X14" s="803">
        <f>0.59/100</f>
        <v>5.8999999999999999E-3</v>
      </c>
    </row>
    <row r="15" spans="1:25" ht="12.75" customHeight="1">
      <c r="A15" s="1252"/>
      <c r="B15" s="819">
        <v>50</v>
      </c>
      <c r="C15" s="818">
        <v>-0.06</v>
      </c>
      <c r="D15" s="818">
        <v>-0.06</v>
      </c>
      <c r="E15" s="818">
        <v>0.1</v>
      </c>
      <c r="F15" s="813">
        <f t="shared" si="6"/>
        <v>0.08</v>
      </c>
      <c r="G15" s="823">
        <f t="shared" ref="G15:G19" si="9">B15*$H$14</f>
        <v>0.29499999999999998</v>
      </c>
      <c r="H15" s="810"/>
      <c r="I15" s="1252"/>
      <c r="J15" s="819">
        <v>50</v>
      </c>
      <c r="K15" s="815">
        <v>0.1</v>
      </c>
      <c r="L15" s="815">
        <v>0.1</v>
      </c>
      <c r="M15" s="818">
        <v>0.1</v>
      </c>
      <c r="N15" s="813">
        <f t="shared" si="7"/>
        <v>0</v>
      </c>
      <c r="O15" s="823">
        <f>J15*$P$14</f>
        <v>0.29499999999999998</v>
      </c>
      <c r="P15" s="810"/>
      <c r="Q15" s="1252"/>
      <c r="R15" s="819">
        <v>50</v>
      </c>
      <c r="S15" s="815">
        <v>2</v>
      </c>
      <c r="T15" s="815">
        <v>2.1</v>
      </c>
      <c r="U15" s="815">
        <v>9.1</v>
      </c>
      <c r="V15" s="813">
        <f t="shared" si="8"/>
        <v>3.55</v>
      </c>
      <c r="W15" s="823">
        <f t="shared" ref="W15:W19" si="10">R15*$X$14</f>
        <v>0.29499999999999998</v>
      </c>
    </row>
    <row r="16" spans="1:25" ht="12.75" customHeight="1">
      <c r="A16" s="1252"/>
      <c r="B16" s="819">
        <v>100</v>
      </c>
      <c r="C16" s="818">
        <v>-0.06</v>
      </c>
      <c r="D16" s="818">
        <v>-0.06</v>
      </c>
      <c r="E16" s="818">
        <v>0.2</v>
      </c>
      <c r="F16" s="813">
        <f t="shared" si="6"/>
        <v>0.13</v>
      </c>
      <c r="G16" s="823">
        <f t="shared" si="9"/>
        <v>0.59</v>
      </c>
      <c r="H16" s="810"/>
      <c r="I16" s="1252"/>
      <c r="J16" s="819">
        <v>100</v>
      </c>
      <c r="K16" s="815">
        <v>2.2000000000000002</v>
      </c>
      <c r="L16" s="815">
        <v>2.2000000000000002</v>
      </c>
      <c r="M16" s="818">
        <v>0.4</v>
      </c>
      <c r="N16" s="813">
        <f t="shared" si="7"/>
        <v>0.90000000000000013</v>
      </c>
      <c r="O16" s="823">
        <f t="shared" ref="O16:O19" si="11">J16*$P$14</f>
        <v>0.59</v>
      </c>
      <c r="P16" s="810"/>
      <c r="Q16" s="1252"/>
      <c r="R16" s="819">
        <v>100</v>
      </c>
      <c r="S16" s="815">
        <v>2</v>
      </c>
      <c r="T16" s="815">
        <v>2.2999999999999998</v>
      </c>
      <c r="U16" s="815">
        <v>6</v>
      </c>
      <c r="V16" s="813">
        <f t="shared" si="8"/>
        <v>2</v>
      </c>
      <c r="W16" s="823">
        <f t="shared" si="10"/>
        <v>0.59</v>
      </c>
    </row>
    <row r="17" spans="1:24" ht="12.75" customHeight="1">
      <c r="A17" s="1252"/>
      <c r="B17" s="819">
        <v>200</v>
      </c>
      <c r="C17" s="818">
        <v>0</v>
      </c>
      <c r="D17" s="818">
        <v>0</v>
      </c>
      <c r="E17" s="818">
        <v>0.4</v>
      </c>
      <c r="F17" s="813">
        <f t="shared" si="6"/>
        <v>0.2</v>
      </c>
      <c r="G17" s="823">
        <f t="shared" si="9"/>
        <v>1.18</v>
      </c>
      <c r="H17" s="810"/>
      <c r="I17" s="1252"/>
      <c r="J17" s="819">
        <v>200</v>
      </c>
      <c r="K17" s="815">
        <v>3.3</v>
      </c>
      <c r="L17" s="815">
        <v>3.3</v>
      </c>
      <c r="M17" s="818">
        <v>0.7</v>
      </c>
      <c r="N17" s="813">
        <f t="shared" si="7"/>
        <v>1.2999999999999998</v>
      </c>
      <c r="O17" s="823">
        <f t="shared" si="11"/>
        <v>1.18</v>
      </c>
      <c r="P17" s="810"/>
      <c r="Q17" s="1252"/>
      <c r="R17" s="819">
        <v>200</v>
      </c>
      <c r="S17" s="815">
        <v>3.6</v>
      </c>
      <c r="T17" s="815">
        <v>2.5</v>
      </c>
      <c r="U17" s="815">
        <v>-3.6</v>
      </c>
      <c r="V17" s="813">
        <f t="shared" si="8"/>
        <v>3.6</v>
      </c>
      <c r="W17" s="823">
        <f t="shared" si="10"/>
        <v>1.18</v>
      </c>
    </row>
    <row r="18" spans="1:24" ht="12.75" customHeight="1">
      <c r="A18" s="1252"/>
      <c r="B18" s="819">
        <v>500</v>
      </c>
      <c r="C18" s="818">
        <v>-0.9</v>
      </c>
      <c r="D18" s="818">
        <v>-0.9</v>
      </c>
      <c r="E18" s="818">
        <v>3.8</v>
      </c>
      <c r="F18" s="813">
        <f t="shared" si="6"/>
        <v>2.35</v>
      </c>
      <c r="G18" s="823">
        <f t="shared" si="9"/>
        <v>2.9499999999999997</v>
      </c>
      <c r="H18" s="810"/>
      <c r="I18" s="1252"/>
      <c r="J18" s="819">
        <v>500</v>
      </c>
      <c r="K18" s="815">
        <v>20</v>
      </c>
      <c r="L18" s="815">
        <v>20</v>
      </c>
      <c r="M18" s="818">
        <v>0.8</v>
      </c>
      <c r="N18" s="813">
        <f t="shared" si="7"/>
        <v>9.6</v>
      </c>
      <c r="O18" s="823">
        <f t="shared" si="11"/>
        <v>2.9499999999999997</v>
      </c>
      <c r="P18" s="810"/>
      <c r="Q18" s="1252"/>
      <c r="R18" s="819">
        <v>500</v>
      </c>
      <c r="S18" s="815">
        <v>2.9</v>
      </c>
      <c r="T18" s="815">
        <v>4.3</v>
      </c>
      <c r="U18" s="815">
        <v>-18.8</v>
      </c>
      <c r="V18" s="813">
        <f t="shared" si="8"/>
        <v>11.55</v>
      </c>
      <c r="W18" s="823">
        <f t="shared" si="10"/>
        <v>2.9499999999999997</v>
      </c>
    </row>
    <row r="19" spans="1:24" ht="12.75" customHeight="1">
      <c r="A19" s="1252"/>
      <c r="B19" s="819">
        <v>1000</v>
      </c>
      <c r="C19" s="818">
        <v>-3.0000000000000001E-3</v>
      </c>
      <c r="D19" s="818">
        <v>-3.0000000000000001E-3</v>
      </c>
      <c r="E19" s="818">
        <v>9</v>
      </c>
      <c r="F19" s="813">
        <f t="shared" si="6"/>
        <v>4.5015000000000001</v>
      </c>
      <c r="G19" s="823">
        <f t="shared" si="9"/>
        <v>5.8999999999999995</v>
      </c>
      <c r="H19" s="810"/>
      <c r="I19" s="1252"/>
      <c r="J19" s="819">
        <v>1000</v>
      </c>
      <c r="K19" s="825">
        <v>2</v>
      </c>
      <c r="L19" s="825">
        <v>2</v>
      </c>
      <c r="M19" s="818">
        <v>8.0000000000000002E-3</v>
      </c>
      <c r="N19" s="813">
        <f t="shared" si="7"/>
        <v>0.996</v>
      </c>
      <c r="O19" s="823">
        <f t="shared" si="11"/>
        <v>5.8999999999999995</v>
      </c>
      <c r="P19" s="810"/>
      <c r="Q19" s="1252"/>
      <c r="R19" s="819">
        <v>1000</v>
      </c>
      <c r="S19" s="815">
        <v>3</v>
      </c>
      <c r="T19" s="815">
        <v>2</v>
      </c>
      <c r="U19" s="815">
        <v>-47</v>
      </c>
      <c r="V19" s="813">
        <f t="shared" si="8"/>
        <v>25</v>
      </c>
      <c r="W19" s="823">
        <f t="shared" si="10"/>
        <v>5.8999999999999995</v>
      </c>
    </row>
    <row r="20" spans="1:24" ht="12.75" customHeight="1">
      <c r="A20" s="1252"/>
      <c r="B20" s="1256" t="s">
        <v>499</v>
      </c>
      <c r="C20" s="1257"/>
      <c r="D20" s="1257"/>
      <c r="E20" s="1258"/>
      <c r="F20" s="809" t="s">
        <v>495</v>
      </c>
      <c r="G20" s="809" t="s">
        <v>396</v>
      </c>
      <c r="H20" s="810"/>
      <c r="I20" s="1252"/>
      <c r="J20" s="1256" t="str">
        <f>B20</f>
        <v>Main-PE</v>
      </c>
      <c r="K20" s="1257"/>
      <c r="L20" s="1257"/>
      <c r="M20" s="1258"/>
      <c r="N20" s="809" t="s">
        <v>495</v>
      </c>
      <c r="O20" s="809" t="s">
        <v>396</v>
      </c>
      <c r="P20" s="810"/>
      <c r="Q20" s="1252"/>
      <c r="R20" s="1256" t="str">
        <f>B20</f>
        <v>Main-PE</v>
      </c>
      <c r="S20" s="1257"/>
      <c r="T20" s="1257"/>
      <c r="U20" s="1258"/>
      <c r="V20" s="809" t="s">
        <v>495</v>
      </c>
      <c r="W20" s="809" t="s">
        <v>396</v>
      </c>
    </row>
    <row r="21" spans="1:24" ht="15" customHeight="1">
      <c r="A21" s="1252"/>
      <c r="B21" s="808" t="s">
        <v>582</v>
      </c>
      <c r="C21" s="809">
        <v>2019</v>
      </c>
      <c r="D21" s="809">
        <v>2019</v>
      </c>
      <c r="E21" s="809">
        <v>2015</v>
      </c>
      <c r="F21" s="809"/>
      <c r="G21" s="809"/>
      <c r="H21" s="810"/>
      <c r="I21" s="1252"/>
      <c r="J21" s="808" t="s">
        <v>582</v>
      </c>
      <c r="K21" s="809">
        <f>K5</f>
        <v>2017</v>
      </c>
      <c r="L21" s="809">
        <f>L5</f>
        <v>2017</v>
      </c>
      <c r="M21" s="809">
        <f>M5</f>
        <v>2019</v>
      </c>
      <c r="N21" s="809"/>
      <c r="O21" s="809"/>
      <c r="P21" s="810"/>
      <c r="Q21" s="1252"/>
      <c r="R21" s="808" t="s">
        <v>582</v>
      </c>
      <c r="S21" s="809">
        <f>S5</f>
        <v>2018</v>
      </c>
      <c r="T21" s="809">
        <f>T5</f>
        <v>2021</v>
      </c>
      <c r="U21" s="809">
        <f>U5</f>
        <v>2022</v>
      </c>
      <c r="V21" s="809"/>
      <c r="W21" s="809"/>
    </row>
    <row r="22" spans="1:24" ht="12.75" customHeight="1">
      <c r="A22" s="1252"/>
      <c r="B22" s="819">
        <v>10</v>
      </c>
      <c r="C22" s="815" t="s">
        <v>161</v>
      </c>
      <c r="D22" s="815" t="s">
        <v>161</v>
      </c>
      <c r="E22" s="815">
        <v>9.9999999999999995E-7</v>
      </c>
      <c r="F22" s="813">
        <f t="shared" ref="F22:F25" si="12">0.5*(MAX(C22:E22)-MIN(C22:E22))</f>
        <v>0</v>
      </c>
      <c r="G22" s="824">
        <v>1.4</v>
      </c>
      <c r="H22" s="810"/>
      <c r="I22" s="1252"/>
      <c r="J22" s="819">
        <v>10</v>
      </c>
      <c r="K22" s="815">
        <v>9.9999999999999995E-7</v>
      </c>
      <c r="L22" s="815">
        <v>9.9999999999999995E-7</v>
      </c>
      <c r="M22" s="818">
        <v>0.1</v>
      </c>
      <c r="N22" s="813">
        <f t="shared" ref="N22:N25" si="13">0.5*(MAX(K22:M22)-MIN(K22:M22))</f>
        <v>4.9999500000000002E-2</v>
      </c>
      <c r="O22" s="815">
        <f>J22*$P$22</f>
        <v>5.8999999999999997E-2</v>
      </c>
      <c r="P22" s="810">
        <f>0.59/100</f>
        <v>5.8999999999999999E-3</v>
      </c>
      <c r="Q22" s="1252"/>
      <c r="R22" s="819">
        <v>10</v>
      </c>
      <c r="S22" s="815">
        <v>9.9999999999999995E-7</v>
      </c>
      <c r="T22" s="815">
        <v>0.26</v>
      </c>
      <c r="U22" s="815">
        <v>0</v>
      </c>
      <c r="V22" s="813">
        <f t="shared" ref="V22:V25" si="14">0.5*(MAX(S22:U22)-MIN(S22:U22))</f>
        <v>0.13</v>
      </c>
      <c r="W22" s="824">
        <f>R22*$X$22</f>
        <v>0.17</v>
      </c>
      <c r="X22" s="803">
        <f>1.7/100</f>
        <v>1.7000000000000001E-2</v>
      </c>
    </row>
    <row r="23" spans="1:24" ht="12.75" customHeight="1">
      <c r="A23" s="1252"/>
      <c r="B23" s="819">
        <v>20</v>
      </c>
      <c r="C23" s="815" t="s">
        <v>161</v>
      </c>
      <c r="D23" s="815" t="s">
        <v>161</v>
      </c>
      <c r="E23" s="815">
        <v>9.9999999999999995E-7</v>
      </c>
      <c r="F23" s="813">
        <f t="shared" si="12"/>
        <v>0</v>
      </c>
      <c r="G23" s="824">
        <v>1.4</v>
      </c>
      <c r="H23" s="810"/>
      <c r="I23" s="1252"/>
      <c r="J23" s="819">
        <v>20</v>
      </c>
      <c r="K23" s="815">
        <v>0.1</v>
      </c>
      <c r="L23" s="815">
        <v>0.1</v>
      </c>
      <c r="M23" s="818">
        <v>0.2</v>
      </c>
      <c r="N23" s="813">
        <f t="shared" si="13"/>
        <v>0.05</v>
      </c>
      <c r="O23" s="815">
        <f t="shared" ref="O23:O25" si="15">J23*$P$22</f>
        <v>0.11799999999999999</v>
      </c>
      <c r="P23" s="810"/>
      <c r="Q23" s="1252"/>
      <c r="R23" s="819">
        <v>20</v>
      </c>
      <c r="S23" s="815">
        <v>0</v>
      </c>
      <c r="T23" s="820">
        <v>9.9999999999999995E-7</v>
      </c>
      <c r="U23" s="820">
        <v>0</v>
      </c>
      <c r="V23" s="813">
        <f t="shared" si="14"/>
        <v>4.9999999999999998E-7</v>
      </c>
      <c r="W23" s="824">
        <f t="shared" ref="W23:W25" si="16">R23*$X$22</f>
        <v>0.34</v>
      </c>
    </row>
    <row r="24" spans="1:24" ht="12.75" customHeight="1">
      <c r="A24" s="1252"/>
      <c r="B24" s="819">
        <v>50</v>
      </c>
      <c r="C24" s="815" t="s">
        <v>161</v>
      </c>
      <c r="D24" s="815" t="s">
        <v>161</v>
      </c>
      <c r="E24" s="815">
        <v>9.9999999999999995E-7</v>
      </c>
      <c r="F24" s="813">
        <f t="shared" si="12"/>
        <v>0</v>
      </c>
      <c r="G24" s="824">
        <v>1.4</v>
      </c>
      <c r="H24" s="810"/>
      <c r="I24" s="1252"/>
      <c r="J24" s="819">
        <v>50</v>
      </c>
      <c r="K24" s="815">
        <v>0.1</v>
      </c>
      <c r="L24" s="815">
        <v>0.1</v>
      </c>
      <c r="M24" s="818">
        <v>0.3</v>
      </c>
      <c r="N24" s="813">
        <f t="shared" si="13"/>
        <v>9.9999999999999992E-2</v>
      </c>
      <c r="O24" s="815">
        <f t="shared" si="15"/>
        <v>0.29499999999999998</v>
      </c>
      <c r="P24" s="810"/>
      <c r="Q24" s="1252"/>
      <c r="R24" s="819">
        <v>50</v>
      </c>
      <c r="S24" s="815">
        <v>0.3</v>
      </c>
      <c r="T24" s="815">
        <v>0.16</v>
      </c>
      <c r="U24" s="815">
        <v>0.1</v>
      </c>
      <c r="V24" s="813">
        <f t="shared" si="14"/>
        <v>9.9999999999999992E-2</v>
      </c>
      <c r="W24" s="824">
        <f t="shared" si="16"/>
        <v>0.85000000000000009</v>
      </c>
    </row>
    <row r="25" spans="1:24" ht="12.75" customHeight="1">
      <c r="A25" s="1252"/>
      <c r="B25" s="819">
        <v>100</v>
      </c>
      <c r="C25" s="815" t="s">
        <v>161</v>
      </c>
      <c r="D25" s="815" t="s">
        <v>161</v>
      </c>
      <c r="E25" s="815">
        <v>-0.3</v>
      </c>
      <c r="F25" s="813">
        <f t="shared" si="12"/>
        <v>0</v>
      </c>
      <c r="G25" s="824">
        <v>1.4</v>
      </c>
      <c r="H25" s="810"/>
      <c r="I25" s="1252"/>
      <c r="J25" s="819">
        <v>100</v>
      </c>
      <c r="K25" s="815">
        <v>9.9999999999999995E-7</v>
      </c>
      <c r="L25" s="815">
        <v>9.9999999999999995E-7</v>
      </c>
      <c r="M25" s="818">
        <v>0.3</v>
      </c>
      <c r="N25" s="813">
        <f t="shared" si="13"/>
        <v>0.14999950000000001</v>
      </c>
      <c r="O25" s="815">
        <f t="shared" si="15"/>
        <v>0.59</v>
      </c>
      <c r="P25" s="810"/>
      <c r="Q25" s="1252"/>
      <c r="R25" s="819">
        <v>100</v>
      </c>
      <c r="S25" s="815">
        <v>0.6</v>
      </c>
      <c r="T25" s="815">
        <v>0.06</v>
      </c>
      <c r="U25" s="815">
        <v>0.1</v>
      </c>
      <c r="V25" s="813">
        <f t="shared" si="14"/>
        <v>0.27</v>
      </c>
      <c r="W25" s="824">
        <f t="shared" si="16"/>
        <v>1.7000000000000002</v>
      </c>
    </row>
    <row r="26" spans="1:24" ht="12.75" customHeight="1">
      <c r="A26" s="1252"/>
      <c r="B26" s="1256" t="s">
        <v>500</v>
      </c>
      <c r="C26" s="1257"/>
      <c r="D26" s="1257"/>
      <c r="E26" s="1258"/>
      <c r="F26" s="809" t="s">
        <v>495</v>
      </c>
      <c r="G26" s="809" t="s">
        <v>396</v>
      </c>
      <c r="H26" s="810"/>
      <c r="I26" s="1252"/>
      <c r="J26" s="1256" t="str">
        <f>B26</f>
        <v>Resistance</v>
      </c>
      <c r="K26" s="1257"/>
      <c r="L26" s="1257"/>
      <c r="M26" s="1258"/>
      <c r="N26" s="809" t="s">
        <v>495</v>
      </c>
      <c r="O26" s="809" t="s">
        <v>396</v>
      </c>
      <c r="P26" s="810"/>
      <c r="Q26" s="1252"/>
      <c r="R26" s="1256" t="str">
        <f>B26</f>
        <v>Resistance</v>
      </c>
      <c r="S26" s="1257"/>
      <c r="T26" s="1257"/>
      <c r="U26" s="1258"/>
      <c r="V26" s="809" t="s">
        <v>495</v>
      </c>
      <c r="W26" s="809" t="s">
        <v>396</v>
      </c>
    </row>
    <row r="27" spans="1:24" ht="15" customHeight="1">
      <c r="A27" s="1252"/>
      <c r="B27" s="808" t="s">
        <v>583</v>
      </c>
      <c r="C27" s="809">
        <f>C5</f>
        <v>2019</v>
      </c>
      <c r="D27" s="809">
        <f>D5</f>
        <v>2019</v>
      </c>
      <c r="E27" s="809">
        <f>E5</f>
        <v>2020</v>
      </c>
      <c r="F27" s="809"/>
      <c r="G27" s="809"/>
      <c r="H27" s="810"/>
      <c r="I27" s="1252"/>
      <c r="J27" s="808" t="s">
        <v>583</v>
      </c>
      <c r="K27" s="809">
        <f>K5</f>
        <v>2017</v>
      </c>
      <c r="L27" s="809">
        <f>L5</f>
        <v>2017</v>
      </c>
      <c r="M27" s="809">
        <f>M5</f>
        <v>2019</v>
      </c>
      <c r="N27" s="809"/>
      <c r="O27" s="809"/>
      <c r="P27" s="810"/>
      <c r="Q27" s="1252"/>
      <c r="R27" s="808" t="s">
        <v>583</v>
      </c>
      <c r="S27" s="809">
        <f>S5</f>
        <v>2018</v>
      </c>
      <c r="T27" s="809">
        <f>T5</f>
        <v>2021</v>
      </c>
      <c r="U27" s="809">
        <f>U5</f>
        <v>2022</v>
      </c>
      <c r="V27" s="809"/>
      <c r="W27" s="809"/>
    </row>
    <row r="28" spans="1:24" ht="12.75" customHeight="1">
      <c r="A28" s="1252"/>
      <c r="B28" s="819">
        <v>0.01</v>
      </c>
      <c r="C28" s="820">
        <v>9.9999999999999995E-7</v>
      </c>
      <c r="D28" s="820">
        <v>9.9999999999999995E-7</v>
      </c>
      <c r="E28" s="820">
        <v>9.9999999999999995E-7</v>
      </c>
      <c r="F28" s="813">
        <f t="shared" ref="F28:F31" si="17">0.5*(MAX(C28:E28)-MIN(C28:E28))</f>
        <v>0</v>
      </c>
      <c r="G28" s="819">
        <f>B28*$H$28</f>
        <v>1.2E-4</v>
      </c>
      <c r="H28" s="810">
        <f>1.2/100</f>
        <v>1.2E-2</v>
      </c>
      <c r="I28" s="1252"/>
      <c r="J28" s="819">
        <v>0.01</v>
      </c>
      <c r="K28" s="825">
        <v>9.9999999999999995E-7</v>
      </c>
      <c r="L28" s="825">
        <v>9.9999999999999995E-7</v>
      </c>
      <c r="M28" s="820">
        <v>9.9999999999999995E-7</v>
      </c>
      <c r="N28" s="813">
        <f t="shared" ref="N28:N31" si="18">0.5*(MAX(K28:M28)-MIN(K28:M28))</f>
        <v>0</v>
      </c>
      <c r="O28" s="819">
        <f>J28*$P$28</f>
        <v>1.2E-4</v>
      </c>
      <c r="P28" s="826">
        <f>1.2/100</f>
        <v>1.2E-2</v>
      </c>
      <c r="Q28" s="1252"/>
      <c r="R28" s="819">
        <v>0.01</v>
      </c>
      <c r="S28" s="825">
        <v>9.9999999999999995E-7</v>
      </c>
      <c r="T28" s="820">
        <v>9.9999999999999995E-7</v>
      </c>
      <c r="U28" s="820">
        <v>0</v>
      </c>
      <c r="V28" s="813">
        <f t="shared" ref="V28:V31" si="19">0.5*(MAX(S28:U28)-MIN(S28:U28))</f>
        <v>4.9999999999999998E-7</v>
      </c>
      <c r="W28" s="827">
        <f>R28*$X$28</f>
        <v>1.2E-4</v>
      </c>
      <c r="X28" s="803">
        <f>1.2/100</f>
        <v>1.2E-2</v>
      </c>
    </row>
    <row r="29" spans="1:24" ht="12.75" customHeight="1">
      <c r="A29" s="1252"/>
      <c r="B29" s="819">
        <v>0.1</v>
      </c>
      <c r="C29" s="820">
        <v>2E-3</v>
      </c>
      <c r="D29" s="820">
        <v>2E-3</v>
      </c>
      <c r="E29" s="820">
        <v>-1E-3</v>
      </c>
      <c r="F29" s="813">
        <f t="shared" si="17"/>
        <v>1.5E-3</v>
      </c>
      <c r="G29" s="819">
        <f t="shared" ref="G29:G31" si="20">B29*$H$28</f>
        <v>1.2000000000000001E-3</v>
      </c>
      <c r="H29" s="810"/>
      <c r="I29" s="1252"/>
      <c r="J29" s="819">
        <v>0.1</v>
      </c>
      <c r="K29" s="825">
        <v>5.0000000000000001E-3</v>
      </c>
      <c r="L29" s="825">
        <v>5.0000000000000001E-3</v>
      </c>
      <c r="M29" s="820">
        <v>6.0000000000000001E-3</v>
      </c>
      <c r="N29" s="813">
        <f t="shared" si="18"/>
        <v>5.0000000000000001E-4</v>
      </c>
      <c r="O29" s="819">
        <f t="shared" ref="O29:O31" si="21">J29*$P$28</f>
        <v>1.2000000000000001E-3</v>
      </c>
      <c r="P29" s="810"/>
      <c r="Q29" s="1252"/>
      <c r="R29" s="819">
        <v>0.1</v>
      </c>
      <c r="S29" s="825">
        <v>9.9999999999999995E-7</v>
      </c>
      <c r="T29" s="820">
        <v>9.9999999999999995E-7</v>
      </c>
      <c r="U29" s="820">
        <v>-2E-3</v>
      </c>
      <c r="V29" s="813">
        <f t="shared" si="19"/>
        <v>1.0005000000000001E-3</v>
      </c>
      <c r="W29" s="827">
        <f t="shared" ref="W29:W31" si="22">R29*$X$28</f>
        <v>1.2000000000000001E-3</v>
      </c>
    </row>
    <row r="30" spans="1:24" ht="12.75" customHeight="1">
      <c r="A30" s="1252"/>
      <c r="B30" s="819">
        <v>1</v>
      </c>
      <c r="C30" s="820">
        <v>1.2E-2</v>
      </c>
      <c r="D30" s="820">
        <v>1.2E-2</v>
      </c>
      <c r="E30" s="820">
        <v>4.0000000000000001E-3</v>
      </c>
      <c r="F30" s="813">
        <f t="shared" si="17"/>
        <v>4.0000000000000001E-3</v>
      </c>
      <c r="G30" s="819">
        <f t="shared" si="20"/>
        <v>1.2E-2</v>
      </c>
      <c r="H30" s="810"/>
      <c r="I30" s="1252"/>
      <c r="J30" s="819">
        <v>1</v>
      </c>
      <c r="K30" s="825">
        <v>5.5E-2</v>
      </c>
      <c r="L30" s="825">
        <v>5.5E-2</v>
      </c>
      <c r="M30" s="820">
        <v>4.4999999999999998E-2</v>
      </c>
      <c r="N30" s="813">
        <f t="shared" si="18"/>
        <v>5.000000000000001E-3</v>
      </c>
      <c r="O30" s="819">
        <f t="shared" si="21"/>
        <v>1.2E-2</v>
      </c>
      <c r="P30" s="810"/>
      <c r="Q30" s="1252"/>
      <c r="R30" s="819">
        <v>1</v>
      </c>
      <c r="S30" s="825">
        <v>9.9999999999999995E-7</v>
      </c>
      <c r="T30" s="825">
        <v>6.0000000000000001E-3</v>
      </c>
      <c r="U30" s="825">
        <v>-1.2E-2</v>
      </c>
      <c r="V30" s="813">
        <f t="shared" si="19"/>
        <v>9.0000000000000011E-3</v>
      </c>
      <c r="W30" s="827">
        <f t="shared" si="22"/>
        <v>1.2E-2</v>
      </c>
    </row>
    <row r="31" spans="1:24" ht="12.75" customHeight="1">
      <c r="A31" s="1253"/>
      <c r="B31" s="819">
        <v>2</v>
      </c>
      <c r="C31" s="820">
        <v>9.9999999999999995E-7</v>
      </c>
      <c r="D31" s="820">
        <v>9.9999999999999995E-7</v>
      </c>
      <c r="E31" s="820">
        <v>7.0000000000000001E-3</v>
      </c>
      <c r="F31" s="813">
        <f t="shared" si="17"/>
        <v>3.4995E-3</v>
      </c>
      <c r="G31" s="819">
        <f t="shared" si="20"/>
        <v>2.4E-2</v>
      </c>
      <c r="H31" s="810"/>
      <c r="I31" s="1253"/>
      <c r="J31" s="819">
        <v>2</v>
      </c>
      <c r="K31" s="825">
        <v>9.9999999999999995E-7</v>
      </c>
      <c r="L31" s="825">
        <v>9.9999999999999995E-7</v>
      </c>
      <c r="M31" s="820">
        <v>9.9999999999999995E-7</v>
      </c>
      <c r="N31" s="813">
        <f t="shared" si="18"/>
        <v>0</v>
      </c>
      <c r="O31" s="828">
        <f t="shared" si="21"/>
        <v>2.4E-2</v>
      </c>
      <c r="P31" s="810"/>
      <c r="Q31" s="1253"/>
      <c r="R31" s="819">
        <v>2</v>
      </c>
      <c r="S31" s="825">
        <v>9.9999999999999995E-7</v>
      </c>
      <c r="T31" s="825">
        <v>1.2999999999999999E-2</v>
      </c>
      <c r="U31" s="825">
        <v>-8.0000000000000002E-3</v>
      </c>
      <c r="V31" s="813">
        <f t="shared" si="19"/>
        <v>1.0499999999999999E-2</v>
      </c>
      <c r="W31" s="827">
        <f t="shared" si="22"/>
        <v>2.4E-2</v>
      </c>
    </row>
    <row r="32" spans="1:24" s="831" customFormat="1" ht="19.5" customHeight="1">
      <c r="A32" s="829"/>
      <c r="B32" s="830"/>
      <c r="C32" s="830"/>
      <c r="E32" s="830"/>
      <c r="F32" s="830"/>
      <c r="G32" s="830"/>
      <c r="H32" s="832"/>
      <c r="I32" s="830"/>
      <c r="J32" s="830"/>
      <c r="K32" s="830"/>
      <c r="M32" s="830"/>
      <c r="N32" s="830"/>
      <c r="O32" s="830"/>
      <c r="P32" s="832"/>
      <c r="Q32" s="830"/>
      <c r="R32" s="830"/>
      <c r="S32" s="830"/>
      <c r="U32" s="830"/>
      <c r="V32" s="830"/>
      <c r="W32" s="833"/>
      <c r="X32" s="834"/>
    </row>
    <row r="33" spans="1:24" ht="30" customHeight="1">
      <c r="A33" s="1251">
        <v>4</v>
      </c>
      <c r="B33" s="1262" t="str">
        <f>A169</f>
        <v>Electrical Safety Analyzer, Merek : Fluke, Model : ESA 615, SN : 2853078</v>
      </c>
      <c r="C33" s="1262"/>
      <c r="D33" s="1262"/>
      <c r="E33" s="1262"/>
      <c r="F33" s="1262"/>
      <c r="G33" s="1262"/>
      <c r="H33" s="835"/>
      <c r="I33" s="1251">
        <v>5</v>
      </c>
      <c r="J33" s="1254" t="str">
        <f>A170</f>
        <v>Electrical Safety Analyzer, Merek : Fluke, Model : ESA 615, SN : 3148907</v>
      </c>
      <c r="K33" s="1254"/>
      <c r="L33" s="1254"/>
      <c r="M33" s="1254"/>
      <c r="N33" s="1254"/>
      <c r="O33" s="1254"/>
      <c r="P33" s="805"/>
      <c r="Q33" s="1251">
        <v>6</v>
      </c>
      <c r="R33" s="1262" t="str">
        <f>A171</f>
        <v>Electrical Safety Analyzer, Merek : Fluke, Model : ESA 615, SN : 3148908</v>
      </c>
      <c r="S33" s="1262"/>
      <c r="T33" s="1262"/>
      <c r="U33" s="1262"/>
      <c r="V33" s="1262"/>
      <c r="W33" s="1262"/>
    </row>
    <row r="34" spans="1:24" ht="15" customHeight="1">
      <c r="A34" s="1252"/>
      <c r="B34" s="1263" t="s">
        <v>493</v>
      </c>
      <c r="C34" s="1263"/>
      <c r="D34" s="1263"/>
      <c r="E34" s="1263"/>
      <c r="F34" s="836"/>
      <c r="G34" s="836"/>
      <c r="H34" s="807"/>
      <c r="I34" s="1252"/>
      <c r="J34" s="1263" t="s">
        <v>493</v>
      </c>
      <c r="K34" s="1263"/>
      <c r="L34" s="1263"/>
      <c r="M34" s="1263"/>
      <c r="N34" s="836"/>
      <c r="O34" s="836"/>
      <c r="P34" s="807"/>
      <c r="Q34" s="1252"/>
      <c r="R34" s="1263" t="s">
        <v>493</v>
      </c>
      <c r="S34" s="1263"/>
      <c r="T34" s="1263"/>
      <c r="U34" s="1263"/>
      <c r="V34" s="836"/>
      <c r="W34" s="836"/>
    </row>
    <row r="35" spans="1:24" ht="12.75" customHeight="1">
      <c r="A35" s="1252"/>
      <c r="B35" s="1259" t="s">
        <v>494</v>
      </c>
      <c r="C35" s="1260"/>
      <c r="D35" s="1260"/>
      <c r="E35" s="1261"/>
      <c r="F35" s="809" t="s">
        <v>495</v>
      </c>
      <c r="G35" s="809" t="s">
        <v>396</v>
      </c>
      <c r="H35" s="810"/>
      <c r="I35" s="1252"/>
      <c r="J35" s="1259" t="s">
        <v>494</v>
      </c>
      <c r="K35" s="1260"/>
      <c r="L35" s="1260"/>
      <c r="M35" s="1261"/>
      <c r="N35" s="809" t="s">
        <v>495</v>
      </c>
      <c r="O35" s="809" t="s">
        <v>396</v>
      </c>
      <c r="P35" s="810"/>
      <c r="Q35" s="1252"/>
      <c r="R35" s="1259" t="s">
        <v>494</v>
      </c>
      <c r="S35" s="1260"/>
      <c r="T35" s="1260"/>
      <c r="U35" s="1261"/>
      <c r="V35" s="809" t="s">
        <v>495</v>
      </c>
      <c r="W35" s="809" t="s">
        <v>396</v>
      </c>
    </row>
    <row r="36" spans="1:24" ht="15" customHeight="1">
      <c r="A36" s="1252"/>
      <c r="B36" s="808" t="s">
        <v>496</v>
      </c>
      <c r="C36" s="809">
        <v>2019</v>
      </c>
      <c r="D36" s="809">
        <v>2019</v>
      </c>
      <c r="E36" s="809">
        <v>2021</v>
      </c>
      <c r="F36" s="809"/>
      <c r="G36" s="809"/>
      <c r="H36" s="810"/>
      <c r="I36" s="1252"/>
      <c r="J36" s="808" t="s">
        <v>496</v>
      </c>
      <c r="K36" s="809">
        <v>2019</v>
      </c>
      <c r="L36" s="809">
        <v>2019</v>
      </c>
      <c r="M36" s="809">
        <v>2021</v>
      </c>
      <c r="N36" s="809"/>
      <c r="O36" s="809"/>
      <c r="P36" s="810"/>
      <c r="Q36" s="1252"/>
      <c r="R36" s="837" t="s">
        <v>496</v>
      </c>
      <c r="S36" s="838">
        <v>2018</v>
      </c>
      <c r="T36" s="838">
        <v>2019</v>
      </c>
      <c r="U36" s="838">
        <v>2022</v>
      </c>
      <c r="V36" s="809"/>
      <c r="W36" s="809"/>
    </row>
    <row r="37" spans="1:24" ht="12.75" customHeight="1">
      <c r="A37" s="1252"/>
      <c r="B37" s="819">
        <v>150</v>
      </c>
      <c r="C37" s="815">
        <v>0.11</v>
      </c>
      <c r="D37" s="815">
        <v>0.11</v>
      </c>
      <c r="E37" s="815">
        <v>-0.05</v>
      </c>
      <c r="F37" s="813">
        <f>0.5*(MAX(C37:E37)-MIN(C37:E37))</f>
        <v>0.08</v>
      </c>
      <c r="G37" s="823">
        <f>B37*$H$37</f>
        <v>1.8</v>
      </c>
      <c r="H37" s="810">
        <f>1.2/100</f>
        <v>1.2E-2</v>
      </c>
      <c r="I37" s="1252"/>
      <c r="J37" s="839">
        <v>150</v>
      </c>
      <c r="K37" s="815">
        <v>0.02</v>
      </c>
      <c r="L37" s="815">
        <v>0.02</v>
      </c>
      <c r="M37" s="815">
        <v>0.25</v>
      </c>
      <c r="N37" s="813">
        <f t="shared" ref="N37:N42" si="23">0.5*(MAX(K37:M37)-MIN(K37:M37))</f>
        <v>0.115</v>
      </c>
      <c r="O37" s="823">
        <f>J37*$P$37</f>
        <v>1.8</v>
      </c>
      <c r="P37" s="810">
        <f>1.2/100</f>
        <v>1.2E-2</v>
      </c>
      <c r="Q37" s="1252"/>
      <c r="R37" s="811">
        <v>150</v>
      </c>
      <c r="S37" s="815">
        <v>0.03</v>
      </c>
      <c r="T37" s="815">
        <v>-0.15</v>
      </c>
      <c r="U37" s="815">
        <v>0.15</v>
      </c>
      <c r="V37" s="813">
        <f t="shared" ref="V37:V42" si="24">0.5*(MAX(S37:U37)-MIN(S37:U37))</f>
        <v>0.15</v>
      </c>
      <c r="W37" s="817">
        <f>R37*$X$37</f>
        <v>1.8</v>
      </c>
      <c r="X37" s="803">
        <f>1.2/100</f>
        <v>1.2E-2</v>
      </c>
    </row>
    <row r="38" spans="1:24" ht="12.75" customHeight="1">
      <c r="A38" s="1252"/>
      <c r="B38" s="819">
        <v>180</v>
      </c>
      <c r="C38" s="815">
        <v>0.03</v>
      </c>
      <c r="D38" s="815">
        <v>0.03</v>
      </c>
      <c r="E38" s="815">
        <v>-0.04</v>
      </c>
      <c r="F38" s="813">
        <f t="shared" ref="F38:F42" si="25">0.5*(MAX(C38:E38)-MIN(C38:E38))</f>
        <v>3.5000000000000003E-2</v>
      </c>
      <c r="G38" s="823">
        <f t="shared" ref="G38:G42" si="26">B38*$H$37</f>
        <v>2.16</v>
      </c>
      <c r="H38" s="810"/>
      <c r="I38" s="1252"/>
      <c r="J38" s="839">
        <v>180</v>
      </c>
      <c r="K38" s="815">
        <v>0.1</v>
      </c>
      <c r="L38" s="815">
        <v>0.1</v>
      </c>
      <c r="M38" s="815">
        <v>0.09</v>
      </c>
      <c r="N38" s="813">
        <f t="shared" si="23"/>
        <v>5.0000000000000044E-3</v>
      </c>
      <c r="O38" s="823">
        <f t="shared" ref="O38:O42" si="27">J38*$P$37</f>
        <v>2.16</v>
      </c>
      <c r="P38" s="810"/>
      <c r="Q38" s="1252"/>
      <c r="R38" s="811">
        <v>180</v>
      </c>
      <c r="S38" s="815">
        <v>0</v>
      </c>
      <c r="T38" s="815">
        <v>-0.11</v>
      </c>
      <c r="U38" s="815">
        <v>0.17</v>
      </c>
      <c r="V38" s="813">
        <f t="shared" si="24"/>
        <v>0.14000000000000001</v>
      </c>
      <c r="W38" s="817">
        <f t="shared" ref="W38:W42" si="28">R38*$X$37</f>
        <v>2.16</v>
      </c>
    </row>
    <row r="39" spans="1:24" ht="12.75" customHeight="1">
      <c r="A39" s="1252"/>
      <c r="B39" s="819">
        <v>200</v>
      </c>
      <c r="C39" s="815">
        <v>0.05</v>
      </c>
      <c r="D39" s="815">
        <v>0.05</v>
      </c>
      <c r="E39" s="815">
        <v>-6.7000000000000004E-2</v>
      </c>
      <c r="F39" s="813">
        <f t="shared" si="25"/>
        <v>5.8500000000000003E-2</v>
      </c>
      <c r="G39" s="823">
        <f t="shared" si="26"/>
        <v>2.4</v>
      </c>
      <c r="H39" s="810"/>
      <c r="I39" s="1252"/>
      <c r="J39" s="839">
        <v>200</v>
      </c>
      <c r="K39" s="815">
        <v>-0.03</v>
      </c>
      <c r="L39" s="815">
        <v>-0.03</v>
      </c>
      <c r="M39" s="815">
        <v>0.18</v>
      </c>
      <c r="N39" s="813">
        <f t="shared" si="23"/>
        <v>0.105</v>
      </c>
      <c r="O39" s="823">
        <f t="shared" si="27"/>
        <v>2.4</v>
      </c>
      <c r="P39" s="810"/>
      <c r="Q39" s="1252"/>
      <c r="R39" s="811">
        <v>200</v>
      </c>
      <c r="S39" s="815">
        <v>0.05</v>
      </c>
      <c r="T39" s="815">
        <v>-0.1</v>
      </c>
      <c r="U39" s="815">
        <v>0.1</v>
      </c>
      <c r="V39" s="813">
        <f t="shared" si="24"/>
        <v>0.1</v>
      </c>
      <c r="W39" s="817">
        <f t="shared" si="28"/>
        <v>2.4</v>
      </c>
    </row>
    <row r="40" spans="1:24" ht="12.75" customHeight="1">
      <c r="A40" s="1252"/>
      <c r="B40" s="819">
        <v>220</v>
      </c>
      <c r="C40" s="815">
        <v>0.1</v>
      </c>
      <c r="D40" s="815">
        <v>0.1</v>
      </c>
      <c r="E40" s="815">
        <v>9.9999999999999995E-7</v>
      </c>
      <c r="F40" s="813">
        <f t="shared" si="25"/>
        <v>4.9999500000000002E-2</v>
      </c>
      <c r="G40" s="823">
        <f t="shared" si="26"/>
        <v>2.64</v>
      </c>
      <c r="H40" s="810"/>
      <c r="I40" s="1252"/>
      <c r="J40" s="839">
        <v>220</v>
      </c>
      <c r="K40" s="815">
        <v>0.38</v>
      </c>
      <c r="L40" s="815">
        <v>0.38</v>
      </c>
      <c r="M40" s="815">
        <v>0.56000000000000005</v>
      </c>
      <c r="N40" s="813">
        <f t="shared" si="23"/>
        <v>9.0000000000000024E-2</v>
      </c>
      <c r="O40" s="823">
        <f t="shared" si="27"/>
        <v>2.64</v>
      </c>
      <c r="P40" s="810"/>
      <c r="Q40" s="1252"/>
      <c r="R40" s="811">
        <v>220</v>
      </c>
      <c r="S40" s="815">
        <v>0.05</v>
      </c>
      <c r="T40" s="815">
        <v>-0.13</v>
      </c>
      <c r="U40" s="815">
        <v>7.0000000000000007E-2</v>
      </c>
      <c r="V40" s="813">
        <f t="shared" si="24"/>
        <v>0.1</v>
      </c>
      <c r="W40" s="817">
        <f t="shared" si="28"/>
        <v>2.64</v>
      </c>
    </row>
    <row r="41" spans="1:24" ht="12.75" customHeight="1">
      <c r="A41" s="1252"/>
      <c r="B41" s="819">
        <v>230</v>
      </c>
      <c r="C41" s="815">
        <v>0.36799999999999999</v>
      </c>
      <c r="D41" s="815">
        <v>0.36799999999999999</v>
      </c>
      <c r="E41" s="815">
        <v>-0.11</v>
      </c>
      <c r="F41" s="813">
        <f t="shared" si="25"/>
        <v>0.23899999999999999</v>
      </c>
      <c r="G41" s="823">
        <f t="shared" si="26"/>
        <v>2.7600000000000002</v>
      </c>
      <c r="H41" s="810"/>
      <c r="I41" s="1252"/>
      <c r="J41" s="839">
        <v>230</v>
      </c>
      <c r="K41" s="815">
        <v>-0.16</v>
      </c>
      <c r="L41" s="815">
        <v>-0.16</v>
      </c>
      <c r="M41" s="815">
        <v>0.73</v>
      </c>
      <c r="N41" s="813">
        <f t="shared" si="23"/>
        <v>0.44500000000000001</v>
      </c>
      <c r="O41" s="823">
        <f t="shared" si="27"/>
        <v>2.7600000000000002</v>
      </c>
      <c r="P41" s="810"/>
      <c r="Q41" s="1252"/>
      <c r="R41" s="811">
        <v>230</v>
      </c>
      <c r="S41" s="815">
        <v>-0.05</v>
      </c>
      <c r="T41" s="815">
        <v>-0.15</v>
      </c>
      <c r="U41" s="815">
        <v>0.08</v>
      </c>
      <c r="V41" s="813">
        <f t="shared" si="24"/>
        <v>0.11499999999999999</v>
      </c>
      <c r="W41" s="817">
        <f t="shared" si="28"/>
        <v>2.7600000000000002</v>
      </c>
    </row>
    <row r="42" spans="1:24" ht="12.75" customHeight="1">
      <c r="A42" s="1252"/>
      <c r="B42" s="819">
        <v>250</v>
      </c>
      <c r="C42" s="815">
        <v>9.9999999999999995E-7</v>
      </c>
      <c r="D42" s="815">
        <v>9.9999999999999995E-7</v>
      </c>
      <c r="E42" s="820">
        <v>9.9999999999999995E-7</v>
      </c>
      <c r="F42" s="813">
        <f t="shared" si="25"/>
        <v>0</v>
      </c>
      <c r="G42" s="823">
        <f t="shared" si="26"/>
        <v>3</v>
      </c>
      <c r="H42" s="810"/>
      <c r="I42" s="1252"/>
      <c r="J42" s="839">
        <v>250</v>
      </c>
      <c r="K42" s="815">
        <v>9.9999999999999995E-7</v>
      </c>
      <c r="L42" s="815">
        <v>9.9999999999999995E-7</v>
      </c>
      <c r="M42" s="815">
        <v>9.9999999999999995E-7</v>
      </c>
      <c r="N42" s="813">
        <f t="shared" si="23"/>
        <v>0</v>
      </c>
      <c r="O42" s="823">
        <f t="shared" si="27"/>
        <v>3</v>
      </c>
      <c r="P42" s="810"/>
      <c r="Q42" s="1252"/>
      <c r="R42" s="811">
        <v>250</v>
      </c>
      <c r="S42" s="815">
        <v>9.9999999999999995E-7</v>
      </c>
      <c r="T42" s="815">
        <v>9.9999999999999995E-7</v>
      </c>
      <c r="U42" s="815">
        <v>9.9999999999999995E-7</v>
      </c>
      <c r="V42" s="813">
        <f t="shared" si="24"/>
        <v>0</v>
      </c>
      <c r="W42" s="817">
        <f t="shared" si="28"/>
        <v>3</v>
      </c>
    </row>
    <row r="43" spans="1:24" ht="12.75" customHeight="1">
      <c r="A43" s="1252"/>
      <c r="B43" s="1256" t="s">
        <v>497</v>
      </c>
      <c r="C43" s="1257"/>
      <c r="D43" s="1257"/>
      <c r="E43" s="1258"/>
      <c r="F43" s="809" t="s">
        <v>495</v>
      </c>
      <c r="G43" s="809" t="s">
        <v>396</v>
      </c>
      <c r="H43" s="810"/>
      <c r="I43" s="1252"/>
      <c r="J43" s="1256" t="s">
        <v>497</v>
      </c>
      <c r="K43" s="1257"/>
      <c r="L43" s="1257"/>
      <c r="M43" s="1258"/>
      <c r="N43" s="809" t="s">
        <v>495</v>
      </c>
      <c r="O43" s="809" t="s">
        <v>396</v>
      </c>
      <c r="P43" s="810"/>
      <c r="Q43" s="1252"/>
      <c r="R43" s="1256" t="s">
        <v>497</v>
      </c>
      <c r="S43" s="1257"/>
      <c r="T43" s="1257"/>
      <c r="U43" s="1258"/>
      <c r="V43" s="809" t="s">
        <v>495</v>
      </c>
      <c r="W43" s="809" t="s">
        <v>396</v>
      </c>
    </row>
    <row r="44" spans="1:24" ht="15" customHeight="1">
      <c r="A44" s="1252"/>
      <c r="B44" s="808" t="s">
        <v>498</v>
      </c>
      <c r="C44" s="809">
        <f>C36</f>
        <v>2019</v>
      </c>
      <c r="D44" s="809">
        <f>D36</f>
        <v>2019</v>
      </c>
      <c r="E44" s="809">
        <f>E36</f>
        <v>2021</v>
      </c>
      <c r="F44" s="809"/>
      <c r="G44" s="809"/>
      <c r="H44" s="810"/>
      <c r="I44" s="1252"/>
      <c r="J44" s="808" t="s">
        <v>498</v>
      </c>
      <c r="K44" s="809">
        <f>K36</f>
        <v>2019</v>
      </c>
      <c r="L44" s="809">
        <f>L36</f>
        <v>2019</v>
      </c>
      <c r="M44" s="809">
        <f>M36</f>
        <v>2021</v>
      </c>
      <c r="N44" s="809"/>
      <c r="O44" s="809"/>
      <c r="P44" s="810"/>
      <c r="Q44" s="1252"/>
      <c r="R44" s="808" t="s">
        <v>498</v>
      </c>
      <c r="S44" s="809">
        <f>S36</f>
        <v>2018</v>
      </c>
      <c r="T44" s="809">
        <f>T36</f>
        <v>2019</v>
      </c>
      <c r="U44" s="809">
        <f>U36</f>
        <v>2022</v>
      </c>
      <c r="V44" s="809"/>
      <c r="W44" s="809"/>
    </row>
    <row r="45" spans="1:24" ht="12.75" customHeight="1">
      <c r="A45" s="1252"/>
      <c r="B45" s="819">
        <v>0</v>
      </c>
      <c r="C45" s="814">
        <v>9.9999999999999995E-7</v>
      </c>
      <c r="D45" s="814">
        <v>9.9999999999999995E-7</v>
      </c>
      <c r="E45" s="818">
        <v>9.9999999999999995E-7</v>
      </c>
      <c r="F45" s="813">
        <f>0.5*(MAX(C45:E45)-MIN(C45:E45))</f>
        <v>0</v>
      </c>
      <c r="G45" s="823">
        <f>B45*$H$45</f>
        <v>0</v>
      </c>
      <c r="H45" s="810">
        <f>0.59/100</f>
        <v>5.8999999999999999E-3</v>
      </c>
      <c r="I45" s="1252"/>
      <c r="J45" s="840">
        <v>1.0000000000000001E-5</v>
      </c>
      <c r="K45" s="817">
        <v>9.9999999999999995E-7</v>
      </c>
      <c r="L45" s="817">
        <v>9.9999999999999995E-7</v>
      </c>
      <c r="M45" s="817">
        <v>9.9999999999999995E-7</v>
      </c>
      <c r="N45" s="813">
        <f t="shared" ref="N45:N50" si="29">0.5*(MAX(K45:M45)-MIN(K45:M45))</f>
        <v>0</v>
      </c>
      <c r="O45" s="823">
        <f>J45*$P$45</f>
        <v>5.9000000000000006E-8</v>
      </c>
      <c r="P45" s="810">
        <f>0.59/100</f>
        <v>5.8999999999999999E-3</v>
      </c>
      <c r="Q45" s="1252"/>
      <c r="R45" s="824">
        <v>9.9999999999999995E-7</v>
      </c>
      <c r="S45" s="817">
        <v>9.9999999999999995E-7</v>
      </c>
      <c r="T45" s="817">
        <v>9.9999999999999995E-7</v>
      </c>
      <c r="U45" s="817">
        <v>9.9999999999999995E-7</v>
      </c>
      <c r="V45" s="813">
        <f t="shared" ref="V45:V50" si="30">0.5*(MAX(S45:U45)-MIN(S45:U45))</f>
        <v>0</v>
      </c>
      <c r="W45" s="823">
        <f>R45*$X$45</f>
        <v>5.8999999999999999E-9</v>
      </c>
      <c r="X45" s="803">
        <f>0.59/100</f>
        <v>5.8999999999999999E-3</v>
      </c>
    </row>
    <row r="46" spans="1:24" ht="12.75" customHeight="1">
      <c r="A46" s="1252"/>
      <c r="B46" s="819">
        <v>50</v>
      </c>
      <c r="C46" s="815">
        <v>0.2</v>
      </c>
      <c r="D46" s="815">
        <v>0.2</v>
      </c>
      <c r="E46" s="815">
        <v>0.4</v>
      </c>
      <c r="F46" s="813">
        <f t="shared" ref="F46:F50" si="31">0.5*(MAX(C46:E46)-MIN(C46:E46))</f>
        <v>0.1</v>
      </c>
      <c r="G46" s="823">
        <f t="shared" ref="G46:G50" si="32">B46*$H$45</f>
        <v>0.29499999999999998</v>
      </c>
      <c r="H46" s="810"/>
      <c r="I46" s="1252"/>
      <c r="J46" s="839">
        <v>50</v>
      </c>
      <c r="K46" s="815">
        <v>-0.33</v>
      </c>
      <c r="L46" s="815">
        <v>-0.33</v>
      </c>
      <c r="M46" s="815">
        <v>1.2</v>
      </c>
      <c r="N46" s="813">
        <f t="shared" si="29"/>
        <v>0.76500000000000001</v>
      </c>
      <c r="O46" s="823">
        <f t="shared" ref="O46:O50" si="33">J46*$P$45</f>
        <v>0.29499999999999998</v>
      </c>
      <c r="P46" s="810"/>
      <c r="Q46" s="1252"/>
      <c r="R46" s="819">
        <v>50</v>
      </c>
      <c r="S46" s="815">
        <v>2.1</v>
      </c>
      <c r="T46" s="815">
        <v>2.6</v>
      </c>
      <c r="U46" s="824">
        <v>19.100000000000001</v>
      </c>
      <c r="V46" s="813">
        <f t="shared" si="30"/>
        <v>8.5</v>
      </c>
      <c r="W46" s="823">
        <f t="shared" ref="W46:W50" si="34">R46*$X$45</f>
        <v>0.29499999999999998</v>
      </c>
    </row>
    <row r="47" spans="1:24" ht="12.75" customHeight="1">
      <c r="A47" s="1252"/>
      <c r="B47" s="819">
        <v>100</v>
      </c>
      <c r="C47" s="815">
        <v>0.3</v>
      </c>
      <c r="D47" s="815">
        <v>0.3</v>
      </c>
      <c r="E47" s="815">
        <v>0.4</v>
      </c>
      <c r="F47" s="813">
        <f t="shared" si="31"/>
        <v>5.0000000000000017E-2</v>
      </c>
      <c r="G47" s="823">
        <f t="shared" si="32"/>
        <v>0.59</v>
      </c>
      <c r="H47" s="810"/>
      <c r="I47" s="1252"/>
      <c r="J47" s="839">
        <v>100</v>
      </c>
      <c r="K47" s="815">
        <v>-0.42</v>
      </c>
      <c r="L47" s="815">
        <v>-0.42</v>
      </c>
      <c r="M47" s="815">
        <v>3.9</v>
      </c>
      <c r="N47" s="813">
        <f t="shared" si="29"/>
        <v>2.16</v>
      </c>
      <c r="O47" s="823">
        <f t="shared" si="33"/>
        <v>0.59</v>
      </c>
      <c r="P47" s="810"/>
      <c r="Q47" s="1252"/>
      <c r="R47" s="819">
        <v>100</v>
      </c>
      <c r="S47" s="815">
        <v>2.2999999999999998</v>
      </c>
      <c r="T47" s="815">
        <v>2.6</v>
      </c>
      <c r="U47" s="824">
        <v>18.399999999999999</v>
      </c>
      <c r="V47" s="813">
        <f t="shared" si="30"/>
        <v>8.0499999999999989</v>
      </c>
      <c r="W47" s="823">
        <f t="shared" si="34"/>
        <v>0.59</v>
      </c>
    </row>
    <row r="48" spans="1:24" ht="12.75" customHeight="1">
      <c r="A48" s="1252"/>
      <c r="B48" s="819">
        <v>200</v>
      </c>
      <c r="C48" s="815">
        <v>1.4</v>
      </c>
      <c r="D48" s="815">
        <v>1.4</v>
      </c>
      <c r="E48" s="820">
        <v>9.9999999999999995E-7</v>
      </c>
      <c r="F48" s="813">
        <f t="shared" si="31"/>
        <v>0.6999995</v>
      </c>
      <c r="G48" s="823">
        <f t="shared" si="32"/>
        <v>1.18</v>
      </c>
      <c r="H48" s="810"/>
      <c r="I48" s="1252"/>
      <c r="J48" s="839">
        <v>200</v>
      </c>
      <c r="K48" s="815">
        <v>1.3</v>
      </c>
      <c r="L48" s="815">
        <v>1.3</v>
      </c>
      <c r="M48" s="820">
        <v>9.9999999999999995E-7</v>
      </c>
      <c r="N48" s="813">
        <f t="shared" si="29"/>
        <v>0.64999950000000006</v>
      </c>
      <c r="O48" s="823">
        <f t="shared" si="33"/>
        <v>1.18</v>
      </c>
      <c r="P48" s="810"/>
      <c r="Q48" s="1252"/>
      <c r="R48" s="819">
        <v>200</v>
      </c>
      <c r="S48" s="815">
        <v>0.2</v>
      </c>
      <c r="T48" s="815">
        <v>3.1</v>
      </c>
      <c r="U48" s="824">
        <v>14.4</v>
      </c>
      <c r="V48" s="813">
        <f t="shared" si="30"/>
        <v>7.1000000000000005</v>
      </c>
      <c r="W48" s="823">
        <f t="shared" si="34"/>
        <v>1.18</v>
      </c>
    </row>
    <row r="49" spans="1:24" ht="12.75" customHeight="1">
      <c r="A49" s="1252"/>
      <c r="B49" s="819">
        <v>500</v>
      </c>
      <c r="C49" s="815">
        <v>2.8</v>
      </c>
      <c r="D49" s="815">
        <v>2.8</v>
      </c>
      <c r="E49" s="815">
        <v>1.5</v>
      </c>
      <c r="F49" s="813">
        <f t="shared" si="31"/>
        <v>0.64999999999999991</v>
      </c>
      <c r="G49" s="823">
        <f t="shared" si="32"/>
        <v>2.9499999999999997</v>
      </c>
      <c r="H49" s="810"/>
      <c r="I49" s="1252"/>
      <c r="J49" s="839">
        <v>500</v>
      </c>
      <c r="K49" s="815">
        <v>0.7</v>
      </c>
      <c r="L49" s="815">
        <v>0.7</v>
      </c>
      <c r="M49" s="815">
        <v>9.3000000000000007</v>
      </c>
      <c r="N49" s="813">
        <f t="shared" si="29"/>
        <v>4.3000000000000007</v>
      </c>
      <c r="O49" s="823">
        <f t="shared" si="33"/>
        <v>2.9499999999999997</v>
      </c>
      <c r="P49" s="810"/>
      <c r="Q49" s="1252"/>
      <c r="R49" s="819">
        <v>500</v>
      </c>
      <c r="S49" s="815">
        <v>2.8</v>
      </c>
      <c r="T49" s="815">
        <v>3.9</v>
      </c>
      <c r="U49" s="824">
        <v>6.2</v>
      </c>
      <c r="V49" s="813">
        <f t="shared" si="30"/>
        <v>1.7000000000000002</v>
      </c>
      <c r="W49" s="823">
        <f t="shared" si="34"/>
        <v>2.9499999999999997</v>
      </c>
    </row>
    <row r="50" spans="1:24" ht="12.75" customHeight="1">
      <c r="A50" s="1252"/>
      <c r="B50" s="819">
        <v>1000</v>
      </c>
      <c r="C50" s="815">
        <v>1.2E-2</v>
      </c>
      <c r="D50" s="815">
        <v>1.2E-2</v>
      </c>
      <c r="E50" s="815">
        <v>2</v>
      </c>
      <c r="F50" s="813">
        <f t="shared" si="31"/>
        <v>0.99399999999999999</v>
      </c>
      <c r="G50" s="823">
        <f t="shared" si="32"/>
        <v>5.8999999999999995</v>
      </c>
      <c r="H50" s="810"/>
      <c r="I50" s="1252"/>
      <c r="J50" s="839">
        <v>1000</v>
      </c>
      <c r="K50" s="815">
        <v>9.9999999999999995E-7</v>
      </c>
      <c r="L50" s="815">
        <v>9.9999999999999995E-7</v>
      </c>
      <c r="M50" s="815">
        <v>-11</v>
      </c>
      <c r="N50" s="813">
        <f t="shared" si="29"/>
        <v>5.5000004999999996</v>
      </c>
      <c r="O50" s="823">
        <f t="shared" si="33"/>
        <v>5.8999999999999995</v>
      </c>
      <c r="P50" s="810"/>
      <c r="Q50" s="1252"/>
      <c r="R50" s="819">
        <v>1000</v>
      </c>
      <c r="S50" s="825">
        <v>13</v>
      </c>
      <c r="T50" s="825">
        <v>5.0000000000000001E-3</v>
      </c>
      <c r="U50" s="824">
        <v>-11</v>
      </c>
      <c r="V50" s="813">
        <f t="shared" si="30"/>
        <v>12</v>
      </c>
      <c r="W50" s="823">
        <f t="shared" si="34"/>
        <v>5.8999999999999995</v>
      </c>
    </row>
    <row r="51" spans="1:24" ht="12.75" customHeight="1">
      <c r="A51" s="1252"/>
      <c r="B51" s="1256" t="str">
        <f>B20</f>
        <v>Main-PE</v>
      </c>
      <c r="C51" s="1257"/>
      <c r="D51" s="1257"/>
      <c r="E51" s="1258"/>
      <c r="F51" s="809" t="s">
        <v>495</v>
      </c>
      <c r="G51" s="809" t="s">
        <v>396</v>
      </c>
      <c r="H51" s="810"/>
      <c r="I51" s="1252"/>
      <c r="J51" s="1256" t="str">
        <f>B51</f>
        <v>Main-PE</v>
      </c>
      <c r="K51" s="1257"/>
      <c r="L51" s="1257"/>
      <c r="M51" s="1258"/>
      <c r="N51" s="809" t="s">
        <v>495</v>
      </c>
      <c r="O51" s="809" t="s">
        <v>396</v>
      </c>
      <c r="P51" s="810"/>
      <c r="Q51" s="1252"/>
      <c r="R51" s="1256" t="str">
        <f>J51</f>
        <v>Main-PE</v>
      </c>
      <c r="S51" s="1257"/>
      <c r="T51" s="1257"/>
      <c r="U51" s="1258"/>
      <c r="V51" s="809" t="s">
        <v>495</v>
      </c>
      <c r="W51" s="809" t="s">
        <v>396</v>
      </c>
    </row>
    <row r="52" spans="1:24" ht="15" customHeight="1">
      <c r="A52" s="1252"/>
      <c r="B52" s="808" t="s">
        <v>582</v>
      </c>
      <c r="C52" s="809">
        <f>C36</f>
        <v>2019</v>
      </c>
      <c r="D52" s="809">
        <f>D36</f>
        <v>2019</v>
      </c>
      <c r="E52" s="809">
        <f>E36</f>
        <v>2021</v>
      </c>
      <c r="F52" s="809"/>
      <c r="G52" s="809"/>
      <c r="H52" s="810"/>
      <c r="I52" s="1252"/>
      <c r="J52" s="808" t="s">
        <v>582</v>
      </c>
      <c r="K52" s="809">
        <f>K36</f>
        <v>2019</v>
      </c>
      <c r="L52" s="809">
        <f>L36</f>
        <v>2019</v>
      </c>
      <c r="M52" s="809">
        <f>M36</f>
        <v>2021</v>
      </c>
      <c r="N52" s="809"/>
      <c r="O52" s="809"/>
      <c r="P52" s="810"/>
      <c r="Q52" s="1252"/>
      <c r="R52" s="808" t="s">
        <v>582</v>
      </c>
      <c r="S52" s="809">
        <f>S36</f>
        <v>2018</v>
      </c>
      <c r="T52" s="809">
        <f>T36</f>
        <v>2019</v>
      </c>
      <c r="U52" s="809">
        <f>U36</f>
        <v>2022</v>
      </c>
      <c r="V52" s="809"/>
      <c r="W52" s="809"/>
    </row>
    <row r="53" spans="1:24" ht="12.75" customHeight="1">
      <c r="A53" s="1252"/>
      <c r="B53" s="819">
        <v>10</v>
      </c>
      <c r="C53" s="815">
        <v>0.1</v>
      </c>
      <c r="D53" s="815">
        <v>0.1</v>
      </c>
      <c r="E53" s="820">
        <v>9.9999999999999995E-7</v>
      </c>
      <c r="F53" s="813">
        <f>0.5*(MAX(C53:E53)-MIN(C53:E53))</f>
        <v>4.9999500000000002E-2</v>
      </c>
      <c r="G53" s="824">
        <f>B53*$H$53</f>
        <v>0.17</v>
      </c>
      <c r="H53" s="810">
        <f>1.7/100</f>
        <v>1.7000000000000001E-2</v>
      </c>
      <c r="I53" s="1252"/>
      <c r="J53" s="819">
        <v>10</v>
      </c>
      <c r="K53" s="815">
        <v>0.1</v>
      </c>
      <c r="L53" s="815">
        <v>0.1</v>
      </c>
      <c r="M53" s="815">
        <v>9.9999999999999995E-7</v>
      </c>
      <c r="N53" s="813">
        <f>0.5*(MAX(K53:M53)-MIN(K53:M53))</f>
        <v>4.9999500000000002E-2</v>
      </c>
      <c r="O53" s="824">
        <f>J53*$P$53</f>
        <v>0.17</v>
      </c>
      <c r="P53" s="810">
        <f>1.7/100</f>
        <v>1.7000000000000001E-2</v>
      </c>
      <c r="Q53" s="1252"/>
      <c r="R53" s="819">
        <v>9.9999999999999995E-7</v>
      </c>
      <c r="S53" s="815">
        <v>9.9999999999999995E-7</v>
      </c>
      <c r="T53" s="815">
        <v>0.1</v>
      </c>
      <c r="U53" s="815">
        <v>0.1</v>
      </c>
      <c r="V53" s="813">
        <f t="shared" ref="V53:V56" si="35">0.5*(MAX(S53:U53)-MIN(S53:U53))</f>
        <v>4.9999500000000002E-2</v>
      </c>
      <c r="W53" s="824">
        <f>R53*$X$53</f>
        <v>1.7E-8</v>
      </c>
      <c r="X53" s="803">
        <f>1.7/100</f>
        <v>1.7000000000000001E-2</v>
      </c>
    </row>
    <row r="54" spans="1:24" ht="12.75" customHeight="1">
      <c r="A54" s="1252"/>
      <c r="B54" s="819">
        <v>20</v>
      </c>
      <c r="C54" s="815">
        <v>0.2</v>
      </c>
      <c r="D54" s="815">
        <v>0.2</v>
      </c>
      <c r="E54" s="815">
        <v>0.1</v>
      </c>
      <c r="F54" s="813">
        <f t="shared" ref="F54:F56" si="36">0.5*(MAX(C54:E54)-MIN(C54:E54))</f>
        <v>0.05</v>
      </c>
      <c r="G54" s="824">
        <f t="shared" ref="G54:G56" si="37">B54*$H$53</f>
        <v>0.34</v>
      </c>
      <c r="H54" s="810"/>
      <c r="I54" s="1252"/>
      <c r="J54" s="819">
        <v>20</v>
      </c>
      <c r="K54" s="815">
        <v>0.1</v>
      </c>
      <c r="L54" s="815">
        <v>0.1</v>
      </c>
      <c r="M54" s="815">
        <v>0.1</v>
      </c>
      <c r="N54" s="813">
        <f>0.5*(MAX(K54:M54)-MIN(K54:M54))</f>
        <v>0</v>
      </c>
      <c r="O54" s="824">
        <f t="shared" ref="O54:O56" si="38">J54*$P$53</f>
        <v>0.34</v>
      </c>
      <c r="P54" s="810"/>
      <c r="Q54" s="1252"/>
      <c r="R54" s="819">
        <v>20</v>
      </c>
      <c r="S54" s="815">
        <v>0.1</v>
      </c>
      <c r="T54" s="815">
        <v>0.1</v>
      </c>
      <c r="U54" s="815">
        <v>0.1</v>
      </c>
      <c r="V54" s="813">
        <f t="shared" si="35"/>
        <v>0</v>
      </c>
      <c r="W54" s="824">
        <f t="shared" ref="W54:W56" si="39">R54*$X$53</f>
        <v>0.34</v>
      </c>
    </row>
    <row r="55" spans="1:24" ht="12.75" customHeight="1">
      <c r="A55" s="1252"/>
      <c r="B55" s="819">
        <v>50</v>
      </c>
      <c r="C55" s="815">
        <v>0.5</v>
      </c>
      <c r="D55" s="815">
        <v>0.5</v>
      </c>
      <c r="E55" s="815">
        <v>0.4</v>
      </c>
      <c r="F55" s="813">
        <f t="shared" si="36"/>
        <v>4.9999999999999989E-2</v>
      </c>
      <c r="G55" s="824">
        <f t="shared" si="37"/>
        <v>0.85000000000000009</v>
      </c>
      <c r="H55" s="810"/>
      <c r="I55" s="1252"/>
      <c r="J55" s="819">
        <v>50</v>
      </c>
      <c r="K55" s="815">
        <v>0.4</v>
      </c>
      <c r="L55" s="815">
        <v>0.4</v>
      </c>
      <c r="M55" s="815">
        <v>0.6</v>
      </c>
      <c r="N55" s="813">
        <f>0.5*(MAX(K55:M55)-MIN(K55:M55))</f>
        <v>9.9999999999999978E-2</v>
      </c>
      <c r="O55" s="824">
        <f t="shared" si="38"/>
        <v>0.85000000000000009</v>
      </c>
      <c r="P55" s="810"/>
      <c r="Q55" s="1252"/>
      <c r="R55" s="819">
        <v>50</v>
      </c>
      <c r="S55" s="815">
        <v>0.3</v>
      </c>
      <c r="T55" s="815">
        <v>0.3</v>
      </c>
      <c r="U55" s="815">
        <v>0.3</v>
      </c>
      <c r="V55" s="813">
        <f t="shared" si="35"/>
        <v>0</v>
      </c>
      <c r="W55" s="824">
        <f t="shared" si="39"/>
        <v>0.85000000000000009</v>
      </c>
    </row>
    <row r="56" spans="1:24" ht="12.75" customHeight="1">
      <c r="A56" s="1252"/>
      <c r="B56" s="819">
        <v>100</v>
      </c>
      <c r="C56" s="815">
        <v>1</v>
      </c>
      <c r="D56" s="815">
        <v>1</v>
      </c>
      <c r="E56" s="815">
        <v>1.4</v>
      </c>
      <c r="F56" s="813">
        <f t="shared" si="36"/>
        <v>0.19999999999999996</v>
      </c>
      <c r="G56" s="824">
        <f t="shared" si="37"/>
        <v>1.7000000000000002</v>
      </c>
      <c r="H56" s="810"/>
      <c r="I56" s="1252"/>
      <c r="J56" s="819">
        <v>100</v>
      </c>
      <c r="K56" s="815">
        <v>0.8</v>
      </c>
      <c r="L56" s="815">
        <v>0.8</v>
      </c>
      <c r="M56" s="815">
        <v>1.5</v>
      </c>
      <c r="N56" s="813">
        <f>0.5*(MAX(K56:M56)-MIN(K56:M56))</f>
        <v>0.35</v>
      </c>
      <c r="O56" s="824">
        <f t="shared" si="38"/>
        <v>1.7000000000000002</v>
      </c>
      <c r="P56" s="810"/>
      <c r="Q56" s="1252"/>
      <c r="R56" s="819">
        <v>100</v>
      </c>
      <c r="S56" s="815">
        <v>0.9</v>
      </c>
      <c r="T56" s="815">
        <v>0.6</v>
      </c>
      <c r="U56" s="815">
        <v>0.6</v>
      </c>
      <c r="V56" s="813">
        <f t="shared" si="35"/>
        <v>0.15000000000000002</v>
      </c>
      <c r="W56" s="824">
        <f t="shared" si="39"/>
        <v>1.7000000000000002</v>
      </c>
    </row>
    <row r="57" spans="1:24" ht="12.75" customHeight="1">
      <c r="A57" s="1252"/>
      <c r="B57" s="1256" t="str">
        <f>B26</f>
        <v>Resistance</v>
      </c>
      <c r="C57" s="1257"/>
      <c r="D57" s="1257"/>
      <c r="E57" s="1258"/>
      <c r="F57" s="809" t="s">
        <v>495</v>
      </c>
      <c r="G57" s="809" t="s">
        <v>396</v>
      </c>
      <c r="H57" s="810"/>
      <c r="I57" s="1252"/>
      <c r="J57" s="1256" t="str">
        <f>B57</f>
        <v>Resistance</v>
      </c>
      <c r="K57" s="1257"/>
      <c r="L57" s="1257"/>
      <c r="M57" s="1258"/>
      <c r="N57" s="809" t="s">
        <v>495</v>
      </c>
      <c r="O57" s="809" t="s">
        <v>396</v>
      </c>
      <c r="P57" s="810"/>
      <c r="Q57" s="1252"/>
      <c r="R57" s="1256" t="str">
        <f>J57</f>
        <v>Resistance</v>
      </c>
      <c r="S57" s="1257"/>
      <c r="T57" s="1257"/>
      <c r="U57" s="1258"/>
      <c r="V57" s="809" t="s">
        <v>495</v>
      </c>
      <c r="W57" s="809" t="s">
        <v>396</v>
      </c>
    </row>
    <row r="58" spans="1:24" ht="15" customHeight="1">
      <c r="A58" s="1252"/>
      <c r="B58" s="808" t="s">
        <v>583</v>
      </c>
      <c r="C58" s="809">
        <f>C36</f>
        <v>2019</v>
      </c>
      <c r="D58" s="809">
        <f>D36</f>
        <v>2019</v>
      </c>
      <c r="E58" s="809">
        <f>E36</f>
        <v>2021</v>
      </c>
      <c r="F58" s="809"/>
      <c r="G58" s="809"/>
      <c r="H58" s="810"/>
      <c r="I58" s="1252"/>
      <c r="J58" s="808" t="s">
        <v>583</v>
      </c>
      <c r="K58" s="809">
        <f>K36</f>
        <v>2019</v>
      </c>
      <c r="L58" s="809">
        <f>L36</f>
        <v>2019</v>
      </c>
      <c r="M58" s="809">
        <f>M36</f>
        <v>2021</v>
      </c>
      <c r="N58" s="809"/>
      <c r="O58" s="809"/>
      <c r="P58" s="810"/>
      <c r="Q58" s="1252"/>
      <c r="R58" s="808" t="s">
        <v>583</v>
      </c>
      <c r="S58" s="809">
        <f>S36</f>
        <v>2018</v>
      </c>
      <c r="T58" s="809">
        <f>T36</f>
        <v>2019</v>
      </c>
      <c r="U58" s="809">
        <f>U36</f>
        <v>2022</v>
      </c>
      <c r="V58" s="809"/>
      <c r="W58" s="809"/>
    </row>
    <row r="59" spans="1:24" ht="12.75" customHeight="1">
      <c r="A59" s="1252"/>
      <c r="B59" s="819">
        <v>0.01</v>
      </c>
      <c r="C59" s="825">
        <v>9.9999999999999995E-7</v>
      </c>
      <c r="D59" s="825">
        <v>9.9999999999999995E-7</v>
      </c>
      <c r="E59" s="820">
        <v>9.9999999999999995E-7</v>
      </c>
      <c r="F59" s="813">
        <f>0.5*(MAX(C59:E59)-MIN(C59:E59))</f>
        <v>0</v>
      </c>
      <c r="G59" s="819">
        <f>B59*$H$59</f>
        <v>1.2E-4</v>
      </c>
      <c r="H59" s="810">
        <f>1.2/100</f>
        <v>1.2E-2</v>
      </c>
      <c r="I59" s="1252"/>
      <c r="J59" s="839">
        <v>0.01</v>
      </c>
      <c r="K59" s="825">
        <v>9.9999999999999995E-7</v>
      </c>
      <c r="L59" s="825">
        <v>9.9999999999999995E-7</v>
      </c>
      <c r="M59" s="825">
        <v>9.9999999999999995E-7</v>
      </c>
      <c r="N59" s="813">
        <f>0.5*(MAX(K59:M59)-MIN(K59:M59))</f>
        <v>0</v>
      </c>
      <c r="O59" s="819">
        <f>J59*$P$59</f>
        <v>1.2E-4</v>
      </c>
      <c r="P59" s="810">
        <f>1.2/100</f>
        <v>1.2E-2</v>
      </c>
      <c r="Q59" s="1252"/>
      <c r="R59" s="819">
        <v>0.01</v>
      </c>
      <c r="S59" s="825">
        <v>9.9999999999999995E-7</v>
      </c>
      <c r="T59" s="825">
        <v>9.9999999999999995E-7</v>
      </c>
      <c r="U59" s="825">
        <v>9.9999999999999995E-7</v>
      </c>
      <c r="V59" s="813">
        <f t="shared" ref="V59:V62" si="40">0.5*(MAX(S59:U59)-MIN(S59:U59))</f>
        <v>0</v>
      </c>
      <c r="W59" s="819">
        <f>R59*$X$59</f>
        <v>1.2E-4</v>
      </c>
      <c r="X59" s="841">
        <f>1.2/100</f>
        <v>1.2E-2</v>
      </c>
    </row>
    <row r="60" spans="1:24" ht="12.75" customHeight="1">
      <c r="A60" s="1252"/>
      <c r="B60" s="819">
        <v>0.1</v>
      </c>
      <c r="C60" s="825">
        <v>9.9999999999999995E-7</v>
      </c>
      <c r="D60" s="825">
        <v>9.9999999999999995E-7</v>
      </c>
      <c r="E60" s="825">
        <v>-2E-3</v>
      </c>
      <c r="F60" s="813">
        <f t="shared" ref="F60:F62" si="41">0.5*(MAX(C60:E60)-MIN(C60:E60))</f>
        <v>1.0005000000000001E-3</v>
      </c>
      <c r="G60" s="819">
        <f t="shared" ref="G60:G62" si="42">B60*$H$59</f>
        <v>1.2000000000000001E-3</v>
      </c>
      <c r="H60" s="810"/>
      <c r="I60" s="1252"/>
      <c r="J60" s="839">
        <v>0.1</v>
      </c>
      <c r="K60" s="825">
        <v>2E-3</v>
      </c>
      <c r="L60" s="825">
        <v>2E-3</v>
      </c>
      <c r="M60" s="825">
        <v>5.0000000000000001E-3</v>
      </c>
      <c r="N60" s="813">
        <f>0.5*(MAX(K60:M60)-MIN(K60:M60))</f>
        <v>1.5E-3</v>
      </c>
      <c r="O60" s="819">
        <f t="shared" ref="O60:O62" si="43">J60*$P$59</f>
        <v>1.2000000000000001E-3</v>
      </c>
      <c r="P60" s="810"/>
      <c r="Q60" s="1252"/>
      <c r="R60" s="819">
        <v>0.1</v>
      </c>
      <c r="S60" s="825">
        <v>1E-3</v>
      </c>
      <c r="T60" s="825">
        <v>-2E-3</v>
      </c>
      <c r="U60" s="825">
        <v>-3.0000000000000001E-3</v>
      </c>
      <c r="V60" s="813">
        <f t="shared" si="40"/>
        <v>2E-3</v>
      </c>
      <c r="W60" s="819">
        <f t="shared" ref="W60:W62" si="44">R60*$X$59</f>
        <v>1.2000000000000001E-3</v>
      </c>
    </row>
    <row r="61" spans="1:24" ht="12.75" customHeight="1">
      <c r="A61" s="1252"/>
      <c r="B61" s="819">
        <v>1</v>
      </c>
      <c r="C61" s="825">
        <v>-1E-3</v>
      </c>
      <c r="D61" s="825">
        <v>-1E-3</v>
      </c>
      <c r="E61" s="825">
        <v>-8.0000000000000002E-3</v>
      </c>
      <c r="F61" s="813">
        <f t="shared" si="41"/>
        <v>3.5000000000000001E-3</v>
      </c>
      <c r="G61" s="819">
        <f t="shared" si="42"/>
        <v>1.2E-2</v>
      </c>
      <c r="H61" s="810"/>
      <c r="I61" s="1252"/>
      <c r="J61" s="839">
        <v>1</v>
      </c>
      <c r="K61" s="825">
        <v>1.2E-2</v>
      </c>
      <c r="L61" s="825">
        <v>1.2E-2</v>
      </c>
      <c r="M61" s="825">
        <v>1.7999999999999999E-2</v>
      </c>
      <c r="N61" s="813">
        <f t="shared" ref="N61:N62" si="45">0.5*(MAX(K61:M61)-MIN(K61:M61))</f>
        <v>2.9999999999999992E-3</v>
      </c>
      <c r="O61" s="819">
        <f t="shared" si="43"/>
        <v>1.2E-2</v>
      </c>
      <c r="P61" s="810"/>
      <c r="Q61" s="1252"/>
      <c r="R61" s="819">
        <v>1</v>
      </c>
      <c r="S61" s="825">
        <v>2E-3</v>
      </c>
      <c r="T61" s="825">
        <v>-1E-3</v>
      </c>
      <c r="U61" s="825">
        <v>-7.0000000000000001E-3</v>
      </c>
      <c r="V61" s="813">
        <f t="shared" si="40"/>
        <v>4.5000000000000005E-3</v>
      </c>
      <c r="W61" s="819">
        <f t="shared" si="44"/>
        <v>1.2E-2</v>
      </c>
    </row>
    <row r="62" spans="1:24" ht="12.75" customHeight="1">
      <c r="A62" s="1253"/>
      <c r="B62" s="819">
        <v>2</v>
      </c>
      <c r="C62" s="825">
        <v>9.9999999999999995E-7</v>
      </c>
      <c r="D62" s="825">
        <v>9.9999999999999995E-7</v>
      </c>
      <c r="E62" s="825">
        <v>-7.0000000000000001E-3</v>
      </c>
      <c r="F62" s="813">
        <f t="shared" si="41"/>
        <v>3.5005000000000001E-3</v>
      </c>
      <c r="G62" s="819">
        <f t="shared" si="42"/>
        <v>2.4E-2</v>
      </c>
      <c r="H62" s="810" t="s">
        <v>42</v>
      </c>
      <c r="I62" s="1253"/>
      <c r="J62" s="839">
        <v>2</v>
      </c>
      <c r="K62" s="825">
        <v>9.9999999999999995E-7</v>
      </c>
      <c r="L62" s="825">
        <v>9.9999999999999995E-7</v>
      </c>
      <c r="M62" s="825">
        <v>0.113</v>
      </c>
      <c r="N62" s="813">
        <f t="shared" si="45"/>
        <v>5.6499500000000001E-2</v>
      </c>
      <c r="O62" s="819">
        <f t="shared" si="43"/>
        <v>2.4E-2</v>
      </c>
      <c r="P62" s="810"/>
      <c r="Q62" s="1253"/>
      <c r="R62" s="819">
        <v>2</v>
      </c>
      <c r="S62" s="825">
        <v>0</v>
      </c>
      <c r="T62" s="820">
        <v>9.9999999999999995E-7</v>
      </c>
      <c r="U62" s="820">
        <v>-7.0000000000000001E-3</v>
      </c>
      <c r="V62" s="813">
        <f t="shared" si="40"/>
        <v>3.5005000000000001E-3</v>
      </c>
      <c r="W62" s="819">
        <f t="shared" si="44"/>
        <v>2.4E-2</v>
      </c>
    </row>
    <row r="63" spans="1:24" s="831" customFormat="1" ht="15.5">
      <c r="A63" s="842"/>
      <c r="B63" s="843"/>
      <c r="C63" s="844"/>
      <c r="E63" s="844"/>
      <c r="F63" s="844"/>
      <c r="G63" s="844"/>
      <c r="H63" s="832"/>
      <c r="I63" s="845"/>
      <c r="J63" s="846"/>
      <c r="K63" s="844"/>
      <c r="M63" s="844"/>
      <c r="N63" s="844"/>
      <c r="O63" s="844"/>
      <c r="P63" s="832"/>
      <c r="Q63" s="845"/>
      <c r="R63" s="843"/>
      <c r="S63" s="844"/>
      <c r="U63" s="830"/>
      <c r="V63" s="830"/>
      <c r="W63" s="833"/>
      <c r="X63" s="834"/>
    </row>
    <row r="64" spans="1:24" ht="30" customHeight="1">
      <c r="A64" s="1251">
        <v>7</v>
      </c>
      <c r="B64" s="1262" t="str">
        <f>A172</f>
        <v>Electrical Safety Analyzer, Merek : Fluke, Model : ESA 615, SN : 3699030</v>
      </c>
      <c r="C64" s="1262"/>
      <c r="D64" s="1262"/>
      <c r="E64" s="1262"/>
      <c r="F64" s="1262"/>
      <c r="G64" s="1262"/>
      <c r="H64" s="805"/>
      <c r="I64" s="1251">
        <v>8</v>
      </c>
      <c r="J64" s="1254" t="str">
        <f>A173</f>
        <v>Electrical Safety Analyzer, Merek : Fluke, Model : ESA 615, SN : 4670010</v>
      </c>
      <c r="K64" s="1254"/>
      <c r="L64" s="1254"/>
      <c r="M64" s="1254"/>
      <c r="N64" s="1254"/>
      <c r="O64" s="1254"/>
      <c r="P64" s="805"/>
      <c r="Q64" s="1251">
        <v>9</v>
      </c>
      <c r="R64" s="1254" t="str">
        <f>A174</f>
        <v>Electrical Safety Analyzer, Merek : Fluke, Model : ESA 615, SN : 4669058</v>
      </c>
      <c r="S64" s="1254"/>
      <c r="T64" s="1254"/>
      <c r="U64" s="1254"/>
      <c r="V64" s="1254"/>
      <c r="W64" s="1254"/>
    </row>
    <row r="65" spans="1:26" ht="15" customHeight="1">
      <c r="A65" s="1252"/>
      <c r="B65" s="1263" t="s">
        <v>493</v>
      </c>
      <c r="C65" s="1263"/>
      <c r="D65" s="1263"/>
      <c r="E65" s="1263"/>
      <c r="F65" s="836"/>
      <c r="G65" s="836"/>
      <c r="H65" s="807"/>
      <c r="I65" s="1252"/>
      <c r="J65" s="1264" t="s">
        <v>493</v>
      </c>
      <c r="K65" s="1265"/>
      <c r="L65" s="1265"/>
      <c r="M65" s="1266"/>
      <c r="N65" s="837"/>
      <c r="O65" s="837"/>
      <c r="P65" s="807"/>
      <c r="Q65" s="1252"/>
      <c r="R65" s="1263" t="s">
        <v>493</v>
      </c>
      <c r="S65" s="1263"/>
      <c r="T65" s="1263"/>
      <c r="U65" s="1263"/>
      <c r="V65" s="837"/>
      <c r="W65" s="837"/>
    </row>
    <row r="66" spans="1:26" ht="12.75" customHeight="1">
      <c r="A66" s="1252"/>
      <c r="B66" s="1259" t="s">
        <v>494</v>
      </c>
      <c r="C66" s="1260"/>
      <c r="D66" s="1260"/>
      <c r="E66" s="1261"/>
      <c r="F66" s="809" t="s">
        <v>495</v>
      </c>
      <c r="G66" s="809" t="s">
        <v>396</v>
      </c>
      <c r="H66" s="810"/>
      <c r="I66" s="1252"/>
      <c r="J66" s="1259" t="s">
        <v>494</v>
      </c>
      <c r="K66" s="1260"/>
      <c r="L66" s="1260"/>
      <c r="M66" s="1261"/>
      <c r="N66" s="809" t="s">
        <v>495</v>
      </c>
      <c r="O66" s="809" t="s">
        <v>396</v>
      </c>
      <c r="P66" s="810"/>
      <c r="Q66" s="1252"/>
      <c r="R66" s="1259" t="s">
        <v>494</v>
      </c>
      <c r="S66" s="1260"/>
      <c r="T66" s="1260"/>
      <c r="U66" s="1261"/>
      <c r="V66" s="809" t="s">
        <v>495</v>
      </c>
      <c r="W66" s="809" t="s">
        <v>396</v>
      </c>
    </row>
    <row r="67" spans="1:26" ht="15" customHeight="1">
      <c r="A67" s="1252"/>
      <c r="B67" s="808" t="s">
        <v>496</v>
      </c>
      <c r="C67" s="809">
        <v>2019</v>
      </c>
      <c r="D67" s="809">
        <v>2020</v>
      </c>
      <c r="E67" s="809">
        <v>2022</v>
      </c>
      <c r="F67" s="809"/>
      <c r="G67" s="809"/>
      <c r="H67" s="810"/>
      <c r="I67" s="1252"/>
      <c r="J67" s="808" t="s">
        <v>496</v>
      </c>
      <c r="K67" s="809">
        <v>2019</v>
      </c>
      <c r="L67" s="809">
        <v>2020</v>
      </c>
      <c r="M67" s="809">
        <v>2022</v>
      </c>
      <c r="N67" s="809"/>
      <c r="O67" s="809"/>
      <c r="P67" s="810"/>
      <c r="Q67" s="1252"/>
      <c r="R67" s="808" t="s">
        <v>496</v>
      </c>
      <c r="S67" s="809">
        <v>2019</v>
      </c>
      <c r="T67" s="809">
        <v>2020</v>
      </c>
      <c r="U67" s="809">
        <v>2022</v>
      </c>
      <c r="V67" s="809"/>
      <c r="W67" s="809"/>
    </row>
    <row r="68" spans="1:26" ht="12.75" customHeight="1">
      <c r="A68" s="1252"/>
      <c r="B68" s="811">
        <v>150</v>
      </c>
      <c r="C68" s="812">
        <v>0.21</v>
      </c>
      <c r="D68" s="812">
        <v>0.21</v>
      </c>
      <c r="E68" s="812">
        <v>0.36</v>
      </c>
      <c r="F68" s="813">
        <f t="shared" ref="F68:F73" si="46">0.5*(MAX(C68:E68)-MIN(C68:E68))</f>
        <v>7.4999999999999997E-2</v>
      </c>
      <c r="G68" s="817">
        <f>B68*$H$68</f>
        <v>1.8</v>
      </c>
      <c r="H68" s="810">
        <f>1.2/100</f>
        <v>1.2E-2</v>
      </c>
      <c r="I68" s="1252"/>
      <c r="J68" s="811">
        <v>150</v>
      </c>
      <c r="K68" s="814">
        <v>9.9999999999999995E-7</v>
      </c>
      <c r="L68" s="812">
        <v>-0.17</v>
      </c>
      <c r="M68" s="812">
        <v>-0.08</v>
      </c>
      <c r="N68" s="813">
        <f>0.5*(MAX(K68:M68)-MIN(K68:M68))</f>
        <v>8.5000500000000007E-2</v>
      </c>
      <c r="O68" s="847">
        <v>1.8</v>
      </c>
      <c r="P68" s="810">
        <f>1.2/100</f>
        <v>1.2E-2</v>
      </c>
      <c r="Q68" s="1252"/>
      <c r="R68" s="811">
        <v>150</v>
      </c>
      <c r="S68" s="814">
        <v>9.9999999999999995E-7</v>
      </c>
      <c r="T68" s="812">
        <v>-0.24</v>
      </c>
      <c r="U68" s="812">
        <v>-0.17</v>
      </c>
      <c r="V68" s="813">
        <f t="shared" ref="V68:V73" si="47">0.5*(MAX(S68:U68)-MIN(S68:U68))</f>
        <v>0.1200005</v>
      </c>
      <c r="W68" s="812">
        <v>1.8</v>
      </c>
      <c r="X68" s="803">
        <f>1.2/100</f>
        <v>1.2E-2</v>
      </c>
    </row>
    <row r="69" spans="1:26" ht="12.75" customHeight="1">
      <c r="A69" s="1252"/>
      <c r="B69" s="811">
        <v>180</v>
      </c>
      <c r="C69" s="818">
        <v>0.33</v>
      </c>
      <c r="D69" s="818">
        <v>0.33</v>
      </c>
      <c r="E69" s="818">
        <v>0.46</v>
      </c>
      <c r="F69" s="813">
        <f t="shared" si="46"/>
        <v>6.5000000000000002E-2</v>
      </c>
      <c r="G69" s="817">
        <f t="shared" ref="G69:G73" si="48">B69*$H$68</f>
        <v>2.16</v>
      </c>
      <c r="H69" s="810"/>
      <c r="I69" s="1252"/>
      <c r="J69" s="811">
        <v>180</v>
      </c>
      <c r="K69" s="814">
        <v>9.9999999999999995E-7</v>
      </c>
      <c r="L69" s="818">
        <v>-0.22</v>
      </c>
      <c r="M69" s="818">
        <v>-0.2</v>
      </c>
      <c r="N69" s="813">
        <f t="shared" ref="N69:N73" si="49">0.5*(MAX(K69:M69)-MIN(K69:M69))</f>
        <v>0.1100005</v>
      </c>
      <c r="O69" s="812">
        <v>2.16</v>
      </c>
      <c r="P69" s="810"/>
      <c r="Q69" s="1252"/>
      <c r="R69" s="811">
        <v>180</v>
      </c>
      <c r="S69" s="814">
        <v>9.9999999999999995E-7</v>
      </c>
      <c r="T69" s="818">
        <v>-0.14000000000000001</v>
      </c>
      <c r="U69" s="818">
        <v>-0.39</v>
      </c>
      <c r="V69" s="813">
        <f t="shared" si="47"/>
        <v>0.19500049999999999</v>
      </c>
      <c r="W69" s="812">
        <v>2.16</v>
      </c>
    </row>
    <row r="70" spans="1:26" ht="12.75" customHeight="1">
      <c r="A70" s="1252"/>
      <c r="B70" s="811">
        <v>200</v>
      </c>
      <c r="C70" s="818">
        <v>0.34</v>
      </c>
      <c r="D70" s="818">
        <v>0.34</v>
      </c>
      <c r="E70" s="818">
        <v>0.52</v>
      </c>
      <c r="F70" s="813">
        <f t="shared" si="46"/>
        <v>0.09</v>
      </c>
      <c r="G70" s="817">
        <f t="shared" si="48"/>
        <v>2.4</v>
      </c>
      <c r="H70" s="810"/>
      <c r="I70" s="1252"/>
      <c r="J70" s="811">
        <v>200</v>
      </c>
      <c r="K70" s="814">
        <v>9.9999999999999995E-7</v>
      </c>
      <c r="L70" s="848">
        <v>-0.33</v>
      </c>
      <c r="M70" s="848">
        <v>-0.25</v>
      </c>
      <c r="N70" s="813">
        <f t="shared" si="49"/>
        <v>0.16500049999999999</v>
      </c>
      <c r="O70" s="812">
        <v>2.4</v>
      </c>
      <c r="P70" s="810"/>
      <c r="Q70" s="1252"/>
      <c r="R70" s="811">
        <v>200</v>
      </c>
      <c r="S70" s="814">
        <v>9.9999999999999995E-7</v>
      </c>
      <c r="T70" s="818">
        <v>-0.33</v>
      </c>
      <c r="U70" s="818">
        <v>-0.23</v>
      </c>
      <c r="V70" s="813">
        <f t="shared" si="47"/>
        <v>0.16500049999999999</v>
      </c>
      <c r="W70" s="812">
        <v>2.4</v>
      </c>
    </row>
    <row r="71" spans="1:26" ht="12.75" customHeight="1">
      <c r="A71" s="1252"/>
      <c r="B71" s="811">
        <v>220</v>
      </c>
      <c r="C71" s="818">
        <v>0.37</v>
      </c>
      <c r="D71" s="818">
        <v>0.37</v>
      </c>
      <c r="E71" s="818">
        <v>0.57999999999999996</v>
      </c>
      <c r="F71" s="813">
        <f t="shared" si="46"/>
        <v>0.10499999999999998</v>
      </c>
      <c r="G71" s="817">
        <f t="shared" si="48"/>
        <v>2.64</v>
      </c>
      <c r="H71" s="810"/>
      <c r="I71" s="1252"/>
      <c r="J71" s="811">
        <v>220</v>
      </c>
      <c r="K71" s="814">
        <v>9.9999999999999995E-7</v>
      </c>
      <c r="L71" s="818">
        <v>-0.39</v>
      </c>
      <c r="M71" s="818">
        <v>-0.28999999999999998</v>
      </c>
      <c r="N71" s="813">
        <f t="shared" si="49"/>
        <v>0.19500049999999999</v>
      </c>
      <c r="O71" s="812">
        <v>2.64</v>
      </c>
      <c r="P71" s="810"/>
      <c r="Q71" s="1252"/>
      <c r="R71" s="811">
        <v>220</v>
      </c>
      <c r="S71" s="814">
        <v>9.9999999999999995E-7</v>
      </c>
      <c r="T71" s="818">
        <v>-0.45</v>
      </c>
      <c r="U71" s="818">
        <v>-0.16</v>
      </c>
      <c r="V71" s="813">
        <f t="shared" si="47"/>
        <v>0.22500049999999999</v>
      </c>
      <c r="W71" s="812">
        <v>2.64</v>
      </c>
    </row>
    <row r="72" spans="1:26" ht="12.75" customHeight="1">
      <c r="A72" s="1252"/>
      <c r="B72" s="811">
        <v>230</v>
      </c>
      <c r="C72" s="818">
        <v>0.47</v>
      </c>
      <c r="D72" s="818">
        <v>0.47</v>
      </c>
      <c r="E72" s="818">
        <v>0.47</v>
      </c>
      <c r="F72" s="813">
        <f t="shared" si="46"/>
        <v>0</v>
      </c>
      <c r="G72" s="817">
        <f t="shared" si="48"/>
        <v>2.7600000000000002</v>
      </c>
      <c r="H72" s="810"/>
      <c r="I72" s="1252"/>
      <c r="J72" s="811">
        <v>230</v>
      </c>
      <c r="K72" s="814">
        <v>9.9999999999999995E-7</v>
      </c>
      <c r="L72" s="849">
        <v>-0.39</v>
      </c>
      <c r="M72" s="849">
        <v>-0.34</v>
      </c>
      <c r="N72" s="813">
        <f t="shared" si="49"/>
        <v>0.19500049999999999</v>
      </c>
      <c r="O72" s="812">
        <v>2.76</v>
      </c>
      <c r="P72" s="810"/>
      <c r="Q72" s="1252"/>
      <c r="R72" s="811">
        <v>230</v>
      </c>
      <c r="S72" s="814">
        <v>9.9999999999999995E-7</v>
      </c>
      <c r="T72" s="818">
        <v>-0.54</v>
      </c>
      <c r="U72" s="818">
        <v>-0.15</v>
      </c>
      <c r="V72" s="813">
        <f t="shared" si="47"/>
        <v>0.27000050000000003</v>
      </c>
      <c r="W72" s="812">
        <v>2.76</v>
      </c>
    </row>
    <row r="73" spans="1:26" ht="12.75" customHeight="1">
      <c r="A73" s="1252"/>
      <c r="B73" s="811">
        <v>250</v>
      </c>
      <c r="C73" s="818">
        <v>9.9999999999999995E-7</v>
      </c>
      <c r="D73" s="818">
        <v>9.9999999999999995E-7</v>
      </c>
      <c r="E73" s="818">
        <v>9.9999999999999995E-7</v>
      </c>
      <c r="F73" s="813">
        <f t="shared" si="46"/>
        <v>0</v>
      </c>
      <c r="G73" s="817">
        <f t="shared" si="48"/>
        <v>3</v>
      </c>
      <c r="H73" s="810"/>
      <c r="I73" s="1252"/>
      <c r="J73" s="811">
        <v>250</v>
      </c>
      <c r="K73" s="814">
        <v>9.9999999999999995E-7</v>
      </c>
      <c r="L73" s="818">
        <v>9.9999999999999995E-7</v>
      </c>
      <c r="M73" s="818">
        <v>9.9999999999999995E-7</v>
      </c>
      <c r="N73" s="813">
        <f t="shared" si="49"/>
        <v>0</v>
      </c>
      <c r="O73" s="812">
        <v>3</v>
      </c>
      <c r="P73" s="810"/>
      <c r="Q73" s="1252"/>
      <c r="R73" s="811">
        <v>250</v>
      </c>
      <c r="S73" s="814">
        <v>9.9999999999999995E-7</v>
      </c>
      <c r="T73" s="818">
        <v>9.9999999999999995E-7</v>
      </c>
      <c r="U73" s="818">
        <v>9.9999999999999995E-7</v>
      </c>
      <c r="V73" s="813">
        <f t="shared" si="47"/>
        <v>0</v>
      </c>
      <c r="W73" s="818">
        <v>3</v>
      </c>
    </row>
    <row r="74" spans="1:26" ht="12.75" customHeight="1">
      <c r="A74" s="1252"/>
      <c r="B74" s="1256" t="s">
        <v>497</v>
      </c>
      <c r="C74" s="1257"/>
      <c r="D74" s="1257"/>
      <c r="E74" s="1258"/>
      <c r="F74" s="809" t="s">
        <v>495</v>
      </c>
      <c r="G74" s="809" t="s">
        <v>396</v>
      </c>
      <c r="H74" s="810"/>
      <c r="I74" s="1252"/>
      <c r="J74" s="1256" t="s">
        <v>497</v>
      </c>
      <c r="K74" s="1257"/>
      <c r="L74" s="1257"/>
      <c r="M74" s="1258"/>
      <c r="N74" s="809" t="s">
        <v>495</v>
      </c>
      <c r="O74" s="809" t="s">
        <v>396</v>
      </c>
      <c r="P74" s="810"/>
      <c r="Q74" s="1252"/>
      <c r="R74" s="1256" t="s">
        <v>497</v>
      </c>
      <c r="S74" s="1257"/>
      <c r="T74" s="1257"/>
      <c r="U74" s="1258"/>
      <c r="V74" s="809" t="s">
        <v>495</v>
      </c>
      <c r="W74" s="809" t="s">
        <v>396</v>
      </c>
      <c r="Z74" s="850"/>
    </row>
    <row r="75" spans="1:26" ht="15" customHeight="1">
      <c r="A75" s="1252"/>
      <c r="B75" s="808" t="s">
        <v>498</v>
      </c>
      <c r="C75" s="809">
        <f>C67</f>
        <v>2019</v>
      </c>
      <c r="D75" s="809">
        <f>D67</f>
        <v>2020</v>
      </c>
      <c r="E75" s="809">
        <f>E67</f>
        <v>2022</v>
      </c>
      <c r="F75" s="809"/>
      <c r="G75" s="809"/>
      <c r="H75" s="810"/>
      <c r="I75" s="1252"/>
      <c r="J75" s="808" t="s">
        <v>498</v>
      </c>
      <c r="K75" s="809">
        <f>K67</f>
        <v>2019</v>
      </c>
      <c r="L75" s="809">
        <f>L67</f>
        <v>2020</v>
      </c>
      <c r="M75" s="809">
        <f>M67</f>
        <v>2022</v>
      </c>
      <c r="N75" s="809"/>
      <c r="O75" s="809"/>
      <c r="P75" s="810"/>
      <c r="Q75" s="1252"/>
      <c r="R75" s="808" t="s">
        <v>498</v>
      </c>
      <c r="S75" s="809">
        <f>S67</f>
        <v>2019</v>
      </c>
      <c r="T75" s="809">
        <f>T67</f>
        <v>2020</v>
      </c>
      <c r="U75" s="809">
        <f>U67</f>
        <v>2022</v>
      </c>
      <c r="V75" s="809"/>
      <c r="W75" s="809"/>
    </row>
    <row r="76" spans="1:26" ht="12.75" customHeight="1">
      <c r="A76" s="1252"/>
      <c r="B76" s="824">
        <v>9.9999999999999995E-7</v>
      </c>
      <c r="C76" s="847">
        <v>9.9999999999999995E-7</v>
      </c>
      <c r="D76" s="847">
        <v>9.9999999999999995E-7</v>
      </c>
      <c r="E76" s="847">
        <v>9.9999999999999995E-7</v>
      </c>
      <c r="F76" s="813">
        <f t="shared" ref="F76:F81" si="50">0.5*(MAX(C76:E76)-MIN(C76:E76))</f>
        <v>0</v>
      </c>
      <c r="G76" s="823">
        <f>B76*$H$76</f>
        <v>5.8999999999999999E-9</v>
      </c>
      <c r="H76" s="810">
        <f>0.59/100</f>
        <v>5.8999999999999999E-3</v>
      </c>
      <c r="I76" s="1252"/>
      <c r="J76" s="824">
        <v>9.9999999999999995E-7</v>
      </c>
      <c r="K76" s="815">
        <v>9.9999999999999995E-7</v>
      </c>
      <c r="L76" s="820">
        <v>9.9999999999999995E-7</v>
      </c>
      <c r="M76" s="820">
        <v>9.9999999999999995E-7</v>
      </c>
      <c r="N76" s="813">
        <f t="shared" ref="N76:N81" si="51">0.5*(MAX(K76:M76)-MIN(K76:M76))</f>
        <v>0</v>
      </c>
      <c r="O76" s="851">
        <f>J76*$P$76</f>
        <v>5.8999999999999999E-9</v>
      </c>
      <c r="P76" s="810">
        <f>0.59/100</f>
        <v>5.8999999999999999E-3</v>
      </c>
      <c r="Q76" s="1252"/>
      <c r="R76" s="824">
        <v>9.9999999999999995E-7</v>
      </c>
      <c r="S76" s="815">
        <v>9.9999999999999995E-7</v>
      </c>
      <c r="T76" s="820">
        <v>9.9999999999999995E-7</v>
      </c>
      <c r="U76" s="820">
        <v>9.9999999999999995E-7</v>
      </c>
      <c r="V76" s="813">
        <f t="shared" ref="V76:V81" si="52">0.5*(MAX(S76:U76)-MIN(S76:U76))</f>
        <v>0</v>
      </c>
      <c r="W76" s="851">
        <f>R76*$X$76</f>
        <v>5.8999999999999999E-9</v>
      </c>
      <c r="X76" s="803">
        <f>0.59/100</f>
        <v>5.8999999999999999E-3</v>
      </c>
    </row>
    <row r="77" spans="1:26" ht="12.75" customHeight="1">
      <c r="A77" s="1252"/>
      <c r="B77" s="819">
        <v>50</v>
      </c>
      <c r="C77" s="818">
        <v>1.7</v>
      </c>
      <c r="D77" s="818">
        <v>1.7</v>
      </c>
      <c r="E77" s="818">
        <v>1.9</v>
      </c>
      <c r="F77" s="813">
        <f t="shared" si="50"/>
        <v>9.9999999999999978E-2</v>
      </c>
      <c r="G77" s="823">
        <f t="shared" ref="G77:G81" si="53">B77*$H$76</f>
        <v>0.29499999999999998</v>
      </c>
      <c r="H77" s="810"/>
      <c r="I77" s="1252"/>
      <c r="J77" s="819">
        <v>50</v>
      </c>
      <c r="K77" s="815">
        <v>9.9999999999999995E-7</v>
      </c>
      <c r="L77" s="818">
        <v>1.7</v>
      </c>
      <c r="M77" s="818">
        <v>9.1999999999999993</v>
      </c>
      <c r="N77" s="813">
        <f t="shared" si="51"/>
        <v>4.5999995</v>
      </c>
      <c r="O77" s="852">
        <f t="shared" ref="O77:O81" si="54">J77*$P$76</f>
        <v>0.29499999999999998</v>
      </c>
      <c r="P77" s="810"/>
      <c r="Q77" s="1252"/>
      <c r="R77" s="819">
        <v>50</v>
      </c>
      <c r="S77" s="815">
        <v>9.9999999999999995E-7</v>
      </c>
      <c r="T77" s="818">
        <v>2.1</v>
      </c>
      <c r="U77" s="818">
        <v>5</v>
      </c>
      <c r="V77" s="813">
        <f t="shared" si="52"/>
        <v>2.4999994999999999</v>
      </c>
      <c r="W77" s="852">
        <f t="shared" ref="W77:W81" si="55">R77*$X$76</f>
        <v>0.29499999999999998</v>
      </c>
    </row>
    <row r="78" spans="1:26" ht="12.75" customHeight="1">
      <c r="A78" s="1252"/>
      <c r="B78" s="819">
        <v>100</v>
      </c>
      <c r="C78" s="818">
        <v>1.7</v>
      </c>
      <c r="D78" s="818">
        <v>1.7</v>
      </c>
      <c r="E78" s="818">
        <v>1.7</v>
      </c>
      <c r="F78" s="813">
        <f t="shared" si="50"/>
        <v>0</v>
      </c>
      <c r="G78" s="823">
        <f t="shared" si="53"/>
        <v>0.59</v>
      </c>
      <c r="H78" s="810"/>
      <c r="I78" s="1252"/>
      <c r="J78" s="819">
        <v>100</v>
      </c>
      <c r="K78" s="815">
        <v>9.9999999999999995E-7</v>
      </c>
      <c r="L78" s="818">
        <v>3.4</v>
      </c>
      <c r="M78" s="818">
        <v>7.7</v>
      </c>
      <c r="N78" s="813">
        <f t="shared" si="51"/>
        <v>3.8499995</v>
      </c>
      <c r="O78" s="813">
        <f t="shared" si="54"/>
        <v>0.59</v>
      </c>
      <c r="P78" s="810"/>
      <c r="Q78" s="1252"/>
      <c r="R78" s="819">
        <v>100</v>
      </c>
      <c r="S78" s="815">
        <v>9.9999999999999995E-7</v>
      </c>
      <c r="T78" s="818">
        <v>3.7</v>
      </c>
      <c r="U78" s="818">
        <v>0.7</v>
      </c>
      <c r="V78" s="813">
        <f t="shared" si="52"/>
        <v>1.8499995</v>
      </c>
      <c r="W78" s="813">
        <f t="shared" si="55"/>
        <v>0.59</v>
      </c>
    </row>
    <row r="79" spans="1:26" ht="12.75" customHeight="1">
      <c r="A79" s="1252"/>
      <c r="B79" s="819">
        <v>200</v>
      </c>
      <c r="C79" s="818">
        <v>0.4</v>
      </c>
      <c r="D79" s="818">
        <v>0.4</v>
      </c>
      <c r="E79" s="818">
        <v>1.5</v>
      </c>
      <c r="F79" s="813">
        <f t="shared" si="50"/>
        <v>0.55000000000000004</v>
      </c>
      <c r="G79" s="823">
        <f t="shared" si="53"/>
        <v>1.18</v>
      </c>
      <c r="H79" s="810"/>
      <c r="I79" s="1252"/>
      <c r="J79" s="819">
        <v>500</v>
      </c>
      <c r="K79" s="815">
        <v>9.9999999999999995E-7</v>
      </c>
      <c r="L79" s="818">
        <v>7.2</v>
      </c>
      <c r="M79" s="818">
        <v>-0.2</v>
      </c>
      <c r="N79" s="813">
        <f t="shared" si="51"/>
        <v>3.7</v>
      </c>
      <c r="O79" s="813">
        <f t="shared" si="54"/>
        <v>2.9499999999999997</v>
      </c>
      <c r="P79" s="810"/>
      <c r="Q79" s="1252"/>
      <c r="R79" s="819">
        <v>500</v>
      </c>
      <c r="S79" s="815">
        <v>9.9999999999999995E-7</v>
      </c>
      <c r="T79" s="818">
        <v>8.3000000000000007</v>
      </c>
      <c r="U79" s="818">
        <v>-31.8</v>
      </c>
      <c r="V79" s="813">
        <f t="shared" si="52"/>
        <v>20.05</v>
      </c>
      <c r="W79" s="813">
        <f t="shared" si="55"/>
        <v>2.9499999999999997</v>
      </c>
    </row>
    <row r="80" spans="1:26" ht="12.75" customHeight="1">
      <c r="A80" s="1252"/>
      <c r="B80" s="819">
        <v>500</v>
      </c>
      <c r="C80" s="818">
        <v>3</v>
      </c>
      <c r="D80" s="818">
        <v>3</v>
      </c>
      <c r="E80" s="818">
        <v>0.9</v>
      </c>
      <c r="F80" s="813">
        <f t="shared" si="50"/>
        <v>1.05</v>
      </c>
      <c r="G80" s="823">
        <f t="shared" si="53"/>
        <v>2.9499999999999997</v>
      </c>
      <c r="H80" s="810"/>
      <c r="I80" s="1252"/>
      <c r="J80" s="819">
        <v>500</v>
      </c>
      <c r="K80" s="815">
        <v>9.9999999999999995E-7</v>
      </c>
      <c r="L80" s="818">
        <v>7.2</v>
      </c>
      <c r="M80" s="818">
        <v>-25.1</v>
      </c>
      <c r="N80" s="813">
        <f t="shared" si="51"/>
        <v>16.150000000000002</v>
      </c>
      <c r="O80" s="813">
        <f t="shared" si="54"/>
        <v>2.9499999999999997</v>
      </c>
      <c r="P80" s="810"/>
      <c r="Q80" s="1252"/>
      <c r="R80" s="819">
        <v>500</v>
      </c>
      <c r="S80" s="815">
        <v>9.9999999999999995E-7</v>
      </c>
      <c r="T80" s="818">
        <v>8.3000000000000007</v>
      </c>
      <c r="U80" s="818">
        <v>-31.8</v>
      </c>
      <c r="V80" s="813">
        <f t="shared" si="52"/>
        <v>20.05</v>
      </c>
      <c r="W80" s="813">
        <f t="shared" si="55"/>
        <v>2.9499999999999997</v>
      </c>
    </row>
    <row r="81" spans="1:24" ht="12.75" customHeight="1">
      <c r="A81" s="1252"/>
      <c r="B81" s="819">
        <v>1000</v>
      </c>
      <c r="C81" s="818">
        <v>5</v>
      </c>
      <c r="D81" s="818">
        <v>4</v>
      </c>
      <c r="E81" s="853">
        <v>-1</v>
      </c>
      <c r="F81" s="813">
        <f t="shared" si="50"/>
        <v>3</v>
      </c>
      <c r="G81" s="823">
        <f t="shared" si="53"/>
        <v>5.8999999999999995</v>
      </c>
      <c r="H81" s="810"/>
      <c r="I81" s="1252"/>
      <c r="J81" s="819">
        <v>1000</v>
      </c>
      <c r="K81" s="815">
        <v>9.9999999999999995E-7</v>
      </c>
      <c r="L81" s="818">
        <v>80</v>
      </c>
      <c r="M81" s="818">
        <v>66</v>
      </c>
      <c r="N81" s="813">
        <f t="shared" si="51"/>
        <v>39.999999500000001</v>
      </c>
      <c r="O81" s="854">
        <f t="shared" si="54"/>
        <v>5.8999999999999995</v>
      </c>
      <c r="P81" s="810"/>
      <c r="Q81" s="1252"/>
      <c r="R81" s="819">
        <v>1000</v>
      </c>
      <c r="S81" s="815">
        <v>9.9999999999999995E-7</v>
      </c>
      <c r="T81" s="818">
        <v>-97</v>
      </c>
      <c r="U81" s="818">
        <v>-74</v>
      </c>
      <c r="V81" s="813">
        <f t="shared" si="52"/>
        <v>48.500000499999999</v>
      </c>
      <c r="W81" s="854">
        <f t="shared" si="55"/>
        <v>5.8999999999999995</v>
      </c>
    </row>
    <row r="82" spans="1:24" ht="12.75" customHeight="1">
      <c r="A82" s="1252"/>
      <c r="B82" s="1256" t="s">
        <v>499</v>
      </c>
      <c r="C82" s="1257"/>
      <c r="D82" s="1257"/>
      <c r="E82" s="1258"/>
      <c r="F82" s="809" t="s">
        <v>495</v>
      </c>
      <c r="G82" s="809" t="s">
        <v>396</v>
      </c>
      <c r="H82" s="810"/>
      <c r="I82" s="1252"/>
      <c r="J82" s="1256" t="s">
        <v>499</v>
      </c>
      <c r="K82" s="1257"/>
      <c r="L82" s="1257"/>
      <c r="M82" s="1258"/>
      <c r="N82" s="809" t="s">
        <v>495</v>
      </c>
      <c r="O82" s="809" t="s">
        <v>396</v>
      </c>
      <c r="P82" s="810"/>
      <c r="Q82" s="1252"/>
      <c r="R82" s="1256" t="str">
        <f>B82</f>
        <v>Main-PE</v>
      </c>
      <c r="S82" s="1257"/>
      <c r="T82" s="1257"/>
      <c r="U82" s="1258"/>
      <c r="V82" s="809" t="s">
        <v>495</v>
      </c>
      <c r="W82" s="809" t="s">
        <v>396</v>
      </c>
    </row>
    <row r="83" spans="1:24" ht="15" customHeight="1">
      <c r="A83" s="1252"/>
      <c r="B83" s="808" t="s">
        <v>582</v>
      </c>
      <c r="C83" s="809">
        <f>C75</f>
        <v>2019</v>
      </c>
      <c r="D83" s="809">
        <f>D75</f>
        <v>2020</v>
      </c>
      <c r="E83" s="809">
        <f>E75</f>
        <v>2022</v>
      </c>
      <c r="F83" s="809"/>
      <c r="G83" s="809"/>
      <c r="H83" s="810"/>
      <c r="I83" s="1252"/>
      <c r="J83" s="808" t="s">
        <v>582</v>
      </c>
      <c r="K83" s="809">
        <f>K67</f>
        <v>2019</v>
      </c>
      <c r="L83" s="809">
        <f>L67</f>
        <v>2020</v>
      </c>
      <c r="M83" s="809">
        <f>M67</f>
        <v>2022</v>
      </c>
      <c r="N83" s="809"/>
      <c r="O83" s="809"/>
      <c r="P83" s="810"/>
      <c r="Q83" s="1252"/>
      <c r="R83" s="808" t="s">
        <v>582</v>
      </c>
      <c r="S83" s="809">
        <f>S67</f>
        <v>2019</v>
      </c>
      <c r="T83" s="809">
        <f>T67</f>
        <v>2020</v>
      </c>
      <c r="U83" s="809">
        <f>U67</f>
        <v>2022</v>
      </c>
      <c r="V83" s="809"/>
      <c r="W83" s="809"/>
    </row>
    <row r="84" spans="1:24" ht="12.75" customHeight="1">
      <c r="A84" s="1252"/>
      <c r="B84" s="819">
        <v>10</v>
      </c>
      <c r="C84" s="815" t="s">
        <v>161</v>
      </c>
      <c r="D84" s="820">
        <v>9.9999999999999995E-7</v>
      </c>
      <c r="E84" s="820">
        <v>9.9999999999999995E-7</v>
      </c>
      <c r="F84" s="813">
        <f t="shared" ref="F84:F87" si="56">0.5*(MAX(C84:E84)-MIN(C84:E84))</f>
        <v>0</v>
      </c>
      <c r="G84" s="824">
        <f>B84*$H$84</f>
        <v>0.17</v>
      </c>
      <c r="H84" s="810">
        <f>1.7/100</f>
        <v>1.7000000000000001E-2</v>
      </c>
      <c r="I84" s="1252"/>
      <c r="J84" s="819">
        <v>10</v>
      </c>
      <c r="K84" s="815">
        <v>9.9999999999999995E-7</v>
      </c>
      <c r="L84" s="815">
        <v>9.9999999999999995E-7</v>
      </c>
      <c r="M84" s="855">
        <v>9.9999999999999995E-7</v>
      </c>
      <c r="N84" s="813">
        <f t="shared" ref="N84:N87" si="57">0.5*(MAX(K84:M84)-MIN(K84:M84))</f>
        <v>0</v>
      </c>
      <c r="O84" s="813">
        <f>J84*$P$84</f>
        <v>0.17</v>
      </c>
      <c r="P84" s="810">
        <f>1.7/100</f>
        <v>1.7000000000000001E-2</v>
      </c>
      <c r="Q84" s="1252"/>
      <c r="R84" s="819">
        <v>10</v>
      </c>
      <c r="S84" s="815">
        <v>9.9999999999999995E-7</v>
      </c>
      <c r="T84" s="820">
        <v>9.9999999999999995E-7</v>
      </c>
      <c r="U84" s="820">
        <v>9.9999999999999995E-7</v>
      </c>
      <c r="V84" s="813">
        <f t="shared" ref="V84:V87" si="58">0.5*(MAX(S84:U84)-MIN(S84:U84))</f>
        <v>0</v>
      </c>
      <c r="W84" s="813">
        <f>R84*$X$84</f>
        <v>0.17</v>
      </c>
      <c r="X84" s="803">
        <v>1.7000000000000001E-2</v>
      </c>
    </row>
    <row r="85" spans="1:24" ht="12.75" customHeight="1">
      <c r="A85" s="1252"/>
      <c r="B85" s="819">
        <v>20</v>
      </c>
      <c r="C85" s="815" t="s">
        <v>161</v>
      </c>
      <c r="D85" s="815">
        <v>0.1</v>
      </c>
      <c r="E85" s="815">
        <v>0.1</v>
      </c>
      <c r="F85" s="813">
        <f t="shared" si="56"/>
        <v>0</v>
      </c>
      <c r="G85" s="824">
        <f t="shared" ref="G85:G87" si="59">B85*$H$84</f>
        <v>0.34</v>
      </c>
      <c r="H85" s="810"/>
      <c r="I85" s="1252"/>
      <c r="J85" s="819">
        <v>20</v>
      </c>
      <c r="K85" s="815">
        <v>9.9999999999999995E-7</v>
      </c>
      <c r="L85" s="815">
        <v>9.9999999999999995E-7</v>
      </c>
      <c r="M85" s="855">
        <v>9.9999999999999995E-7</v>
      </c>
      <c r="N85" s="813">
        <f t="shared" si="57"/>
        <v>0</v>
      </c>
      <c r="O85" s="813">
        <f t="shared" ref="O85:O86" si="60">J85*$P$84</f>
        <v>0.34</v>
      </c>
      <c r="P85" s="810"/>
      <c r="Q85" s="1252"/>
      <c r="R85" s="819">
        <v>20</v>
      </c>
      <c r="S85" s="815">
        <v>9.9999999999999995E-7</v>
      </c>
      <c r="T85" s="820">
        <v>9.9999999999999995E-7</v>
      </c>
      <c r="U85" s="820">
        <v>9.9999999999999995E-7</v>
      </c>
      <c r="V85" s="813">
        <f t="shared" si="58"/>
        <v>0</v>
      </c>
      <c r="W85" s="813">
        <f t="shared" ref="W85:W86" si="61">R85*$X$84</f>
        <v>0.34</v>
      </c>
    </row>
    <row r="86" spans="1:24" ht="12.75" customHeight="1">
      <c r="A86" s="1252"/>
      <c r="B86" s="819">
        <v>50</v>
      </c>
      <c r="C86" s="815" t="s">
        <v>161</v>
      </c>
      <c r="D86" s="815">
        <v>0.4</v>
      </c>
      <c r="E86" s="815">
        <v>0.5</v>
      </c>
      <c r="F86" s="813">
        <f t="shared" si="56"/>
        <v>4.9999999999999989E-2</v>
      </c>
      <c r="G86" s="824">
        <f t="shared" si="59"/>
        <v>0.85000000000000009</v>
      </c>
      <c r="H86" s="810"/>
      <c r="I86" s="1252"/>
      <c r="J86" s="819">
        <v>50</v>
      </c>
      <c r="K86" s="815">
        <v>9.9999999999999995E-7</v>
      </c>
      <c r="L86" s="815">
        <v>9.9999999999999995E-7</v>
      </c>
      <c r="M86" s="855">
        <v>0.2</v>
      </c>
      <c r="N86" s="813">
        <f t="shared" si="57"/>
        <v>9.9999500000000005E-2</v>
      </c>
      <c r="O86" s="813">
        <f t="shared" si="60"/>
        <v>0.85000000000000009</v>
      </c>
      <c r="P86" s="810"/>
      <c r="Q86" s="1252"/>
      <c r="R86" s="819">
        <v>50</v>
      </c>
      <c r="S86" s="815">
        <v>9.9999999999999995E-7</v>
      </c>
      <c r="T86" s="820">
        <v>9.9999999999999995E-7</v>
      </c>
      <c r="U86" s="820">
        <v>0.2</v>
      </c>
      <c r="V86" s="813">
        <f t="shared" si="58"/>
        <v>9.9999500000000005E-2</v>
      </c>
      <c r="W86" s="813">
        <f t="shared" si="61"/>
        <v>0.85000000000000009</v>
      </c>
    </row>
    <row r="87" spans="1:24" ht="12.75" customHeight="1">
      <c r="A87" s="1252"/>
      <c r="B87" s="819">
        <v>100</v>
      </c>
      <c r="C87" s="815" t="s">
        <v>161</v>
      </c>
      <c r="D87" s="815">
        <v>1.4</v>
      </c>
      <c r="E87" s="815">
        <v>0.9</v>
      </c>
      <c r="F87" s="813">
        <f t="shared" si="56"/>
        <v>0.24999999999999994</v>
      </c>
      <c r="G87" s="824">
        <f t="shared" si="59"/>
        <v>1.7000000000000002</v>
      </c>
      <c r="H87" s="810"/>
      <c r="I87" s="1252"/>
      <c r="J87" s="819">
        <v>100</v>
      </c>
      <c r="K87" s="815">
        <v>9.9999999999999995E-7</v>
      </c>
      <c r="L87" s="815">
        <v>9.9999999999999995E-7</v>
      </c>
      <c r="M87" s="855">
        <v>0.6</v>
      </c>
      <c r="N87" s="813">
        <f t="shared" si="57"/>
        <v>0.29999949999999997</v>
      </c>
      <c r="O87" s="813">
        <f>J87*$P$84</f>
        <v>1.7000000000000002</v>
      </c>
      <c r="P87" s="810"/>
      <c r="Q87" s="1252"/>
      <c r="R87" s="819">
        <v>100</v>
      </c>
      <c r="S87" s="815">
        <v>9.9999999999999995E-7</v>
      </c>
      <c r="T87" s="820">
        <v>9.9999999999999995E-7</v>
      </c>
      <c r="U87" s="820">
        <v>0.4</v>
      </c>
      <c r="V87" s="813">
        <f t="shared" si="58"/>
        <v>0.19999950000000002</v>
      </c>
      <c r="W87" s="813">
        <f>R87*$X$84</f>
        <v>1.7000000000000002</v>
      </c>
    </row>
    <row r="88" spans="1:24" ht="12.75" customHeight="1">
      <c r="A88" s="1252"/>
      <c r="B88" s="1256" t="s">
        <v>500</v>
      </c>
      <c r="C88" s="1257"/>
      <c r="D88" s="1257"/>
      <c r="E88" s="1258"/>
      <c r="F88" s="809" t="s">
        <v>495</v>
      </c>
      <c r="G88" s="809" t="s">
        <v>396</v>
      </c>
      <c r="H88" s="810"/>
      <c r="I88" s="1252"/>
      <c r="J88" s="1256" t="s">
        <v>500</v>
      </c>
      <c r="K88" s="1257"/>
      <c r="L88" s="1257"/>
      <c r="M88" s="1258"/>
      <c r="N88" s="809" t="s">
        <v>495</v>
      </c>
      <c r="O88" s="809" t="s">
        <v>396</v>
      </c>
      <c r="P88" s="810"/>
      <c r="Q88" s="1252"/>
      <c r="R88" s="1256" t="str">
        <f>B88</f>
        <v>Resistance</v>
      </c>
      <c r="S88" s="1257"/>
      <c r="T88" s="1257"/>
      <c r="U88" s="1258"/>
      <c r="V88" s="809" t="s">
        <v>495</v>
      </c>
      <c r="W88" s="809" t="s">
        <v>396</v>
      </c>
    </row>
    <row r="89" spans="1:24" ht="15" customHeight="1">
      <c r="A89" s="1252"/>
      <c r="B89" s="808" t="s">
        <v>583</v>
      </c>
      <c r="C89" s="809">
        <f>C67</f>
        <v>2019</v>
      </c>
      <c r="D89" s="809">
        <f>D67</f>
        <v>2020</v>
      </c>
      <c r="E89" s="809">
        <f>E67</f>
        <v>2022</v>
      </c>
      <c r="F89" s="809"/>
      <c r="G89" s="809"/>
      <c r="H89" s="810"/>
      <c r="I89" s="1252"/>
      <c r="J89" s="808" t="s">
        <v>583</v>
      </c>
      <c r="K89" s="809">
        <f>K67</f>
        <v>2019</v>
      </c>
      <c r="L89" s="809">
        <f>L67</f>
        <v>2020</v>
      </c>
      <c r="M89" s="809">
        <f>M67</f>
        <v>2022</v>
      </c>
      <c r="N89" s="809"/>
      <c r="O89" s="809"/>
      <c r="P89" s="810"/>
      <c r="Q89" s="1252"/>
      <c r="R89" s="808" t="s">
        <v>583</v>
      </c>
      <c r="S89" s="809">
        <f>S67</f>
        <v>2019</v>
      </c>
      <c r="T89" s="809">
        <f>T67</f>
        <v>2020</v>
      </c>
      <c r="U89" s="809">
        <f>U67</f>
        <v>2022</v>
      </c>
      <c r="V89" s="809"/>
      <c r="W89" s="809"/>
    </row>
    <row r="90" spans="1:24" ht="12.75" customHeight="1">
      <c r="A90" s="1252"/>
      <c r="B90" s="819">
        <v>0.01</v>
      </c>
      <c r="C90" s="820">
        <v>9.9999999999999995E-7</v>
      </c>
      <c r="D90" s="820">
        <v>9.9999999999999995E-7</v>
      </c>
      <c r="E90" s="820">
        <v>9.9999999999999995E-7</v>
      </c>
      <c r="F90" s="813">
        <f t="shared" ref="F90:F93" si="62">0.5*(MAX(C90:E90)-MIN(C90:E90))</f>
        <v>0</v>
      </c>
      <c r="G90" s="819">
        <f>B90*$H$90</f>
        <v>1.2E-4</v>
      </c>
      <c r="H90" s="810">
        <f>1.2/100</f>
        <v>1.2E-2</v>
      </c>
      <c r="I90" s="1252"/>
      <c r="J90" s="819">
        <v>0.01</v>
      </c>
      <c r="K90" s="819">
        <v>9.9999999999999995E-7</v>
      </c>
      <c r="L90" s="820">
        <v>9.9999999999999995E-7</v>
      </c>
      <c r="M90" s="820">
        <v>9.9999999999999995E-7</v>
      </c>
      <c r="N90" s="813">
        <f t="shared" ref="N90:N93" si="63">0.5*(MAX(K90:M90)-MIN(K90:M90))</f>
        <v>0</v>
      </c>
      <c r="O90" s="856">
        <f>J90*$P$90</f>
        <v>1.2E-4</v>
      </c>
      <c r="P90" s="810">
        <f>1.2/100</f>
        <v>1.2E-2</v>
      </c>
      <c r="Q90" s="1252"/>
      <c r="R90" s="819">
        <v>0.01</v>
      </c>
      <c r="S90" s="819">
        <v>9.9999999999999995E-7</v>
      </c>
      <c r="T90" s="820">
        <v>9.9999999999999995E-7</v>
      </c>
      <c r="U90" s="820">
        <v>9.9999999999999995E-7</v>
      </c>
      <c r="V90" s="813">
        <f t="shared" ref="V90:V93" si="64">0.5*(MAX(S90:U90)-MIN(S90:U90))</f>
        <v>0</v>
      </c>
      <c r="W90" s="857">
        <f>R90*$X$90</f>
        <v>1.2E-4</v>
      </c>
      <c r="X90" s="803">
        <f>1.2/100</f>
        <v>1.2E-2</v>
      </c>
    </row>
    <row r="91" spans="1:24" ht="12.75" customHeight="1">
      <c r="A91" s="1252"/>
      <c r="B91" s="819">
        <v>0.1</v>
      </c>
      <c r="C91" s="820">
        <v>9.9999999999999995E-7</v>
      </c>
      <c r="D91" s="820">
        <v>9.9999999999999995E-7</v>
      </c>
      <c r="E91" s="820">
        <v>2E-3</v>
      </c>
      <c r="F91" s="813">
        <f t="shared" si="62"/>
        <v>9.9949999999999995E-4</v>
      </c>
      <c r="G91" s="819">
        <f t="shared" ref="G91:G93" si="65">B91*$H$90</f>
        <v>1.2000000000000001E-3</v>
      </c>
      <c r="H91" s="810"/>
      <c r="I91" s="1252"/>
      <c r="J91" s="819">
        <v>0.1</v>
      </c>
      <c r="K91" s="819">
        <v>9.9999999999999995E-7</v>
      </c>
      <c r="L91" s="820">
        <v>-2E-3</v>
      </c>
      <c r="M91" s="820">
        <v>1E-3</v>
      </c>
      <c r="N91" s="813">
        <f t="shared" si="63"/>
        <v>1.5E-3</v>
      </c>
      <c r="O91" s="856">
        <f t="shared" ref="O91:O93" si="66">J91*$P$90</f>
        <v>1.2000000000000001E-3</v>
      </c>
      <c r="P91" s="810"/>
      <c r="Q91" s="1252"/>
      <c r="R91" s="819">
        <v>0.1</v>
      </c>
      <c r="S91" s="819">
        <v>9.9999999999999995E-7</v>
      </c>
      <c r="T91" s="820">
        <v>-3.0000000000000001E-3</v>
      </c>
      <c r="U91" s="820">
        <v>-1E-3</v>
      </c>
      <c r="V91" s="813">
        <f t="shared" si="64"/>
        <v>1.5005000000000001E-3</v>
      </c>
      <c r="W91" s="856">
        <f t="shared" ref="W91:W93" si="67">R91*$X$90</f>
        <v>1.2000000000000001E-3</v>
      </c>
    </row>
    <row r="92" spans="1:24" ht="12.75" customHeight="1">
      <c r="A92" s="1252"/>
      <c r="B92" s="819">
        <v>1</v>
      </c>
      <c r="C92" s="820">
        <v>-2.3E-3</v>
      </c>
      <c r="D92" s="820">
        <v>-2.3E-3</v>
      </c>
      <c r="E92" s="820">
        <v>2E-3</v>
      </c>
      <c r="F92" s="813">
        <f t="shared" si="62"/>
        <v>2.15E-3</v>
      </c>
      <c r="G92" s="819">
        <f t="shared" si="65"/>
        <v>1.2E-2</v>
      </c>
      <c r="H92" s="810"/>
      <c r="I92" s="1252"/>
      <c r="J92" s="819">
        <v>1</v>
      </c>
      <c r="K92" s="819">
        <v>9.9999999999999995E-7</v>
      </c>
      <c r="L92" s="820">
        <v>-1E-3</v>
      </c>
      <c r="M92" s="820">
        <v>9.9999999999999995E-7</v>
      </c>
      <c r="N92" s="813">
        <f t="shared" si="63"/>
        <v>5.0049999999999997E-4</v>
      </c>
      <c r="O92" s="856">
        <f t="shared" si="66"/>
        <v>1.2E-2</v>
      </c>
      <c r="P92" s="810"/>
      <c r="Q92" s="1252"/>
      <c r="R92" s="819">
        <v>1</v>
      </c>
      <c r="S92" s="819">
        <v>9.9999999999999995E-7</v>
      </c>
      <c r="T92" s="820">
        <v>-1E-3</v>
      </c>
      <c r="U92" s="820">
        <v>5.0000000000000001E-3</v>
      </c>
      <c r="V92" s="813">
        <f t="shared" si="64"/>
        <v>3.0000000000000001E-3</v>
      </c>
      <c r="W92" s="852">
        <f t="shared" si="67"/>
        <v>1.2E-2</v>
      </c>
    </row>
    <row r="93" spans="1:24" ht="12.75" customHeight="1">
      <c r="A93" s="1253"/>
      <c r="B93" s="819">
        <v>2</v>
      </c>
      <c r="C93" s="820">
        <v>9.9999999999999995E-7</v>
      </c>
      <c r="D93" s="820">
        <v>9.9999999999999995E-7</v>
      </c>
      <c r="E93" s="820">
        <v>-1E-3</v>
      </c>
      <c r="F93" s="813">
        <f t="shared" si="62"/>
        <v>5.0049999999999997E-4</v>
      </c>
      <c r="G93" s="819">
        <f t="shared" si="65"/>
        <v>2.4E-2</v>
      </c>
      <c r="H93" s="810"/>
      <c r="I93" s="1253"/>
      <c r="J93" s="819">
        <v>2</v>
      </c>
      <c r="K93" s="819">
        <v>9.9999999999999995E-7</v>
      </c>
      <c r="L93" s="820">
        <v>-6.0000000000000001E-3</v>
      </c>
      <c r="M93" s="820">
        <v>9.9999999999999995E-7</v>
      </c>
      <c r="N93" s="813">
        <f t="shared" si="63"/>
        <v>3.0005000000000001E-3</v>
      </c>
      <c r="O93" s="856">
        <f t="shared" si="66"/>
        <v>2.4E-2</v>
      </c>
      <c r="P93" s="810"/>
      <c r="Q93" s="1253"/>
      <c r="R93" s="819">
        <v>2</v>
      </c>
      <c r="S93" s="819">
        <v>9.9999999999999995E-7</v>
      </c>
      <c r="T93" s="820">
        <v>-6.0000000000000001E-3</v>
      </c>
      <c r="U93" s="820">
        <v>5.0000000000000001E-3</v>
      </c>
      <c r="V93" s="813">
        <f t="shared" si="64"/>
        <v>5.4999999999999997E-3</v>
      </c>
      <c r="W93" s="852">
        <f t="shared" si="67"/>
        <v>2.4E-2</v>
      </c>
    </row>
    <row r="94" spans="1:24" s="831" customFormat="1" ht="15.5">
      <c r="A94" s="842"/>
      <c r="B94" s="843"/>
      <c r="C94" s="844"/>
      <c r="E94" s="844"/>
      <c r="F94" s="844"/>
      <c r="G94" s="844"/>
      <c r="H94" s="832"/>
      <c r="I94" s="845"/>
      <c r="J94" s="846"/>
      <c r="K94" s="844"/>
      <c r="M94" s="844"/>
      <c r="N94" s="844"/>
      <c r="O94" s="844"/>
      <c r="P94" s="832"/>
      <c r="Q94" s="845"/>
      <c r="R94" s="843"/>
      <c r="S94" s="844"/>
      <c r="U94" s="830"/>
      <c r="V94" s="830"/>
      <c r="W94" s="833"/>
      <c r="X94" s="834"/>
    </row>
    <row r="95" spans="1:24" ht="30" customHeight="1">
      <c r="A95" s="1251">
        <v>10</v>
      </c>
      <c r="B95" s="1262" t="str">
        <f>A175</f>
        <v>Electrical Safety Analyzer, Merek : Fluke, Model : ESA 615, SN : --</v>
      </c>
      <c r="C95" s="1262"/>
      <c r="D95" s="1262"/>
      <c r="E95" s="1262"/>
      <c r="F95" s="1262"/>
      <c r="G95" s="1262"/>
      <c r="H95" s="805"/>
      <c r="I95" s="1251">
        <v>11</v>
      </c>
      <c r="J95" s="1270" t="str">
        <f>A176</f>
        <v>Electrical Safety Analyzer 11</v>
      </c>
      <c r="K95" s="1270"/>
      <c r="L95" s="1270"/>
      <c r="M95" s="1270"/>
      <c r="N95" s="1270"/>
      <c r="O95" s="1270"/>
      <c r="P95" s="805"/>
      <c r="Q95" s="1251">
        <v>12</v>
      </c>
      <c r="R95" s="1270" t="str">
        <f>A177</f>
        <v>Electrical Safety Analyzer 12</v>
      </c>
      <c r="S95" s="1270"/>
      <c r="T95" s="1270"/>
      <c r="U95" s="1270"/>
      <c r="V95" s="1270"/>
      <c r="W95" s="1270"/>
    </row>
    <row r="96" spans="1:24" ht="15" customHeight="1">
      <c r="A96" s="1252"/>
      <c r="B96" s="1263" t="s">
        <v>493</v>
      </c>
      <c r="C96" s="1263"/>
      <c r="D96" s="1263"/>
      <c r="E96" s="1263"/>
      <c r="F96" s="836"/>
      <c r="G96" s="836"/>
      <c r="H96" s="807"/>
      <c r="I96" s="1252"/>
      <c r="J96" s="1255" t="s">
        <v>493</v>
      </c>
      <c r="K96" s="1255"/>
      <c r="L96" s="1255"/>
      <c r="M96" s="1255"/>
      <c r="N96" s="837"/>
      <c r="O96" s="837"/>
      <c r="P96" s="807"/>
      <c r="Q96" s="1252"/>
      <c r="R96" s="1263" t="s">
        <v>493</v>
      </c>
      <c r="S96" s="1263"/>
      <c r="T96" s="1263"/>
      <c r="U96" s="1263"/>
      <c r="V96" s="837"/>
      <c r="W96" s="837"/>
    </row>
    <row r="97" spans="1:23" ht="12.75" customHeight="1">
      <c r="A97" s="1252"/>
      <c r="B97" s="1259" t="s">
        <v>494</v>
      </c>
      <c r="C97" s="1260"/>
      <c r="D97" s="1260"/>
      <c r="E97" s="1261"/>
      <c r="F97" s="809" t="s">
        <v>495</v>
      </c>
      <c r="G97" s="809" t="s">
        <v>396</v>
      </c>
      <c r="H97" s="810"/>
      <c r="I97" s="1252"/>
      <c r="J97" s="1267" t="s">
        <v>494</v>
      </c>
      <c r="K97" s="1268"/>
      <c r="L97" s="1268"/>
      <c r="M97" s="1269"/>
      <c r="N97" s="809" t="s">
        <v>495</v>
      </c>
      <c r="O97" s="809" t="s">
        <v>396</v>
      </c>
      <c r="P97" s="810"/>
      <c r="Q97" s="1252"/>
      <c r="R97" s="1259" t="s">
        <v>494</v>
      </c>
      <c r="S97" s="1260"/>
      <c r="T97" s="1260"/>
      <c r="U97" s="1261"/>
      <c r="V97" s="809" t="s">
        <v>495</v>
      </c>
      <c r="W97" s="809" t="s">
        <v>396</v>
      </c>
    </row>
    <row r="98" spans="1:23" ht="15" customHeight="1">
      <c r="A98" s="1252"/>
      <c r="B98" s="808" t="s">
        <v>496</v>
      </c>
      <c r="C98" s="809">
        <v>2019</v>
      </c>
      <c r="D98" s="809">
        <v>2019</v>
      </c>
      <c r="E98" s="809">
        <v>2020</v>
      </c>
      <c r="F98" s="809"/>
      <c r="G98" s="809"/>
      <c r="H98" s="810"/>
      <c r="I98" s="1252"/>
      <c r="J98" s="808" t="s">
        <v>496</v>
      </c>
      <c r="K98" s="809">
        <v>2019</v>
      </c>
      <c r="L98" s="809">
        <v>2019</v>
      </c>
      <c r="M98" s="809">
        <v>2020</v>
      </c>
      <c r="N98" s="809"/>
      <c r="O98" s="809"/>
      <c r="P98" s="810"/>
      <c r="Q98" s="1252"/>
      <c r="R98" s="808" t="s">
        <v>496</v>
      </c>
      <c r="S98" s="809">
        <v>2019</v>
      </c>
      <c r="T98" s="809">
        <v>2019</v>
      </c>
      <c r="U98" s="809">
        <v>2020</v>
      </c>
      <c r="V98" s="809"/>
      <c r="W98" s="809"/>
    </row>
    <row r="99" spans="1:23" ht="12.75" customHeight="1">
      <c r="A99" s="1252"/>
      <c r="B99" s="811">
        <v>150</v>
      </c>
      <c r="C99" s="812">
        <v>0.21</v>
      </c>
      <c r="D99" s="812">
        <v>0.21</v>
      </c>
      <c r="E99" s="812">
        <v>0.21</v>
      </c>
      <c r="F99" s="813">
        <f t="shared" ref="F99:F104" si="68">0.5*(MAX(C99:E99)-MIN(C99:E99))</f>
        <v>0</v>
      </c>
      <c r="G99" s="817">
        <v>1.2</v>
      </c>
      <c r="H99" s="810"/>
      <c r="I99" s="1252"/>
      <c r="J99" s="811">
        <v>150</v>
      </c>
      <c r="K99" s="814">
        <v>9.9999999999999995E-7</v>
      </c>
      <c r="L99" s="814">
        <v>9.9999999999999995E-7</v>
      </c>
      <c r="M99" s="812">
        <v>-0.17</v>
      </c>
      <c r="N99" s="813">
        <f>0.5*(MAX(K99:M99)-MIN(K99:M99))</f>
        <v>8.5000500000000007E-2</v>
      </c>
      <c r="O99" s="812">
        <v>1.2</v>
      </c>
      <c r="P99" s="810"/>
      <c r="Q99" s="1252"/>
      <c r="R99" s="811">
        <v>150</v>
      </c>
      <c r="S99" s="814">
        <v>9.9999999999999995E-7</v>
      </c>
      <c r="T99" s="814">
        <v>9.9999999999999995E-7</v>
      </c>
      <c r="U99" s="812">
        <v>-0.24</v>
      </c>
      <c r="V99" s="813">
        <f t="shared" ref="V99:V104" si="69">0.5*(MAX(S99:U99)-MIN(S99:U99))</f>
        <v>0.1200005</v>
      </c>
      <c r="W99" s="812">
        <v>1.2</v>
      </c>
    </row>
    <row r="100" spans="1:23" ht="12.75" customHeight="1">
      <c r="A100" s="1252"/>
      <c r="B100" s="811">
        <v>180</v>
      </c>
      <c r="C100" s="818">
        <v>0.33</v>
      </c>
      <c r="D100" s="818">
        <v>0.33</v>
      </c>
      <c r="E100" s="818">
        <v>0.33</v>
      </c>
      <c r="F100" s="813">
        <f t="shared" si="68"/>
        <v>0</v>
      </c>
      <c r="G100" s="817">
        <v>1.2</v>
      </c>
      <c r="H100" s="810"/>
      <c r="I100" s="1252"/>
      <c r="J100" s="811">
        <v>180</v>
      </c>
      <c r="K100" s="814">
        <v>9.9999999999999995E-7</v>
      </c>
      <c r="L100" s="814">
        <v>9.9999999999999995E-7</v>
      </c>
      <c r="M100" s="818">
        <v>-0.22</v>
      </c>
      <c r="N100" s="813">
        <f t="shared" ref="N100:N104" si="70">0.5*(MAX(K100:M100)-MIN(K100:M100))</f>
        <v>0.1100005</v>
      </c>
      <c r="O100" s="812">
        <v>1.2</v>
      </c>
      <c r="P100" s="810"/>
      <c r="Q100" s="1252"/>
      <c r="R100" s="811">
        <v>180</v>
      </c>
      <c r="S100" s="814">
        <v>9.9999999999999995E-7</v>
      </c>
      <c r="T100" s="814">
        <v>9.9999999999999995E-7</v>
      </c>
      <c r="U100" s="818">
        <v>-0.14000000000000001</v>
      </c>
      <c r="V100" s="813">
        <f t="shared" si="69"/>
        <v>7.0000500000000007E-2</v>
      </c>
      <c r="W100" s="812">
        <v>1.2</v>
      </c>
    </row>
    <row r="101" spans="1:23" ht="12.75" customHeight="1">
      <c r="A101" s="1252"/>
      <c r="B101" s="811">
        <v>200</v>
      </c>
      <c r="C101" s="818">
        <v>0.34</v>
      </c>
      <c r="D101" s="818">
        <v>0.34</v>
      </c>
      <c r="E101" s="818">
        <v>0.34</v>
      </c>
      <c r="F101" s="813">
        <f t="shared" si="68"/>
        <v>0</v>
      </c>
      <c r="G101" s="817">
        <v>1.2</v>
      </c>
      <c r="H101" s="810"/>
      <c r="I101" s="1252"/>
      <c r="J101" s="811">
        <v>200</v>
      </c>
      <c r="K101" s="814">
        <v>9.9999999999999995E-7</v>
      </c>
      <c r="L101" s="814">
        <v>9.9999999999999995E-7</v>
      </c>
      <c r="M101" s="818">
        <v>-0.33</v>
      </c>
      <c r="N101" s="813">
        <f t="shared" si="70"/>
        <v>0.16500049999999999</v>
      </c>
      <c r="O101" s="812">
        <v>1.2</v>
      </c>
      <c r="P101" s="810"/>
      <c r="Q101" s="1252"/>
      <c r="R101" s="811">
        <v>200</v>
      </c>
      <c r="S101" s="814">
        <v>9.9999999999999995E-7</v>
      </c>
      <c r="T101" s="814">
        <v>9.9999999999999995E-7</v>
      </c>
      <c r="U101" s="818">
        <v>-0.33</v>
      </c>
      <c r="V101" s="813">
        <f t="shared" si="69"/>
        <v>0.16500049999999999</v>
      </c>
      <c r="W101" s="812">
        <v>1.2</v>
      </c>
    </row>
    <row r="102" spans="1:23" ht="12.75" customHeight="1">
      <c r="A102" s="1252"/>
      <c r="B102" s="811">
        <v>220</v>
      </c>
      <c r="C102" s="818">
        <v>0.37</v>
      </c>
      <c r="D102" s="818">
        <v>0.37</v>
      </c>
      <c r="E102" s="818">
        <v>0.37</v>
      </c>
      <c r="F102" s="813">
        <f t="shared" si="68"/>
        <v>0</v>
      </c>
      <c r="G102" s="817">
        <v>1.2</v>
      </c>
      <c r="H102" s="810"/>
      <c r="I102" s="1252"/>
      <c r="J102" s="811">
        <v>220</v>
      </c>
      <c r="K102" s="814">
        <v>9.9999999999999995E-7</v>
      </c>
      <c r="L102" s="814">
        <v>9.9999999999999995E-7</v>
      </c>
      <c r="M102" s="818">
        <v>-0.39</v>
      </c>
      <c r="N102" s="813">
        <f t="shared" si="70"/>
        <v>0.19500049999999999</v>
      </c>
      <c r="O102" s="812">
        <v>1.2</v>
      </c>
      <c r="P102" s="810"/>
      <c r="Q102" s="1252"/>
      <c r="R102" s="811">
        <v>220</v>
      </c>
      <c r="S102" s="814">
        <v>9.9999999999999995E-7</v>
      </c>
      <c r="T102" s="814">
        <v>9.9999999999999995E-7</v>
      </c>
      <c r="U102" s="818">
        <v>-0.45</v>
      </c>
      <c r="V102" s="813">
        <f t="shared" si="69"/>
        <v>0.22500049999999999</v>
      </c>
      <c r="W102" s="812">
        <v>1.2</v>
      </c>
    </row>
    <row r="103" spans="1:23" ht="12.75" customHeight="1">
      <c r="A103" s="1252"/>
      <c r="B103" s="811">
        <v>230</v>
      </c>
      <c r="C103" s="818">
        <v>0.47</v>
      </c>
      <c r="D103" s="818">
        <v>0.47</v>
      </c>
      <c r="E103" s="818">
        <v>0.47</v>
      </c>
      <c r="F103" s="813">
        <f t="shared" si="68"/>
        <v>0</v>
      </c>
      <c r="G103" s="817">
        <v>1.2</v>
      </c>
      <c r="H103" s="810"/>
      <c r="I103" s="1252"/>
      <c r="J103" s="811">
        <v>230</v>
      </c>
      <c r="K103" s="814">
        <v>9.9999999999999995E-7</v>
      </c>
      <c r="L103" s="814">
        <v>9.9999999999999995E-7</v>
      </c>
      <c r="M103" s="818">
        <v>-0.39</v>
      </c>
      <c r="N103" s="813">
        <f t="shared" si="70"/>
        <v>0.19500049999999999</v>
      </c>
      <c r="O103" s="812">
        <v>1.2</v>
      </c>
      <c r="P103" s="810"/>
      <c r="Q103" s="1252"/>
      <c r="R103" s="811">
        <v>230</v>
      </c>
      <c r="S103" s="814">
        <v>9.9999999999999995E-7</v>
      </c>
      <c r="T103" s="814">
        <v>9.9999999999999995E-7</v>
      </c>
      <c r="U103" s="818">
        <v>-0.54</v>
      </c>
      <c r="V103" s="813">
        <f t="shared" si="69"/>
        <v>0.27000050000000003</v>
      </c>
      <c r="W103" s="812">
        <v>1.2</v>
      </c>
    </row>
    <row r="104" spans="1:23" ht="12.75" customHeight="1">
      <c r="A104" s="1252"/>
      <c r="B104" s="811">
        <v>250</v>
      </c>
      <c r="C104" s="818">
        <v>9.9999999999999995E-7</v>
      </c>
      <c r="D104" s="818">
        <v>9.9999999999999995E-7</v>
      </c>
      <c r="E104" s="820">
        <v>9.9999999999999995E-7</v>
      </c>
      <c r="F104" s="813">
        <f t="shared" si="68"/>
        <v>0</v>
      </c>
      <c r="G104" s="817">
        <v>1.2</v>
      </c>
      <c r="H104" s="810"/>
      <c r="I104" s="1252"/>
      <c r="J104" s="811">
        <v>250</v>
      </c>
      <c r="K104" s="814">
        <v>9.9999999999999995E-7</v>
      </c>
      <c r="L104" s="814">
        <v>9.9999999999999995E-7</v>
      </c>
      <c r="M104" s="820">
        <v>9.9999999999999995E-7</v>
      </c>
      <c r="N104" s="813">
        <f t="shared" si="70"/>
        <v>0</v>
      </c>
      <c r="O104" s="812">
        <v>1.2</v>
      </c>
      <c r="P104" s="810"/>
      <c r="Q104" s="1252"/>
      <c r="R104" s="811">
        <v>250</v>
      </c>
      <c r="S104" s="814">
        <v>9.9999999999999995E-7</v>
      </c>
      <c r="T104" s="814">
        <v>9.9999999999999995E-7</v>
      </c>
      <c r="U104" s="820">
        <v>9.9999999999999995E-7</v>
      </c>
      <c r="V104" s="813">
        <f t="shared" si="69"/>
        <v>0</v>
      </c>
      <c r="W104" s="812">
        <v>1.2</v>
      </c>
    </row>
    <row r="105" spans="1:23" ht="12.75" customHeight="1">
      <c r="A105" s="1252"/>
      <c r="B105" s="1256" t="s">
        <v>497</v>
      </c>
      <c r="C105" s="1257"/>
      <c r="D105" s="1257"/>
      <c r="E105" s="1258"/>
      <c r="F105" s="809" t="s">
        <v>495</v>
      </c>
      <c r="G105" s="809" t="s">
        <v>396</v>
      </c>
      <c r="H105" s="810"/>
      <c r="I105" s="1252"/>
      <c r="J105" s="1256" t="s">
        <v>497</v>
      </c>
      <c r="K105" s="1257"/>
      <c r="L105" s="1257"/>
      <c r="M105" s="1258"/>
      <c r="N105" s="809" t="s">
        <v>495</v>
      </c>
      <c r="O105" s="809" t="s">
        <v>396</v>
      </c>
      <c r="P105" s="810"/>
      <c r="Q105" s="1252"/>
      <c r="R105" s="1256" t="s">
        <v>497</v>
      </c>
      <c r="S105" s="1257"/>
      <c r="T105" s="1257"/>
      <c r="U105" s="1258"/>
      <c r="V105" s="809" t="s">
        <v>495</v>
      </c>
      <c r="W105" s="809" t="s">
        <v>396</v>
      </c>
    </row>
    <row r="106" spans="1:23" ht="15" customHeight="1">
      <c r="A106" s="1252"/>
      <c r="B106" s="808" t="s">
        <v>498</v>
      </c>
      <c r="C106" s="809">
        <f>C98</f>
        <v>2019</v>
      </c>
      <c r="D106" s="809">
        <f>D98</f>
        <v>2019</v>
      </c>
      <c r="E106" s="809">
        <f>E98</f>
        <v>2020</v>
      </c>
      <c r="F106" s="809"/>
      <c r="G106" s="809"/>
      <c r="H106" s="810"/>
      <c r="I106" s="1252"/>
      <c r="J106" s="808" t="s">
        <v>498</v>
      </c>
      <c r="K106" s="809">
        <f>K98</f>
        <v>2019</v>
      </c>
      <c r="L106" s="809">
        <f>L98</f>
        <v>2019</v>
      </c>
      <c r="M106" s="809">
        <f>M98</f>
        <v>2020</v>
      </c>
      <c r="N106" s="809"/>
      <c r="O106" s="809"/>
      <c r="P106" s="810"/>
      <c r="Q106" s="1252"/>
      <c r="R106" s="808" t="s">
        <v>498</v>
      </c>
      <c r="S106" s="809">
        <f>S98</f>
        <v>2019</v>
      </c>
      <c r="T106" s="809">
        <f>T98</f>
        <v>2019</v>
      </c>
      <c r="U106" s="809">
        <f>U98</f>
        <v>2020</v>
      </c>
      <c r="V106" s="809"/>
      <c r="W106" s="809"/>
    </row>
    <row r="107" spans="1:23" ht="12.75" customHeight="1">
      <c r="A107" s="1252"/>
      <c r="B107" s="815">
        <v>9.9999999999999995E-7</v>
      </c>
      <c r="C107" s="812">
        <v>9.9999999999999995E-7</v>
      </c>
      <c r="D107" s="812">
        <v>9.9999999999999995E-7</v>
      </c>
      <c r="E107" s="818">
        <v>9.9999999999999995E-7</v>
      </c>
      <c r="F107" s="813">
        <f t="shared" ref="F107:F112" si="71">0.5*(MAX(C107:E107)-MIN(C107:E107))</f>
        <v>0</v>
      </c>
      <c r="G107" s="823">
        <v>0.59</v>
      </c>
      <c r="H107" s="810"/>
      <c r="I107" s="1252"/>
      <c r="J107" s="824">
        <v>9.9999999999999995E-7</v>
      </c>
      <c r="K107" s="815">
        <v>9.9999999999999995E-7</v>
      </c>
      <c r="L107" s="815">
        <v>9.9999999999999995E-7</v>
      </c>
      <c r="M107" s="820">
        <v>9.9999999999999995E-7</v>
      </c>
      <c r="N107" s="813">
        <f t="shared" ref="N107:N112" si="72">0.5*(MAX(K107:M107)-MIN(K107:M107))</f>
        <v>0</v>
      </c>
      <c r="O107" s="822">
        <v>0.59</v>
      </c>
      <c r="P107" s="810"/>
      <c r="Q107" s="1252"/>
      <c r="R107" s="824">
        <v>9.9999999999999995E-7</v>
      </c>
      <c r="S107" s="815">
        <v>9.9999999999999995E-7</v>
      </c>
      <c r="T107" s="815">
        <v>9.9999999999999995E-7</v>
      </c>
      <c r="U107" s="820">
        <v>9.9999999999999995E-7</v>
      </c>
      <c r="V107" s="813">
        <f t="shared" ref="V107:V112" si="73">0.5*(MAX(S107:U107)-MIN(S107:U107))</f>
        <v>0</v>
      </c>
      <c r="W107" s="822">
        <v>0.59</v>
      </c>
    </row>
    <row r="108" spans="1:23" ht="12.75" customHeight="1">
      <c r="A108" s="1252"/>
      <c r="B108" s="819">
        <v>50</v>
      </c>
      <c r="C108" s="818">
        <v>1.7</v>
      </c>
      <c r="D108" s="818">
        <v>1.7</v>
      </c>
      <c r="E108" s="818">
        <v>1.7</v>
      </c>
      <c r="F108" s="813">
        <f t="shared" si="71"/>
        <v>0</v>
      </c>
      <c r="G108" s="823">
        <v>0.59</v>
      </c>
      <c r="H108" s="810"/>
      <c r="I108" s="1252"/>
      <c r="J108" s="819">
        <v>50</v>
      </c>
      <c r="K108" s="815">
        <v>9.9999999999999995E-7</v>
      </c>
      <c r="L108" s="815">
        <v>9.9999999999999995E-7</v>
      </c>
      <c r="M108" s="818">
        <v>1.7</v>
      </c>
      <c r="N108" s="813">
        <f t="shared" si="72"/>
        <v>0.84999950000000002</v>
      </c>
      <c r="O108" s="822">
        <v>0.59</v>
      </c>
      <c r="P108" s="810"/>
      <c r="Q108" s="1252"/>
      <c r="R108" s="819">
        <v>50</v>
      </c>
      <c r="S108" s="815">
        <v>9.9999999999999995E-7</v>
      </c>
      <c r="T108" s="815">
        <v>9.9999999999999995E-7</v>
      </c>
      <c r="U108" s="818">
        <v>2.1</v>
      </c>
      <c r="V108" s="813">
        <f t="shared" si="73"/>
        <v>1.0499995</v>
      </c>
      <c r="W108" s="818">
        <v>0.59</v>
      </c>
    </row>
    <row r="109" spans="1:23" ht="12.75" customHeight="1">
      <c r="A109" s="1252"/>
      <c r="B109" s="819">
        <v>100</v>
      </c>
      <c r="C109" s="818">
        <v>1.7</v>
      </c>
      <c r="D109" s="818">
        <v>1.7</v>
      </c>
      <c r="E109" s="818">
        <v>1.7</v>
      </c>
      <c r="F109" s="813">
        <f t="shared" si="71"/>
        <v>0</v>
      </c>
      <c r="G109" s="823">
        <v>0.59</v>
      </c>
      <c r="H109" s="810"/>
      <c r="I109" s="1252"/>
      <c r="J109" s="819">
        <v>100</v>
      </c>
      <c r="K109" s="815">
        <v>9.9999999999999995E-7</v>
      </c>
      <c r="L109" s="815">
        <v>9.9999999999999995E-7</v>
      </c>
      <c r="M109" s="818">
        <v>3.4</v>
      </c>
      <c r="N109" s="813">
        <f t="shared" si="72"/>
        <v>1.6999994999999999</v>
      </c>
      <c r="O109" s="822">
        <v>0.59</v>
      </c>
      <c r="P109" s="810"/>
      <c r="Q109" s="1252"/>
      <c r="R109" s="819">
        <v>100</v>
      </c>
      <c r="S109" s="815">
        <v>9.9999999999999995E-7</v>
      </c>
      <c r="T109" s="815">
        <v>9.9999999999999995E-7</v>
      </c>
      <c r="U109" s="818">
        <v>3.7</v>
      </c>
      <c r="V109" s="813">
        <f t="shared" si="73"/>
        <v>1.8499995</v>
      </c>
      <c r="W109" s="818">
        <v>0.59</v>
      </c>
    </row>
    <row r="110" spans="1:23" ht="12.75" customHeight="1">
      <c r="A110" s="1252"/>
      <c r="B110" s="819">
        <v>200</v>
      </c>
      <c r="C110" s="818">
        <v>0.4</v>
      </c>
      <c r="D110" s="818">
        <v>0.4</v>
      </c>
      <c r="E110" s="818">
        <v>0.4</v>
      </c>
      <c r="F110" s="813">
        <f t="shared" si="71"/>
        <v>0</v>
      </c>
      <c r="G110" s="823">
        <v>0.59</v>
      </c>
      <c r="H110" s="810"/>
      <c r="I110" s="1252"/>
      <c r="J110" s="819">
        <v>500</v>
      </c>
      <c r="K110" s="815">
        <v>9.9999999999999995E-7</v>
      </c>
      <c r="L110" s="815">
        <v>9.9999999999999995E-7</v>
      </c>
      <c r="M110" s="818">
        <v>7.2</v>
      </c>
      <c r="N110" s="813">
        <f t="shared" si="72"/>
        <v>3.5999995</v>
      </c>
      <c r="O110" s="822">
        <v>0.59</v>
      </c>
      <c r="P110" s="810"/>
      <c r="Q110" s="1252"/>
      <c r="R110" s="819">
        <v>500</v>
      </c>
      <c r="S110" s="815">
        <v>9.9999999999999995E-7</v>
      </c>
      <c r="T110" s="815">
        <v>9.9999999999999995E-7</v>
      </c>
      <c r="U110" s="818">
        <v>8.3000000000000007</v>
      </c>
      <c r="V110" s="813">
        <f t="shared" si="73"/>
        <v>4.1499995000000007</v>
      </c>
      <c r="W110" s="818">
        <v>0.59</v>
      </c>
    </row>
    <row r="111" spans="1:23" ht="12.75" customHeight="1">
      <c r="A111" s="1252"/>
      <c r="B111" s="819">
        <v>500</v>
      </c>
      <c r="C111" s="818">
        <v>3</v>
      </c>
      <c r="D111" s="818">
        <v>3</v>
      </c>
      <c r="E111" s="818">
        <v>3</v>
      </c>
      <c r="F111" s="813">
        <f t="shared" si="71"/>
        <v>0</v>
      </c>
      <c r="G111" s="823">
        <v>0.59</v>
      </c>
      <c r="H111" s="810"/>
      <c r="I111" s="1252"/>
      <c r="J111" s="819">
        <v>500</v>
      </c>
      <c r="K111" s="815">
        <v>9.9999999999999995E-7</v>
      </c>
      <c r="L111" s="815">
        <v>9.9999999999999995E-7</v>
      </c>
      <c r="M111" s="818">
        <v>7.2</v>
      </c>
      <c r="N111" s="813">
        <f t="shared" si="72"/>
        <v>3.5999995</v>
      </c>
      <c r="O111" s="822">
        <v>0.59</v>
      </c>
      <c r="P111" s="810"/>
      <c r="Q111" s="1252"/>
      <c r="R111" s="819">
        <v>500</v>
      </c>
      <c r="S111" s="815">
        <v>9.9999999999999995E-7</v>
      </c>
      <c r="T111" s="815">
        <v>9.9999999999999995E-7</v>
      </c>
      <c r="U111" s="818">
        <v>8.3000000000000007</v>
      </c>
      <c r="V111" s="813">
        <f t="shared" si="73"/>
        <v>4.1499995000000007</v>
      </c>
      <c r="W111" s="818">
        <v>0.59</v>
      </c>
    </row>
    <row r="112" spans="1:23" ht="12.75" customHeight="1">
      <c r="A112" s="1252"/>
      <c r="B112" s="819">
        <v>1000</v>
      </c>
      <c r="C112" s="818">
        <v>5</v>
      </c>
      <c r="D112" s="818">
        <v>5</v>
      </c>
      <c r="E112" s="818">
        <v>4</v>
      </c>
      <c r="F112" s="813">
        <f t="shared" si="71"/>
        <v>0.5</v>
      </c>
      <c r="G112" s="823">
        <v>0.59</v>
      </c>
      <c r="H112" s="810"/>
      <c r="I112" s="1252"/>
      <c r="J112" s="819">
        <v>1000</v>
      </c>
      <c r="K112" s="815">
        <v>9.9999999999999995E-7</v>
      </c>
      <c r="L112" s="815">
        <v>9.9999999999999995E-7</v>
      </c>
      <c r="M112" s="818">
        <v>80</v>
      </c>
      <c r="N112" s="813">
        <f t="shared" si="72"/>
        <v>39.999999500000001</v>
      </c>
      <c r="O112" s="822">
        <v>0.59</v>
      </c>
      <c r="P112" s="810"/>
      <c r="Q112" s="1252"/>
      <c r="R112" s="819">
        <v>1000</v>
      </c>
      <c r="S112" s="815">
        <v>9.9999999999999995E-7</v>
      </c>
      <c r="T112" s="815">
        <v>9.9999999999999995E-7</v>
      </c>
      <c r="U112" s="818">
        <v>-97</v>
      </c>
      <c r="V112" s="813">
        <f t="shared" si="73"/>
        <v>48.500000499999999</v>
      </c>
      <c r="W112" s="818">
        <v>0.59</v>
      </c>
    </row>
    <row r="113" spans="1:24" ht="12.75" customHeight="1">
      <c r="A113" s="1252"/>
      <c r="B113" s="1256" t="s">
        <v>499</v>
      </c>
      <c r="C113" s="1257"/>
      <c r="D113" s="1257"/>
      <c r="E113" s="1258"/>
      <c r="F113" s="809" t="s">
        <v>495</v>
      </c>
      <c r="G113" s="809" t="s">
        <v>396</v>
      </c>
      <c r="H113" s="810"/>
      <c r="I113" s="1252"/>
      <c r="J113" s="1256" t="s">
        <v>499</v>
      </c>
      <c r="K113" s="1257"/>
      <c r="L113" s="1257"/>
      <c r="M113" s="1258"/>
      <c r="N113" s="809" t="s">
        <v>495</v>
      </c>
      <c r="O113" s="809" t="s">
        <v>396</v>
      </c>
      <c r="P113" s="810"/>
      <c r="Q113" s="1252"/>
      <c r="R113" s="1256" t="s">
        <v>499</v>
      </c>
      <c r="S113" s="1257"/>
      <c r="T113" s="1257"/>
      <c r="U113" s="1258"/>
      <c r="V113" s="809" t="s">
        <v>495</v>
      </c>
      <c r="W113" s="809" t="s">
        <v>396</v>
      </c>
    </row>
    <row r="114" spans="1:24" ht="15" customHeight="1">
      <c r="A114" s="1252"/>
      <c r="B114" s="808" t="s">
        <v>582</v>
      </c>
      <c r="C114" s="809">
        <v>2020</v>
      </c>
      <c r="D114" s="809">
        <v>2021</v>
      </c>
      <c r="E114" s="809">
        <v>2018</v>
      </c>
      <c r="F114" s="809"/>
      <c r="G114" s="809"/>
      <c r="H114" s="810"/>
      <c r="I114" s="1252"/>
      <c r="J114" s="808" t="s">
        <v>582</v>
      </c>
      <c r="K114" s="809">
        <f>K98</f>
        <v>2019</v>
      </c>
      <c r="L114" s="809">
        <f>L98</f>
        <v>2019</v>
      </c>
      <c r="M114" s="809">
        <f>M98</f>
        <v>2020</v>
      </c>
      <c r="N114" s="809"/>
      <c r="O114" s="809"/>
      <c r="P114" s="810"/>
      <c r="Q114" s="1252"/>
      <c r="R114" s="808" t="s">
        <v>582</v>
      </c>
      <c r="S114" s="809">
        <f>S98</f>
        <v>2019</v>
      </c>
      <c r="T114" s="809">
        <f>T98</f>
        <v>2019</v>
      </c>
      <c r="U114" s="809">
        <f>U98</f>
        <v>2020</v>
      </c>
      <c r="V114" s="809"/>
      <c r="W114" s="809"/>
    </row>
    <row r="115" spans="1:24" ht="12.75" customHeight="1">
      <c r="A115" s="1252"/>
      <c r="B115" s="819">
        <v>10</v>
      </c>
      <c r="C115" s="815" t="s">
        <v>161</v>
      </c>
      <c r="D115" s="815" t="s">
        <v>161</v>
      </c>
      <c r="E115" s="820">
        <v>9.9999999999999995E-7</v>
      </c>
      <c r="F115" s="813">
        <f t="shared" ref="F115:F118" si="74">0.5*(MAX(C115:E115)-MIN(C115:E115))</f>
        <v>0</v>
      </c>
      <c r="G115" s="824">
        <v>1.7</v>
      </c>
      <c r="H115" s="810"/>
      <c r="I115" s="1252"/>
      <c r="J115" s="819">
        <v>10</v>
      </c>
      <c r="K115" s="815">
        <v>9.9999999999999995E-7</v>
      </c>
      <c r="L115" s="815">
        <v>9.9999999999999995E-7</v>
      </c>
      <c r="M115" s="815">
        <v>9.9999999999999995E-7</v>
      </c>
      <c r="N115" s="813">
        <f t="shared" ref="N115:N118" si="75">0.5*(MAX(K115:M115)-MIN(K115:M115))</f>
        <v>0</v>
      </c>
      <c r="O115" s="818">
        <v>0</v>
      </c>
      <c r="P115" s="810"/>
      <c r="Q115" s="1252"/>
      <c r="R115" s="819">
        <v>10</v>
      </c>
      <c r="S115" s="815">
        <v>9.9999999999999995E-7</v>
      </c>
      <c r="T115" s="815">
        <v>9.9999999999999995E-7</v>
      </c>
      <c r="U115" s="815">
        <v>9.9999999999999995E-7</v>
      </c>
      <c r="V115" s="813">
        <f t="shared" ref="V115:V118" si="76">0.5*(MAX(S115:U115)-MIN(S115:U115))</f>
        <v>0</v>
      </c>
      <c r="W115" s="818">
        <v>0</v>
      </c>
    </row>
    <row r="116" spans="1:24" ht="12.75" customHeight="1">
      <c r="A116" s="1252"/>
      <c r="B116" s="819">
        <v>20</v>
      </c>
      <c r="C116" s="815" t="s">
        <v>161</v>
      </c>
      <c r="D116" s="815" t="s">
        <v>161</v>
      </c>
      <c r="E116" s="815">
        <v>0.1</v>
      </c>
      <c r="F116" s="813">
        <f t="shared" si="74"/>
        <v>0</v>
      </c>
      <c r="G116" s="824">
        <v>1.7</v>
      </c>
      <c r="H116" s="810"/>
      <c r="I116" s="1252"/>
      <c r="J116" s="819">
        <v>20</v>
      </c>
      <c r="K116" s="815">
        <v>9.9999999999999995E-7</v>
      </c>
      <c r="L116" s="815">
        <v>9.9999999999999995E-7</v>
      </c>
      <c r="M116" s="815">
        <v>9.9999999999999995E-7</v>
      </c>
      <c r="N116" s="813">
        <f t="shared" si="75"/>
        <v>0</v>
      </c>
      <c r="O116" s="818">
        <v>0</v>
      </c>
      <c r="P116" s="810"/>
      <c r="Q116" s="1252"/>
      <c r="R116" s="819">
        <v>20</v>
      </c>
      <c r="S116" s="815">
        <v>9.9999999999999995E-7</v>
      </c>
      <c r="T116" s="815">
        <v>9.9999999999999995E-7</v>
      </c>
      <c r="U116" s="815">
        <v>9.9999999999999995E-7</v>
      </c>
      <c r="V116" s="813">
        <f t="shared" si="76"/>
        <v>0</v>
      </c>
      <c r="W116" s="818">
        <v>0</v>
      </c>
    </row>
    <row r="117" spans="1:24" ht="12.75" customHeight="1">
      <c r="A117" s="1252"/>
      <c r="B117" s="819">
        <v>50</v>
      </c>
      <c r="C117" s="815" t="s">
        <v>161</v>
      </c>
      <c r="D117" s="815" t="s">
        <v>161</v>
      </c>
      <c r="E117" s="815">
        <v>0.4</v>
      </c>
      <c r="F117" s="813">
        <f t="shared" si="74"/>
        <v>0</v>
      </c>
      <c r="G117" s="824">
        <v>1.7</v>
      </c>
      <c r="H117" s="810"/>
      <c r="I117" s="1252"/>
      <c r="J117" s="819">
        <v>50</v>
      </c>
      <c r="K117" s="815">
        <v>9.9999999999999995E-7</v>
      </c>
      <c r="L117" s="815">
        <v>9.9999999999999995E-7</v>
      </c>
      <c r="M117" s="815">
        <v>9.9999999999999995E-7</v>
      </c>
      <c r="N117" s="813">
        <f t="shared" si="75"/>
        <v>0</v>
      </c>
      <c r="O117" s="818">
        <v>0</v>
      </c>
      <c r="P117" s="810"/>
      <c r="Q117" s="1252"/>
      <c r="R117" s="819">
        <v>50</v>
      </c>
      <c r="S117" s="815">
        <v>9.9999999999999995E-7</v>
      </c>
      <c r="T117" s="815">
        <v>9.9999999999999995E-7</v>
      </c>
      <c r="U117" s="815">
        <v>9.9999999999999995E-7</v>
      </c>
      <c r="V117" s="813">
        <f t="shared" si="76"/>
        <v>0</v>
      </c>
      <c r="W117" s="818">
        <v>0</v>
      </c>
    </row>
    <row r="118" spans="1:24" ht="12.75" customHeight="1">
      <c r="A118" s="1252"/>
      <c r="B118" s="819">
        <v>100</v>
      </c>
      <c r="C118" s="815" t="s">
        <v>161</v>
      </c>
      <c r="D118" s="815" t="s">
        <v>161</v>
      </c>
      <c r="E118" s="815">
        <v>1.4</v>
      </c>
      <c r="F118" s="813">
        <f t="shared" si="74"/>
        <v>0</v>
      </c>
      <c r="G118" s="824">
        <v>1.7</v>
      </c>
      <c r="H118" s="810"/>
      <c r="I118" s="1252"/>
      <c r="J118" s="819">
        <v>100</v>
      </c>
      <c r="K118" s="815">
        <v>9.9999999999999995E-7</v>
      </c>
      <c r="L118" s="815">
        <v>9.9999999999999995E-7</v>
      </c>
      <c r="M118" s="815">
        <v>9.9999999999999995E-7</v>
      </c>
      <c r="N118" s="813">
        <f t="shared" si="75"/>
        <v>0</v>
      </c>
      <c r="O118" s="818">
        <v>0</v>
      </c>
      <c r="P118" s="810"/>
      <c r="Q118" s="1252"/>
      <c r="R118" s="819">
        <v>100</v>
      </c>
      <c r="S118" s="815">
        <v>9.9999999999999995E-7</v>
      </c>
      <c r="T118" s="815">
        <v>9.9999999999999995E-7</v>
      </c>
      <c r="U118" s="815">
        <v>9.9999999999999995E-7</v>
      </c>
      <c r="V118" s="813">
        <f t="shared" si="76"/>
        <v>0</v>
      </c>
      <c r="W118" s="818">
        <v>0</v>
      </c>
    </row>
    <row r="119" spans="1:24" ht="12.75" customHeight="1">
      <c r="A119" s="1252"/>
      <c r="B119" s="1256" t="s">
        <v>500</v>
      </c>
      <c r="C119" s="1257"/>
      <c r="D119" s="1257"/>
      <c r="E119" s="1258"/>
      <c r="F119" s="809" t="s">
        <v>495</v>
      </c>
      <c r="G119" s="809" t="s">
        <v>396</v>
      </c>
      <c r="H119" s="810"/>
      <c r="I119" s="1252"/>
      <c r="J119" s="1256" t="s">
        <v>500</v>
      </c>
      <c r="K119" s="1257"/>
      <c r="L119" s="1257"/>
      <c r="M119" s="1258"/>
      <c r="N119" s="809" t="s">
        <v>495</v>
      </c>
      <c r="O119" s="809" t="s">
        <v>396</v>
      </c>
      <c r="P119" s="810"/>
      <c r="Q119" s="1252"/>
      <c r="R119" s="1256" t="str">
        <f>B119</f>
        <v>Resistance</v>
      </c>
      <c r="S119" s="1257"/>
      <c r="T119" s="1257"/>
      <c r="U119" s="1258"/>
      <c r="V119" s="809" t="s">
        <v>495</v>
      </c>
      <c r="W119" s="809" t="s">
        <v>396</v>
      </c>
    </row>
    <row r="120" spans="1:24" ht="15" customHeight="1">
      <c r="A120" s="1252"/>
      <c r="B120" s="808" t="s">
        <v>583</v>
      </c>
      <c r="C120" s="809">
        <f>C98</f>
        <v>2019</v>
      </c>
      <c r="D120" s="809">
        <f>D98</f>
        <v>2019</v>
      </c>
      <c r="E120" s="809">
        <f>E98</f>
        <v>2020</v>
      </c>
      <c r="F120" s="809"/>
      <c r="G120" s="809"/>
      <c r="H120" s="810"/>
      <c r="I120" s="1252"/>
      <c r="J120" s="808" t="s">
        <v>583</v>
      </c>
      <c r="K120" s="809">
        <f>K98</f>
        <v>2019</v>
      </c>
      <c r="L120" s="809">
        <f>L98</f>
        <v>2019</v>
      </c>
      <c r="M120" s="809">
        <f>M98</f>
        <v>2020</v>
      </c>
      <c r="N120" s="809"/>
      <c r="O120" s="809"/>
      <c r="P120" s="810"/>
      <c r="Q120" s="1252"/>
      <c r="R120" s="808" t="s">
        <v>583</v>
      </c>
      <c r="S120" s="809">
        <f>S98</f>
        <v>2019</v>
      </c>
      <c r="T120" s="809">
        <f>T98</f>
        <v>2019</v>
      </c>
      <c r="U120" s="809">
        <f>U98</f>
        <v>2020</v>
      </c>
      <c r="V120" s="809"/>
      <c r="W120" s="809"/>
    </row>
    <row r="121" spans="1:24" ht="12.75" customHeight="1">
      <c r="A121" s="1252"/>
      <c r="B121" s="819">
        <v>0.01</v>
      </c>
      <c r="C121" s="820">
        <v>9.9999999999999995E-7</v>
      </c>
      <c r="D121" s="820">
        <v>9.9999999999999995E-7</v>
      </c>
      <c r="E121" s="820">
        <v>9.9999999999999995E-7</v>
      </c>
      <c r="F121" s="813">
        <f t="shared" ref="F121:F124" si="77">0.5*(MAX(C121:E121)-MIN(C121:E121))</f>
        <v>0</v>
      </c>
      <c r="G121" s="819">
        <v>1.2</v>
      </c>
      <c r="H121" s="810"/>
      <c r="I121" s="1252"/>
      <c r="J121" s="819">
        <v>0.01</v>
      </c>
      <c r="K121" s="819">
        <v>9.9999999999999995E-7</v>
      </c>
      <c r="L121" s="819">
        <v>9.9999999999999995E-7</v>
      </c>
      <c r="M121" s="820">
        <v>9.9999999999999995E-7</v>
      </c>
      <c r="N121" s="813">
        <f t="shared" ref="N121:N124" si="78">0.5*(MAX(K121:M121)-MIN(K121:M121))</f>
        <v>0</v>
      </c>
      <c r="O121" s="855">
        <v>1.2</v>
      </c>
      <c r="P121" s="810"/>
      <c r="Q121" s="1252"/>
      <c r="R121" s="819">
        <v>0.01</v>
      </c>
      <c r="S121" s="819">
        <v>9.9999999999999995E-7</v>
      </c>
      <c r="T121" s="819">
        <v>9.9999999999999995E-7</v>
      </c>
      <c r="U121" s="820">
        <v>9.9999999999999995E-7</v>
      </c>
      <c r="V121" s="813">
        <f t="shared" ref="V121:V124" si="79">0.5*(MAX(S121:U121)-MIN(S121:U121))</f>
        <v>0</v>
      </c>
      <c r="W121" s="858">
        <v>1.2</v>
      </c>
    </row>
    <row r="122" spans="1:24" ht="12.75" customHeight="1">
      <c r="A122" s="1252"/>
      <c r="B122" s="819">
        <v>0.1</v>
      </c>
      <c r="C122" s="820">
        <v>9.9999999999999995E-7</v>
      </c>
      <c r="D122" s="820">
        <v>9.9999999999999995E-7</v>
      </c>
      <c r="E122" s="820">
        <v>9.9999999999999995E-7</v>
      </c>
      <c r="F122" s="813">
        <f t="shared" si="77"/>
        <v>0</v>
      </c>
      <c r="G122" s="819">
        <v>1.2</v>
      </c>
      <c r="H122" s="810"/>
      <c r="I122" s="1252"/>
      <c r="J122" s="819">
        <v>0.1</v>
      </c>
      <c r="K122" s="825">
        <v>9.9999999999999995E-7</v>
      </c>
      <c r="L122" s="825">
        <v>9.9999999999999995E-7</v>
      </c>
      <c r="M122" s="820">
        <v>-2E-3</v>
      </c>
      <c r="N122" s="813">
        <f t="shared" si="78"/>
        <v>1.0005000000000001E-3</v>
      </c>
      <c r="O122" s="855">
        <v>1.2</v>
      </c>
      <c r="P122" s="810"/>
      <c r="Q122" s="1252"/>
      <c r="R122" s="819">
        <v>0.1</v>
      </c>
      <c r="S122" s="819">
        <v>9.9999999999999995E-7</v>
      </c>
      <c r="T122" s="819">
        <v>9.9999999999999995E-7</v>
      </c>
      <c r="U122" s="820">
        <v>-3.0000000000000001E-3</v>
      </c>
      <c r="V122" s="813">
        <f t="shared" si="79"/>
        <v>1.5005000000000001E-3</v>
      </c>
      <c r="W122" s="858">
        <v>1.2</v>
      </c>
    </row>
    <row r="123" spans="1:24" ht="12.75" customHeight="1">
      <c r="A123" s="1252"/>
      <c r="B123" s="819">
        <v>1</v>
      </c>
      <c r="C123" s="820">
        <v>-2.3E-3</v>
      </c>
      <c r="D123" s="820">
        <v>-2.3E-3</v>
      </c>
      <c r="E123" s="820">
        <v>-2.3E-3</v>
      </c>
      <c r="F123" s="813">
        <f t="shared" si="77"/>
        <v>0</v>
      </c>
      <c r="G123" s="819">
        <v>1.2</v>
      </c>
      <c r="H123" s="810"/>
      <c r="I123" s="1252"/>
      <c r="J123" s="819">
        <v>1</v>
      </c>
      <c r="K123" s="825">
        <v>9.9999999999999995E-7</v>
      </c>
      <c r="L123" s="825">
        <v>9.9999999999999995E-7</v>
      </c>
      <c r="M123" s="820">
        <v>-1E-3</v>
      </c>
      <c r="N123" s="813">
        <f t="shared" si="78"/>
        <v>5.0049999999999997E-4</v>
      </c>
      <c r="O123" s="855">
        <v>1.2</v>
      </c>
      <c r="P123" s="810"/>
      <c r="Q123" s="1252"/>
      <c r="R123" s="819">
        <v>1</v>
      </c>
      <c r="S123" s="819">
        <v>9.9999999999999995E-7</v>
      </c>
      <c r="T123" s="819">
        <v>9.9999999999999995E-7</v>
      </c>
      <c r="U123" s="820">
        <v>-1E-3</v>
      </c>
      <c r="V123" s="813">
        <f t="shared" si="79"/>
        <v>5.0049999999999997E-4</v>
      </c>
      <c r="W123" s="858">
        <v>1.2</v>
      </c>
    </row>
    <row r="124" spans="1:24" ht="12.75" customHeight="1">
      <c r="A124" s="1253"/>
      <c r="B124" s="819">
        <v>2</v>
      </c>
      <c r="C124" s="820">
        <v>0</v>
      </c>
      <c r="D124" s="820">
        <v>0</v>
      </c>
      <c r="E124" s="820">
        <v>9.9999999999999995E-7</v>
      </c>
      <c r="F124" s="813">
        <f t="shared" si="77"/>
        <v>4.9999999999999998E-7</v>
      </c>
      <c r="G124" s="819">
        <v>1.2</v>
      </c>
      <c r="H124" s="810"/>
      <c r="I124" s="1253"/>
      <c r="J124" s="819">
        <v>2</v>
      </c>
      <c r="K124" s="825">
        <v>9.9999999999999995E-7</v>
      </c>
      <c r="L124" s="825">
        <v>9.9999999999999995E-7</v>
      </c>
      <c r="M124" s="820">
        <v>-6.0000000000000001E-3</v>
      </c>
      <c r="N124" s="813">
        <f t="shared" si="78"/>
        <v>3.0005000000000001E-3</v>
      </c>
      <c r="O124" s="855">
        <v>1.2</v>
      </c>
      <c r="P124" s="810"/>
      <c r="Q124" s="1253"/>
      <c r="R124" s="819">
        <v>2</v>
      </c>
      <c r="S124" s="819">
        <v>9.9999999999999995E-7</v>
      </c>
      <c r="T124" s="819">
        <v>9.9999999999999995E-7</v>
      </c>
      <c r="U124" s="820">
        <v>-6.0000000000000001E-3</v>
      </c>
      <c r="V124" s="813">
        <f t="shared" si="79"/>
        <v>3.0005000000000001E-3</v>
      </c>
      <c r="W124" s="858">
        <v>1.2</v>
      </c>
    </row>
    <row r="125" spans="1:24" s="831" customFormat="1" ht="16" thickBot="1">
      <c r="A125" s="842"/>
      <c r="B125" s="843"/>
      <c r="C125" s="844"/>
      <c r="E125" s="844"/>
      <c r="F125" s="844"/>
      <c r="G125" s="844"/>
      <c r="H125" s="832"/>
      <c r="I125" s="845"/>
      <c r="J125" s="846"/>
      <c r="K125" s="844"/>
      <c r="M125" s="844"/>
      <c r="N125" s="844"/>
      <c r="O125" s="844"/>
      <c r="P125" s="832"/>
      <c r="Q125" s="845"/>
      <c r="R125" s="843"/>
      <c r="S125" s="844"/>
      <c r="U125" s="830"/>
      <c r="V125" s="830"/>
      <c r="W125" s="833"/>
      <c r="X125" s="834"/>
    </row>
    <row r="126" spans="1:24" ht="16" thickBot="1">
      <c r="A126" s="859"/>
      <c r="B126" s="860"/>
      <c r="C126" s="860"/>
      <c r="D126" s="861"/>
      <c r="E126" s="860"/>
      <c r="F126" s="860"/>
      <c r="G126" s="860"/>
      <c r="H126" s="862"/>
      <c r="I126" s="860"/>
      <c r="J126" s="860"/>
      <c r="K126" s="860"/>
      <c r="L126" s="861"/>
      <c r="M126" s="860"/>
      <c r="N126" s="860"/>
      <c r="O126" s="860"/>
      <c r="P126" s="862"/>
      <c r="Q126" s="860"/>
      <c r="R126" s="860"/>
      <c r="S126" s="860"/>
      <c r="T126" s="861"/>
      <c r="U126" s="863"/>
      <c r="V126" s="863"/>
      <c r="W126" s="864"/>
    </row>
    <row r="127" spans="1:24">
      <c r="A127" s="865"/>
      <c r="B127" s="866"/>
      <c r="C127" s="866"/>
    </row>
    <row r="128" spans="1:24" ht="15" customHeight="1"/>
    <row r="129" spans="1:23" ht="15.75" customHeight="1"/>
    <row r="131" spans="1:23" ht="16" thickBot="1">
      <c r="S131" s="867"/>
    </row>
    <row r="132" spans="1:23" ht="30" customHeight="1">
      <c r="A132" s="1303">
        <f>IF($A$165=$A$166,A2,IF($A$165=$A$167,I2,IF($A$165=$A$168,Q2,IF($A$165=$A$169,A33,IF($A$165=$A$170,I33,IF($A$165=$A$171,Q33,IF($A$165=$A$172,A64,IF($A$165=$A$173,I64,IF($A$165=$A$174,Q64,IF($A$165=$A$175,A95,IF($A$165=$A$176,I95,Q95)))))))))))</f>
        <v>3</v>
      </c>
      <c r="B132" s="1271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2853077</v>
      </c>
      <c r="C132" s="1272"/>
      <c r="D132" s="1272"/>
      <c r="E132" s="1272"/>
      <c r="F132" s="1272"/>
      <c r="G132" s="1273"/>
    </row>
    <row r="133" spans="1:23" ht="15.75" customHeight="1" thickBot="1">
      <c r="A133" s="1304"/>
      <c r="B133" s="1274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275"/>
      <c r="D133" s="1275"/>
      <c r="E133" s="1275"/>
      <c r="F133" s="1275"/>
      <c r="G133" s="1276"/>
      <c r="I133" s="831"/>
      <c r="T133" s="1277" t="s">
        <v>584</v>
      </c>
      <c r="U133" s="1277"/>
      <c r="V133" s="1277"/>
      <c r="W133" s="1277"/>
    </row>
    <row r="134" spans="1:23" ht="15.75" customHeight="1">
      <c r="A134" s="1304"/>
      <c r="B134" s="1278" t="str">
        <f t="shared" si="80"/>
        <v>Setting VAC</v>
      </c>
      <c r="C134" s="1279"/>
      <c r="D134" s="1279"/>
      <c r="E134" s="1280"/>
      <c r="F134" s="868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869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281" t="s">
        <v>585</v>
      </c>
      <c r="J134" s="1282"/>
      <c r="K134" s="1282"/>
      <c r="L134" s="1283"/>
      <c r="M134" s="870"/>
      <c r="N134" s="1284" t="s">
        <v>501</v>
      </c>
      <c r="O134" s="1306" t="s">
        <v>502</v>
      </c>
      <c r="P134" s="1309" t="s">
        <v>503</v>
      </c>
      <c r="T134" s="871"/>
      <c r="U134" s="872">
        <f>IF($T$135="-","-",IF($T$135&lt;=$B$136,0,IF($T$135&lt;=$B$137,B136,IF($T$135&lt;=$B$138,B137,IF($T$135&lt;=$B$139,B138,IF($T$135&lt;=$B$140,B139,IF($T$135&lt;=$B$141,B140,IF($T$135&gt;=$B$141,"OVER"))))))))</f>
        <v>200</v>
      </c>
      <c r="V134" s="872">
        <f>IFERROR(V135,"-")</f>
        <v>-2.1040000000000001</v>
      </c>
      <c r="W134" s="872">
        <f>IF($T$135="-","-",IF($T$135&lt;=$B$136,0,IF($T$135&lt;=$B$137,E136,IF($T$135&lt;=$B$138,E137,IF($T$135&lt;=$B$139,E138,IF($T$135&lt;=$B$140,E139,IF($T$135&lt;=$B$141,E140,IF($T$135&gt;=$B$141,E141))))))))</f>
        <v>-2.0499999999999998</v>
      </c>
    </row>
    <row r="135" spans="1:23">
      <c r="A135" s="1304"/>
      <c r="B135" s="873" t="str">
        <f t="shared" si="80"/>
        <v>( V )</v>
      </c>
      <c r="C135" s="868">
        <f t="shared" si="80"/>
        <v>2018</v>
      </c>
      <c r="D135" s="868">
        <f t="shared" si="80"/>
        <v>2021</v>
      </c>
      <c r="E135" s="868">
        <f t="shared" si="80"/>
        <v>2022</v>
      </c>
      <c r="F135" s="868"/>
      <c r="G135" s="869"/>
      <c r="I135" s="874">
        <f>N137</f>
        <v>204.5</v>
      </c>
      <c r="J135" s="875"/>
      <c r="K135" s="876">
        <f>V135</f>
        <v>-2.1040000000000001</v>
      </c>
      <c r="L135" s="877"/>
      <c r="M135" s="831"/>
      <c r="N135" s="1285"/>
      <c r="O135" s="1307"/>
      <c r="P135" s="1310"/>
      <c r="T135" s="878">
        <f>N137</f>
        <v>204.5</v>
      </c>
      <c r="U135" s="871"/>
      <c r="V135" s="878">
        <f>((T135-U134)/(U136-U134)*(W136-W134)+W134)</f>
        <v>-2.1040000000000001</v>
      </c>
      <c r="W135" s="878"/>
    </row>
    <row r="136" spans="1:23" ht="16.5" customHeight="1" thickBot="1">
      <c r="A136" s="1304"/>
      <c r="B136" s="873">
        <f t="shared" si="80"/>
        <v>150</v>
      </c>
      <c r="C136" s="879">
        <f t="shared" si="80"/>
        <v>-7.0000000000000007E-2</v>
      </c>
      <c r="D136" s="879">
        <f t="shared" si="80"/>
        <v>-1.6</v>
      </c>
      <c r="E136" s="879">
        <f t="shared" si="80"/>
        <v>-1.43</v>
      </c>
      <c r="F136" s="868">
        <f t="shared" si="80"/>
        <v>0.76500000000000001</v>
      </c>
      <c r="G136" s="869">
        <f t="shared" si="80"/>
        <v>1.8</v>
      </c>
      <c r="I136" s="1295" t="s">
        <v>586</v>
      </c>
      <c r="J136" s="1296"/>
      <c r="K136" s="1296"/>
      <c r="L136" s="1297"/>
      <c r="M136" s="831"/>
      <c r="N136" s="1286"/>
      <c r="O136" s="1308"/>
      <c r="P136" s="1311"/>
      <c r="T136" s="871"/>
      <c r="U136" s="872">
        <f>IF($T$135="-","-",IF($T$135&lt;=$B$136,B136,IF($T$135&lt;=$B$137,B137,IF($T$135&lt;=$B$138,B138,IF($T$135&lt;=$B$139,B139,IF($T$135&lt;=$B$140,B140,IF($T$135&lt;=$B$141,B141,IF($T$135&gt;=$B$141,"OVER"))))))))</f>
        <v>220</v>
      </c>
      <c r="V136" s="871"/>
      <c r="W136" s="872">
        <f>IF($T$135="-","-",IF($T$135&lt;=$B$136,E136,IF($T$135&lt;=$B$137,E137,IF($T$135&lt;=$B$138,E138,IF($T$135&lt;=$B$139,E139,IF($T$135&lt;=$B$140,E140,IF($T$135&lt;=$B$141,E141,IF($T$135&gt;=$B$141,"OVER"))))))))</f>
        <v>-2.29</v>
      </c>
    </row>
    <row r="137" spans="1:23" ht="15.75" customHeight="1">
      <c r="A137" s="1304"/>
      <c r="B137" s="873">
        <f t="shared" si="80"/>
        <v>180</v>
      </c>
      <c r="C137" s="879">
        <f t="shared" si="80"/>
        <v>-0.13</v>
      </c>
      <c r="D137" s="879">
        <f t="shared" si="80"/>
        <v>-1.9</v>
      </c>
      <c r="E137" s="879">
        <f t="shared" si="80"/>
        <v>-1.81</v>
      </c>
      <c r="F137" s="868">
        <f t="shared" si="80"/>
        <v>0.88500000000000001</v>
      </c>
      <c r="G137" s="869">
        <f t="shared" si="80"/>
        <v>2.16</v>
      </c>
      <c r="I137" s="874" t="str">
        <f>N138</f>
        <v>OL</v>
      </c>
      <c r="J137" s="875"/>
      <c r="K137" s="880" t="str">
        <f>V139</f>
        <v>-</v>
      </c>
      <c r="L137" s="877"/>
      <c r="M137" s="831"/>
      <c r="N137" s="881">
        <f>ID!D19</f>
        <v>204.5</v>
      </c>
      <c r="O137" s="882">
        <f>N137+V135</f>
        <v>202.39599999999999</v>
      </c>
      <c r="P137" s="883">
        <f>IF(N137="-","-",O137)</f>
        <v>202.39599999999999</v>
      </c>
      <c r="T137" s="1277" t="s">
        <v>587</v>
      </c>
      <c r="U137" s="1277"/>
      <c r="V137" s="1277"/>
      <c r="W137" s="1277"/>
    </row>
    <row r="138" spans="1:23" ht="15.75" customHeight="1">
      <c r="A138" s="1304"/>
      <c r="B138" s="873">
        <f t="shared" si="80"/>
        <v>200</v>
      </c>
      <c r="C138" s="879">
        <f t="shared" si="80"/>
        <v>-0.26</v>
      </c>
      <c r="D138" s="879">
        <f t="shared" si="80"/>
        <v>-2.14</v>
      </c>
      <c r="E138" s="879">
        <f t="shared" si="80"/>
        <v>-2.0499999999999998</v>
      </c>
      <c r="F138" s="868">
        <f t="shared" si="80"/>
        <v>0.94000000000000006</v>
      </c>
      <c r="G138" s="869">
        <f t="shared" si="80"/>
        <v>2.4</v>
      </c>
      <c r="I138" s="1295" t="s">
        <v>311</v>
      </c>
      <c r="J138" s="1296"/>
      <c r="K138" s="1296"/>
      <c r="L138" s="1297"/>
      <c r="M138" s="831"/>
      <c r="N138" s="884" t="str">
        <f>ID!J27</f>
        <v>OL</v>
      </c>
      <c r="O138" s="885" t="str">
        <f>IF(N138="OL","-",N138+V139)</f>
        <v>-</v>
      </c>
      <c r="P138" s="886" t="str">
        <f>IF(N138="OL","OL",IF(N138="NC","NC",IF(N138="OR","OR",IF(N138="-","-",O138))))</f>
        <v>OL</v>
      </c>
      <c r="T138" s="871"/>
      <c r="U138" s="872" t="str">
        <f>IF($T$139&lt;=$B$152,0,IF($T$139&lt;=$B$153,B152,IF($T$139&lt;=$B$154,B153,IF($T$139&lt;=$B$155,B154,IF($T$139&gt;=$B$155,"OVER")))))</f>
        <v>OVER</v>
      </c>
      <c r="V138" s="872" t="str">
        <f>IFERROR(V139,"-")</f>
        <v>-</v>
      </c>
      <c r="W138" s="872">
        <f>IF($T$139&lt;=$B$152,0,IF($T$139&lt;=$B$153,E152,IF($T$139&lt;=$B$154,E153,IF($T$139&lt;=$B$155,E154,IF($T$139&gt;=$B$155,E155)))))</f>
        <v>0.1</v>
      </c>
    </row>
    <row r="139" spans="1:23" ht="13">
      <c r="A139" s="1304"/>
      <c r="B139" s="873">
        <f t="shared" si="80"/>
        <v>220</v>
      </c>
      <c r="C139" s="879">
        <f t="shared" si="80"/>
        <v>-0.28999999999999998</v>
      </c>
      <c r="D139" s="879">
        <f t="shared" si="80"/>
        <v>-3.44</v>
      </c>
      <c r="E139" s="879">
        <f t="shared" si="80"/>
        <v>-2.29</v>
      </c>
      <c r="F139" s="868">
        <f t="shared" si="80"/>
        <v>1.575</v>
      </c>
      <c r="G139" s="869">
        <f t="shared" si="80"/>
        <v>2.64</v>
      </c>
      <c r="I139" s="887">
        <f>N139</f>
        <v>0.1</v>
      </c>
      <c r="J139" s="875"/>
      <c r="K139" s="888">
        <f>V143</f>
        <v>9.9999999999999995E-7</v>
      </c>
      <c r="L139" s="889"/>
      <c r="M139" s="831"/>
      <c r="N139" s="960">
        <f>ID!J28</f>
        <v>0.1</v>
      </c>
      <c r="O139" s="890">
        <f>N139+V143</f>
        <v>0.10000100000000001</v>
      </c>
      <c r="P139" s="886">
        <f>IF(N139="OL","OL",IF(N139="NC","NC",IF(N139="-","-",O139)))</f>
        <v>0.10000100000000001</v>
      </c>
      <c r="T139" s="878" t="str">
        <f>I137</f>
        <v>OL</v>
      </c>
      <c r="U139" s="871"/>
      <c r="V139" s="878" t="str">
        <f>IF(T139="OL","-",((T139-U138)/(U140-U138)*(W140-W138)+W138))</f>
        <v>-</v>
      </c>
      <c r="W139" s="878"/>
    </row>
    <row r="140" spans="1:23" ht="13">
      <c r="A140" s="1304"/>
      <c r="B140" s="873">
        <f t="shared" si="80"/>
        <v>230</v>
      </c>
      <c r="C140" s="879">
        <f t="shared" si="80"/>
        <v>-0.23</v>
      </c>
      <c r="D140" s="879">
        <f t="shared" si="80"/>
        <v>-2.52</v>
      </c>
      <c r="E140" s="879">
        <f t="shared" si="80"/>
        <v>-11.79</v>
      </c>
      <c r="F140" s="868">
        <f t="shared" si="80"/>
        <v>5.7799999999999994</v>
      </c>
      <c r="G140" s="869">
        <f t="shared" si="80"/>
        <v>2.7600000000000002</v>
      </c>
      <c r="I140" s="1295" t="s">
        <v>588</v>
      </c>
      <c r="J140" s="1296"/>
      <c r="K140" s="1296"/>
      <c r="L140" s="1297"/>
      <c r="M140" s="831"/>
      <c r="N140" s="884" t="str">
        <f>ID!J30</f>
        <v>-</v>
      </c>
      <c r="O140" s="891" t="str">
        <f>IF(N140="-","-",N140+V147)</f>
        <v>-</v>
      </c>
      <c r="P140" s="892" t="str">
        <f>IF(N140="-","-",O140)</f>
        <v>-</v>
      </c>
      <c r="T140" s="871"/>
      <c r="U140" s="872" t="str">
        <f>IF($T$139&lt;=$B$152,B152,IF($T$139&lt;=$B$153,B153,IF($T$139&lt;=$B$154,B154,IF($T$139&lt;=$B$155,B155,IF($T$139&gt;=$B$155,"OVER")))))</f>
        <v>OVER</v>
      </c>
      <c r="V140" s="871"/>
      <c r="W140" s="872" t="str">
        <f>IF($T$139&lt;=$B$152,E152,IF($T$139&lt;=$B$153,E153,IF($T$139&lt;=$B$154,E154,IF($T$139&lt;=$B$155,E155,IF($T$139&gt;=$B$155,"OVER")))))</f>
        <v>OVER</v>
      </c>
    </row>
    <row r="141" spans="1:23" ht="12.75" customHeight="1" thickBot="1">
      <c r="A141" s="1304"/>
      <c r="B141" s="873">
        <f t="shared" si="80"/>
        <v>250</v>
      </c>
      <c r="C141" s="879">
        <f t="shared" si="80"/>
        <v>9.9999999999999995E-7</v>
      </c>
      <c r="D141" s="879">
        <f t="shared" si="80"/>
        <v>9.9999999999999995E-7</v>
      </c>
      <c r="E141" s="879">
        <f t="shared" si="80"/>
        <v>9.9999999999999995E-7</v>
      </c>
      <c r="F141" s="868">
        <f t="shared" si="80"/>
        <v>0</v>
      </c>
      <c r="G141" s="869">
        <f t="shared" si="80"/>
        <v>3</v>
      </c>
      <c r="I141" s="893" t="str">
        <f>N140</f>
        <v>-</v>
      </c>
      <c r="J141" s="875"/>
      <c r="K141" s="894" t="str">
        <f>V147</f>
        <v>OL</v>
      </c>
      <c r="L141" s="877"/>
      <c r="M141" s="831"/>
      <c r="N141" s="884">
        <f>[1]ID!I28</f>
        <v>26.7</v>
      </c>
      <c r="O141" s="890">
        <f>N141+V151</f>
        <v>31.559400381188006</v>
      </c>
      <c r="P141" s="892">
        <f>IF(N141="-","-",O141)</f>
        <v>31.559400381188006</v>
      </c>
      <c r="T141" s="1277" t="s">
        <v>589</v>
      </c>
      <c r="U141" s="1277"/>
      <c r="V141" s="1277"/>
      <c r="W141" s="1277"/>
    </row>
    <row r="142" spans="1:23" ht="13.5" thickBot="1">
      <c r="A142" s="1304"/>
      <c r="B142" s="1278" t="str">
        <f t="shared" si="80"/>
        <v>Current Leakage</v>
      </c>
      <c r="C142" s="1279"/>
      <c r="D142" s="1279"/>
      <c r="E142" s="1280"/>
      <c r="F142" s="868" t="str">
        <f t="shared" si="80"/>
        <v>Driff</v>
      </c>
      <c r="G142" s="869" t="str">
        <f t="shared" si="80"/>
        <v>U95</v>
      </c>
      <c r="I142" s="1295" t="s">
        <v>588</v>
      </c>
      <c r="J142" s="1296"/>
      <c r="K142" s="1296"/>
      <c r="L142" s="1297"/>
      <c r="M142" s="895" t="s">
        <v>203</v>
      </c>
      <c r="N142" s="896">
        <f>ID!S20</f>
        <v>10</v>
      </c>
      <c r="O142" s="897">
        <f>N142+V155</f>
        <v>11.820000654400014</v>
      </c>
      <c r="P142" s="892">
        <f>IF(N142="-","-",O142)</f>
        <v>11.820000654400014</v>
      </c>
      <c r="T142" s="871"/>
      <c r="U142" s="872">
        <f>IF($T$143&lt;=$B$159,B158,IF($T$143&lt;=$B$160,B159,IF($T$143&lt;=$B$161,B160,IF($T$143&gt;=$B$161,"OVER"))))</f>
        <v>0.01</v>
      </c>
      <c r="V142" s="872">
        <f>IFERROR(V143,"-")</f>
        <v>9.9999999999999995E-7</v>
      </c>
      <c r="W142" s="872">
        <f>IF($T$143&lt;=$B$159,D158,IF($T$143&lt;=$B$160,D159,IF($T$143&lt;=$B$161,D160,IF($T$143&gt;=$B$161,"OVER"))))</f>
        <v>9.9999999999999995E-7</v>
      </c>
    </row>
    <row r="143" spans="1:23" ht="12.75" customHeight="1">
      <c r="A143" s="1304"/>
      <c r="B143" s="873" t="str">
        <f t="shared" si="80"/>
        <v>( uA )</v>
      </c>
      <c r="C143" s="868">
        <f t="shared" si="80"/>
        <v>2018</v>
      </c>
      <c r="D143" s="868">
        <f t="shared" si="80"/>
        <v>2021</v>
      </c>
      <c r="E143" s="868">
        <f t="shared" si="80"/>
        <v>2022</v>
      </c>
      <c r="F143" s="868"/>
      <c r="G143" s="869"/>
      <c r="I143" s="893">
        <f>N141</f>
        <v>26.7</v>
      </c>
      <c r="J143" s="875"/>
      <c r="K143" s="894">
        <f>V151</f>
        <v>4.8594003811880073</v>
      </c>
      <c r="L143" s="877"/>
      <c r="M143" s="1298" t="s">
        <v>590</v>
      </c>
      <c r="N143" s="898">
        <f>P137</f>
        <v>202.39599999999999</v>
      </c>
      <c r="O143" s="899">
        <f>(FORECAST(N143,G136:G141,B136:B141))</f>
        <v>2.4287519999999998</v>
      </c>
      <c r="P143" s="900" t="s">
        <v>201</v>
      </c>
      <c r="T143" s="878">
        <f>I139</f>
        <v>0.1</v>
      </c>
      <c r="U143" s="871"/>
      <c r="V143" s="878">
        <f>((T143-U142)/(U144-U142)*(W144-W142)+W142)</f>
        <v>9.9999999999999995E-7</v>
      </c>
      <c r="W143" s="878"/>
    </row>
    <row r="144" spans="1:23" ht="15" thickBot="1">
      <c r="A144" s="1304"/>
      <c r="B144" s="901">
        <f t="shared" si="80"/>
        <v>9.9999999999999995E-7</v>
      </c>
      <c r="C144" s="902">
        <f t="shared" si="80"/>
        <v>9.9999999999999995E-7</v>
      </c>
      <c r="D144" s="902">
        <f t="shared" si="80"/>
        <v>9.9999999999999995E-7</v>
      </c>
      <c r="E144" s="902">
        <f t="shared" si="80"/>
        <v>9.9999999999999995E-7</v>
      </c>
      <c r="F144" s="868">
        <f t="shared" si="80"/>
        <v>0</v>
      </c>
      <c r="G144" s="869">
        <f t="shared" si="80"/>
        <v>5.8999999999999999E-9</v>
      </c>
      <c r="I144" s="1300" t="s">
        <v>588</v>
      </c>
      <c r="J144" s="1301"/>
      <c r="K144" s="1301"/>
      <c r="L144" s="1302"/>
      <c r="M144" s="1299"/>
      <c r="N144" s="903" t="str">
        <f>P144&amp;FIXED(N143,1)&amp;P145&amp;FIXED(O143,1)&amp;P146&amp;P143</f>
        <v>( 202.4 ± 2.4 ) Volt</v>
      </c>
      <c r="O144" s="904"/>
      <c r="P144" s="1013" t="s">
        <v>475</v>
      </c>
      <c r="T144" s="871"/>
      <c r="U144" s="872">
        <f>IF($T$143&lt;=$B$158,B158,IF($T$143&lt;=$B$159,B159,IF($T$143&lt;=$B$160,B160,IF($T$143&lt;=$B$161,B161,IF($T$143&gt;=$B$161,"OVER")))))</f>
        <v>0.1</v>
      </c>
      <c r="V144" s="871"/>
      <c r="W144" s="872">
        <f>IF($T$143&lt;=$B$158,D158,IF($T$143&lt;=$B$159,D159,IF($T$143&lt;=$B$160,D160,IF($T$143&lt;=$B$161,D161,IF($T$143&gt;=$B$161,"OVER")))))</f>
        <v>9.9999999999999995E-7</v>
      </c>
    </row>
    <row r="145" spans="1:23" ht="13">
      <c r="A145" s="1304"/>
      <c r="B145" s="873">
        <f t="shared" si="80"/>
        <v>50</v>
      </c>
      <c r="C145" s="902">
        <f t="shared" si="80"/>
        <v>2</v>
      </c>
      <c r="D145" s="902">
        <f t="shared" si="80"/>
        <v>2.1</v>
      </c>
      <c r="E145" s="902">
        <f t="shared" si="80"/>
        <v>9.1</v>
      </c>
      <c r="F145" s="868">
        <f t="shared" si="80"/>
        <v>3.55</v>
      </c>
      <c r="G145" s="869">
        <f t="shared" si="80"/>
        <v>0.29499999999999998</v>
      </c>
      <c r="I145" s="905">
        <f>N142</f>
        <v>10</v>
      </c>
      <c r="J145" s="906"/>
      <c r="K145" s="907">
        <f>V155</f>
        <v>1.8200006544000131</v>
      </c>
      <c r="L145" s="907"/>
      <c r="M145" s="831"/>
      <c r="N145" s="908"/>
      <c r="O145" s="909"/>
      <c r="P145" s="910" t="s">
        <v>476</v>
      </c>
      <c r="T145" s="1277" t="s">
        <v>591</v>
      </c>
      <c r="U145" s="1277"/>
      <c r="V145" s="1277"/>
      <c r="W145" s="1277"/>
    </row>
    <row r="146" spans="1:23" ht="13" thickBot="1">
      <c r="A146" s="1304"/>
      <c r="B146" s="873">
        <f t="shared" si="80"/>
        <v>100</v>
      </c>
      <c r="C146" s="902">
        <f t="shared" si="80"/>
        <v>2</v>
      </c>
      <c r="D146" s="902">
        <f t="shared" si="80"/>
        <v>2.2999999999999998</v>
      </c>
      <c r="E146" s="902">
        <f t="shared" si="80"/>
        <v>6</v>
      </c>
      <c r="F146" s="868">
        <f t="shared" si="80"/>
        <v>2</v>
      </c>
      <c r="G146" s="869">
        <f t="shared" si="80"/>
        <v>0.59</v>
      </c>
      <c r="I146" s="911"/>
      <c r="M146" s="831"/>
      <c r="N146" s="912"/>
      <c r="O146" s="912"/>
      <c r="P146" s="913" t="s">
        <v>592</v>
      </c>
      <c r="T146" s="871"/>
      <c r="U146" s="872" t="str">
        <f>IF(T147&lt;=$B$145,$B$144,IF(T147&lt;=$B$146,$B$145,IF(T147&lt;=$B$147,$B$146,IF(T147&lt;=$B$148,$B$147,IF(T147&lt;=$B$149,$B$148,IF(T147&gt;$B$149,"OVER"))))))</f>
        <v>OVER</v>
      </c>
      <c r="V146" s="872" t="str">
        <f>IFERROR(V147,"-")</f>
        <v>OL</v>
      </c>
      <c r="W146" s="872" t="str">
        <f>IF(T147&lt;=$B$145,$E$144,IF(T147&lt;=$B$146,$E$145,IF(T147&lt;=$B$147,$E$146,IF(T147&lt;=$B$148,$E$147,IF(T147&lt;=$B$149,$E$148,IF(T147&gt;$B$149,"OVER"))))))</f>
        <v>OVER</v>
      </c>
    </row>
    <row r="147" spans="1:23" ht="13" thickBot="1">
      <c r="A147" s="1304"/>
      <c r="B147" s="873">
        <f t="shared" si="80"/>
        <v>200</v>
      </c>
      <c r="C147" s="902">
        <f t="shared" si="80"/>
        <v>3.6</v>
      </c>
      <c r="D147" s="902">
        <f t="shared" si="80"/>
        <v>2.5</v>
      </c>
      <c r="E147" s="902">
        <f t="shared" si="80"/>
        <v>-3.6</v>
      </c>
      <c r="F147" s="868">
        <f t="shared" si="80"/>
        <v>3.6</v>
      </c>
      <c r="G147" s="869">
        <f t="shared" si="80"/>
        <v>1.18</v>
      </c>
      <c r="H147" s="914"/>
      <c r="I147" s="915"/>
      <c r="J147" s="916"/>
      <c r="K147" s="916"/>
      <c r="L147" s="917"/>
      <c r="M147" s="918"/>
      <c r="N147" s="919">
        <f>MAX(N140:N145)</f>
        <v>202.39599999999999</v>
      </c>
      <c r="O147" s="919">
        <f>MAX(P140:P142)</f>
        <v>31.559400381188006</v>
      </c>
      <c r="P147" s="920">
        <f>IF(N147=0,"-",IF(N147=N147,O147,))</f>
        <v>31.559400381188006</v>
      </c>
      <c r="T147" s="878" t="str">
        <f>I141</f>
        <v>-</v>
      </c>
      <c r="U147" s="871"/>
      <c r="V147" s="878" t="str">
        <f>IF(T147="-","OL",((T147-U146)/(U148-U146)*(W148-W146)+W146))</f>
        <v>OL</v>
      </c>
      <c r="W147" s="878"/>
    </row>
    <row r="148" spans="1:23">
      <c r="A148" s="1304"/>
      <c r="B148" s="873">
        <f t="shared" si="80"/>
        <v>500</v>
      </c>
      <c r="C148" s="902">
        <f t="shared" si="80"/>
        <v>2.9</v>
      </c>
      <c r="D148" s="902">
        <f t="shared" si="80"/>
        <v>4.3</v>
      </c>
      <c r="E148" s="902">
        <f t="shared" si="80"/>
        <v>-18.8</v>
      </c>
      <c r="F148" s="868">
        <f t="shared" si="80"/>
        <v>11.55</v>
      </c>
      <c r="G148" s="869">
        <f t="shared" si="80"/>
        <v>2.9499999999999997</v>
      </c>
      <c r="I148" s="921"/>
      <c r="J148" s="921"/>
      <c r="K148" s="921"/>
      <c r="L148" s="870"/>
      <c r="M148" s="870"/>
      <c r="N148" s="870"/>
      <c r="O148" s="870"/>
      <c r="T148" s="871"/>
      <c r="U148" s="872" t="str">
        <f>IF(T147&lt;=$B$144,$B$144,IF(T147&lt;=$B$145,$B$145,IF(T147&lt;=$B$146,$B$146,IF(T147&lt;=$B$147,$B$147,IF(T147&lt;=$B$148,$B$148,IF(T147&lt;=$B$149,$B$149,IF(T147&gt;$B$149,"OVER")))))))</f>
        <v>OVER</v>
      </c>
      <c r="V148" s="871"/>
      <c r="W148" s="872" t="str">
        <f>IF(T147&lt;=$B$144,$E$144,IF(T147&lt;=$B$145,$E$145,IF(T147&lt;=$B$146,$E$146,IF(T147&lt;=$B$147,$E$147,IF(T147&lt;=$B$148,$E$148,IF(T147&lt;=$B$149,$E$149,IF(T147&gt;$B$149,"OVER")))))))</f>
        <v>OVER</v>
      </c>
    </row>
    <row r="149" spans="1:23" ht="13">
      <c r="A149" s="1304"/>
      <c r="B149" s="873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902">
        <f t="shared" si="81"/>
        <v>3</v>
      </c>
      <c r="D149" s="902">
        <f t="shared" si="81"/>
        <v>2</v>
      </c>
      <c r="E149" s="902">
        <f t="shared" si="81"/>
        <v>-47</v>
      </c>
      <c r="F149" s="868">
        <f t="shared" si="81"/>
        <v>25</v>
      </c>
      <c r="G149" s="869">
        <f t="shared" si="81"/>
        <v>5.8999999999999995</v>
      </c>
      <c r="H149" s="922"/>
      <c r="I149" s="923"/>
      <c r="J149" s="923"/>
      <c r="K149" s="924"/>
      <c r="L149" s="831"/>
      <c r="M149" s="831"/>
      <c r="N149" s="831"/>
      <c r="O149" s="831"/>
      <c r="T149" s="1277" t="s">
        <v>591</v>
      </c>
      <c r="U149" s="1277"/>
      <c r="V149" s="1277"/>
      <c r="W149" s="1277"/>
    </row>
    <row r="150" spans="1:23" ht="12.75" customHeight="1">
      <c r="A150" s="1304"/>
      <c r="B150" s="1278" t="str">
        <f t="shared" si="81"/>
        <v>Main-PE</v>
      </c>
      <c r="C150" s="1279"/>
      <c r="D150" s="1279"/>
      <c r="E150" s="1280"/>
      <c r="F150" s="868" t="str">
        <f t="shared" si="81"/>
        <v>Driff</v>
      </c>
      <c r="G150" s="869" t="str">
        <f t="shared" si="81"/>
        <v>U95</v>
      </c>
      <c r="L150" s="925"/>
      <c r="M150" s="925"/>
      <c r="N150" s="925"/>
      <c r="O150" s="925"/>
      <c r="P150" s="926"/>
      <c r="T150" s="871"/>
      <c r="U150" s="872">
        <f>IF(T151&lt;=$B$145,$B$144,IF(T151&lt;=$B$146,$B$145,IF(T151&lt;=$B$147,$B$146,IF(T151&lt;=$B$148,$B$147,IF(T151&lt;=$B$149,$B$148,IF(T151&gt;$B$149,"OVER"))))))</f>
        <v>9.9999999999999995E-7</v>
      </c>
      <c r="V150" s="872">
        <f>IFERROR(V151,"-")</f>
        <v>4.8594003811880073</v>
      </c>
      <c r="W150" s="872">
        <f>IF(T151&lt;=$B$145,$E$144,IF(T151&lt;=$B$146,$E$145,IF(T151&lt;=$B$147,$E$146,IF(T151&lt;=$B$148,$E$147,IF(T151&lt;=$B$149,$E$148,IF(T151&gt;$B$149,"OVER"))))))</f>
        <v>9.9999999999999995E-7</v>
      </c>
    </row>
    <row r="151" spans="1:23">
      <c r="A151" s="1304"/>
      <c r="B151" s="873" t="str">
        <f t="shared" si="81"/>
        <v>( MΩ )</v>
      </c>
      <c r="C151" s="868">
        <f t="shared" si="81"/>
        <v>2018</v>
      </c>
      <c r="D151" s="868">
        <f t="shared" si="81"/>
        <v>2021</v>
      </c>
      <c r="E151" s="868">
        <f t="shared" si="81"/>
        <v>2022</v>
      </c>
      <c r="F151" s="868"/>
      <c r="G151" s="869"/>
      <c r="H151" s="922"/>
      <c r="I151" s="923"/>
      <c r="J151" s="923"/>
      <c r="K151" s="924"/>
      <c r="L151" s="923"/>
      <c r="M151" s="923"/>
      <c r="N151" s="923"/>
      <c r="O151" s="924"/>
      <c r="P151" s="927"/>
      <c r="T151" s="878">
        <f>I143</f>
        <v>26.7</v>
      </c>
      <c r="U151" s="871"/>
      <c r="V151" s="878">
        <f>((T151-U150)/(U152-U150)*(W152-W150)+W150)</f>
        <v>4.8594003811880073</v>
      </c>
      <c r="W151" s="878"/>
    </row>
    <row r="152" spans="1:23" ht="12.75" customHeight="1">
      <c r="A152" s="1304"/>
      <c r="B152" s="873">
        <f t="shared" si="81"/>
        <v>10</v>
      </c>
      <c r="C152" s="868">
        <f t="shared" si="81"/>
        <v>9.9999999999999995E-7</v>
      </c>
      <c r="D152" s="902">
        <f t="shared" si="81"/>
        <v>0.26</v>
      </c>
      <c r="E152" s="902">
        <f t="shared" si="81"/>
        <v>0</v>
      </c>
      <c r="F152" s="868">
        <f t="shared" si="81"/>
        <v>0.13</v>
      </c>
      <c r="G152" s="869">
        <f t="shared" si="81"/>
        <v>0.17</v>
      </c>
      <c r="L152" s="831"/>
      <c r="M152" s="923"/>
      <c r="N152" s="831"/>
      <c r="O152" s="924"/>
      <c r="P152" s="928"/>
      <c r="T152" s="871"/>
      <c r="U152" s="872">
        <f>IF(T151&lt;=$B$144,$B$144,IF(T151&lt;=$B$145,$B$145,IF(T151&lt;=$B$146,$B$146,IF(T151&lt;=$B$147,$B$147,IF(T151&lt;=$B$148,$B$148,IF(T151&lt;=$B$149,$B$149,IF(T151&gt;$B$149,"OVER")))))))</f>
        <v>50</v>
      </c>
      <c r="V152" s="871"/>
      <c r="W152" s="872">
        <f>IF(T151&lt;=$B$144,$E$144,IF(T151&lt;=$B$145,$E$145,IF(T151&lt;=$B$146,$E$146,IF(T151&lt;=$B$147,$E$147,IF(T151&lt;=$B$148,$E$148,IF(T151&lt;=$B$149,$E$149,IF(T151&gt;$B$149,"OVER")))))))</f>
        <v>9.1</v>
      </c>
    </row>
    <row r="153" spans="1:23" ht="13">
      <c r="A153" s="1304"/>
      <c r="B153" s="873">
        <f t="shared" si="81"/>
        <v>20</v>
      </c>
      <c r="C153" s="868">
        <f t="shared" si="81"/>
        <v>0</v>
      </c>
      <c r="D153" s="868">
        <f t="shared" si="81"/>
        <v>9.9999999999999995E-7</v>
      </c>
      <c r="E153" s="868">
        <f t="shared" si="81"/>
        <v>0</v>
      </c>
      <c r="F153" s="868">
        <f t="shared" si="81"/>
        <v>4.9999999999999998E-7</v>
      </c>
      <c r="G153" s="869">
        <f t="shared" si="81"/>
        <v>0.34</v>
      </c>
      <c r="H153" s="922"/>
      <c r="I153" s="923"/>
      <c r="J153" s="923"/>
      <c r="K153" s="924"/>
      <c r="L153" s="923"/>
      <c r="M153" s="923"/>
      <c r="N153" s="923"/>
      <c r="O153" s="924"/>
      <c r="P153" s="927"/>
      <c r="T153" s="1277" t="s">
        <v>591</v>
      </c>
      <c r="U153" s="1277"/>
      <c r="V153" s="1277"/>
      <c r="W153" s="1277"/>
    </row>
    <row r="154" spans="1:23">
      <c r="A154" s="1304"/>
      <c r="B154" s="873">
        <f t="shared" si="81"/>
        <v>50</v>
      </c>
      <c r="C154" s="868">
        <f t="shared" si="81"/>
        <v>0.3</v>
      </c>
      <c r="D154" s="868">
        <f t="shared" si="81"/>
        <v>0.16</v>
      </c>
      <c r="E154" s="868">
        <f t="shared" si="81"/>
        <v>0.1</v>
      </c>
      <c r="F154" s="868">
        <f t="shared" si="81"/>
        <v>9.9999999999999992E-2</v>
      </c>
      <c r="G154" s="869">
        <f t="shared" si="81"/>
        <v>0.85000000000000009</v>
      </c>
      <c r="L154" s="831"/>
      <c r="M154" s="831"/>
      <c r="N154" s="831"/>
      <c r="O154" s="831"/>
      <c r="T154" s="871"/>
      <c r="U154" s="872">
        <f>IF(T155&lt;=$B$145,$B$144,IF(T155&lt;=$B$146,$B$145,IF(T155&lt;=$B$147,$B$146,IF(T155&lt;=$B$148,$B$147,IF(T155&lt;=$B$149,$B$148,IF(T155&gt;$B$149,"OVER"))))))</f>
        <v>9.9999999999999995E-7</v>
      </c>
      <c r="V154" s="872">
        <f>IFERROR(V155,"-")</f>
        <v>1.8200006544000131</v>
      </c>
      <c r="W154" s="872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>
      <c r="A155" s="1304"/>
      <c r="B155" s="873">
        <f t="shared" si="81"/>
        <v>100</v>
      </c>
      <c r="C155" s="868">
        <f t="shared" si="81"/>
        <v>0.6</v>
      </c>
      <c r="D155" s="868">
        <f t="shared" si="81"/>
        <v>0.06</v>
      </c>
      <c r="E155" s="868">
        <f t="shared" si="81"/>
        <v>0.1</v>
      </c>
      <c r="F155" s="868">
        <f t="shared" si="81"/>
        <v>0.27</v>
      </c>
      <c r="G155" s="869">
        <f t="shared" si="81"/>
        <v>1.7000000000000002</v>
      </c>
      <c r="H155" s="929"/>
      <c r="I155" s="930"/>
      <c r="J155" s="930"/>
      <c r="K155" s="931"/>
      <c r="L155" s="831"/>
      <c r="M155" s="831"/>
      <c r="N155" s="831"/>
      <c r="O155" s="831"/>
      <c r="T155" s="878">
        <f>I145</f>
        <v>10</v>
      </c>
      <c r="U155" s="871"/>
      <c r="V155" s="878">
        <f>((T155-U154)/(U156-U154)*(W156-W154)+W154)</f>
        <v>1.8200006544000131</v>
      </c>
      <c r="W155" s="878"/>
    </row>
    <row r="156" spans="1:23" ht="13">
      <c r="A156" s="1304"/>
      <c r="B156" s="1278" t="str">
        <f t="shared" si="81"/>
        <v>Resistance</v>
      </c>
      <c r="C156" s="1279"/>
      <c r="D156" s="1279"/>
      <c r="E156" s="1280"/>
      <c r="F156" s="868" t="str">
        <f t="shared" si="81"/>
        <v>Driff</v>
      </c>
      <c r="G156" s="869" t="str">
        <f t="shared" si="81"/>
        <v>U95</v>
      </c>
      <c r="L156" s="1293"/>
      <c r="M156" s="1293"/>
      <c r="O156" s="831"/>
      <c r="T156" s="871"/>
      <c r="U156" s="872">
        <f>IF(T155&lt;=$B$144,$B$144,IF(T155&lt;=$B$145,$B$145,IF(T155&lt;=$B$146,$B$146,IF(T155&lt;=$B$147,$B$147,IF(T155&lt;=$B$148,$B$148,IF(T155&lt;=$B$149,$B$149,IF(T155&gt;$B$149,"OVER")))))))</f>
        <v>50</v>
      </c>
      <c r="V156" s="871"/>
      <c r="W156" s="872">
        <f>IF(T155&lt;=$B$144,$E$144,IF(T155&lt;=$B$145,$E$145,IF(T155&lt;=$B$146,$E$146,IF(T155&lt;=$B$147,$E$147,IF(T155&lt;=$B$148,$E$148,IF(T155&lt;=$B$149,$E$149,IF(T155&gt;$B$149,"OVER")))))))</f>
        <v>9.1</v>
      </c>
    </row>
    <row r="157" spans="1:23" ht="13">
      <c r="A157" s="1304"/>
      <c r="B157" s="873" t="str">
        <f t="shared" si="81"/>
        <v>( Ω )</v>
      </c>
      <c r="C157" s="868">
        <f t="shared" si="81"/>
        <v>2018</v>
      </c>
      <c r="D157" s="868">
        <f t="shared" si="81"/>
        <v>2021</v>
      </c>
      <c r="E157" s="868">
        <f t="shared" si="81"/>
        <v>2022</v>
      </c>
      <c r="F157" s="868"/>
      <c r="G157" s="869"/>
      <c r="H157" s="929"/>
      <c r="I157" s="930"/>
      <c r="J157" s="930"/>
      <c r="K157" s="931"/>
      <c r="L157" s="932"/>
      <c r="M157" s="831"/>
      <c r="N157" s="831"/>
      <c r="O157" s="831"/>
      <c r="Q157" s="831"/>
    </row>
    <row r="158" spans="1:23">
      <c r="A158" s="1304"/>
      <c r="B158" s="873">
        <f t="shared" si="81"/>
        <v>0.01</v>
      </c>
      <c r="C158" s="902">
        <f t="shared" si="81"/>
        <v>9.9999999999999995E-7</v>
      </c>
      <c r="D158" s="902">
        <f t="shared" si="81"/>
        <v>9.9999999999999995E-7</v>
      </c>
      <c r="E158" s="902">
        <f t="shared" si="81"/>
        <v>0</v>
      </c>
      <c r="F158" s="868">
        <f t="shared" si="81"/>
        <v>4.9999999999999998E-7</v>
      </c>
      <c r="G158" s="869">
        <f t="shared" si="81"/>
        <v>1.2E-4</v>
      </c>
      <c r="I158" s="831"/>
      <c r="J158" s="933"/>
      <c r="K158" s="933"/>
      <c r="L158" s="933"/>
      <c r="M158" s="934"/>
      <c r="N158" s="831"/>
      <c r="O158" s="831"/>
      <c r="P158" s="834"/>
      <c r="Q158" s="831"/>
    </row>
    <row r="159" spans="1:23">
      <c r="A159" s="1304"/>
      <c r="B159" s="873">
        <f t="shared" si="81"/>
        <v>0.1</v>
      </c>
      <c r="C159" s="902">
        <f t="shared" si="81"/>
        <v>9.9999999999999995E-7</v>
      </c>
      <c r="D159" s="902">
        <f t="shared" si="81"/>
        <v>9.9999999999999995E-7</v>
      </c>
      <c r="E159" s="902">
        <f t="shared" si="81"/>
        <v>-2E-3</v>
      </c>
      <c r="F159" s="879">
        <f t="shared" si="81"/>
        <v>1.0005000000000001E-3</v>
      </c>
      <c r="G159" s="869">
        <f t="shared" si="81"/>
        <v>1.2000000000000001E-3</v>
      </c>
      <c r="I159" s="831"/>
      <c r="J159" s="934"/>
      <c r="K159" s="933"/>
      <c r="L159" s="934"/>
      <c r="M159" s="934"/>
      <c r="N159" s="831"/>
      <c r="O159" s="831"/>
      <c r="P159" s="834"/>
      <c r="Q159" s="831"/>
    </row>
    <row r="160" spans="1:23" ht="15.75" customHeight="1">
      <c r="A160" s="1304"/>
      <c r="B160" s="873">
        <f t="shared" si="81"/>
        <v>1</v>
      </c>
      <c r="C160" s="902">
        <f t="shared" si="81"/>
        <v>9.9999999999999995E-7</v>
      </c>
      <c r="D160" s="902">
        <f t="shared" si="81"/>
        <v>6.0000000000000001E-3</v>
      </c>
      <c r="E160" s="902">
        <f t="shared" si="81"/>
        <v>-1.2E-2</v>
      </c>
      <c r="F160" s="879">
        <f t="shared" si="81"/>
        <v>9.0000000000000011E-3</v>
      </c>
      <c r="G160" s="869">
        <f t="shared" si="81"/>
        <v>1.2E-2</v>
      </c>
      <c r="I160" s="831"/>
      <c r="J160" s="933"/>
      <c r="K160" s="933"/>
      <c r="L160" s="933"/>
      <c r="M160" s="934"/>
      <c r="N160" s="831"/>
      <c r="O160" s="831"/>
      <c r="P160" s="834"/>
      <c r="Q160" s="831"/>
    </row>
    <row r="161" spans="1:38" ht="13" thickBot="1">
      <c r="A161" s="1305"/>
      <c r="B161" s="935">
        <f t="shared" si="81"/>
        <v>2</v>
      </c>
      <c r="C161" s="936">
        <f t="shared" si="81"/>
        <v>9.9999999999999995E-7</v>
      </c>
      <c r="D161" s="936">
        <f t="shared" si="81"/>
        <v>1.2999999999999999E-2</v>
      </c>
      <c r="E161" s="936">
        <f t="shared" si="81"/>
        <v>-8.0000000000000002E-3</v>
      </c>
      <c r="F161" s="937">
        <f t="shared" si="81"/>
        <v>1.0499999999999999E-2</v>
      </c>
      <c r="G161" s="938">
        <f t="shared" si="81"/>
        <v>2.4E-2</v>
      </c>
      <c r="I161" s="831"/>
      <c r="J161" s="1294"/>
      <c r="K161" s="1294"/>
      <c r="L161" s="1294"/>
      <c r="M161" s="1294"/>
      <c r="N161" s="831"/>
      <c r="O161" s="831"/>
      <c r="P161" s="834"/>
      <c r="Q161" s="831"/>
    </row>
    <row r="162" spans="1:38">
      <c r="I162" s="831"/>
      <c r="J162" s="933"/>
      <c r="K162" s="933"/>
      <c r="L162" s="933"/>
      <c r="M162" s="934"/>
      <c r="N162" s="831"/>
      <c r="O162" s="831"/>
      <c r="P162" s="834"/>
      <c r="Q162" s="831"/>
    </row>
    <row r="163" spans="1:38">
      <c r="I163" s="831"/>
      <c r="J163" s="934"/>
      <c r="K163" s="933"/>
      <c r="L163" s="934"/>
      <c r="M163" s="934"/>
      <c r="N163" s="831"/>
      <c r="O163" s="831"/>
      <c r="P163" s="834"/>
      <c r="Q163" s="831"/>
    </row>
    <row r="164" spans="1:38" ht="13" thickBot="1">
      <c r="I164" s="831"/>
      <c r="J164" s="933"/>
      <c r="K164" s="933"/>
      <c r="L164" s="933"/>
      <c r="M164" s="934"/>
      <c r="N164" s="831"/>
      <c r="O164" s="831"/>
      <c r="P164" s="834"/>
      <c r="Q164" s="831"/>
    </row>
    <row r="165" spans="1:38" ht="15" customHeight="1">
      <c r="A165" s="939" t="str">
        <f>ID!B114</f>
        <v>Electrical Safety Analyzer, Merek : Fluke, Model : ESA 615, SN : 2853077</v>
      </c>
      <c r="B165" s="939"/>
      <c r="C165" s="939"/>
      <c r="D165" s="939"/>
      <c r="E165" s="939"/>
      <c r="F165" s="939"/>
      <c r="G165" s="939"/>
      <c r="H165" s="939"/>
      <c r="I165" s="939"/>
      <c r="J165" s="939"/>
      <c r="K165" s="939"/>
      <c r="L165" s="939"/>
      <c r="N165" s="1287">
        <f>A178</f>
        <v>3</v>
      </c>
      <c r="O165" s="1288"/>
      <c r="P165" s="1288"/>
      <c r="Q165" s="1288"/>
      <c r="R165" s="1288"/>
      <c r="S165" s="1288"/>
      <c r="T165" s="1288"/>
      <c r="U165" s="1288"/>
      <c r="V165" s="1288"/>
      <c r="W165" s="1288"/>
      <c r="X165" s="1288"/>
      <c r="Y165" s="1289"/>
    </row>
    <row r="166" spans="1:38" ht="14">
      <c r="A166" s="940" t="s">
        <v>504</v>
      </c>
      <c r="B166" s="941"/>
      <c r="C166" s="942"/>
      <c r="D166" s="943"/>
      <c r="E166" s="943"/>
      <c r="F166" s="943"/>
      <c r="G166" s="943"/>
      <c r="H166" s="944"/>
      <c r="I166" s="945">
        <f>C5</f>
        <v>2019</v>
      </c>
      <c r="J166" s="945">
        <f t="shared" ref="J166:K166" si="82">D5</f>
        <v>2019</v>
      </c>
      <c r="K166" s="945">
        <f t="shared" si="82"/>
        <v>2020</v>
      </c>
      <c r="L166" s="946">
        <v>1</v>
      </c>
      <c r="N166" s="947">
        <v>1</v>
      </c>
      <c r="O166" s="948" t="s">
        <v>593</v>
      </c>
      <c r="P166" s="949"/>
      <c r="Q166" s="950"/>
      <c r="R166" s="950"/>
      <c r="S166" s="950"/>
      <c r="T166" s="950"/>
      <c r="U166" s="950"/>
      <c r="V166" s="950"/>
      <c r="W166" s="950"/>
      <c r="X166" s="949"/>
      <c r="Y166" s="951"/>
    </row>
    <row r="167" spans="1:38" ht="14">
      <c r="A167" s="940" t="s">
        <v>505</v>
      </c>
      <c r="B167" s="941"/>
      <c r="C167" s="942"/>
      <c r="D167" s="943"/>
      <c r="E167" s="943"/>
      <c r="F167" s="943"/>
      <c r="G167" s="943"/>
      <c r="H167" s="944"/>
      <c r="I167" s="945">
        <f>K5</f>
        <v>2017</v>
      </c>
      <c r="J167" s="945">
        <f t="shared" ref="J167:K167" si="83">L5</f>
        <v>2017</v>
      </c>
      <c r="K167" s="945">
        <f t="shared" si="83"/>
        <v>2019</v>
      </c>
      <c r="L167" s="946">
        <v>2</v>
      </c>
      <c r="N167" s="947">
        <v>2</v>
      </c>
      <c r="O167" s="948" t="s">
        <v>593</v>
      </c>
      <c r="P167" s="949"/>
      <c r="Q167" s="950"/>
      <c r="R167" s="950"/>
      <c r="S167" s="950"/>
      <c r="T167" s="950"/>
      <c r="U167" s="950"/>
      <c r="V167" s="950"/>
      <c r="W167" s="950"/>
      <c r="X167" s="949"/>
      <c r="Y167" s="951"/>
      <c r="AL167" s="952"/>
    </row>
    <row r="168" spans="1:38" ht="14">
      <c r="A168" s="940" t="s">
        <v>506</v>
      </c>
      <c r="B168" s="941"/>
      <c r="C168" s="942"/>
      <c r="D168" s="943"/>
      <c r="E168" s="943"/>
      <c r="F168" s="943"/>
      <c r="G168" s="943"/>
      <c r="H168" s="944"/>
      <c r="I168" s="945">
        <f>S5</f>
        <v>2018</v>
      </c>
      <c r="J168" s="945">
        <f t="shared" ref="J168:K168" si="84">T5</f>
        <v>2021</v>
      </c>
      <c r="K168" s="945">
        <f t="shared" si="84"/>
        <v>2022</v>
      </c>
      <c r="L168" s="946">
        <v>3</v>
      </c>
      <c r="N168" s="947">
        <v>3</v>
      </c>
      <c r="O168" s="948" t="s">
        <v>593</v>
      </c>
      <c r="P168" s="949"/>
      <c r="Q168" s="950"/>
      <c r="R168" s="950"/>
      <c r="S168" s="950"/>
      <c r="T168" s="950"/>
      <c r="U168" s="950"/>
      <c r="V168" s="950"/>
      <c r="W168" s="950"/>
      <c r="X168" s="949"/>
      <c r="Y168" s="951"/>
      <c r="AL168" s="952"/>
    </row>
    <row r="169" spans="1:38" ht="14">
      <c r="A169" s="940" t="s">
        <v>507</v>
      </c>
      <c r="B169" s="941"/>
      <c r="C169" s="942"/>
      <c r="D169" s="943"/>
      <c r="E169" s="943"/>
      <c r="F169" s="943"/>
      <c r="G169" s="943"/>
      <c r="H169" s="944"/>
      <c r="I169" s="945">
        <f>C36</f>
        <v>2019</v>
      </c>
      <c r="J169" s="945">
        <f t="shared" ref="J169:K169" si="85">D36</f>
        <v>2019</v>
      </c>
      <c r="K169" s="945">
        <f t="shared" si="85"/>
        <v>2021</v>
      </c>
      <c r="L169" s="946">
        <v>4</v>
      </c>
      <c r="N169" s="947">
        <v>4</v>
      </c>
      <c r="O169" s="948" t="s">
        <v>593</v>
      </c>
      <c r="P169" s="949"/>
      <c r="Q169" s="950"/>
      <c r="R169" s="950"/>
      <c r="S169" s="950"/>
      <c r="T169" s="950"/>
      <c r="U169" s="950"/>
      <c r="V169" s="950"/>
      <c r="W169" s="950"/>
      <c r="X169" s="949"/>
      <c r="Y169" s="951"/>
      <c r="AL169" s="952"/>
    </row>
    <row r="170" spans="1:38" ht="14">
      <c r="A170" s="940" t="s">
        <v>508</v>
      </c>
      <c r="B170" s="942"/>
      <c r="C170" s="942"/>
      <c r="D170" s="943"/>
      <c r="E170" s="943"/>
      <c r="F170" s="943"/>
      <c r="G170" s="943"/>
      <c r="H170" s="944"/>
      <c r="I170" s="945">
        <f>K36</f>
        <v>2019</v>
      </c>
      <c r="J170" s="945">
        <f t="shared" ref="J170:K170" si="86">L36</f>
        <v>2019</v>
      </c>
      <c r="K170" s="945">
        <f t="shared" si="86"/>
        <v>2021</v>
      </c>
      <c r="L170" s="946">
        <v>5</v>
      </c>
      <c r="N170" s="947">
        <v>5</v>
      </c>
      <c r="O170" s="948" t="s">
        <v>593</v>
      </c>
      <c r="P170" s="949"/>
      <c r="Q170" s="950"/>
      <c r="R170" s="950"/>
      <c r="S170" s="950"/>
      <c r="T170" s="950"/>
      <c r="U170" s="950"/>
      <c r="V170" s="950"/>
      <c r="W170" s="950"/>
      <c r="X170" s="949"/>
      <c r="Y170" s="951"/>
      <c r="AL170" s="952"/>
    </row>
    <row r="171" spans="1:38" ht="14">
      <c r="A171" s="940" t="s">
        <v>509</v>
      </c>
      <c r="B171" s="942"/>
      <c r="C171" s="942"/>
      <c r="D171" s="943"/>
      <c r="E171" s="943"/>
      <c r="F171" s="943"/>
      <c r="G171" s="943"/>
      <c r="H171" s="944"/>
      <c r="I171" s="945">
        <f>S36</f>
        <v>2018</v>
      </c>
      <c r="J171" s="945">
        <f t="shared" ref="J171:K171" si="87">T36</f>
        <v>2019</v>
      </c>
      <c r="K171" s="945">
        <f t="shared" si="87"/>
        <v>2022</v>
      </c>
      <c r="L171" s="946">
        <v>6</v>
      </c>
      <c r="N171" s="947">
        <v>6</v>
      </c>
      <c r="O171" s="948" t="s">
        <v>593</v>
      </c>
      <c r="P171" s="949"/>
      <c r="Q171" s="950"/>
      <c r="R171" s="950"/>
      <c r="S171" s="950"/>
      <c r="T171" s="950"/>
      <c r="U171" s="950"/>
      <c r="V171" s="950"/>
      <c r="W171" s="950"/>
      <c r="X171" s="949"/>
      <c r="Y171" s="951"/>
      <c r="AL171" s="952"/>
    </row>
    <row r="172" spans="1:38" ht="14">
      <c r="A172" s="940" t="s">
        <v>510</v>
      </c>
      <c r="B172" s="942"/>
      <c r="C172" s="942"/>
      <c r="D172" s="943"/>
      <c r="E172" s="943"/>
      <c r="F172" s="943"/>
      <c r="G172" s="943"/>
      <c r="H172" s="944"/>
      <c r="I172" s="945">
        <f>C67</f>
        <v>2019</v>
      </c>
      <c r="J172" s="945">
        <f t="shared" ref="J172:K172" si="88">D67</f>
        <v>2020</v>
      </c>
      <c r="K172" s="945">
        <f t="shared" si="88"/>
        <v>2022</v>
      </c>
      <c r="L172" s="946">
        <v>7</v>
      </c>
      <c r="N172" s="947">
        <v>7</v>
      </c>
      <c r="O172" s="948" t="s">
        <v>593</v>
      </c>
      <c r="P172" s="949"/>
      <c r="Q172" s="950"/>
      <c r="R172" s="950"/>
      <c r="S172" s="950"/>
      <c r="T172" s="950"/>
      <c r="U172" s="950"/>
      <c r="V172" s="950"/>
      <c r="W172" s="950"/>
      <c r="X172" s="949"/>
      <c r="Y172" s="951"/>
      <c r="AL172" s="952"/>
    </row>
    <row r="173" spans="1:38" ht="14">
      <c r="A173" s="940" t="s">
        <v>511</v>
      </c>
      <c r="B173" s="942"/>
      <c r="C173" s="942"/>
      <c r="D173" s="943"/>
      <c r="E173" s="943"/>
      <c r="F173" s="943"/>
      <c r="G173" s="943"/>
      <c r="H173" s="944"/>
      <c r="I173" s="953">
        <f>K67</f>
        <v>2019</v>
      </c>
      <c r="J173" s="953">
        <f t="shared" ref="J173:K173" si="89">L67</f>
        <v>2020</v>
      </c>
      <c r="K173" s="953">
        <f t="shared" si="89"/>
        <v>2022</v>
      </c>
      <c r="L173" s="946">
        <v>8</v>
      </c>
      <c r="N173" s="947">
        <v>8</v>
      </c>
      <c r="O173" s="948" t="s">
        <v>593</v>
      </c>
      <c r="P173" s="949"/>
      <c r="Q173" s="950"/>
      <c r="R173" s="950"/>
      <c r="S173" s="950"/>
      <c r="T173" s="950"/>
      <c r="U173" s="950"/>
      <c r="V173" s="950"/>
      <c r="W173" s="950"/>
      <c r="X173" s="949"/>
      <c r="Y173" s="951"/>
      <c r="AL173" s="952"/>
    </row>
    <row r="174" spans="1:38" ht="14">
      <c r="A174" s="940" t="s">
        <v>245</v>
      </c>
      <c r="B174" s="942"/>
      <c r="C174" s="942"/>
      <c r="D174" s="943"/>
      <c r="E174" s="943"/>
      <c r="F174" s="943"/>
      <c r="G174" s="943"/>
      <c r="H174" s="944"/>
      <c r="I174" s="953">
        <f>S67</f>
        <v>2019</v>
      </c>
      <c r="J174" s="953">
        <f t="shared" ref="J174:K174" si="90">T67</f>
        <v>2020</v>
      </c>
      <c r="K174" s="953">
        <f t="shared" si="90"/>
        <v>2022</v>
      </c>
      <c r="L174" s="946">
        <v>9</v>
      </c>
      <c r="N174" s="947">
        <v>9</v>
      </c>
      <c r="O174" s="948" t="s">
        <v>593</v>
      </c>
      <c r="P174" s="949"/>
      <c r="Q174" s="950"/>
      <c r="R174" s="950"/>
      <c r="S174" s="950"/>
      <c r="T174" s="950"/>
      <c r="U174" s="950"/>
      <c r="V174" s="950"/>
      <c r="W174" s="950"/>
      <c r="X174" s="949"/>
      <c r="Y174" s="951"/>
      <c r="AL174" s="952"/>
    </row>
    <row r="175" spans="1:38" ht="14">
      <c r="A175" s="940" t="s">
        <v>512</v>
      </c>
      <c r="B175" s="942"/>
      <c r="C175" s="942"/>
      <c r="D175" s="943"/>
      <c r="E175" s="943"/>
      <c r="F175" s="943"/>
      <c r="G175" s="943"/>
      <c r="H175" s="944"/>
      <c r="I175" s="953">
        <f>C98</f>
        <v>2019</v>
      </c>
      <c r="J175" s="953">
        <f t="shared" ref="J175:K175" si="91">D98</f>
        <v>2019</v>
      </c>
      <c r="K175" s="953">
        <f t="shared" si="91"/>
        <v>2020</v>
      </c>
      <c r="L175" s="946">
        <v>10</v>
      </c>
      <c r="M175" s="952"/>
      <c r="N175" s="947">
        <v>10</v>
      </c>
      <c r="O175" s="948" t="s">
        <v>593</v>
      </c>
      <c r="P175" s="949"/>
      <c r="Q175" s="950"/>
      <c r="R175" s="950"/>
      <c r="S175" s="950"/>
      <c r="T175" s="950"/>
      <c r="U175" s="950"/>
      <c r="V175" s="950"/>
      <c r="W175" s="950"/>
      <c r="X175" s="949"/>
      <c r="Y175" s="951"/>
      <c r="AL175" s="952"/>
    </row>
    <row r="176" spans="1:38" ht="14">
      <c r="A176" s="940" t="s">
        <v>513</v>
      </c>
      <c r="B176" s="942"/>
      <c r="C176" s="942"/>
      <c r="D176" s="943"/>
      <c r="E176" s="943"/>
      <c r="F176" s="943"/>
      <c r="G176" s="943"/>
      <c r="H176" s="944"/>
      <c r="I176" s="953">
        <f>K98</f>
        <v>2019</v>
      </c>
      <c r="J176" s="953">
        <f t="shared" ref="J176:K176" si="92">L98</f>
        <v>2019</v>
      </c>
      <c r="K176" s="953">
        <f t="shared" si="92"/>
        <v>2020</v>
      </c>
      <c r="L176" s="946">
        <v>11</v>
      </c>
      <c r="N176" s="947">
        <v>11</v>
      </c>
      <c r="O176" s="948" t="s">
        <v>593</v>
      </c>
      <c r="P176" s="949"/>
      <c r="Q176" s="950"/>
      <c r="R176" s="950"/>
      <c r="S176" s="950"/>
      <c r="T176" s="950"/>
      <c r="U176" s="950"/>
      <c r="V176" s="950"/>
      <c r="W176" s="950"/>
      <c r="X176" s="949"/>
      <c r="Y176" s="951"/>
      <c r="AL176" s="952"/>
    </row>
    <row r="177" spans="1:50" ht="14">
      <c r="A177" s="940" t="s">
        <v>514</v>
      </c>
      <c r="B177" s="942"/>
      <c r="C177" s="942"/>
      <c r="D177" s="943"/>
      <c r="E177" s="943"/>
      <c r="F177" s="943"/>
      <c r="G177" s="943"/>
      <c r="H177" s="944"/>
      <c r="I177" s="953">
        <f>S98</f>
        <v>2019</v>
      </c>
      <c r="J177" s="953">
        <f t="shared" ref="J177:K177" si="93">T98</f>
        <v>2019</v>
      </c>
      <c r="K177" s="953">
        <f t="shared" si="93"/>
        <v>2020</v>
      </c>
      <c r="L177" s="946">
        <v>12</v>
      </c>
      <c r="N177" s="947">
        <v>12</v>
      </c>
      <c r="O177" s="948" t="s">
        <v>593</v>
      </c>
      <c r="P177" s="949"/>
      <c r="Q177" s="950"/>
      <c r="R177" s="950"/>
      <c r="S177" s="950"/>
      <c r="T177" s="950"/>
      <c r="U177" s="950"/>
      <c r="V177" s="950"/>
      <c r="W177" s="950"/>
      <c r="X177" s="949"/>
      <c r="Y177" s="951"/>
      <c r="AL177" s="952"/>
    </row>
    <row r="178" spans="1:50" ht="15.75" customHeight="1" thickBot="1">
      <c r="A178" s="1290">
        <f>VLOOKUP(A165,A166:L177,12,(FALSE))</f>
        <v>3</v>
      </c>
      <c r="B178" s="1291"/>
      <c r="C178" s="1291"/>
      <c r="D178" s="1291"/>
      <c r="E178" s="1291"/>
      <c r="F178" s="1291"/>
      <c r="G178" s="1291"/>
      <c r="H178" s="1291"/>
      <c r="I178" s="1291"/>
      <c r="J178" s="1291"/>
      <c r="K178" s="1291"/>
      <c r="L178" s="1292"/>
      <c r="O178" s="954" t="str">
        <f>VLOOKUP(N165,N166:Y177,2,FALSE)</f>
        <v>Hasil pengukuran keselamatan listrik tertelusur ke Satuan Internasional ( SI ) melalui PT. Kaliman</v>
      </c>
      <c r="P178" s="955"/>
      <c r="Q178" s="955"/>
      <c r="R178" s="955"/>
      <c r="S178" s="955"/>
      <c r="T178" s="955"/>
      <c r="U178" s="955"/>
      <c r="V178" s="955"/>
      <c r="W178" s="955"/>
      <c r="X178" s="955"/>
      <c r="Y178" s="956"/>
      <c r="AL178" s="952"/>
    </row>
    <row r="179" spans="1:50">
      <c r="AL179" s="952"/>
    </row>
    <row r="180" spans="1:50" ht="14">
      <c r="A180" s="957"/>
      <c r="AL180" s="952"/>
    </row>
    <row r="181" spans="1:50">
      <c r="AA181" s="952"/>
      <c r="AB181" s="952"/>
      <c r="AC181" s="952"/>
      <c r="AD181" s="952"/>
      <c r="AE181" s="952"/>
      <c r="AF181" s="952"/>
      <c r="AG181" s="952"/>
      <c r="AH181" s="952"/>
      <c r="AI181" s="952"/>
      <c r="AJ181" s="952"/>
      <c r="AK181" s="952"/>
      <c r="AL181" s="952"/>
      <c r="AM181" s="952"/>
      <c r="AN181" s="952"/>
      <c r="AO181" s="952"/>
      <c r="AP181" s="952"/>
      <c r="AQ181" s="952"/>
      <c r="AR181" s="952"/>
      <c r="AS181" s="952"/>
      <c r="AT181" s="952"/>
      <c r="AU181" s="952"/>
      <c r="AV181" s="952"/>
      <c r="AW181" s="952"/>
      <c r="AX181" s="952"/>
    </row>
    <row r="214" spans="27:31">
      <c r="AA214" s="958"/>
      <c r="AB214" s="831"/>
      <c r="AC214" s="831"/>
      <c r="AD214" s="831"/>
      <c r="AE214" s="831"/>
    </row>
    <row r="215" spans="27:31">
      <c r="AA215" s="958"/>
      <c r="AB215" s="831"/>
      <c r="AC215" s="831"/>
      <c r="AD215" s="831"/>
      <c r="AE215" s="831"/>
    </row>
    <row r="216" spans="27:31">
      <c r="AA216" s="958"/>
      <c r="AB216" s="831"/>
      <c r="AC216" s="831"/>
      <c r="AD216" s="831"/>
      <c r="AE216" s="831"/>
    </row>
    <row r="217" spans="27:31">
      <c r="AA217" s="958"/>
      <c r="AB217" s="831"/>
      <c r="AC217" s="831"/>
      <c r="AD217" s="831"/>
      <c r="AE217" s="831"/>
    </row>
    <row r="218" spans="27:31">
      <c r="AA218" s="958"/>
      <c r="AB218" s="831"/>
      <c r="AC218" s="831"/>
      <c r="AD218" s="831"/>
      <c r="AE218" s="831"/>
    </row>
    <row r="219" spans="27:31" ht="13" thickBot="1">
      <c r="AA219" s="959"/>
      <c r="AB219" s="918"/>
      <c r="AC219" s="918"/>
      <c r="AD219" s="918"/>
      <c r="AE219" s="918"/>
    </row>
  </sheetData>
  <mergeCells count="112">
    <mergeCell ref="T137:W137"/>
    <mergeCell ref="I138:L138"/>
    <mergeCell ref="I140:L140"/>
    <mergeCell ref="B132:G132"/>
    <mergeCell ref="B133:G133"/>
    <mergeCell ref="T133:W133"/>
    <mergeCell ref="B134:E134"/>
    <mergeCell ref="I134:L134"/>
    <mergeCell ref="N134:N136"/>
    <mergeCell ref="N165:Y165"/>
    <mergeCell ref="A178:L178"/>
    <mergeCell ref="T149:W149"/>
    <mergeCell ref="B150:E150"/>
    <mergeCell ref="T153:W153"/>
    <mergeCell ref="B156:E156"/>
    <mergeCell ref="L156:M156"/>
    <mergeCell ref="J161:M161"/>
    <mergeCell ref="T141:W141"/>
    <mergeCell ref="B142:E142"/>
    <mergeCell ref="I142:L142"/>
    <mergeCell ref="M143:M144"/>
    <mergeCell ref="I144:L144"/>
    <mergeCell ref="T145:W145"/>
    <mergeCell ref="A132:A161"/>
    <mergeCell ref="O134:O136"/>
    <mergeCell ref="P134:P136"/>
    <mergeCell ref="I136:L136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547A-D61E-430D-9CB6-8093FAF39A23}">
  <sheetPr codeName="Sheet7"/>
  <dimension ref="A1:CS386"/>
  <sheetViews>
    <sheetView topLeftCell="A296" zoomScale="70" zoomScaleNormal="70" workbookViewId="0">
      <selection activeCell="D321" sqref="D321"/>
    </sheetView>
  </sheetViews>
  <sheetFormatPr defaultColWidth="9" defaultRowHeight="12.5"/>
  <cols>
    <col min="1" max="1" width="9" style="423"/>
    <col min="2" max="2" width="13.54296875" style="427" customWidth="1"/>
    <col min="3" max="3" width="20.7265625" style="427" customWidth="1"/>
    <col min="4" max="4" width="21.26953125" style="427" customWidth="1"/>
    <col min="5" max="5" width="18.54296875" style="427" customWidth="1"/>
    <col min="6" max="18" width="15.54296875" style="427" customWidth="1"/>
    <col min="19" max="19" width="14.81640625" style="427" customWidth="1"/>
    <col min="20" max="28" width="14.7265625" style="463" customWidth="1"/>
    <col min="29" max="29" width="14.7265625" style="427" customWidth="1"/>
    <col min="30" max="30" width="18.54296875" style="427" customWidth="1"/>
    <col min="31" max="31" width="17.26953125" style="427" customWidth="1"/>
    <col min="32" max="33" width="18.54296875" style="427" customWidth="1"/>
    <col min="34" max="34" width="18.54296875" style="463" customWidth="1"/>
    <col min="35" max="35" width="10" style="427" customWidth="1"/>
    <col min="36" max="36" width="10" style="464" customWidth="1"/>
    <col min="37" max="37" width="11.54296875" style="427" customWidth="1"/>
    <col min="38" max="39" width="18.54296875" style="427" customWidth="1"/>
    <col min="40" max="40" width="18.54296875" style="463" customWidth="1"/>
    <col min="41" max="41" width="10" style="427" customWidth="1"/>
    <col min="42" max="42" width="10" style="464" customWidth="1"/>
    <col min="43" max="43" width="10" style="427" customWidth="1"/>
    <col min="44" max="45" width="18.54296875" style="427" customWidth="1"/>
    <col min="46" max="46" width="18.54296875" style="463" customWidth="1"/>
    <col min="47" max="47" width="10" style="427" customWidth="1"/>
    <col min="48" max="48" width="10" style="464" customWidth="1"/>
    <col min="49" max="49" width="10" style="427" customWidth="1"/>
    <col min="50" max="51" width="18.54296875" style="427" customWidth="1"/>
    <col min="52" max="52" width="18.54296875" style="463" customWidth="1"/>
    <col min="53" max="53" width="10" style="427" customWidth="1"/>
    <col min="54" max="54" width="10" style="464" customWidth="1"/>
    <col min="55" max="55" width="10" style="427" customWidth="1"/>
    <col min="56" max="57" width="18.54296875" style="427" customWidth="1"/>
    <col min="58" max="58" width="18.54296875" style="463" customWidth="1"/>
    <col min="59" max="59" width="10" style="427" customWidth="1"/>
    <col min="60" max="60" width="10" style="464" customWidth="1"/>
    <col min="61" max="61" width="10" style="427" customWidth="1"/>
    <col min="62" max="63" width="18.54296875" style="427" customWidth="1"/>
    <col min="64" max="64" width="18.54296875" style="463" customWidth="1"/>
    <col min="65" max="65" width="10" style="427" customWidth="1"/>
    <col min="66" max="66" width="10" style="464" customWidth="1"/>
    <col min="67" max="67" width="10" style="427" customWidth="1"/>
    <col min="68" max="69" width="18.54296875" style="427" customWidth="1"/>
    <col min="70" max="70" width="18.54296875" style="463" customWidth="1"/>
    <col min="71" max="71" width="10" style="427" customWidth="1"/>
    <col min="72" max="72" width="10" style="464" customWidth="1"/>
    <col min="73" max="73" width="10" style="427" customWidth="1"/>
    <col min="74" max="75" width="18.54296875" style="427" customWidth="1"/>
    <col min="76" max="76" width="18.54296875" style="463" customWidth="1"/>
    <col min="77" max="77" width="10" style="427" customWidth="1"/>
    <col min="78" max="78" width="10" style="464" customWidth="1"/>
    <col min="79" max="79" width="10" style="427" customWidth="1"/>
    <col min="80" max="84" width="11.453125" style="427" customWidth="1"/>
    <col min="85" max="85" width="11.453125" style="423" customWidth="1"/>
    <col min="86" max="90" width="11.453125" style="427" customWidth="1"/>
    <col min="91" max="91" width="10" style="423" customWidth="1"/>
    <col min="92" max="94" width="10" style="427" customWidth="1"/>
    <col min="95" max="95" width="15.26953125" style="427" customWidth="1"/>
    <col min="96" max="96" width="10" style="427" customWidth="1"/>
    <col min="97" max="97" width="10" style="423" customWidth="1"/>
    <col min="98" max="316" width="10" style="427" customWidth="1"/>
    <col min="317" max="16384" width="9" style="427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spans="2:81" hidden="1"/>
    <row r="146" spans="2:81" hidden="1"/>
    <row r="147" spans="2:81" hidden="1"/>
    <row r="148" spans="2:81" hidden="1"/>
    <row r="149" spans="2:81" hidden="1"/>
    <row r="150" spans="2:81" hidden="1"/>
    <row r="151" spans="2:81" hidden="1"/>
    <row r="152" spans="2:81" s="423" customFormat="1" ht="13">
      <c r="B152" s="442"/>
      <c r="C152" s="424"/>
      <c r="D152" s="424"/>
      <c r="E152" s="440"/>
      <c r="F152" s="438"/>
      <c r="G152" s="438"/>
      <c r="H152" s="442"/>
      <c r="I152" s="424"/>
      <c r="J152" s="424"/>
      <c r="K152" s="440"/>
      <c r="L152" s="438"/>
      <c r="M152" s="438"/>
      <c r="N152" s="442"/>
      <c r="O152" s="424"/>
      <c r="P152" s="424"/>
      <c r="Q152" s="440"/>
      <c r="R152" s="425"/>
      <c r="T152" s="442"/>
      <c r="U152" s="424"/>
      <c r="V152" s="424"/>
      <c r="W152" s="440"/>
      <c r="X152" s="425"/>
      <c r="Z152" s="442"/>
      <c r="AA152" s="424"/>
      <c r="AB152" s="424"/>
      <c r="AC152" s="440"/>
      <c r="AD152" s="425"/>
      <c r="AF152" s="442"/>
      <c r="AG152" s="424"/>
      <c r="AH152" s="424"/>
      <c r="AI152" s="440"/>
      <c r="AJ152" s="425"/>
      <c r="AL152" s="442"/>
      <c r="AM152" s="424"/>
      <c r="AN152" s="424"/>
      <c r="AO152" s="440"/>
      <c r="AP152" s="425"/>
      <c r="AR152" s="442"/>
      <c r="AS152" s="424"/>
      <c r="AT152" s="424"/>
      <c r="AU152" s="440"/>
      <c r="AV152" s="425"/>
      <c r="AX152" s="442"/>
      <c r="AY152" s="458"/>
      <c r="AZ152" s="424"/>
      <c r="BA152" s="440"/>
      <c r="BB152" s="425"/>
      <c r="BD152" s="442"/>
      <c r="BE152" s="458"/>
      <c r="BF152" s="424"/>
      <c r="BG152" s="440"/>
      <c r="BH152" s="425"/>
      <c r="BJ152" s="442"/>
      <c r="BK152" s="458"/>
      <c r="BL152" s="424"/>
      <c r="BM152" s="440"/>
      <c r="BN152" s="425"/>
      <c r="BP152" s="442"/>
      <c r="BQ152" s="458"/>
      <c r="BR152" s="424"/>
      <c r="BS152" s="440"/>
      <c r="BT152" s="425"/>
      <c r="BV152" s="442"/>
      <c r="BW152" s="458"/>
      <c r="BX152" s="424"/>
      <c r="BY152" s="440"/>
      <c r="BZ152" s="425"/>
    </row>
    <row r="153" spans="2:81" s="423" customFormat="1" ht="13">
      <c r="B153" s="442"/>
      <c r="C153" s="424"/>
      <c r="D153" s="424"/>
      <c r="E153" s="440"/>
      <c r="F153" s="438"/>
      <c r="G153" s="438"/>
      <c r="H153" s="442"/>
      <c r="I153" s="424"/>
      <c r="J153" s="424"/>
      <c r="K153" s="440"/>
      <c r="L153" s="438"/>
      <c r="M153" s="438"/>
      <c r="N153" s="442"/>
      <c r="O153" s="424"/>
      <c r="P153" s="424"/>
      <c r="Q153" s="440"/>
      <c r="R153" s="425"/>
      <c r="T153" s="442"/>
      <c r="U153" s="424"/>
      <c r="V153" s="424"/>
      <c r="W153" s="440"/>
      <c r="X153" s="425"/>
      <c r="Z153" s="442"/>
      <c r="AA153" s="424"/>
      <c r="AB153" s="424"/>
      <c r="AC153" s="440"/>
      <c r="AD153" s="425"/>
      <c r="AF153" s="442"/>
      <c r="AG153" s="424"/>
      <c r="AH153" s="424"/>
      <c r="AI153" s="440"/>
      <c r="AJ153" s="425"/>
      <c r="AL153" s="442"/>
      <c r="AM153" s="424"/>
      <c r="AN153" s="424"/>
      <c r="AO153" s="440"/>
      <c r="AP153" s="425"/>
      <c r="AR153" s="442"/>
      <c r="AS153" s="424"/>
      <c r="AT153" s="424"/>
      <c r="AU153" s="440"/>
      <c r="AV153" s="425"/>
      <c r="AX153" s="442"/>
      <c r="AY153" s="424"/>
      <c r="AZ153" s="424"/>
      <c r="BA153" s="440"/>
      <c r="BB153" s="425"/>
      <c r="BD153" s="442"/>
      <c r="BE153" s="424"/>
      <c r="BF153" s="424"/>
      <c r="BG153" s="440"/>
      <c r="BH153" s="425"/>
      <c r="BJ153" s="442"/>
      <c r="BK153" s="424"/>
      <c r="BL153" s="424"/>
      <c r="BM153" s="440"/>
      <c r="BN153" s="425"/>
      <c r="BP153" s="442"/>
      <c r="BQ153" s="424"/>
      <c r="BR153" s="424"/>
      <c r="BS153" s="440"/>
      <c r="BT153" s="425"/>
      <c r="BV153" s="442"/>
      <c r="BW153" s="424"/>
      <c r="BX153" s="424"/>
      <c r="BY153" s="440"/>
      <c r="BZ153" s="425"/>
    </row>
    <row r="154" spans="2:81" s="423" customFormat="1" ht="21.65" customHeight="1">
      <c r="B154" s="1312" t="s">
        <v>395</v>
      </c>
      <c r="C154" s="1312"/>
      <c r="D154" s="1312"/>
      <c r="E154" s="1312"/>
      <c r="F154" s="1312"/>
      <c r="G154" s="1312"/>
      <c r="H154" s="1312"/>
      <c r="I154" s="1312"/>
      <c r="J154" s="1312"/>
      <c r="K154" s="1312"/>
      <c r="L154" s="1312"/>
      <c r="M154" s="1312"/>
      <c r="N154" s="1312"/>
      <c r="O154" s="1312"/>
      <c r="P154" s="1312"/>
      <c r="Q154" s="1312"/>
      <c r="R154" s="1312"/>
      <c r="S154" s="459"/>
      <c r="T154" s="1312" t="s">
        <v>395</v>
      </c>
      <c r="U154" s="1312"/>
      <c r="V154" s="1312"/>
      <c r="W154" s="1312"/>
      <c r="X154" s="1312"/>
      <c r="Y154" s="1312"/>
      <c r="Z154" s="1312"/>
      <c r="AA154" s="1312"/>
      <c r="AB154" s="1312"/>
      <c r="AC154" s="1312"/>
      <c r="AD154" s="1312"/>
      <c r="AE154" s="1312"/>
      <c r="AF154" s="1312"/>
      <c r="AG154" s="1312"/>
      <c r="AH154" s="1312"/>
      <c r="AI154" s="1312"/>
      <c r="AJ154" s="1312"/>
      <c r="AL154" s="442"/>
      <c r="AM154" s="424"/>
      <c r="AN154" s="424"/>
      <c r="AO154" s="440"/>
      <c r="AP154" s="425"/>
      <c r="AR154" s="442"/>
      <c r="AS154" s="424"/>
      <c r="AT154" s="424"/>
      <c r="AU154" s="440"/>
      <c r="AV154" s="425"/>
      <c r="AX154" s="442"/>
      <c r="AY154" s="424"/>
      <c r="AZ154" s="424"/>
      <c r="BA154" s="440"/>
      <c r="BB154" s="425"/>
      <c r="BD154" s="442"/>
      <c r="BE154" s="424"/>
      <c r="BF154" s="424"/>
      <c r="BG154" s="440"/>
      <c r="BH154" s="425"/>
      <c r="BJ154" s="442"/>
      <c r="BK154" s="424"/>
      <c r="BL154" s="424"/>
      <c r="BM154" s="440"/>
      <c r="BN154" s="425"/>
      <c r="BP154" s="442"/>
      <c r="BQ154" s="424"/>
      <c r="BR154" s="424"/>
      <c r="BS154" s="440"/>
      <c r="BT154" s="425"/>
      <c r="BV154" s="442"/>
      <c r="BW154" s="424"/>
      <c r="BX154" s="424"/>
      <c r="BY154" s="440"/>
      <c r="BZ154" s="425"/>
    </row>
    <row r="155" spans="2:81" s="423" customFormat="1" ht="13">
      <c r="B155" s="442"/>
      <c r="C155" s="669">
        <v>2022</v>
      </c>
      <c r="D155" s="669">
        <v>2022</v>
      </c>
      <c r="E155" s="670">
        <v>2023</v>
      </c>
      <c r="F155" s="670">
        <v>2022</v>
      </c>
      <c r="G155" s="670">
        <v>2023</v>
      </c>
      <c r="H155" s="669">
        <v>2023</v>
      </c>
      <c r="I155" s="669">
        <v>2023</v>
      </c>
      <c r="J155" s="669">
        <v>2023</v>
      </c>
      <c r="K155" s="670">
        <v>2021</v>
      </c>
      <c r="L155" s="670">
        <v>2022</v>
      </c>
      <c r="M155" s="670">
        <v>2021</v>
      </c>
      <c r="N155" s="669">
        <v>2022</v>
      </c>
      <c r="O155" s="669">
        <v>2022</v>
      </c>
      <c r="P155" s="669">
        <v>2022</v>
      </c>
      <c r="Q155" s="670">
        <v>2021</v>
      </c>
      <c r="R155" s="669">
        <v>2021</v>
      </c>
      <c r="T155" s="442"/>
      <c r="U155" s="424"/>
      <c r="V155" s="424"/>
      <c r="W155" s="440"/>
      <c r="X155" s="425"/>
      <c r="Z155" s="442"/>
      <c r="AA155" s="424"/>
      <c r="AB155" s="424"/>
      <c r="AC155" s="440"/>
      <c r="AD155" s="425"/>
      <c r="AF155" s="442"/>
      <c r="AG155" s="424"/>
      <c r="AH155" s="424"/>
      <c r="AI155" s="440"/>
      <c r="AJ155" s="425"/>
      <c r="AL155" s="442"/>
      <c r="AM155" s="424"/>
      <c r="AN155" s="424"/>
      <c r="AO155" s="440"/>
      <c r="AP155" s="425"/>
      <c r="AR155" s="442"/>
      <c r="AS155" s="424"/>
      <c r="AT155" s="424"/>
      <c r="AU155" s="440"/>
      <c r="AV155" s="425"/>
      <c r="AX155" s="442"/>
      <c r="AY155" s="424"/>
      <c r="AZ155" s="424"/>
      <c r="BA155" s="440"/>
      <c r="BB155" s="425"/>
      <c r="BD155" s="442"/>
      <c r="BE155" s="424"/>
      <c r="BF155" s="424"/>
      <c r="BG155" s="440"/>
      <c r="BH155" s="425"/>
      <c r="BJ155" s="442"/>
      <c r="BK155" s="424"/>
      <c r="BL155" s="424"/>
      <c r="BM155" s="440"/>
      <c r="BN155" s="425"/>
      <c r="BP155" s="442"/>
      <c r="BQ155" s="424"/>
      <c r="BR155" s="424"/>
      <c r="BS155" s="440"/>
      <c r="BT155" s="425"/>
      <c r="BV155" s="442"/>
      <c r="BW155" s="424"/>
      <c r="BX155" s="424"/>
      <c r="BY155" s="440"/>
      <c r="BZ155" s="425"/>
    </row>
    <row r="156" spans="2:81" ht="90" customHeight="1">
      <c r="B156" s="460" t="s">
        <v>381</v>
      </c>
      <c r="C156" s="461" t="str">
        <f>'Data Alat'!$A$59</f>
        <v>Thermocouple Data Logger, Merek : MADGETECH, Model : OctTemp 2000, SN : P40270</v>
      </c>
      <c r="D156" s="461" t="str">
        <f>'Data Alat'!$A$60</f>
        <v>Thermocouple Data Logger, Merek : MADGETECH, Model : OctTemp 2000, SN : P41878</v>
      </c>
      <c r="E156" s="461" t="str">
        <f>'Data Alat'!$A$61</f>
        <v>Mobile Corder, Merek : Yokogawa, Model : GP 10, SN : S5T810599</v>
      </c>
      <c r="F156" s="461" t="str">
        <f>'Data Alat'!$A$49</f>
        <v>Wireless Temperature Recorder : Merek : HIOKI, Model : LR 8510, SN : 200936000</v>
      </c>
      <c r="G156" s="461" t="str">
        <f>'Data Alat'!$A$50</f>
        <v>Wireless Temperature Recorder : Merek : HIOKI, Model : LR 8510, SN : 200936001</v>
      </c>
      <c r="H156" s="461" t="str">
        <f>'Data Alat'!$A$51</f>
        <v>Wireless Temperature Recorder : Merek : HIOKI, Model : LR 8510, SN : 200821397</v>
      </c>
      <c r="I156" s="461" t="str">
        <f>'Data Alat'!$A$52</f>
        <v>Wireless Temperature Recorder : Merek : HIOKI, Model : LR 8510, SN : 210411983</v>
      </c>
      <c r="J156" s="461" t="str">
        <f>'Data Alat'!$A$53</f>
        <v>Wireless Temperature Recorder : Merek : HIOKI, Model : LR 8510, SN : 210411984</v>
      </c>
      <c r="K156" s="461" t="str">
        <f>'Data Alat'!$A$54</f>
        <v>Wireless Temperature Recorder : Merek : HIOKI, Model : LR 8510, SN : 210411985</v>
      </c>
      <c r="L156" s="461" t="str">
        <f>'Data Alat'!$A$55</f>
        <v>Wireless Temperature Recorder : Merek : HIOKI, Model : LR 8510, SN : 210746054</v>
      </c>
      <c r="M156" s="461" t="str">
        <f>'Data Alat'!$A$56</f>
        <v>Wireless Temperature Recorder : Merek : HIOKI, Model : LR 8510, SN : 210746055</v>
      </c>
      <c r="N156" s="461" t="str">
        <f>'Data Alat'!$A$57</f>
        <v>Wireless Temperature Recorder : Merek : HIOKI, Model : LR 8510, SN : 210746056</v>
      </c>
      <c r="O156" s="461" t="str">
        <f>'Data Alat'!$A$58</f>
        <v>Wireless Temperature Recorder : Merek : HIOKI, Model : LR 8510, SN : 200821396</v>
      </c>
      <c r="P156" s="476" t="str">
        <f>'Data Alat'!A62</f>
        <v>Reference Thermometer, Merek : APPA, Model : APPA51, SN : 03002948</v>
      </c>
      <c r="Q156" s="476" t="str">
        <f>'Data Alat'!A63</f>
        <v>Reference Thermometer, Merek : FLUKE, Model : 1524, SN : 1803038</v>
      </c>
      <c r="R156" s="476" t="str">
        <f>'Data Alat'!A64</f>
        <v>Reference Thermometer, Merek : FLUKE, Model : 1524, SN : 1803037</v>
      </c>
      <c r="S156" s="423"/>
      <c r="T156" s="460" t="s">
        <v>386</v>
      </c>
      <c r="U156" s="462" t="str">
        <f t="shared" ref="U156:AJ156" si="0">C156</f>
        <v>Thermocouple Data Logger, Merek : MADGETECH, Model : OctTemp 2000, SN : P40270</v>
      </c>
      <c r="V156" s="462" t="str">
        <f t="shared" si="0"/>
        <v>Thermocouple Data Logger, Merek : MADGETECH, Model : OctTemp 2000, SN : P41878</v>
      </c>
      <c r="W156" s="462" t="str">
        <f t="shared" si="0"/>
        <v>Mobile Corder, Merek : Yokogawa, Model : GP 10, SN : S5T810599</v>
      </c>
      <c r="X156" s="462" t="str">
        <f t="shared" si="0"/>
        <v>Wireless Temperature Recorder : Merek : HIOKI, Model : LR 8510, SN : 200936000</v>
      </c>
      <c r="Y156" s="462" t="str">
        <f t="shared" si="0"/>
        <v>Wireless Temperature Recorder : Merek : HIOKI, Model : LR 8510, SN : 200936001</v>
      </c>
      <c r="Z156" s="462" t="str">
        <f t="shared" si="0"/>
        <v>Wireless Temperature Recorder : Merek : HIOKI, Model : LR 8510, SN : 200821397</v>
      </c>
      <c r="AA156" s="462" t="str">
        <f t="shared" si="0"/>
        <v>Wireless Temperature Recorder : Merek : HIOKI, Model : LR 8510, SN : 210411983</v>
      </c>
      <c r="AB156" s="462" t="str">
        <f t="shared" si="0"/>
        <v>Wireless Temperature Recorder : Merek : HIOKI, Model : LR 8510, SN : 210411984</v>
      </c>
      <c r="AC156" s="462" t="str">
        <f t="shared" si="0"/>
        <v>Wireless Temperature Recorder : Merek : HIOKI, Model : LR 8510, SN : 210411985</v>
      </c>
      <c r="AD156" s="462" t="str">
        <f t="shared" si="0"/>
        <v>Wireless Temperature Recorder : Merek : HIOKI, Model : LR 8510, SN : 210746054</v>
      </c>
      <c r="AE156" s="462" t="str">
        <f t="shared" si="0"/>
        <v>Wireless Temperature Recorder : Merek : HIOKI, Model : LR 8510, SN : 210746055</v>
      </c>
      <c r="AF156" s="462" t="str">
        <f t="shared" si="0"/>
        <v>Wireless Temperature Recorder : Merek : HIOKI, Model : LR 8510, SN : 210746056</v>
      </c>
      <c r="AG156" s="481" t="str">
        <f t="shared" si="0"/>
        <v>Wireless Temperature Recorder : Merek : HIOKI, Model : LR 8510, SN : 200821396</v>
      </c>
      <c r="AH156" s="481" t="str">
        <f t="shared" si="0"/>
        <v>Reference Thermometer, Merek : APPA, Model : APPA51, SN : 03002948</v>
      </c>
      <c r="AI156" s="481" t="str">
        <f t="shared" si="0"/>
        <v>Reference Thermometer, Merek : FLUKE, Model : 1524, SN : 1803038</v>
      </c>
      <c r="AJ156" s="481" t="str">
        <f t="shared" si="0"/>
        <v>Reference Thermometer, Merek : FLUKE, Model : 1524, SN : 1803037</v>
      </c>
      <c r="AK156" s="423"/>
      <c r="AX156" s="695"/>
      <c r="AY156" s="696"/>
      <c r="AZ156" s="467"/>
      <c r="BD156" s="695"/>
      <c r="BE156" s="696"/>
      <c r="BF156" s="467"/>
      <c r="BJ156" s="695"/>
      <c r="BK156" s="696"/>
      <c r="BL156" s="467"/>
      <c r="BP156" s="695"/>
      <c r="BQ156" s="696"/>
      <c r="BR156" s="467"/>
      <c r="BV156" s="695"/>
      <c r="BW156" s="696"/>
      <c r="BX156" s="467"/>
    </row>
    <row r="157" spans="2:81" s="630" customFormat="1" ht="4.1500000000000004" customHeight="1">
      <c r="B157" s="631"/>
      <c r="C157" s="632"/>
      <c r="D157" s="632"/>
      <c r="E157" s="633"/>
      <c r="F157" s="632"/>
      <c r="G157" s="632"/>
      <c r="H157" s="632"/>
      <c r="I157" s="632"/>
      <c r="J157" s="632"/>
      <c r="K157" s="632"/>
      <c r="L157" s="632"/>
      <c r="M157" s="632"/>
      <c r="N157" s="632"/>
      <c r="O157" s="632"/>
      <c r="P157" s="634"/>
      <c r="Q157" s="634"/>
      <c r="R157" s="634"/>
      <c r="T157" s="631"/>
      <c r="U157" s="635"/>
      <c r="V157" s="635"/>
      <c r="W157" s="635"/>
      <c r="X157" s="635"/>
      <c r="Y157" s="635"/>
      <c r="Z157" s="635"/>
      <c r="AA157" s="635"/>
      <c r="AB157" s="635"/>
      <c r="AC157" s="635"/>
      <c r="AD157" s="635"/>
      <c r="AE157" s="635"/>
      <c r="AF157" s="635"/>
      <c r="AG157" s="636"/>
      <c r="AH157" s="634"/>
      <c r="AI157" s="634"/>
      <c r="AJ157" s="634"/>
      <c r="AN157" s="637"/>
      <c r="AP157" s="638"/>
      <c r="AT157" s="637"/>
      <c r="AV157" s="638"/>
      <c r="AX157" s="639"/>
      <c r="AY157" s="640"/>
      <c r="AZ157" s="641"/>
      <c r="BB157" s="638"/>
      <c r="BD157" s="639"/>
      <c r="BE157" s="640"/>
      <c r="BF157" s="641"/>
      <c r="BH157" s="638"/>
      <c r="BJ157" s="639"/>
      <c r="BK157" s="640"/>
      <c r="BL157" s="641"/>
      <c r="BN157" s="638"/>
      <c r="BP157" s="639"/>
      <c r="BQ157" s="640"/>
      <c r="BR157" s="641"/>
      <c r="BT157" s="638"/>
      <c r="BV157" s="639"/>
      <c r="BW157" s="640"/>
      <c r="BX157" s="641"/>
      <c r="BZ157" s="638"/>
    </row>
    <row r="158" spans="2:81" ht="13">
      <c r="B158" s="667">
        <v>-20</v>
      </c>
      <c r="C158" s="417">
        <v>-0.77</v>
      </c>
      <c r="D158" s="417">
        <v>-0.62</v>
      </c>
      <c r="E158" s="468">
        <v>-0.57999999999999996</v>
      </c>
      <c r="F158" s="417">
        <v>-1.46</v>
      </c>
      <c r="G158" s="417">
        <v>-0.03</v>
      </c>
      <c r="H158" s="417">
        <v>-0.02</v>
      </c>
      <c r="I158" s="417">
        <v>0.4</v>
      </c>
      <c r="J158" s="417">
        <v>0.33</v>
      </c>
      <c r="K158" s="417">
        <v>0.53</v>
      </c>
      <c r="L158" s="417">
        <v>-1.02</v>
      </c>
      <c r="M158" s="417">
        <v>0.53</v>
      </c>
      <c r="N158" s="417">
        <v>-1.4</v>
      </c>
      <c r="O158" s="417">
        <v>-1.5</v>
      </c>
      <c r="P158" s="417">
        <v>-1.1000000000000001</v>
      </c>
      <c r="Q158" s="417">
        <v>-0.15</v>
      </c>
      <c r="R158" s="417">
        <v>-1.8</v>
      </c>
      <c r="S158" s="423"/>
      <c r="T158" s="667">
        <v>-20</v>
      </c>
      <c r="U158" s="417">
        <v>-0.67</v>
      </c>
      <c r="V158" s="417">
        <v>-0.59</v>
      </c>
      <c r="W158" s="417">
        <v>-0.5</v>
      </c>
      <c r="X158" s="417">
        <v>-1.45</v>
      </c>
      <c r="Y158" s="417">
        <v>0.01</v>
      </c>
      <c r="Z158" s="417">
        <v>0.02</v>
      </c>
      <c r="AA158" s="417">
        <v>0.42</v>
      </c>
      <c r="AB158" s="417">
        <v>0.3</v>
      </c>
      <c r="AC158" s="417">
        <v>0.62</v>
      </c>
      <c r="AD158" s="417">
        <v>-0.97</v>
      </c>
      <c r="AE158" s="417">
        <v>0.62</v>
      </c>
      <c r="AF158" s="417">
        <v>-1.29</v>
      </c>
      <c r="AG158" s="418">
        <v>-1.45</v>
      </c>
      <c r="AH158" s="417">
        <f t="shared" ref="AH158:AH170" si="1">P158</f>
        <v>-1.1000000000000001</v>
      </c>
      <c r="AI158" s="417">
        <v>-0.15</v>
      </c>
      <c r="AJ158" s="417">
        <v>-1.8</v>
      </c>
      <c r="AK158" s="423"/>
      <c r="AX158" s="463"/>
      <c r="AY158" s="463"/>
      <c r="BC158" s="422"/>
      <c r="BD158" s="463"/>
      <c r="BE158" s="463"/>
      <c r="BI158" s="422"/>
      <c r="BJ158" s="463"/>
      <c r="BK158" s="463"/>
      <c r="BO158" s="422"/>
      <c r="BP158" s="463"/>
      <c r="BQ158" s="463"/>
      <c r="BU158" s="422"/>
      <c r="BV158" s="463"/>
      <c r="BW158" s="463"/>
      <c r="CA158" s="422"/>
      <c r="CB158" s="422"/>
      <c r="CC158" s="422"/>
    </row>
    <row r="159" spans="2:81" ht="13">
      <c r="B159" s="667">
        <v>-15</v>
      </c>
      <c r="C159" s="417">
        <v>-0.67</v>
      </c>
      <c r="D159" s="417">
        <v>0.52</v>
      </c>
      <c r="E159" s="468">
        <v>-0.48</v>
      </c>
      <c r="F159" s="417">
        <v>-1.26</v>
      </c>
      <c r="G159" s="417">
        <v>0.02</v>
      </c>
      <c r="H159" s="417">
        <v>0.01</v>
      </c>
      <c r="I159" s="417">
        <v>0.42</v>
      </c>
      <c r="J159" s="417">
        <v>0.35</v>
      </c>
      <c r="K159" s="417">
        <v>9.9999999999999995E-7</v>
      </c>
      <c r="L159" s="417">
        <v>-0.76</v>
      </c>
      <c r="M159" s="417">
        <v>9.9999999999999995E-7</v>
      </c>
      <c r="N159" s="417">
        <v>-1.1399999999999999</v>
      </c>
      <c r="O159" s="417">
        <v>-1.24</v>
      </c>
      <c r="P159" s="417">
        <v>-1.1000000000000001</v>
      </c>
      <c r="Q159" s="417">
        <v>-0.1</v>
      </c>
      <c r="R159" s="417">
        <v>-1.52</v>
      </c>
      <c r="S159" s="423"/>
      <c r="T159" s="667">
        <v>-15</v>
      </c>
      <c r="U159" s="417">
        <v>-0.57999999999999996</v>
      </c>
      <c r="V159" s="417">
        <v>-0.51</v>
      </c>
      <c r="W159" s="417">
        <v>-0.41</v>
      </c>
      <c r="X159" s="417">
        <v>-1.23</v>
      </c>
      <c r="Y159" s="417">
        <v>0.05</v>
      </c>
      <c r="Z159" s="417">
        <v>0.05</v>
      </c>
      <c r="AA159" s="417">
        <v>0.44</v>
      </c>
      <c r="AB159" s="417">
        <v>0.33</v>
      </c>
      <c r="AC159" s="417">
        <v>9.9999999999999995E-7</v>
      </c>
      <c r="AD159" s="417">
        <v>-0.72</v>
      </c>
      <c r="AE159" s="417">
        <v>9.9999999999999995E-7</v>
      </c>
      <c r="AF159" s="417">
        <v>-1.04</v>
      </c>
      <c r="AG159" s="418">
        <v>-1.18</v>
      </c>
      <c r="AH159" s="417">
        <f t="shared" si="1"/>
        <v>-1.1000000000000001</v>
      </c>
      <c r="AI159" s="417">
        <v>-0.1</v>
      </c>
      <c r="AJ159" s="417">
        <v>-1.52</v>
      </c>
      <c r="AK159" s="423"/>
      <c r="AX159" s="463"/>
      <c r="AY159" s="463"/>
      <c r="BC159" s="422"/>
      <c r="BD159" s="463"/>
      <c r="BE159" s="463"/>
      <c r="BI159" s="422"/>
      <c r="BJ159" s="463"/>
      <c r="BK159" s="463"/>
      <c r="BO159" s="422"/>
      <c r="BP159" s="463"/>
      <c r="BQ159" s="463"/>
      <c r="BU159" s="422"/>
      <c r="BV159" s="463"/>
      <c r="BW159" s="463"/>
      <c r="CA159" s="422"/>
      <c r="CB159" s="422"/>
      <c r="CC159" s="422"/>
    </row>
    <row r="160" spans="2:81" ht="13">
      <c r="B160" s="667">
        <v>-10</v>
      </c>
      <c r="C160" s="417">
        <v>-0.57999999999999996</v>
      </c>
      <c r="D160" s="417">
        <v>-0.43</v>
      </c>
      <c r="E160" s="468">
        <v>-0.4</v>
      </c>
      <c r="F160" s="417">
        <v>-1.04</v>
      </c>
      <c r="G160" s="417">
        <v>0.05</v>
      </c>
      <c r="H160" s="417">
        <v>0.04</v>
      </c>
      <c r="I160" s="417">
        <v>0.43</v>
      </c>
      <c r="J160" s="417">
        <v>0.36</v>
      </c>
      <c r="K160" s="417">
        <v>0.5</v>
      </c>
      <c r="L160" s="417">
        <v>-0.56999999999999995</v>
      </c>
      <c r="M160" s="417">
        <v>0.5</v>
      </c>
      <c r="N160" s="417">
        <v>-0.91</v>
      </c>
      <c r="O160" s="417">
        <v>-1.01</v>
      </c>
      <c r="P160" s="417">
        <v>-1.2</v>
      </c>
      <c r="Q160" s="417">
        <v>-0.05</v>
      </c>
      <c r="R160" s="417">
        <v>-1.26</v>
      </c>
      <c r="S160" s="423"/>
      <c r="T160" s="667">
        <v>-10</v>
      </c>
      <c r="U160" s="417">
        <v>-0.5</v>
      </c>
      <c r="V160" s="417">
        <v>-0.42</v>
      </c>
      <c r="W160" s="417">
        <v>-0.34</v>
      </c>
      <c r="X160" s="417">
        <v>-0.99</v>
      </c>
      <c r="Y160" s="417">
        <v>0.08</v>
      </c>
      <c r="Z160" s="417">
        <v>0.08</v>
      </c>
      <c r="AA160" s="417">
        <v>0.44</v>
      </c>
      <c r="AB160" s="417">
        <v>0.35</v>
      </c>
      <c r="AC160" s="417">
        <v>0.59</v>
      </c>
      <c r="AD160" s="417">
        <v>-0.52</v>
      </c>
      <c r="AE160" s="417">
        <v>0.59</v>
      </c>
      <c r="AF160" s="417">
        <v>-0.83</v>
      </c>
      <c r="AG160" s="418">
        <v>-0.94</v>
      </c>
      <c r="AH160" s="417">
        <f t="shared" si="1"/>
        <v>-1.2</v>
      </c>
      <c r="AI160" s="417">
        <v>-0.05</v>
      </c>
      <c r="AJ160" s="417">
        <v>-1.26</v>
      </c>
      <c r="AK160" s="423"/>
      <c r="AX160" s="463"/>
      <c r="AY160" s="463"/>
      <c r="BD160" s="463"/>
      <c r="BE160" s="463"/>
      <c r="BJ160" s="463"/>
      <c r="BK160" s="463"/>
      <c r="BP160" s="463"/>
      <c r="BQ160" s="463"/>
      <c r="BV160" s="463"/>
      <c r="BW160" s="463"/>
    </row>
    <row r="161" spans="1:97" ht="13">
      <c r="B161" s="667">
        <v>9.9999999999999995E-7</v>
      </c>
      <c r="C161" s="417">
        <v>-0.39</v>
      </c>
      <c r="D161" s="417">
        <v>-0.26</v>
      </c>
      <c r="E161" s="468">
        <v>-0.26</v>
      </c>
      <c r="F161" s="417">
        <v>-0.38</v>
      </c>
      <c r="G161" s="417">
        <v>0.02</v>
      </c>
      <c r="H161" s="417">
        <v>0.02</v>
      </c>
      <c r="I161" s="417">
        <v>0.38</v>
      </c>
      <c r="J161" s="417">
        <v>0.34</v>
      </c>
      <c r="K161" s="417">
        <v>0.48</v>
      </c>
      <c r="L161" s="417">
        <v>-0.31</v>
      </c>
      <c r="M161" s="417">
        <v>0.48</v>
      </c>
      <c r="N161" s="417">
        <v>-0.63</v>
      </c>
      <c r="O161" s="417">
        <v>-0.6</v>
      </c>
      <c r="P161" s="417">
        <v>-1.4</v>
      </c>
      <c r="Q161" s="417">
        <v>0.03</v>
      </c>
      <c r="R161" s="417">
        <v>-0.79</v>
      </c>
      <c r="S161" s="423"/>
      <c r="T161" s="667">
        <v>9.9999999999999995E-7</v>
      </c>
      <c r="U161" s="417">
        <v>-0.34</v>
      </c>
      <c r="V161" s="417">
        <v>-0.26</v>
      </c>
      <c r="W161" s="417">
        <v>-0.21</v>
      </c>
      <c r="X161" s="417">
        <v>-0.34</v>
      </c>
      <c r="Y161" s="417">
        <v>0.05</v>
      </c>
      <c r="Z161" s="417">
        <v>0.06</v>
      </c>
      <c r="AA161" s="417">
        <v>0.38</v>
      </c>
      <c r="AB161" s="417">
        <v>0.35</v>
      </c>
      <c r="AC161" s="417">
        <v>0.56000000000000005</v>
      </c>
      <c r="AD161" s="417">
        <v>-0.28000000000000003</v>
      </c>
      <c r="AE161" s="417">
        <v>0.56000000000000005</v>
      </c>
      <c r="AF161" s="417">
        <v>-0.56999999999999995</v>
      </c>
      <c r="AG161" s="418">
        <v>-0.56000000000000005</v>
      </c>
      <c r="AH161" s="417">
        <f t="shared" si="1"/>
        <v>-1.4</v>
      </c>
      <c r="AI161" s="417">
        <v>0.03</v>
      </c>
      <c r="AJ161" s="417">
        <v>-0.79</v>
      </c>
      <c r="AK161" s="423"/>
      <c r="AX161" s="463"/>
      <c r="AY161" s="463"/>
      <c r="BD161" s="463"/>
      <c r="BE161" s="463"/>
      <c r="BJ161" s="463"/>
      <c r="BK161" s="463"/>
      <c r="BP161" s="463"/>
      <c r="BQ161" s="463"/>
      <c r="BV161" s="463"/>
      <c r="BW161" s="463"/>
    </row>
    <row r="162" spans="1:97" ht="13">
      <c r="B162" s="667">
        <v>2</v>
      </c>
      <c r="C162" s="417">
        <v>-0.35</v>
      </c>
      <c r="D162" s="417">
        <v>-0.23</v>
      </c>
      <c r="E162" s="468">
        <v>-0.24</v>
      </c>
      <c r="F162" s="417">
        <v>-0.59</v>
      </c>
      <c r="G162" s="417">
        <v>0.05</v>
      </c>
      <c r="H162" s="417">
        <v>0.05</v>
      </c>
      <c r="I162" s="417">
        <v>0.41</v>
      </c>
      <c r="J162" s="417">
        <v>0.37</v>
      </c>
      <c r="K162" s="417">
        <v>0.48</v>
      </c>
      <c r="L162" s="417">
        <v>-0.43</v>
      </c>
      <c r="M162" s="417">
        <v>0.48</v>
      </c>
      <c r="N162" s="417">
        <v>-0.67</v>
      </c>
      <c r="O162" s="417">
        <v>-0.65</v>
      </c>
      <c r="P162" s="417">
        <v>0</v>
      </c>
      <c r="Q162" s="417">
        <v>0.04</v>
      </c>
      <c r="R162" s="417">
        <v>-0.7</v>
      </c>
      <c r="S162" s="423"/>
      <c r="T162" s="667">
        <v>2</v>
      </c>
      <c r="U162" s="417">
        <v>-0.31</v>
      </c>
      <c r="V162" s="417">
        <v>-0.23</v>
      </c>
      <c r="W162" s="417">
        <v>-0.19</v>
      </c>
      <c r="X162" s="417">
        <v>-0.62</v>
      </c>
      <c r="Y162" s="417">
        <v>7.0000000000000007E-2</v>
      </c>
      <c r="Z162" s="417">
        <v>0.08</v>
      </c>
      <c r="AA162" s="417">
        <v>0.41</v>
      </c>
      <c r="AB162" s="417">
        <v>0.36</v>
      </c>
      <c r="AC162" s="417">
        <v>0.55000000000000004</v>
      </c>
      <c r="AD162" s="417">
        <v>-0.41</v>
      </c>
      <c r="AE162" s="417">
        <v>0.55000000000000004</v>
      </c>
      <c r="AF162" s="417">
        <v>-0.57999999999999996</v>
      </c>
      <c r="AG162" s="418">
        <v>-0.64</v>
      </c>
      <c r="AH162" s="417">
        <f t="shared" si="1"/>
        <v>0</v>
      </c>
      <c r="AI162" s="417">
        <v>0.04</v>
      </c>
      <c r="AJ162" s="417">
        <v>-0.7</v>
      </c>
      <c r="AK162" s="423"/>
      <c r="AX162" s="463"/>
      <c r="AY162" s="463"/>
      <c r="BD162" s="463"/>
      <c r="BE162" s="463"/>
      <c r="BJ162" s="463"/>
      <c r="BK162" s="463"/>
      <c r="BP162" s="463"/>
      <c r="BQ162" s="463"/>
      <c r="BV162" s="463"/>
      <c r="BW162" s="463"/>
    </row>
    <row r="163" spans="1:97" ht="13">
      <c r="B163" s="667">
        <v>8</v>
      </c>
      <c r="C163" s="417">
        <v>-0.25</v>
      </c>
      <c r="D163" s="417">
        <v>-0.13</v>
      </c>
      <c r="E163" s="468">
        <v>-0.17</v>
      </c>
      <c r="F163" s="417">
        <v>-0.33</v>
      </c>
      <c r="G163" s="417">
        <v>0.05</v>
      </c>
      <c r="H163" s="417">
        <v>0.04</v>
      </c>
      <c r="I163" s="417">
        <v>0.41</v>
      </c>
      <c r="J163" s="417">
        <v>0.36</v>
      </c>
      <c r="K163" s="417">
        <v>0.46</v>
      </c>
      <c r="L163" s="417">
        <v>-0.16</v>
      </c>
      <c r="M163" s="417">
        <v>0.46</v>
      </c>
      <c r="N163" s="417">
        <v>-0.4</v>
      </c>
      <c r="O163" s="417">
        <v>-0.38</v>
      </c>
      <c r="P163" s="417">
        <v>0</v>
      </c>
      <c r="Q163" s="417">
        <v>0.08</v>
      </c>
      <c r="R163" s="417">
        <v>-0.46</v>
      </c>
      <c r="S163" s="423"/>
      <c r="T163" s="667">
        <v>8</v>
      </c>
      <c r="U163" s="417">
        <v>-0.22</v>
      </c>
      <c r="V163" s="417">
        <v>-0.14000000000000001</v>
      </c>
      <c r="W163" s="417">
        <v>-0.13</v>
      </c>
      <c r="X163" s="417">
        <v>-0.37</v>
      </c>
      <c r="Y163" s="417">
        <v>7.0000000000000007E-2</v>
      </c>
      <c r="Z163" s="417">
        <v>0.08</v>
      </c>
      <c r="AA163" s="417">
        <v>0.41</v>
      </c>
      <c r="AB163" s="417">
        <v>0.35</v>
      </c>
      <c r="AC163" s="417">
        <v>0.53</v>
      </c>
      <c r="AD163" s="417">
        <v>-0.13</v>
      </c>
      <c r="AE163" s="417">
        <v>0.53</v>
      </c>
      <c r="AF163" s="417">
        <v>-0.34</v>
      </c>
      <c r="AG163" s="418">
        <v>-0.37</v>
      </c>
      <c r="AH163" s="417">
        <f t="shared" si="1"/>
        <v>0</v>
      </c>
      <c r="AI163" s="417">
        <v>0.08</v>
      </c>
      <c r="AJ163" s="417">
        <v>-0.46</v>
      </c>
      <c r="AK163" s="423"/>
      <c r="AX163" s="463"/>
      <c r="AY163" s="463"/>
      <c r="BD163" s="463"/>
      <c r="BE163" s="463"/>
      <c r="BJ163" s="463"/>
      <c r="BK163" s="463"/>
      <c r="BP163" s="463"/>
      <c r="BQ163" s="463"/>
      <c r="BV163" s="463"/>
      <c r="BW163" s="463"/>
    </row>
    <row r="164" spans="1:97" ht="13">
      <c r="B164" s="667">
        <v>37</v>
      </c>
      <c r="C164" s="417">
        <v>0.2</v>
      </c>
      <c r="D164" s="417">
        <v>0.21</v>
      </c>
      <c r="E164" s="468">
        <v>0</v>
      </c>
      <c r="F164" s="417">
        <v>0.5</v>
      </c>
      <c r="G164" s="417">
        <v>0.05</v>
      </c>
      <c r="H164" s="417">
        <v>0.05</v>
      </c>
      <c r="I164" s="417">
        <v>0.41</v>
      </c>
      <c r="J164" s="417">
        <v>0.33</v>
      </c>
      <c r="K164" s="417">
        <v>0.38</v>
      </c>
      <c r="L164" s="417">
        <v>0.65</v>
      </c>
      <c r="M164" s="418">
        <v>0.38</v>
      </c>
      <c r="N164" s="417">
        <v>0.45</v>
      </c>
      <c r="O164" s="417">
        <v>0.52</v>
      </c>
      <c r="P164" s="417">
        <v>0</v>
      </c>
      <c r="Q164" s="417">
        <v>0.23</v>
      </c>
      <c r="R164" s="417">
        <v>0.42</v>
      </c>
      <c r="S164" s="423"/>
      <c r="T164" s="667">
        <v>37</v>
      </c>
      <c r="U164" s="417">
        <v>0.19</v>
      </c>
      <c r="V164" s="417">
        <v>0.21</v>
      </c>
      <c r="W164" s="417">
        <v>0.01</v>
      </c>
      <c r="X164" s="417">
        <v>0.49</v>
      </c>
      <c r="Y164" s="417">
        <v>0.08</v>
      </c>
      <c r="Z164" s="417">
        <v>0.09</v>
      </c>
      <c r="AA164" s="417">
        <v>0.42</v>
      </c>
      <c r="AB164" s="417">
        <v>0.33</v>
      </c>
      <c r="AC164" s="417">
        <v>0.43</v>
      </c>
      <c r="AD164" s="417">
        <v>0.65</v>
      </c>
      <c r="AE164" s="417">
        <v>0.43</v>
      </c>
      <c r="AF164" s="417">
        <v>0.41</v>
      </c>
      <c r="AG164" s="418">
        <v>0.51</v>
      </c>
      <c r="AH164" s="417">
        <f t="shared" si="1"/>
        <v>0</v>
      </c>
      <c r="AI164" s="417">
        <v>0.23</v>
      </c>
      <c r="AJ164" s="417">
        <v>0.42</v>
      </c>
      <c r="AK164" s="423"/>
      <c r="AX164" s="463"/>
      <c r="AY164" s="463"/>
      <c r="BD164" s="463"/>
      <c r="BE164" s="463"/>
      <c r="BJ164" s="463"/>
      <c r="BK164" s="463"/>
      <c r="BP164" s="463"/>
      <c r="BQ164" s="463"/>
      <c r="BV164" s="463"/>
      <c r="BW164" s="463"/>
    </row>
    <row r="165" spans="1:97" ht="13">
      <c r="B165" s="667">
        <v>44</v>
      </c>
      <c r="C165" s="417">
        <v>0.28999999999999998</v>
      </c>
      <c r="D165" s="417">
        <v>0.28000000000000003</v>
      </c>
      <c r="E165" s="468">
        <v>0.02</v>
      </c>
      <c r="F165" s="417">
        <v>0.62</v>
      </c>
      <c r="G165" s="417">
        <v>0.06</v>
      </c>
      <c r="H165" s="417">
        <v>0.06</v>
      </c>
      <c r="I165" s="417">
        <v>0.41</v>
      </c>
      <c r="J165" s="417">
        <v>0.33</v>
      </c>
      <c r="K165" s="417">
        <v>0.36</v>
      </c>
      <c r="L165" s="417">
        <v>0.75</v>
      </c>
      <c r="M165" s="417">
        <v>0.36</v>
      </c>
      <c r="N165" s="417">
        <v>0.56000000000000005</v>
      </c>
      <c r="O165" s="417">
        <v>0.65</v>
      </c>
      <c r="P165" s="417">
        <v>0</v>
      </c>
      <c r="Q165" s="417">
        <v>0.25</v>
      </c>
      <c r="R165" s="417">
        <v>0.56999999999999995</v>
      </c>
      <c r="S165" s="423"/>
      <c r="T165" s="667">
        <v>44</v>
      </c>
      <c r="U165" s="417">
        <v>0.28000000000000003</v>
      </c>
      <c r="V165" s="417">
        <v>0.27</v>
      </c>
      <c r="W165" s="417">
        <v>0.02</v>
      </c>
      <c r="X165" s="417">
        <v>0.61</v>
      </c>
      <c r="Y165" s="417">
        <v>0.08</v>
      </c>
      <c r="Z165" s="417">
        <v>0.1</v>
      </c>
      <c r="AA165" s="417">
        <v>0.42</v>
      </c>
      <c r="AB165" s="417">
        <v>0.33</v>
      </c>
      <c r="AC165" s="417">
        <v>0.41</v>
      </c>
      <c r="AD165" s="417">
        <v>0.72</v>
      </c>
      <c r="AE165" s="417">
        <v>0.41</v>
      </c>
      <c r="AF165" s="417">
        <v>0.51</v>
      </c>
      <c r="AG165" s="418">
        <v>0.63</v>
      </c>
      <c r="AH165" s="417">
        <f t="shared" si="1"/>
        <v>0</v>
      </c>
      <c r="AI165" s="417">
        <v>0.25</v>
      </c>
      <c r="AJ165" s="417">
        <v>0.56999999999999995</v>
      </c>
      <c r="AK165" s="423"/>
      <c r="AX165" s="463"/>
      <c r="AY165" s="463"/>
      <c r="BD165" s="463"/>
      <c r="BE165" s="463"/>
      <c r="BJ165" s="463"/>
      <c r="BK165" s="463"/>
      <c r="BP165" s="463"/>
      <c r="BQ165" s="463"/>
      <c r="BV165" s="463"/>
      <c r="BW165" s="463"/>
    </row>
    <row r="166" spans="1:97" ht="13">
      <c r="B166" s="667">
        <v>50</v>
      </c>
      <c r="C166" s="417">
        <v>0.37</v>
      </c>
      <c r="D166" s="417">
        <v>0.33</v>
      </c>
      <c r="E166" s="468">
        <v>0.02</v>
      </c>
      <c r="F166" s="417">
        <v>0.65</v>
      </c>
      <c r="G166" s="417">
        <v>7.0000000000000007E-2</v>
      </c>
      <c r="H166" s="417">
        <v>7.0000000000000007E-2</v>
      </c>
      <c r="I166" s="417">
        <v>0.41</v>
      </c>
      <c r="J166" s="417">
        <v>0.33</v>
      </c>
      <c r="K166" s="417">
        <v>0.34</v>
      </c>
      <c r="L166" s="417">
        <v>0.8</v>
      </c>
      <c r="M166" s="417">
        <v>0.34</v>
      </c>
      <c r="N166" s="417">
        <v>0.64</v>
      </c>
      <c r="O166" s="417">
        <v>0.74</v>
      </c>
      <c r="P166" s="417">
        <v>-1</v>
      </c>
      <c r="Q166" s="417">
        <v>0.27</v>
      </c>
      <c r="R166" s="417">
        <v>0.67</v>
      </c>
      <c r="S166" s="423"/>
      <c r="T166" s="667">
        <v>50</v>
      </c>
      <c r="U166" s="417">
        <v>0.35</v>
      </c>
      <c r="V166" s="417">
        <v>0.33</v>
      </c>
      <c r="W166" s="417">
        <v>0.01</v>
      </c>
      <c r="X166" s="417">
        <v>0.69</v>
      </c>
      <c r="Y166" s="417">
        <v>0.09</v>
      </c>
      <c r="Z166" s="417">
        <v>0.11</v>
      </c>
      <c r="AA166" s="417">
        <v>0.43</v>
      </c>
      <c r="AB166" s="417">
        <v>0.34</v>
      </c>
      <c r="AC166" s="417">
        <v>0.39</v>
      </c>
      <c r="AD166" s="417">
        <v>0.76</v>
      </c>
      <c r="AE166" s="417">
        <v>0.39</v>
      </c>
      <c r="AF166" s="417">
        <v>0.56999999999999995</v>
      </c>
      <c r="AG166" s="418">
        <v>0.71</v>
      </c>
      <c r="AH166" s="417">
        <f t="shared" si="1"/>
        <v>-1</v>
      </c>
      <c r="AI166" s="417">
        <v>0.27</v>
      </c>
      <c r="AJ166" s="417">
        <v>0.67</v>
      </c>
      <c r="AK166" s="423"/>
      <c r="AX166" s="463"/>
      <c r="AY166" s="463"/>
      <c r="BD166" s="463"/>
      <c r="BE166" s="463"/>
      <c r="BJ166" s="463"/>
      <c r="BK166" s="463"/>
      <c r="BP166" s="463"/>
      <c r="BQ166" s="463"/>
      <c r="BV166" s="463"/>
      <c r="BW166" s="463"/>
    </row>
    <row r="167" spans="1:97" ht="13">
      <c r="B167" s="667">
        <v>100</v>
      </c>
      <c r="C167" s="417">
        <v>0.76</v>
      </c>
      <c r="D167" s="417">
        <v>0.55000000000000004</v>
      </c>
      <c r="E167" s="468">
        <v>-0.1</v>
      </c>
      <c r="F167" s="417">
        <v>0.65</v>
      </c>
      <c r="G167" s="417">
        <v>0.18</v>
      </c>
      <c r="H167" s="417">
        <v>0.19</v>
      </c>
      <c r="I167" s="417">
        <v>0.49</v>
      </c>
      <c r="J167" s="417">
        <v>0.41</v>
      </c>
      <c r="K167" s="417">
        <v>0.17</v>
      </c>
      <c r="L167" s="417">
        <v>0.53</v>
      </c>
      <c r="M167" s="417">
        <v>0.17</v>
      </c>
      <c r="N167" s="417">
        <v>0.56999999999999995</v>
      </c>
      <c r="O167" s="417">
        <v>0.71</v>
      </c>
      <c r="P167" s="417">
        <v>-1.6</v>
      </c>
      <c r="Q167" s="417">
        <v>0.31</v>
      </c>
      <c r="R167" s="417">
        <v>0.95</v>
      </c>
      <c r="S167" s="423"/>
      <c r="T167" s="667">
        <v>100</v>
      </c>
      <c r="U167" s="417">
        <v>0.74</v>
      </c>
      <c r="V167" s="417">
        <v>0.59</v>
      </c>
      <c r="W167" s="417">
        <v>-0.14000000000000001</v>
      </c>
      <c r="X167" s="417">
        <v>0.67</v>
      </c>
      <c r="Y167" s="417">
        <v>0.21</v>
      </c>
      <c r="Z167" s="417">
        <v>0.22</v>
      </c>
      <c r="AA167" s="417">
        <v>0.54</v>
      </c>
      <c r="AB167" s="417">
        <v>0.45</v>
      </c>
      <c r="AC167" s="417">
        <v>0.19</v>
      </c>
      <c r="AD167" s="417">
        <v>0.26</v>
      </c>
      <c r="AE167" s="417">
        <v>0.19</v>
      </c>
      <c r="AF167" s="417">
        <v>0.39</v>
      </c>
      <c r="AG167" s="418">
        <v>0.64</v>
      </c>
      <c r="AH167" s="417">
        <f t="shared" si="1"/>
        <v>-1.6</v>
      </c>
      <c r="AI167" s="417">
        <v>0.31</v>
      </c>
      <c r="AJ167" s="417">
        <v>0.95</v>
      </c>
      <c r="AK167" s="423"/>
      <c r="AX167" s="463"/>
      <c r="AY167" s="463"/>
      <c r="BD167" s="463"/>
      <c r="BE167" s="463"/>
      <c r="BJ167" s="463"/>
      <c r="BK167" s="463"/>
      <c r="BP167" s="463"/>
      <c r="BQ167" s="463"/>
      <c r="BV167" s="463"/>
      <c r="BW167" s="463"/>
      <c r="CC167" s="469"/>
    </row>
    <row r="168" spans="1:97" ht="13">
      <c r="B168" s="667">
        <v>150</v>
      </c>
      <c r="C168" s="417">
        <v>0.73</v>
      </c>
      <c r="D168" s="417">
        <v>0.53</v>
      </c>
      <c r="E168" s="468">
        <v>-0.22</v>
      </c>
      <c r="F168" s="417">
        <v>-7.0000000000000007E-2</v>
      </c>
      <c r="G168" s="417">
        <v>0.37</v>
      </c>
      <c r="H168" s="417">
        <v>0.39</v>
      </c>
      <c r="I168" s="417">
        <v>0.65</v>
      </c>
      <c r="J168" s="417">
        <v>0.57999999999999996</v>
      </c>
      <c r="K168" s="417">
        <v>-0.04</v>
      </c>
      <c r="L168" s="417">
        <v>-0.15</v>
      </c>
      <c r="M168" s="417">
        <v>-0.04</v>
      </c>
      <c r="N168" s="417">
        <v>-0.12</v>
      </c>
      <c r="O168" s="417">
        <v>-0.17</v>
      </c>
      <c r="P168" s="417">
        <v>-1.7</v>
      </c>
      <c r="Q168" s="417">
        <v>0.3</v>
      </c>
      <c r="R168" s="417">
        <v>0.49</v>
      </c>
      <c r="S168" s="423"/>
      <c r="T168" s="667">
        <v>150</v>
      </c>
      <c r="U168" s="417">
        <v>0.71</v>
      </c>
      <c r="V168" s="417">
        <v>0.56000000000000005</v>
      </c>
      <c r="W168" s="417">
        <v>-0.27</v>
      </c>
      <c r="X168" s="417">
        <v>-0.12</v>
      </c>
      <c r="Y168" s="417">
        <v>0.4</v>
      </c>
      <c r="Z168" s="417">
        <v>0.42</v>
      </c>
      <c r="AA168" s="417">
        <v>0.72</v>
      </c>
      <c r="AB168" s="417">
        <v>0.66</v>
      </c>
      <c r="AC168" s="417">
        <v>-0.03</v>
      </c>
      <c r="AD168" s="417">
        <v>-0.57999999999999996</v>
      </c>
      <c r="AE168" s="417">
        <v>-0.03</v>
      </c>
      <c r="AF168" s="417">
        <v>-0.36</v>
      </c>
      <c r="AG168" s="418">
        <v>-0.28000000000000003</v>
      </c>
      <c r="AH168" s="417">
        <f t="shared" si="1"/>
        <v>-1.7</v>
      </c>
      <c r="AI168" s="417">
        <v>0.3</v>
      </c>
      <c r="AJ168" s="417">
        <v>0.49</v>
      </c>
      <c r="AK168" s="423"/>
      <c r="AX168" s="463"/>
      <c r="AY168" s="463"/>
      <c r="BD168" s="463"/>
      <c r="BE168" s="463"/>
      <c r="BJ168" s="463"/>
      <c r="BK168" s="463"/>
      <c r="BP168" s="463"/>
      <c r="BQ168" s="463"/>
      <c r="BV168" s="463"/>
      <c r="BW168" s="463"/>
      <c r="CC168" s="469"/>
    </row>
    <row r="169" spans="1:97" ht="13">
      <c r="B169" s="667">
        <v>200</v>
      </c>
      <c r="C169" s="417">
        <v>0.2</v>
      </c>
      <c r="D169" s="417">
        <v>0.39</v>
      </c>
      <c r="E169" s="468">
        <v>0.06</v>
      </c>
      <c r="F169" s="417">
        <v>-0.7</v>
      </c>
      <c r="G169" s="417">
        <v>0.61</v>
      </c>
      <c r="H169" s="417">
        <v>0.66</v>
      </c>
      <c r="I169" s="417">
        <v>0.9</v>
      </c>
      <c r="J169" s="417">
        <v>0.81</v>
      </c>
      <c r="K169" s="417">
        <v>-0.28000000000000003</v>
      </c>
      <c r="L169" s="417">
        <v>-0.01</v>
      </c>
      <c r="M169" s="417">
        <v>-0.28000000000000003</v>
      </c>
      <c r="N169" s="417">
        <v>-0.59</v>
      </c>
      <c r="O169" s="417">
        <v>-1.27</v>
      </c>
      <c r="P169" s="417">
        <v>-0.9</v>
      </c>
      <c r="Q169" s="417">
        <v>0.34</v>
      </c>
      <c r="R169" s="417">
        <v>-0.26</v>
      </c>
      <c r="S169" s="423"/>
      <c r="T169" s="667">
        <v>200</v>
      </c>
      <c r="U169" s="417">
        <v>0.13</v>
      </c>
      <c r="V169" s="417">
        <v>0.28000000000000003</v>
      </c>
      <c r="W169" s="417">
        <v>0.05</v>
      </c>
      <c r="X169" s="417">
        <v>-1.01</v>
      </c>
      <c r="Y169" s="417">
        <v>0.64</v>
      </c>
      <c r="Z169" s="417">
        <v>0.66</v>
      </c>
      <c r="AA169" s="417">
        <v>0.96</v>
      </c>
      <c r="AB169" s="417">
        <v>0.9</v>
      </c>
      <c r="AC169" s="417">
        <v>-0.28000000000000003</v>
      </c>
      <c r="AD169" s="417">
        <v>-0.38</v>
      </c>
      <c r="AE169" s="417">
        <v>-0.28000000000000003</v>
      </c>
      <c r="AF169" s="417">
        <v>-0.85</v>
      </c>
      <c r="AG169" s="418">
        <v>-1.34</v>
      </c>
      <c r="AH169" s="417">
        <f t="shared" si="1"/>
        <v>-0.9</v>
      </c>
      <c r="AI169" s="417">
        <v>0.34</v>
      </c>
      <c r="AJ169" s="417">
        <v>-0.26</v>
      </c>
      <c r="AK169" s="423"/>
      <c r="AX169" s="463"/>
      <c r="AY169" s="463"/>
      <c r="BD169" s="463"/>
      <c r="BE169" s="463"/>
      <c r="BJ169" s="463"/>
      <c r="BK169" s="463"/>
      <c r="BP169" s="463"/>
      <c r="BQ169" s="463"/>
      <c r="BV169" s="463"/>
      <c r="BW169" s="463"/>
      <c r="CC169" s="464"/>
    </row>
    <row r="170" spans="1:97" s="710" customFormat="1" ht="13">
      <c r="A170" s="473"/>
      <c r="B170" s="667" t="s">
        <v>396</v>
      </c>
      <c r="C170" s="694">
        <v>0.34</v>
      </c>
      <c r="D170" s="694">
        <v>0.56000000000000005</v>
      </c>
      <c r="E170" s="694">
        <v>0.28000000000000003</v>
      </c>
      <c r="F170" s="694">
        <v>0.25</v>
      </c>
      <c r="G170" s="694">
        <v>0.27</v>
      </c>
      <c r="H170" s="694">
        <v>0.27</v>
      </c>
      <c r="I170" s="694">
        <v>0.25</v>
      </c>
      <c r="J170" s="694">
        <v>0.24</v>
      </c>
      <c r="K170" s="694">
        <v>0.79</v>
      </c>
      <c r="L170" s="694">
        <v>0.27</v>
      </c>
      <c r="M170" s="694">
        <v>0.79</v>
      </c>
      <c r="N170" s="694">
        <v>0.26</v>
      </c>
      <c r="O170" s="694">
        <v>0.27</v>
      </c>
      <c r="P170" s="694">
        <v>0.6</v>
      </c>
      <c r="Q170" s="694">
        <v>0.22</v>
      </c>
      <c r="R170" s="694">
        <v>0.77</v>
      </c>
      <c r="S170" s="473"/>
      <c r="T170" s="667" t="s">
        <v>396</v>
      </c>
      <c r="U170" s="694">
        <v>0.34</v>
      </c>
      <c r="V170" s="694">
        <v>0.56000000000000005</v>
      </c>
      <c r="W170" s="694">
        <v>0.28000000000000003</v>
      </c>
      <c r="X170" s="694">
        <v>0.27</v>
      </c>
      <c r="Y170" s="694">
        <v>0.26</v>
      </c>
      <c r="Z170" s="694">
        <v>0.26</v>
      </c>
      <c r="AA170" s="694">
        <v>0.25</v>
      </c>
      <c r="AB170" s="694">
        <v>0.24</v>
      </c>
      <c r="AC170" s="694">
        <v>0.79</v>
      </c>
      <c r="AD170" s="694">
        <v>0.28000000000000003</v>
      </c>
      <c r="AE170" s="694">
        <v>0.79</v>
      </c>
      <c r="AF170" s="694">
        <v>0.25</v>
      </c>
      <c r="AG170" s="694">
        <v>0.27</v>
      </c>
      <c r="AH170" s="694">
        <f t="shared" si="1"/>
        <v>0.6</v>
      </c>
      <c r="AI170" s="694">
        <v>0.22</v>
      </c>
      <c r="AJ170" s="694">
        <v>0.77</v>
      </c>
      <c r="AK170" s="473"/>
      <c r="AN170" s="471"/>
      <c r="AP170" s="711"/>
      <c r="AT170" s="471"/>
      <c r="AV170" s="711"/>
      <c r="AX170" s="471"/>
      <c r="AY170" s="471"/>
      <c r="AZ170" s="471"/>
      <c r="BB170" s="711"/>
      <c r="BD170" s="471"/>
      <c r="BE170" s="471"/>
      <c r="BF170" s="471"/>
      <c r="BH170" s="711"/>
      <c r="BJ170" s="471"/>
      <c r="BK170" s="471"/>
      <c r="BL170" s="471"/>
      <c r="BN170" s="711"/>
      <c r="BP170" s="471"/>
      <c r="BQ170" s="471"/>
      <c r="BR170" s="471"/>
      <c r="BT170" s="711"/>
      <c r="BV170" s="471"/>
      <c r="BW170" s="471"/>
      <c r="BX170" s="471"/>
      <c r="BZ170" s="711"/>
      <c r="CG170" s="473"/>
      <c r="CM170" s="473"/>
      <c r="CS170" s="473"/>
    </row>
    <row r="171" spans="1:97" s="423" customFormat="1" ht="13">
      <c r="F171" s="472"/>
      <c r="V171" s="440"/>
      <c r="W171" s="440"/>
      <c r="X171" s="440"/>
      <c r="Y171" s="440"/>
      <c r="Z171" s="440"/>
      <c r="AA171" s="440"/>
      <c r="AB171" s="440"/>
      <c r="AC171" s="440"/>
      <c r="AD171" s="440"/>
      <c r="AF171" s="473"/>
      <c r="AG171" s="473"/>
      <c r="AI171" s="425"/>
      <c r="AZ171" s="424"/>
      <c r="BB171" s="425"/>
      <c r="BF171" s="424"/>
      <c r="BH171" s="425"/>
      <c r="BL171" s="424"/>
      <c r="BN171" s="425"/>
      <c r="BR171" s="424"/>
      <c r="BT171" s="425"/>
      <c r="BX171" s="424"/>
      <c r="BZ171" s="425"/>
    </row>
    <row r="172" spans="1:97" s="423" customFormat="1">
      <c r="V172" s="424"/>
      <c r="W172" s="424"/>
      <c r="X172" s="424"/>
      <c r="Y172" s="424"/>
      <c r="Z172" s="424"/>
      <c r="AA172" s="424"/>
      <c r="AB172" s="424"/>
      <c r="AC172" s="424"/>
      <c r="AD172" s="424"/>
      <c r="AI172" s="425"/>
      <c r="AZ172" s="424"/>
      <c r="BB172" s="425"/>
      <c r="BF172" s="424"/>
      <c r="BH172" s="425"/>
      <c r="BL172" s="424"/>
      <c r="BN172" s="425"/>
      <c r="BR172" s="424"/>
      <c r="BT172" s="425"/>
      <c r="BX172" s="424"/>
      <c r="BZ172" s="425"/>
    </row>
    <row r="173" spans="1:97" ht="98.25" customHeight="1">
      <c r="B173" s="474" t="s">
        <v>387</v>
      </c>
      <c r="C173" s="475" t="str">
        <f>U156</f>
        <v>Thermocouple Data Logger, Merek : MADGETECH, Model : OctTemp 2000, SN : P40270</v>
      </c>
      <c r="D173" s="481" t="str">
        <f>V156</f>
        <v>Thermocouple Data Logger, Merek : MADGETECH, Model : OctTemp 2000, SN : P41878</v>
      </c>
      <c r="E173" s="475" t="str">
        <f>W156</f>
        <v>Mobile Corder, Merek : Yokogawa, Model : GP 10, SN : S5T810599</v>
      </c>
      <c r="F173" s="476" t="str">
        <f t="shared" ref="F173:R173" si="2">F156</f>
        <v>Wireless Temperature Recorder : Merek : HIOKI, Model : LR 8510, SN : 200936000</v>
      </c>
      <c r="G173" s="476" t="str">
        <f t="shared" si="2"/>
        <v>Wireless Temperature Recorder : Merek : HIOKI, Model : LR 8510, SN : 200936001</v>
      </c>
      <c r="H173" s="476" t="str">
        <f t="shared" si="2"/>
        <v>Wireless Temperature Recorder : Merek : HIOKI, Model : LR 8510, SN : 200821397</v>
      </c>
      <c r="I173" s="476" t="str">
        <f t="shared" si="2"/>
        <v>Wireless Temperature Recorder : Merek : HIOKI, Model : LR 8510, SN : 210411983</v>
      </c>
      <c r="J173" s="476" t="str">
        <f t="shared" si="2"/>
        <v>Wireless Temperature Recorder : Merek : HIOKI, Model : LR 8510, SN : 210411984</v>
      </c>
      <c r="K173" s="476" t="str">
        <f t="shared" si="2"/>
        <v>Wireless Temperature Recorder : Merek : HIOKI, Model : LR 8510, SN : 210411985</v>
      </c>
      <c r="L173" s="476" t="str">
        <f t="shared" si="2"/>
        <v>Wireless Temperature Recorder : Merek : HIOKI, Model : LR 8510, SN : 210746054</v>
      </c>
      <c r="M173" s="476" t="str">
        <f t="shared" si="2"/>
        <v>Wireless Temperature Recorder : Merek : HIOKI, Model : LR 8510, SN : 210746055</v>
      </c>
      <c r="N173" s="476" t="str">
        <f t="shared" si="2"/>
        <v>Wireless Temperature Recorder : Merek : HIOKI, Model : LR 8510, SN : 210746056</v>
      </c>
      <c r="O173" s="476" t="str">
        <f t="shared" si="2"/>
        <v>Wireless Temperature Recorder : Merek : HIOKI, Model : LR 8510, SN : 200821396</v>
      </c>
      <c r="P173" s="476" t="str">
        <f t="shared" si="2"/>
        <v>Reference Thermometer, Merek : APPA, Model : APPA51, SN : 03002948</v>
      </c>
      <c r="Q173" s="476" t="str">
        <f t="shared" si="2"/>
        <v>Reference Thermometer, Merek : FLUKE, Model : 1524, SN : 1803038</v>
      </c>
      <c r="R173" s="476" t="str">
        <f t="shared" si="2"/>
        <v>Reference Thermometer, Merek : FLUKE, Model : 1524, SN : 1803037</v>
      </c>
      <c r="S173" s="423"/>
      <c r="T173" s="474" t="s">
        <v>388</v>
      </c>
      <c r="U173" s="475" t="str">
        <f>C173</f>
        <v>Thermocouple Data Logger, Merek : MADGETECH, Model : OctTemp 2000, SN : P40270</v>
      </c>
      <c r="V173" s="481" t="str">
        <f>D173</f>
        <v>Thermocouple Data Logger, Merek : MADGETECH, Model : OctTemp 2000, SN : P41878</v>
      </c>
      <c r="W173" s="477" t="str">
        <f>E173</f>
        <v>Mobile Corder, Merek : Yokogawa, Model : GP 10, SN : S5T810599</v>
      </c>
      <c r="X173" s="481" t="str">
        <f t="shared" ref="X173:AJ173" si="3">X156</f>
        <v>Wireless Temperature Recorder : Merek : HIOKI, Model : LR 8510, SN : 200936000</v>
      </c>
      <c r="Y173" s="481" t="str">
        <f t="shared" si="3"/>
        <v>Wireless Temperature Recorder : Merek : HIOKI, Model : LR 8510, SN : 200936001</v>
      </c>
      <c r="Z173" s="481" t="str">
        <f t="shared" si="3"/>
        <v>Wireless Temperature Recorder : Merek : HIOKI, Model : LR 8510, SN : 200821397</v>
      </c>
      <c r="AA173" s="481" t="str">
        <f t="shared" si="3"/>
        <v>Wireless Temperature Recorder : Merek : HIOKI, Model : LR 8510, SN : 210411983</v>
      </c>
      <c r="AB173" s="481" t="str">
        <f t="shared" si="3"/>
        <v>Wireless Temperature Recorder : Merek : HIOKI, Model : LR 8510, SN : 210411984</v>
      </c>
      <c r="AC173" s="481" t="str">
        <f t="shared" si="3"/>
        <v>Wireless Temperature Recorder : Merek : HIOKI, Model : LR 8510, SN : 210411985</v>
      </c>
      <c r="AD173" s="481" t="str">
        <f t="shared" si="3"/>
        <v>Wireless Temperature Recorder : Merek : HIOKI, Model : LR 8510, SN : 210746054</v>
      </c>
      <c r="AE173" s="481" t="str">
        <f t="shared" si="3"/>
        <v>Wireless Temperature Recorder : Merek : HIOKI, Model : LR 8510, SN : 210746055</v>
      </c>
      <c r="AF173" s="481" t="str">
        <f t="shared" si="3"/>
        <v>Wireless Temperature Recorder : Merek : HIOKI, Model : LR 8510, SN : 210746056</v>
      </c>
      <c r="AG173" s="481" t="str">
        <f t="shared" si="3"/>
        <v>Wireless Temperature Recorder : Merek : HIOKI, Model : LR 8510, SN : 200821396</v>
      </c>
      <c r="AH173" s="481" t="str">
        <f t="shared" si="3"/>
        <v>Reference Thermometer, Merek : APPA, Model : APPA51, SN : 03002948</v>
      </c>
      <c r="AI173" s="481" t="str">
        <f t="shared" si="3"/>
        <v>Reference Thermometer, Merek : FLUKE, Model : 1524, SN : 1803038</v>
      </c>
      <c r="AJ173" s="481" t="str">
        <f t="shared" si="3"/>
        <v>Reference Thermometer, Merek : FLUKE, Model : 1524, SN : 1803037</v>
      </c>
      <c r="AK173" s="423"/>
      <c r="AX173" s="695"/>
      <c r="AY173" s="696"/>
      <c r="AZ173" s="467"/>
      <c r="BD173" s="695"/>
      <c r="BE173" s="696"/>
      <c r="BF173" s="467"/>
      <c r="BJ173" s="695"/>
      <c r="BK173" s="696"/>
      <c r="BL173" s="467"/>
      <c r="BP173" s="695"/>
      <c r="BQ173" s="696"/>
      <c r="BR173" s="467"/>
      <c r="BV173" s="695"/>
      <c r="BW173" s="696"/>
      <c r="BX173" s="467"/>
    </row>
    <row r="174" spans="1:97" s="630" customFormat="1" ht="5.5" customHeight="1">
      <c r="B174" s="642"/>
      <c r="C174" s="643"/>
      <c r="D174" s="636"/>
      <c r="E174" s="644"/>
      <c r="F174" s="645"/>
      <c r="G174" s="645"/>
      <c r="H174" s="645"/>
      <c r="I174" s="645"/>
      <c r="J174" s="645"/>
      <c r="K174" s="645"/>
      <c r="L174" s="645"/>
      <c r="M174" s="645"/>
      <c r="N174" s="645"/>
      <c r="O174" s="646"/>
      <c r="P174" s="634"/>
      <c r="Q174" s="634"/>
      <c r="R174" s="634"/>
      <c r="T174" s="642"/>
      <c r="U174" s="643"/>
      <c r="V174" s="636"/>
      <c r="W174" s="647"/>
      <c r="X174" s="636"/>
      <c r="Y174" s="636"/>
      <c r="Z174" s="636"/>
      <c r="AA174" s="636"/>
      <c r="AB174" s="636"/>
      <c r="AC174" s="636"/>
      <c r="AD174" s="636"/>
      <c r="AE174" s="636"/>
      <c r="AF174" s="636"/>
      <c r="AG174" s="636"/>
      <c r="AH174" s="634"/>
      <c r="AI174" s="634"/>
      <c r="AJ174" s="634"/>
      <c r="AN174" s="637"/>
      <c r="AP174" s="638"/>
      <c r="AT174" s="637"/>
      <c r="AV174" s="638"/>
      <c r="AX174" s="639"/>
      <c r="AY174" s="640"/>
      <c r="AZ174" s="641"/>
      <c r="BB174" s="638"/>
      <c r="BD174" s="639"/>
      <c r="BE174" s="640"/>
      <c r="BF174" s="641"/>
      <c r="BH174" s="638"/>
      <c r="BJ174" s="639"/>
      <c r="BK174" s="640"/>
      <c r="BL174" s="641"/>
      <c r="BN174" s="638"/>
      <c r="BP174" s="639"/>
      <c r="BQ174" s="640"/>
      <c r="BR174" s="641"/>
      <c r="BT174" s="638"/>
      <c r="BV174" s="639"/>
      <c r="BW174" s="640"/>
      <c r="BX174" s="641"/>
      <c r="BZ174" s="638"/>
    </row>
    <row r="175" spans="1:97" ht="13">
      <c r="B175" s="667">
        <v>-20</v>
      </c>
      <c r="C175" s="417">
        <v>-0.6</v>
      </c>
      <c r="D175" s="417">
        <v>-0.48</v>
      </c>
      <c r="E175" s="417">
        <v>-0.47</v>
      </c>
      <c r="F175" s="417">
        <v>-1.45</v>
      </c>
      <c r="G175" s="417">
        <v>0.05</v>
      </c>
      <c r="H175" s="417">
        <v>0.05</v>
      </c>
      <c r="I175" s="417">
        <v>0.43</v>
      </c>
      <c r="J175" s="417">
        <v>0.33</v>
      </c>
      <c r="K175" s="417">
        <v>0.57999999999999996</v>
      </c>
      <c r="L175" s="417">
        <v>-0.93</v>
      </c>
      <c r="M175" s="417">
        <v>0.57999999999999996</v>
      </c>
      <c r="N175" s="417">
        <v>-1.33</v>
      </c>
      <c r="O175" s="417">
        <v>-1.47</v>
      </c>
      <c r="P175" s="417">
        <f t="shared" ref="P175:P187" si="4">P158</f>
        <v>-1.1000000000000001</v>
      </c>
      <c r="Q175" s="417">
        <v>-0.15</v>
      </c>
      <c r="R175" s="417">
        <v>-1.8</v>
      </c>
      <c r="S175" s="423"/>
      <c r="T175" s="667">
        <v>-20</v>
      </c>
      <c r="U175" s="417">
        <v>-0.59</v>
      </c>
      <c r="V175" s="417">
        <v>-0.42</v>
      </c>
      <c r="W175" s="417">
        <v>-0.5</v>
      </c>
      <c r="X175" s="417">
        <v>-1.47</v>
      </c>
      <c r="Y175" s="417">
        <v>7.0000000000000007E-2</v>
      </c>
      <c r="Z175" s="417">
        <v>7.0000000000000007E-2</v>
      </c>
      <c r="AA175" s="417">
        <v>0.46</v>
      </c>
      <c r="AB175" s="417">
        <v>0.33</v>
      </c>
      <c r="AC175" s="417">
        <v>0.64</v>
      </c>
      <c r="AD175" s="417">
        <v>-0.91</v>
      </c>
      <c r="AE175" s="417">
        <v>0.64</v>
      </c>
      <c r="AF175" s="417">
        <v>-1.31</v>
      </c>
      <c r="AG175" s="418">
        <v>-1.41</v>
      </c>
      <c r="AH175" s="417">
        <f t="shared" ref="AH175:AH187" si="5">AH158</f>
        <v>-1.1000000000000001</v>
      </c>
      <c r="AI175" s="417">
        <v>-0.15</v>
      </c>
      <c r="AJ175" s="417">
        <v>-1.8</v>
      </c>
      <c r="AK175" s="423"/>
      <c r="AX175" s="463"/>
      <c r="AY175" s="463"/>
      <c r="BD175" s="463"/>
      <c r="BE175" s="463"/>
      <c r="BJ175" s="463"/>
      <c r="BK175" s="463"/>
      <c r="BP175" s="463"/>
      <c r="BQ175" s="463"/>
      <c r="BV175" s="463"/>
      <c r="BW175" s="463"/>
    </row>
    <row r="176" spans="1:97" ht="13">
      <c r="B176" s="667">
        <v>-15</v>
      </c>
      <c r="C176" s="417">
        <v>-0.53</v>
      </c>
      <c r="D176" s="417">
        <v>-0.41</v>
      </c>
      <c r="E176" s="417">
        <v>-0.39</v>
      </c>
      <c r="F176" s="417">
        <v>-1.23</v>
      </c>
      <c r="G176" s="417">
        <v>0.1</v>
      </c>
      <c r="H176" s="417">
        <v>0.09</v>
      </c>
      <c r="I176" s="417">
        <v>0.45</v>
      </c>
      <c r="J176" s="417">
        <v>0.36</v>
      </c>
      <c r="K176" s="417">
        <v>9.9999999999999995E-7</v>
      </c>
      <c r="L176" s="417">
        <v>-0.69</v>
      </c>
      <c r="M176" s="417">
        <v>9.9999999999999995E-7</v>
      </c>
      <c r="N176" s="417">
        <v>-1.08</v>
      </c>
      <c r="O176" s="417">
        <v>-1.22</v>
      </c>
      <c r="P176" s="417">
        <f t="shared" si="4"/>
        <v>-1.1000000000000001</v>
      </c>
      <c r="Q176" s="417">
        <v>-0.1</v>
      </c>
      <c r="R176" s="417">
        <v>-1.52</v>
      </c>
      <c r="S176" s="423"/>
      <c r="T176" s="667">
        <v>-15</v>
      </c>
      <c r="U176" s="417">
        <v>-0.53</v>
      </c>
      <c r="V176" s="417">
        <v>-0.37</v>
      </c>
      <c r="W176" s="417">
        <v>-0.41</v>
      </c>
      <c r="X176" s="417">
        <v>-1.25</v>
      </c>
      <c r="Y176" s="417">
        <v>0.11</v>
      </c>
      <c r="Z176" s="417">
        <v>0.11</v>
      </c>
      <c r="AA176" s="417">
        <v>0.48</v>
      </c>
      <c r="AB176" s="417">
        <v>0.35</v>
      </c>
      <c r="AC176" s="417">
        <v>9.9999999999999995E-7</v>
      </c>
      <c r="AD176" s="417">
        <v>-0.67</v>
      </c>
      <c r="AE176" s="417">
        <v>9.9999999999999995E-7</v>
      </c>
      <c r="AF176" s="417">
        <v>-1.06</v>
      </c>
      <c r="AG176" s="418">
        <v>-1.1399999999999999</v>
      </c>
      <c r="AH176" s="417">
        <f t="shared" si="5"/>
        <v>-1.1000000000000001</v>
      </c>
      <c r="AI176" s="417">
        <v>-0.1</v>
      </c>
      <c r="AJ176" s="417">
        <v>-1.52</v>
      </c>
      <c r="AK176" s="423"/>
      <c r="AX176" s="463"/>
      <c r="AY176" s="463"/>
      <c r="BD176" s="463"/>
      <c r="BE176" s="463"/>
      <c r="BJ176" s="463"/>
      <c r="BK176" s="463"/>
      <c r="BP176" s="463"/>
      <c r="BQ176" s="463"/>
      <c r="BV176" s="463"/>
      <c r="BW176" s="463"/>
    </row>
    <row r="177" spans="1:97" ht="13">
      <c r="B177" s="667">
        <v>-10</v>
      </c>
      <c r="C177" s="417">
        <v>-0.46</v>
      </c>
      <c r="D177" s="417">
        <v>-0.35</v>
      </c>
      <c r="E177" s="417">
        <v>-0.32</v>
      </c>
      <c r="F177" s="417">
        <v>-0.98</v>
      </c>
      <c r="G177" s="417">
        <v>0.13</v>
      </c>
      <c r="H177" s="417">
        <v>0.12</v>
      </c>
      <c r="I177" s="417">
        <v>0.46</v>
      </c>
      <c r="J177" s="417">
        <v>0.37</v>
      </c>
      <c r="K177" s="417">
        <v>0.55000000000000004</v>
      </c>
      <c r="L177" s="417">
        <v>-0.52</v>
      </c>
      <c r="M177" s="417">
        <v>0.55000000000000004</v>
      </c>
      <c r="N177" s="417">
        <v>-0.86</v>
      </c>
      <c r="O177" s="417">
        <v>-0.99</v>
      </c>
      <c r="P177" s="417">
        <f t="shared" si="4"/>
        <v>-1.2</v>
      </c>
      <c r="Q177" s="417">
        <v>-0.05</v>
      </c>
      <c r="R177" s="417">
        <v>-1.26</v>
      </c>
      <c r="S177" s="423"/>
      <c r="T177" s="667">
        <v>-10</v>
      </c>
      <c r="U177" s="417">
        <v>-0.47</v>
      </c>
      <c r="V177" s="417">
        <v>-0.31</v>
      </c>
      <c r="W177" s="417">
        <v>-0.33</v>
      </c>
      <c r="X177" s="417">
        <v>-1</v>
      </c>
      <c r="Y177" s="417">
        <v>0.13</v>
      </c>
      <c r="Z177" s="417">
        <v>0.15</v>
      </c>
      <c r="AA177" s="417">
        <v>0.48</v>
      </c>
      <c r="AB177" s="417">
        <v>0.36</v>
      </c>
      <c r="AC177" s="417">
        <v>0.6</v>
      </c>
      <c r="AD177" s="417">
        <v>-0.48</v>
      </c>
      <c r="AE177" s="417">
        <v>0.6</v>
      </c>
      <c r="AF177" s="417">
        <v>-0.85</v>
      </c>
      <c r="AG177" s="418">
        <v>-0.9</v>
      </c>
      <c r="AH177" s="417">
        <f t="shared" si="5"/>
        <v>-1.2</v>
      </c>
      <c r="AI177" s="417">
        <v>-0.05</v>
      </c>
      <c r="AJ177" s="417">
        <v>-1.26</v>
      </c>
      <c r="AK177" s="423"/>
      <c r="AX177" s="463"/>
      <c r="AY177" s="463"/>
      <c r="BD177" s="463"/>
      <c r="BE177" s="463"/>
      <c r="BJ177" s="463"/>
      <c r="BK177" s="463"/>
      <c r="BP177" s="463"/>
      <c r="BQ177" s="463"/>
      <c r="BV177" s="463"/>
      <c r="BW177" s="463"/>
    </row>
    <row r="178" spans="1:97" ht="13">
      <c r="B178" s="667">
        <v>9.9999999999999995E-7</v>
      </c>
      <c r="C178" s="417">
        <v>-0.32</v>
      </c>
      <c r="D178" s="417">
        <v>-0.23</v>
      </c>
      <c r="E178" s="417">
        <v>-0.2</v>
      </c>
      <c r="F178" s="417">
        <v>-0.32</v>
      </c>
      <c r="G178" s="417">
        <v>0.1</v>
      </c>
      <c r="H178" s="417">
        <v>0.1</v>
      </c>
      <c r="I178" s="417">
        <v>0.4</v>
      </c>
      <c r="J178" s="417">
        <v>0.37</v>
      </c>
      <c r="K178" s="417">
        <v>0.52</v>
      </c>
      <c r="L178" s="417">
        <v>-0.26</v>
      </c>
      <c r="M178" s="417">
        <v>0.52</v>
      </c>
      <c r="N178" s="417">
        <v>-0.59</v>
      </c>
      <c r="O178" s="417">
        <v>-0.6</v>
      </c>
      <c r="P178" s="417">
        <f t="shared" si="4"/>
        <v>-1.4</v>
      </c>
      <c r="Q178" s="417">
        <v>0.03</v>
      </c>
      <c r="R178" s="417">
        <v>-0.79</v>
      </c>
      <c r="S178" s="423"/>
      <c r="T178" s="667">
        <v>9.9999999999999995E-7</v>
      </c>
      <c r="U178" s="417">
        <v>-0.34</v>
      </c>
      <c r="V178" s="417">
        <v>-0.2</v>
      </c>
      <c r="W178" s="417">
        <v>-0.2</v>
      </c>
      <c r="X178" s="417">
        <v>-0.28999999999999998</v>
      </c>
      <c r="Y178" s="417">
        <v>0.12</v>
      </c>
      <c r="Z178" s="417">
        <v>0.12</v>
      </c>
      <c r="AA178" s="417">
        <v>0.43</v>
      </c>
      <c r="AB178" s="417">
        <v>0.38</v>
      </c>
      <c r="AC178" s="417">
        <v>0.56999999999999995</v>
      </c>
      <c r="AD178" s="417">
        <v>-0.26</v>
      </c>
      <c r="AE178" s="417">
        <v>0.56999999999999995</v>
      </c>
      <c r="AF178" s="417">
        <v>-0.57999999999999996</v>
      </c>
      <c r="AG178" s="418">
        <v>-0.52</v>
      </c>
      <c r="AH178" s="417">
        <f t="shared" si="5"/>
        <v>-1.4</v>
      </c>
      <c r="AI178" s="417">
        <v>0.03</v>
      </c>
      <c r="AJ178" s="417">
        <v>-0.79</v>
      </c>
      <c r="AK178" s="423"/>
      <c r="AX178" s="463"/>
      <c r="AY178" s="463"/>
      <c r="BD178" s="463"/>
      <c r="BE178" s="463"/>
      <c r="BJ178" s="463"/>
      <c r="BK178" s="463"/>
      <c r="BP178" s="463"/>
      <c r="BQ178" s="463"/>
      <c r="BV178" s="463"/>
      <c r="BW178" s="463"/>
    </row>
    <row r="179" spans="1:97" ht="13">
      <c r="B179" s="667">
        <v>2</v>
      </c>
      <c r="C179" s="417">
        <v>-0.28999999999999998</v>
      </c>
      <c r="D179" s="417">
        <v>-0.2</v>
      </c>
      <c r="E179" s="417">
        <v>-0.18</v>
      </c>
      <c r="F179" s="417">
        <v>-0.56000000000000005</v>
      </c>
      <c r="G179" s="417">
        <v>0.12</v>
      </c>
      <c r="H179" s="417">
        <v>0.12</v>
      </c>
      <c r="I179" s="417">
        <v>0.43</v>
      </c>
      <c r="J179" s="417">
        <v>0.37</v>
      </c>
      <c r="K179" s="417">
        <v>0.52</v>
      </c>
      <c r="L179" s="417">
        <v>-0.35</v>
      </c>
      <c r="M179" s="417">
        <v>0.52</v>
      </c>
      <c r="N179" s="417">
        <v>-0.56999999999999995</v>
      </c>
      <c r="O179" s="417">
        <v>-0.67</v>
      </c>
      <c r="P179" s="417">
        <f t="shared" si="4"/>
        <v>0</v>
      </c>
      <c r="Q179" s="417">
        <v>0.04</v>
      </c>
      <c r="R179" s="417">
        <v>-0.7</v>
      </c>
      <c r="S179" s="423"/>
      <c r="T179" s="667">
        <v>2</v>
      </c>
      <c r="U179" s="417">
        <v>-0.32</v>
      </c>
      <c r="V179" s="417">
        <v>-0.18</v>
      </c>
      <c r="W179" s="417">
        <v>-0.18</v>
      </c>
      <c r="X179" s="417">
        <v>-0.59</v>
      </c>
      <c r="Y179" s="417">
        <v>0.14000000000000001</v>
      </c>
      <c r="Z179" s="417">
        <v>0.13</v>
      </c>
      <c r="AA179" s="417">
        <v>0.45</v>
      </c>
      <c r="AB179" s="417">
        <v>0.38</v>
      </c>
      <c r="AC179" s="417">
        <v>0.56000000000000005</v>
      </c>
      <c r="AD179" s="417">
        <v>-0.34</v>
      </c>
      <c r="AE179" s="417">
        <v>0.56000000000000005</v>
      </c>
      <c r="AF179" s="417">
        <v>-0.57999999999999996</v>
      </c>
      <c r="AG179" s="418">
        <v>-0.63</v>
      </c>
      <c r="AH179" s="417">
        <f t="shared" si="5"/>
        <v>0</v>
      </c>
      <c r="AI179" s="417">
        <v>0.04</v>
      </c>
      <c r="AJ179" s="417">
        <v>-0.7</v>
      </c>
      <c r="AK179" s="423"/>
      <c r="AX179" s="463"/>
      <c r="AY179" s="463"/>
      <c r="BD179" s="463"/>
      <c r="BE179" s="463"/>
      <c r="BJ179" s="463"/>
      <c r="BK179" s="463"/>
      <c r="BP179" s="463"/>
      <c r="BQ179" s="463"/>
      <c r="BV179" s="463"/>
      <c r="BW179" s="463"/>
    </row>
    <row r="180" spans="1:97" ht="13">
      <c r="B180" s="667">
        <v>8</v>
      </c>
      <c r="C180" s="417">
        <v>-0.2</v>
      </c>
      <c r="D180" s="417">
        <v>-0.13</v>
      </c>
      <c r="E180" s="417">
        <v>-0.13</v>
      </c>
      <c r="F180" s="417">
        <v>-0.32</v>
      </c>
      <c r="G180" s="417">
        <v>0.11</v>
      </c>
      <c r="H180" s="417">
        <v>0.12</v>
      </c>
      <c r="I180" s="417">
        <v>0.42</v>
      </c>
      <c r="J180" s="417">
        <v>0.36</v>
      </c>
      <c r="K180" s="417">
        <v>0.5</v>
      </c>
      <c r="L180" s="417">
        <v>-0.1</v>
      </c>
      <c r="M180" s="417">
        <v>0.5</v>
      </c>
      <c r="N180" s="417">
        <v>-0.34</v>
      </c>
      <c r="O180" s="417">
        <v>-0.39</v>
      </c>
      <c r="P180" s="417">
        <f t="shared" si="4"/>
        <v>0</v>
      </c>
      <c r="Q180" s="417">
        <v>0.08</v>
      </c>
      <c r="R180" s="417">
        <v>-0.46</v>
      </c>
      <c r="S180" s="423"/>
      <c r="T180" s="667">
        <v>8</v>
      </c>
      <c r="U180" s="478">
        <v>-0.24</v>
      </c>
      <c r="V180" s="417">
        <v>-0.12</v>
      </c>
      <c r="W180" s="417">
        <v>-0.13</v>
      </c>
      <c r="X180" s="417">
        <v>-0.34</v>
      </c>
      <c r="Y180" s="417">
        <v>0.13</v>
      </c>
      <c r="Z180" s="417">
        <v>0.12</v>
      </c>
      <c r="AA180" s="417">
        <v>0.45</v>
      </c>
      <c r="AB180" s="417">
        <v>0.36</v>
      </c>
      <c r="AC180" s="417">
        <v>0.54</v>
      </c>
      <c r="AD180" s="417">
        <v>-0.08</v>
      </c>
      <c r="AE180" s="417">
        <v>0.54</v>
      </c>
      <c r="AF180" s="417">
        <v>-0.32</v>
      </c>
      <c r="AG180" s="418">
        <v>-0.36</v>
      </c>
      <c r="AH180" s="417">
        <f t="shared" si="5"/>
        <v>0</v>
      </c>
      <c r="AI180" s="417">
        <v>0.08</v>
      </c>
      <c r="AJ180" s="417">
        <v>-0.46</v>
      </c>
      <c r="AK180" s="423"/>
      <c r="AX180" s="479"/>
      <c r="AY180" s="463"/>
      <c r="BD180" s="479"/>
      <c r="BE180" s="463"/>
      <c r="BJ180" s="479"/>
      <c r="BK180" s="463"/>
      <c r="BP180" s="479"/>
      <c r="BQ180" s="463"/>
      <c r="BV180" s="479"/>
      <c r="BW180" s="463"/>
    </row>
    <row r="181" spans="1:97" ht="13">
      <c r="B181" s="667">
        <v>37</v>
      </c>
      <c r="C181" s="417">
        <v>0.19</v>
      </c>
      <c r="D181" s="417">
        <v>0.18</v>
      </c>
      <c r="E181" s="417">
        <v>0</v>
      </c>
      <c r="F181" s="417">
        <v>0.49</v>
      </c>
      <c r="G181" s="417">
        <v>0.1</v>
      </c>
      <c r="H181" s="417">
        <v>0.12</v>
      </c>
      <c r="I181" s="417">
        <v>0.42</v>
      </c>
      <c r="J181" s="417">
        <v>0.32</v>
      </c>
      <c r="K181" s="417">
        <v>0.41</v>
      </c>
      <c r="L181" s="417">
        <v>0.66</v>
      </c>
      <c r="M181" s="417">
        <v>0.41</v>
      </c>
      <c r="N181" s="417">
        <v>0.43</v>
      </c>
      <c r="O181" s="417">
        <v>0.53</v>
      </c>
      <c r="P181" s="417">
        <f t="shared" si="4"/>
        <v>0</v>
      </c>
      <c r="Q181" s="417">
        <v>0.23</v>
      </c>
      <c r="R181" s="417">
        <v>0.42</v>
      </c>
      <c r="S181" s="423"/>
      <c r="T181" s="667">
        <v>37</v>
      </c>
      <c r="U181" s="417">
        <v>0.14000000000000001</v>
      </c>
      <c r="V181" s="417">
        <v>0.17</v>
      </c>
      <c r="W181" s="417">
        <v>0.01</v>
      </c>
      <c r="X181" s="417">
        <v>0.54</v>
      </c>
      <c r="Y181" s="417">
        <v>0.11</v>
      </c>
      <c r="Z181" s="417">
        <v>0.14000000000000001</v>
      </c>
      <c r="AA181" s="417">
        <v>0.43</v>
      </c>
      <c r="AB181" s="417">
        <v>0.33</v>
      </c>
      <c r="AC181" s="417">
        <v>0.43</v>
      </c>
      <c r="AD181" s="417">
        <v>0.67</v>
      </c>
      <c r="AE181" s="417">
        <v>0.43</v>
      </c>
      <c r="AF181" s="417">
        <v>0.46</v>
      </c>
      <c r="AG181" s="418">
        <v>0.53</v>
      </c>
      <c r="AH181" s="417">
        <f t="shared" si="5"/>
        <v>0</v>
      </c>
      <c r="AI181" s="417">
        <v>0.23</v>
      </c>
      <c r="AJ181" s="417">
        <v>0.42</v>
      </c>
      <c r="AK181" s="423"/>
      <c r="AX181" s="463"/>
      <c r="AY181" s="463"/>
      <c r="BD181" s="463"/>
      <c r="BE181" s="463"/>
      <c r="BJ181" s="463"/>
      <c r="BK181" s="463"/>
      <c r="BP181" s="463"/>
      <c r="BQ181" s="463"/>
      <c r="BV181" s="463"/>
      <c r="BW181" s="463"/>
    </row>
    <row r="182" spans="1:97" ht="13">
      <c r="B182" s="667">
        <v>44</v>
      </c>
      <c r="C182" s="417">
        <v>0.27</v>
      </c>
      <c r="D182" s="417">
        <v>0.25</v>
      </c>
      <c r="E182" s="417">
        <v>0</v>
      </c>
      <c r="F182" s="417">
        <v>0.61</v>
      </c>
      <c r="G182" s="417">
        <v>0.1</v>
      </c>
      <c r="H182" s="417">
        <v>0.13</v>
      </c>
      <c r="I182" s="417">
        <v>0.42</v>
      </c>
      <c r="J182" s="417">
        <v>0.32</v>
      </c>
      <c r="K182" s="417">
        <v>0.39</v>
      </c>
      <c r="L182" s="417">
        <v>0.74</v>
      </c>
      <c r="M182" s="417">
        <v>0.39</v>
      </c>
      <c r="N182" s="417">
        <v>0.54</v>
      </c>
      <c r="O182" s="417">
        <v>0.66</v>
      </c>
      <c r="P182" s="417">
        <f t="shared" si="4"/>
        <v>0</v>
      </c>
      <c r="Q182" s="417">
        <v>0.25</v>
      </c>
      <c r="R182" s="417">
        <v>0.56999999999999995</v>
      </c>
      <c r="S182" s="423"/>
      <c r="T182" s="667">
        <v>44</v>
      </c>
      <c r="U182" s="417">
        <v>0.23</v>
      </c>
      <c r="V182" s="417">
        <v>0.23</v>
      </c>
      <c r="W182" s="417">
        <v>0.01</v>
      </c>
      <c r="X182" s="417">
        <v>0.67</v>
      </c>
      <c r="Y182" s="417">
        <v>0.11</v>
      </c>
      <c r="Z182" s="417">
        <v>0.15</v>
      </c>
      <c r="AA182" s="417">
        <v>0.43</v>
      </c>
      <c r="AB182" s="417">
        <v>0.33</v>
      </c>
      <c r="AC182" s="417">
        <v>0.4</v>
      </c>
      <c r="AD182" s="417">
        <v>0.73</v>
      </c>
      <c r="AE182" s="417">
        <v>0.4</v>
      </c>
      <c r="AF182" s="417">
        <v>0.55000000000000004</v>
      </c>
      <c r="AG182" s="418">
        <v>0.65</v>
      </c>
      <c r="AH182" s="417">
        <f t="shared" si="5"/>
        <v>0</v>
      </c>
      <c r="AI182" s="417">
        <v>0.25</v>
      </c>
      <c r="AJ182" s="417">
        <v>0.56999999999999995</v>
      </c>
      <c r="AK182" s="423"/>
      <c r="AX182" s="463"/>
      <c r="AY182" s="463"/>
      <c r="BD182" s="463"/>
      <c r="BE182" s="463"/>
      <c r="BJ182" s="463"/>
      <c r="BK182" s="463"/>
      <c r="BP182" s="463"/>
      <c r="BQ182" s="463"/>
      <c r="BV182" s="463"/>
      <c r="BW182" s="463"/>
    </row>
    <row r="183" spans="1:97" ht="13">
      <c r="B183" s="667">
        <v>50</v>
      </c>
      <c r="C183" s="417">
        <v>0.34</v>
      </c>
      <c r="D183" s="417">
        <v>0.3</v>
      </c>
      <c r="E183" s="417">
        <v>0</v>
      </c>
      <c r="F183" s="417">
        <v>0.7</v>
      </c>
      <c r="G183" s="417">
        <v>0.11</v>
      </c>
      <c r="H183" s="417">
        <v>0.14000000000000001</v>
      </c>
      <c r="I183" s="417">
        <v>0.43</v>
      </c>
      <c r="J183" s="417">
        <v>0.32</v>
      </c>
      <c r="K183" s="417">
        <v>0.37</v>
      </c>
      <c r="L183" s="417">
        <v>0.79</v>
      </c>
      <c r="M183" s="417">
        <v>0.37</v>
      </c>
      <c r="N183" s="417">
        <v>0.6</v>
      </c>
      <c r="O183" s="417">
        <v>0.75</v>
      </c>
      <c r="P183" s="417">
        <f t="shared" si="4"/>
        <v>-1</v>
      </c>
      <c r="Q183" s="417">
        <v>0.27</v>
      </c>
      <c r="R183" s="417">
        <v>0.67</v>
      </c>
      <c r="S183" s="423"/>
      <c r="T183" s="667">
        <v>50</v>
      </c>
      <c r="U183" s="418">
        <v>0.3</v>
      </c>
      <c r="V183" s="417">
        <v>0.28000000000000003</v>
      </c>
      <c r="W183" s="417">
        <v>0.01</v>
      </c>
      <c r="X183" s="417">
        <v>0.76</v>
      </c>
      <c r="Y183" s="417">
        <v>0.11</v>
      </c>
      <c r="Z183" s="417">
        <v>0.15</v>
      </c>
      <c r="AA183" s="417">
        <v>0.44</v>
      </c>
      <c r="AB183" s="417">
        <v>0.33</v>
      </c>
      <c r="AC183" s="417">
        <v>0.38</v>
      </c>
      <c r="AD183" s="417">
        <v>0.76</v>
      </c>
      <c r="AE183" s="417">
        <v>0.38</v>
      </c>
      <c r="AF183" s="417">
        <v>0.61</v>
      </c>
      <c r="AG183" s="418">
        <v>0.74</v>
      </c>
      <c r="AH183" s="417">
        <f t="shared" si="5"/>
        <v>-1</v>
      </c>
      <c r="AI183" s="417">
        <v>0.27</v>
      </c>
      <c r="AJ183" s="417">
        <v>0.67</v>
      </c>
      <c r="AK183" s="423"/>
      <c r="AX183" s="480"/>
      <c r="AY183" s="463"/>
      <c r="BD183" s="480"/>
      <c r="BE183" s="463"/>
      <c r="BJ183" s="480"/>
      <c r="BK183" s="463"/>
      <c r="BP183" s="480"/>
      <c r="BQ183" s="463"/>
      <c r="BV183" s="480"/>
      <c r="BW183" s="463"/>
    </row>
    <row r="184" spans="1:97" ht="13">
      <c r="B184" s="667">
        <v>100</v>
      </c>
      <c r="C184" s="418">
        <v>0.77</v>
      </c>
      <c r="D184" s="417">
        <v>0.61</v>
      </c>
      <c r="E184" s="417">
        <v>-0.16</v>
      </c>
      <c r="F184" s="417">
        <v>0.77</v>
      </c>
      <c r="G184" s="417">
        <v>0.21</v>
      </c>
      <c r="H184" s="417">
        <v>0.24</v>
      </c>
      <c r="I184" s="417">
        <v>0.55000000000000004</v>
      </c>
      <c r="J184" s="417">
        <v>0.42</v>
      </c>
      <c r="K184" s="417">
        <v>0.19</v>
      </c>
      <c r="L184" s="417">
        <v>0.51</v>
      </c>
      <c r="M184" s="417">
        <v>0.19</v>
      </c>
      <c r="N184" s="417">
        <v>0.56999999999999995</v>
      </c>
      <c r="O184" s="417">
        <v>0.73</v>
      </c>
      <c r="P184" s="417">
        <f t="shared" si="4"/>
        <v>-1.6</v>
      </c>
      <c r="Q184" s="417">
        <v>0.31</v>
      </c>
      <c r="R184" s="417">
        <v>0.95</v>
      </c>
      <c r="S184" s="423"/>
      <c r="T184" s="667">
        <v>100</v>
      </c>
      <c r="U184" s="417">
        <v>0.76</v>
      </c>
      <c r="V184" s="417">
        <v>0.57999999999999996</v>
      </c>
      <c r="W184" s="417">
        <v>-0.16</v>
      </c>
      <c r="X184" s="417">
        <v>0.82</v>
      </c>
      <c r="Y184" s="417">
        <v>0.22</v>
      </c>
      <c r="Z184" s="417">
        <v>0.27</v>
      </c>
      <c r="AA184" s="417">
        <v>0.54</v>
      </c>
      <c r="AB184" s="417">
        <v>0.45</v>
      </c>
      <c r="AC184" s="417">
        <v>0.18</v>
      </c>
      <c r="AD184" s="417">
        <v>0.24</v>
      </c>
      <c r="AE184" s="417">
        <v>0.18</v>
      </c>
      <c r="AF184" s="417">
        <v>0.39</v>
      </c>
      <c r="AG184" s="418">
        <v>0.69</v>
      </c>
      <c r="AH184" s="417">
        <f t="shared" si="5"/>
        <v>-1.6</v>
      </c>
      <c r="AI184" s="417">
        <v>0.31</v>
      </c>
      <c r="AJ184" s="417">
        <v>0.95</v>
      </c>
      <c r="AK184" s="423"/>
      <c r="AX184" s="463"/>
      <c r="AY184" s="463"/>
      <c r="BD184" s="463"/>
      <c r="BE184" s="463"/>
      <c r="BJ184" s="463"/>
      <c r="BK184" s="463"/>
      <c r="BP184" s="463"/>
      <c r="BQ184" s="463"/>
      <c r="BV184" s="463"/>
      <c r="BW184" s="463"/>
    </row>
    <row r="185" spans="1:97" ht="13">
      <c r="B185" s="667">
        <v>150</v>
      </c>
      <c r="C185" s="417">
        <v>0.73</v>
      </c>
      <c r="D185" s="417">
        <v>0.6</v>
      </c>
      <c r="E185" s="417">
        <v>-0.28000000000000003</v>
      </c>
      <c r="F185" s="417">
        <v>0.03</v>
      </c>
      <c r="G185" s="417">
        <v>0.39</v>
      </c>
      <c r="H185" s="417">
        <v>0.42</v>
      </c>
      <c r="I185" s="417">
        <v>0.74</v>
      </c>
      <c r="J185" s="417">
        <v>0.61</v>
      </c>
      <c r="K185" s="417">
        <v>9.9999999999999995E-7</v>
      </c>
      <c r="L185" s="417">
        <v>-0.2</v>
      </c>
      <c r="M185" s="417">
        <v>9.9999999999999995E-7</v>
      </c>
      <c r="N185" s="417">
        <v>0</v>
      </c>
      <c r="O185" s="417">
        <v>-0.11</v>
      </c>
      <c r="P185" s="417">
        <f t="shared" si="4"/>
        <v>-1.7</v>
      </c>
      <c r="Q185" s="417">
        <v>0.3</v>
      </c>
      <c r="R185" s="417">
        <v>0.49</v>
      </c>
      <c r="S185" s="423"/>
      <c r="T185" s="667">
        <v>150</v>
      </c>
      <c r="U185" s="417">
        <v>0.78</v>
      </c>
      <c r="V185" s="417">
        <v>0.61</v>
      </c>
      <c r="W185" s="417">
        <v>-0.28999999999999998</v>
      </c>
      <c r="X185" s="417">
        <v>0.13</v>
      </c>
      <c r="Y185" s="417">
        <v>0.41</v>
      </c>
      <c r="Z185" s="417">
        <v>0.48</v>
      </c>
      <c r="AA185" s="417">
        <v>0.72</v>
      </c>
      <c r="AB185" s="417">
        <v>0.67</v>
      </c>
      <c r="AC185" s="417">
        <v>-0.03</v>
      </c>
      <c r="AD185" s="417">
        <v>-0.73</v>
      </c>
      <c r="AE185" s="417">
        <v>-0.03</v>
      </c>
      <c r="AF185" s="417">
        <v>-0.35</v>
      </c>
      <c r="AG185" s="418">
        <v>-0.21</v>
      </c>
      <c r="AH185" s="417">
        <f t="shared" si="5"/>
        <v>-1.7</v>
      </c>
      <c r="AI185" s="417">
        <v>0.3</v>
      </c>
      <c r="AJ185" s="417">
        <v>0.49</v>
      </c>
      <c r="AK185" s="423"/>
      <c r="AX185" s="463"/>
      <c r="AY185" s="463"/>
      <c r="BB185" s="427"/>
      <c r="BD185" s="463"/>
      <c r="BE185" s="463"/>
      <c r="BH185" s="427"/>
      <c r="BJ185" s="463"/>
      <c r="BK185" s="463"/>
      <c r="BN185" s="427"/>
      <c r="BP185" s="463"/>
      <c r="BQ185" s="463"/>
      <c r="BT185" s="427"/>
      <c r="BV185" s="463"/>
      <c r="BW185" s="463"/>
    </row>
    <row r="186" spans="1:97" ht="13">
      <c r="B186" s="667">
        <v>200</v>
      </c>
      <c r="C186" s="417">
        <v>0.02</v>
      </c>
      <c r="D186" s="417">
        <v>0.18</v>
      </c>
      <c r="E186" s="417">
        <v>0.05</v>
      </c>
      <c r="F186" s="417">
        <v>-1.03</v>
      </c>
      <c r="G186" s="417">
        <v>0.61</v>
      </c>
      <c r="H186" s="417">
        <v>0.71</v>
      </c>
      <c r="I186" s="417">
        <v>0.96</v>
      </c>
      <c r="J186" s="417">
        <v>0.82</v>
      </c>
      <c r="K186" s="417">
        <v>-0.22</v>
      </c>
      <c r="L186" s="417">
        <v>-0.21</v>
      </c>
      <c r="M186" s="417">
        <v>-0.22</v>
      </c>
      <c r="N186" s="417">
        <v>-0.37</v>
      </c>
      <c r="O186" s="417">
        <v>-1.05</v>
      </c>
      <c r="P186" s="417">
        <f t="shared" si="4"/>
        <v>-0.9</v>
      </c>
      <c r="Q186" s="417">
        <v>0.34</v>
      </c>
      <c r="R186" s="417">
        <v>-0.26</v>
      </c>
      <c r="S186" s="423"/>
      <c r="T186" s="667">
        <v>200</v>
      </c>
      <c r="U186" s="417">
        <v>7.0000000000000007E-2</v>
      </c>
      <c r="V186" s="417">
        <v>0.25</v>
      </c>
      <c r="W186" s="417">
        <v>7.0000000000000007E-2</v>
      </c>
      <c r="X186" s="417">
        <v>-0.67</v>
      </c>
      <c r="Y186" s="417">
        <v>0.61</v>
      </c>
      <c r="Z186" s="417">
        <v>0.76</v>
      </c>
      <c r="AA186" s="417">
        <v>0.97</v>
      </c>
      <c r="AB186" s="417">
        <v>0.91</v>
      </c>
      <c r="AC186" s="417">
        <v>-0.26</v>
      </c>
      <c r="AD186" s="417">
        <v>-0.85</v>
      </c>
      <c r="AE186" s="417">
        <v>-0.26</v>
      </c>
      <c r="AF186" s="417">
        <v>-0.64</v>
      </c>
      <c r="AG186" s="418">
        <v>-1.31</v>
      </c>
      <c r="AH186" s="417">
        <f t="shared" si="5"/>
        <v>-0.9</v>
      </c>
      <c r="AI186" s="417">
        <v>0.34</v>
      </c>
      <c r="AJ186" s="417">
        <v>-0.26</v>
      </c>
      <c r="AK186" s="423"/>
      <c r="AX186" s="463"/>
      <c r="AY186" s="463"/>
      <c r="BB186" s="427"/>
      <c r="BD186" s="463"/>
      <c r="BE186" s="463"/>
      <c r="BH186" s="427"/>
      <c r="BJ186" s="463"/>
      <c r="BK186" s="463"/>
      <c r="BN186" s="427"/>
      <c r="BP186" s="463"/>
      <c r="BQ186" s="463"/>
      <c r="BT186" s="427"/>
      <c r="BV186" s="463"/>
      <c r="BW186" s="463"/>
    </row>
    <row r="187" spans="1:97" s="710" customFormat="1" ht="13">
      <c r="A187" s="473"/>
      <c r="B187" s="667" t="s">
        <v>396</v>
      </c>
      <c r="C187" s="694">
        <v>0.34</v>
      </c>
      <c r="D187" s="694">
        <v>0.56000000000000005</v>
      </c>
      <c r="E187" s="694">
        <v>0.28000000000000003</v>
      </c>
      <c r="F187" s="694">
        <v>0.25</v>
      </c>
      <c r="G187" s="694">
        <v>0.26</v>
      </c>
      <c r="H187" s="694">
        <v>0.27</v>
      </c>
      <c r="I187" s="694">
        <v>0.24</v>
      </c>
      <c r="J187" s="694">
        <v>0.24</v>
      </c>
      <c r="K187" s="694">
        <v>0.79</v>
      </c>
      <c r="L187" s="694">
        <v>0.27</v>
      </c>
      <c r="M187" s="694">
        <v>0.79</v>
      </c>
      <c r="N187" s="694">
        <v>0.25</v>
      </c>
      <c r="O187" s="694">
        <v>0.27</v>
      </c>
      <c r="P187" s="694">
        <f t="shared" si="4"/>
        <v>0.6</v>
      </c>
      <c r="Q187" s="694">
        <v>0.22</v>
      </c>
      <c r="R187" s="694">
        <v>0.77</v>
      </c>
      <c r="S187" s="473"/>
      <c r="T187" s="667" t="s">
        <v>396</v>
      </c>
      <c r="U187" s="694">
        <v>0.34</v>
      </c>
      <c r="V187" s="694">
        <v>0.56000000000000005</v>
      </c>
      <c r="W187" s="694">
        <v>0.28000000000000003</v>
      </c>
      <c r="X187" s="694">
        <v>0.26</v>
      </c>
      <c r="Y187" s="694">
        <v>0.27</v>
      </c>
      <c r="Z187" s="694">
        <v>0.25</v>
      </c>
      <c r="AA187" s="694">
        <v>0.25</v>
      </c>
      <c r="AB187" s="694">
        <v>0.24</v>
      </c>
      <c r="AC187" s="694">
        <v>0.79</v>
      </c>
      <c r="AD187" s="694">
        <v>0.27</v>
      </c>
      <c r="AE187" s="694">
        <v>0.79</v>
      </c>
      <c r="AF187" s="694">
        <v>0.25</v>
      </c>
      <c r="AG187" s="694">
        <v>0.26</v>
      </c>
      <c r="AH187" s="694">
        <f t="shared" si="5"/>
        <v>0.6</v>
      </c>
      <c r="AI187" s="694">
        <v>0.22</v>
      </c>
      <c r="AJ187" s="694">
        <v>0.77</v>
      </c>
      <c r="AK187" s="473"/>
      <c r="AN187" s="471"/>
      <c r="AP187" s="711"/>
      <c r="AT187" s="471"/>
      <c r="AV187" s="711"/>
      <c r="AX187" s="471"/>
      <c r="AY187" s="471"/>
      <c r="AZ187" s="471"/>
      <c r="BD187" s="471"/>
      <c r="BE187" s="471"/>
      <c r="BF187" s="471"/>
      <c r="BJ187" s="471"/>
      <c r="BK187" s="471"/>
      <c r="BL187" s="471"/>
      <c r="BP187" s="471"/>
      <c r="BQ187" s="471"/>
      <c r="BR187" s="471"/>
      <c r="BV187" s="471"/>
      <c r="BW187" s="471"/>
      <c r="BX187" s="471"/>
      <c r="BZ187" s="711"/>
      <c r="CG187" s="473"/>
      <c r="CM187" s="473"/>
      <c r="CS187" s="473"/>
    </row>
    <row r="188" spans="1:97" s="423" customFormat="1">
      <c r="V188" s="424"/>
      <c r="W188" s="424"/>
      <c r="X188" s="424"/>
      <c r="Y188" s="424"/>
      <c r="Z188" s="424"/>
      <c r="AA188" s="424"/>
      <c r="AB188" s="424"/>
      <c r="AC188" s="424"/>
      <c r="AD188" s="424"/>
      <c r="AZ188" s="424"/>
      <c r="BF188" s="424"/>
      <c r="BL188" s="424"/>
      <c r="BR188" s="424"/>
      <c r="BX188" s="424"/>
    </row>
    <row r="189" spans="1:97" s="423" customFormat="1">
      <c r="V189" s="424"/>
      <c r="W189" s="424"/>
      <c r="X189" s="424"/>
      <c r="Y189" s="424"/>
      <c r="Z189" s="424"/>
      <c r="AA189" s="424"/>
      <c r="AB189" s="424"/>
      <c r="AC189" s="424"/>
      <c r="AD189" s="424"/>
      <c r="AZ189" s="424"/>
      <c r="BF189" s="424"/>
      <c r="BL189" s="424"/>
      <c r="BR189" s="424"/>
      <c r="BX189" s="424"/>
    </row>
    <row r="190" spans="1:97" ht="92.25" customHeight="1">
      <c r="B190" s="474" t="s">
        <v>389</v>
      </c>
      <c r="C190" s="475" t="str">
        <f>U173</f>
        <v>Thermocouple Data Logger, Merek : MADGETECH, Model : OctTemp 2000, SN : P40270</v>
      </c>
      <c r="D190" s="481" t="str">
        <f>V173</f>
        <v>Thermocouple Data Logger, Merek : MADGETECH, Model : OctTemp 2000, SN : P41878</v>
      </c>
      <c r="E190" s="475" t="str">
        <f>W173</f>
        <v>Mobile Corder, Merek : Yokogawa, Model : GP 10, SN : S5T810599</v>
      </c>
      <c r="F190" s="476" t="str">
        <f t="shared" ref="F190:R190" si="6">F173</f>
        <v>Wireless Temperature Recorder : Merek : HIOKI, Model : LR 8510, SN : 200936000</v>
      </c>
      <c r="G190" s="476" t="str">
        <f t="shared" si="6"/>
        <v>Wireless Temperature Recorder : Merek : HIOKI, Model : LR 8510, SN : 200936001</v>
      </c>
      <c r="H190" s="476" t="str">
        <f t="shared" si="6"/>
        <v>Wireless Temperature Recorder : Merek : HIOKI, Model : LR 8510, SN : 200821397</v>
      </c>
      <c r="I190" s="476" t="str">
        <f t="shared" si="6"/>
        <v>Wireless Temperature Recorder : Merek : HIOKI, Model : LR 8510, SN : 210411983</v>
      </c>
      <c r="J190" s="476" t="str">
        <f t="shared" si="6"/>
        <v>Wireless Temperature Recorder : Merek : HIOKI, Model : LR 8510, SN : 210411984</v>
      </c>
      <c r="K190" s="476" t="str">
        <f t="shared" si="6"/>
        <v>Wireless Temperature Recorder : Merek : HIOKI, Model : LR 8510, SN : 210411985</v>
      </c>
      <c r="L190" s="476" t="str">
        <f t="shared" si="6"/>
        <v>Wireless Temperature Recorder : Merek : HIOKI, Model : LR 8510, SN : 210746054</v>
      </c>
      <c r="M190" s="476" t="str">
        <f t="shared" si="6"/>
        <v>Wireless Temperature Recorder : Merek : HIOKI, Model : LR 8510, SN : 210746055</v>
      </c>
      <c r="N190" s="476" t="str">
        <f t="shared" si="6"/>
        <v>Wireless Temperature Recorder : Merek : HIOKI, Model : LR 8510, SN : 210746056</v>
      </c>
      <c r="O190" s="476" t="str">
        <f t="shared" si="6"/>
        <v>Wireless Temperature Recorder : Merek : HIOKI, Model : LR 8510, SN : 200821396</v>
      </c>
      <c r="P190" s="476" t="str">
        <f t="shared" si="6"/>
        <v>Reference Thermometer, Merek : APPA, Model : APPA51, SN : 03002948</v>
      </c>
      <c r="Q190" s="476" t="str">
        <f t="shared" si="6"/>
        <v>Reference Thermometer, Merek : FLUKE, Model : 1524, SN : 1803038</v>
      </c>
      <c r="R190" s="476" t="str">
        <f t="shared" si="6"/>
        <v>Reference Thermometer, Merek : FLUKE, Model : 1524, SN : 1803037</v>
      </c>
      <c r="S190" s="423"/>
      <c r="T190" s="474" t="s">
        <v>390</v>
      </c>
      <c r="U190" s="481" t="str">
        <f>C190</f>
        <v>Thermocouple Data Logger, Merek : MADGETECH, Model : OctTemp 2000, SN : P40270</v>
      </c>
      <c r="V190" s="481" t="str">
        <f>D190</f>
        <v>Thermocouple Data Logger, Merek : MADGETECH, Model : OctTemp 2000, SN : P41878</v>
      </c>
      <c r="W190" s="481" t="str">
        <f>E190</f>
        <v>Mobile Corder, Merek : Yokogawa, Model : GP 10, SN : S5T810599</v>
      </c>
      <c r="X190" s="481" t="str">
        <f t="shared" ref="X190:AJ190" si="7">X173</f>
        <v>Wireless Temperature Recorder : Merek : HIOKI, Model : LR 8510, SN : 200936000</v>
      </c>
      <c r="Y190" s="481" t="str">
        <f t="shared" si="7"/>
        <v>Wireless Temperature Recorder : Merek : HIOKI, Model : LR 8510, SN : 200936001</v>
      </c>
      <c r="Z190" s="481" t="str">
        <f t="shared" si="7"/>
        <v>Wireless Temperature Recorder : Merek : HIOKI, Model : LR 8510, SN : 200821397</v>
      </c>
      <c r="AA190" s="481" t="str">
        <f t="shared" si="7"/>
        <v>Wireless Temperature Recorder : Merek : HIOKI, Model : LR 8510, SN : 210411983</v>
      </c>
      <c r="AB190" s="481" t="str">
        <f t="shared" si="7"/>
        <v>Wireless Temperature Recorder : Merek : HIOKI, Model : LR 8510, SN : 210411984</v>
      </c>
      <c r="AC190" s="481" t="str">
        <f t="shared" si="7"/>
        <v>Wireless Temperature Recorder : Merek : HIOKI, Model : LR 8510, SN : 210411985</v>
      </c>
      <c r="AD190" s="481" t="str">
        <f t="shared" si="7"/>
        <v>Wireless Temperature Recorder : Merek : HIOKI, Model : LR 8510, SN : 210746054</v>
      </c>
      <c r="AE190" s="481" t="str">
        <f t="shared" si="7"/>
        <v>Wireless Temperature Recorder : Merek : HIOKI, Model : LR 8510, SN : 210746055</v>
      </c>
      <c r="AF190" s="481" t="str">
        <f t="shared" si="7"/>
        <v>Wireless Temperature Recorder : Merek : HIOKI, Model : LR 8510, SN : 210746056</v>
      </c>
      <c r="AG190" s="481" t="str">
        <f t="shared" si="7"/>
        <v>Wireless Temperature Recorder : Merek : HIOKI, Model : LR 8510, SN : 200821396</v>
      </c>
      <c r="AH190" s="481" t="str">
        <f t="shared" si="7"/>
        <v>Reference Thermometer, Merek : APPA, Model : APPA51, SN : 03002948</v>
      </c>
      <c r="AI190" s="481" t="str">
        <f t="shared" si="7"/>
        <v>Reference Thermometer, Merek : FLUKE, Model : 1524, SN : 1803038</v>
      </c>
      <c r="AJ190" s="481" t="str">
        <f t="shared" si="7"/>
        <v>Reference Thermometer, Merek : FLUKE, Model : 1524, SN : 1803037</v>
      </c>
      <c r="AK190" s="423"/>
      <c r="AX190" s="695"/>
      <c r="AY190" s="696"/>
      <c r="AZ190" s="467"/>
      <c r="BB190" s="427"/>
      <c r="BD190" s="695"/>
      <c r="BE190" s="696"/>
      <c r="BF190" s="467"/>
      <c r="BH190" s="427"/>
      <c r="BJ190" s="695"/>
      <c r="BK190" s="696"/>
      <c r="BL190" s="467"/>
      <c r="BN190" s="427"/>
      <c r="BP190" s="695"/>
      <c r="BQ190" s="696"/>
      <c r="BR190" s="467"/>
      <c r="BT190" s="427"/>
      <c r="BV190" s="695"/>
      <c r="BW190" s="696"/>
      <c r="BX190" s="467"/>
    </row>
    <row r="191" spans="1:97" s="630" customFormat="1" ht="6.65" customHeight="1">
      <c r="B191" s="642"/>
      <c r="C191" s="643"/>
      <c r="D191" s="636"/>
      <c r="E191" s="644"/>
      <c r="F191" s="645"/>
      <c r="G191" s="645"/>
      <c r="H191" s="645"/>
      <c r="I191" s="645"/>
      <c r="J191" s="645"/>
      <c r="K191" s="645"/>
      <c r="L191" s="645"/>
      <c r="M191" s="645"/>
      <c r="N191" s="645"/>
      <c r="O191" s="646"/>
      <c r="P191" s="634"/>
      <c r="Q191" s="634"/>
      <c r="R191" s="634"/>
      <c r="T191" s="642"/>
      <c r="U191" s="648"/>
      <c r="V191" s="648"/>
      <c r="W191" s="648"/>
      <c r="X191" s="648"/>
      <c r="Y191" s="648"/>
      <c r="Z191" s="648"/>
      <c r="AA191" s="648"/>
      <c r="AB191" s="648"/>
      <c r="AC191" s="648"/>
      <c r="AD191" s="648"/>
      <c r="AE191" s="648"/>
      <c r="AF191" s="648"/>
      <c r="AG191" s="636"/>
      <c r="AH191" s="634"/>
      <c r="AI191" s="634"/>
      <c r="AJ191" s="634"/>
      <c r="AN191" s="637"/>
      <c r="AP191" s="638"/>
      <c r="AT191" s="637"/>
      <c r="AV191" s="638"/>
      <c r="AX191" s="639"/>
      <c r="AY191" s="640"/>
      <c r="AZ191" s="641"/>
      <c r="BD191" s="639"/>
      <c r="BE191" s="640"/>
      <c r="BF191" s="641"/>
      <c r="BJ191" s="639"/>
      <c r="BK191" s="640"/>
      <c r="BL191" s="641"/>
      <c r="BP191" s="639"/>
      <c r="BQ191" s="640"/>
      <c r="BR191" s="641"/>
      <c r="BV191" s="639"/>
      <c r="BW191" s="640"/>
      <c r="BX191" s="641"/>
      <c r="BZ191" s="638"/>
    </row>
    <row r="192" spans="1:97" ht="13">
      <c r="B192" s="667">
        <v>-20</v>
      </c>
      <c r="C192" s="482">
        <v>-0.56999999999999995</v>
      </c>
      <c r="D192" s="417">
        <v>-0.47</v>
      </c>
      <c r="E192" s="482">
        <v>-0.41</v>
      </c>
      <c r="F192" s="417">
        <v>-1.42</v>
      </c>
      <c r="G192" s="417">
        <v>7.0000000000000007E-2</v>
      </c>
      <c r="H192" s="417">
        <v>0.11</v>
      </c>
      <c r="I192" s="417">
        <v>0.46</v>
      </c>
      <c r="J192" s="417">
        <v>0.34</v>
      </c>
      <c r="K192" s="417">
        <v>0.54</v>
      </c>
      <c r="L192" s="417">
        <v>-0.94</v>
      </c>
      <c r="M192" s="417">
        <v>0.54</v>
      </c>
      <c r="N192" s="417">
        <v>-1.29</v>
      </c>
      <c r="O192" s="417">
        <v>-1.4</v>
      </c>
      <c r="P192" s="417">
        <f t="shared" ref="P192:P204" si="8">P175</f>
        <v>-1.1000000000000001</v>
      </c>
      <c r="Q192" s="417">
        <v>-0.15</v>
      </c>
      <c r="R192" s="417">
        <v>-1.8</v>
      </c>
      <c r="S192" s="423"/>
      <c r="T192" s="667">
        <v>-20</v>
      </c>
      <c r="U192" s="417">
        <v>-0.63</v>
      </c>
      <c r="V192" s="417">
        <v>-0.43</v>
      </c>
      <c r="W192" s="417">
        <v>-0.45</v>
      </c>
      <c r="X192" s="417">
        <v>-1.37</v>
      </c>
      <c r="Y192" s="417">
        <v>0.11</v>
      </c>
      <c r="Z192" s="417">
        <v>0.15</v>
      </c>
      <c r="AA192" s="417">
        <v>0.48</v>
      </c>
      <c r="AB192" s="417">
        <v>0.35</v>
      </c>
      <c r="AC192" s="417">
        <v>0.57999999999999996</v>
      </c>
      <c r="AD192" s="417">
        <v>-0.91</v>
      </c>
      <c r="AE192" s="417">
        <v>0.57999999999999996</v>
      </c>
      <c r="AF192" s="417">
        <v>-1.27</v>
      </c>
      <c r="AG192" s="418">
        <v>-1.43</v>
      </c>
      <c r="AH192" s="417">
        <f t="shared" ref="AH192:AH204" si="9">AH175</f>
        <v>-1.1000000000000001</v>
      </c>
      <c r="AI192" s="417">
        <v>-0.15</v>
      </c>
      <c r="AJ192" s="417">
        <v>-1.8</v>
      </c>
      <c r="AK192" s="423"/>
      <c r="AX192" s="463"/>
      <c r="AY192" s="463"/>
      <c r="BB192" s="427"/>
      <c r="BD192" s="463"/>
      <c r="BE192" s="463"/>
      <c r="BH192" s="427"/>
      <c r="BJ192" s="463"/>
      <c r="BK192" s="463"/>
      <c r="BN192" s="427"/>
      <c r="BP192" s="463"/>
      <c r="BQ192" s="463"/>
      <c r="BT192" s="427"/>
      <c r="BV192" s="463"/>
      <c r="BW192" s="463"/>
    </row>
    <row r="193" spans="1:97" ht="13">
      <c r="B193" s="667">
        <v>-15</v>
      </c>
      <c r="C193" s="482">
        <v>-0.52</v>
      </c>
      <c r="D193" s="417">
        <v>-0.4</v>
      </c>
      <c r="E193" s="482">
        <v>-0.34</v>
      </c>
      <c r="F193" s="417">
        <v>-1.19</v>
      </c>
      <c r="G193" s="417">
        <v>0.12</v>
      </c>
      <c r="H193" s="417">
        <v>0.15</v>
      </c>
      <c r="I193" s="417">
        <v>0.48</v>
      </c>
      <c r="J193" s="417">
        <v>0.36</v>
      </c>
      <c r="K193" s="417">
        <v>9.9999999999999995E-7</v>
      </c>
      <c r="L193" s="417">
        <v>-0.7</v>
      </c>
      <c r="M193" s="417">
        <v>9.9999999999999995E-7</v>
      </c>
      <c r="N193" s="417">
        <v>-1.04</v>
      </c>
      <c r="O193" s="417">
        <v>-1.1399999999999999</v>
      </c>
      <c r="P193" s="417">
        <f t="shared" si="8"/>
        <v>-1.1000000000000001</v>
      </c>
      <c r="Q193" s="417">
        <v>-0.1</v>
      </c>
      <c r="R193" s="417">
        <v>-1.52</v>
      </c>
      <c r="S193" s="423"/>
      <c r="T193" s="667">
        <v>-15</v>
      </c>
      <c r="U193" s="417">
        <v>-0.56000000000000005</v>
      </c>
      <c r="V193" s="417">
        <v>-0.37</v>
      </c>
      <c r="W193" s="417">
        <v>-0.38</v>
      </c>
      <c r="X193" s="417">
        <v>-1.1399999999999999</v>
      </c>
      <c r="Y193" s="417">
        <v>0.15</v>
      </c>
      <c r="Z193" s="417">
        <v>0.18</v>
      </c>
      <c r="AA193" s="417">
        <v>0.49</v>
      </c>
      <c r="AB193" s="417">
        <v>0.38</v>
      </c>
      <c r="AC193" s="417">
        <v>9.9999999999999995E-7</v>
      </c>
      <c r="AD193" s="417">
        <v>-0.65</v>
      </c>
      <c r="AE193" s="417">
        <v>9.9999999999999995E-7</v>
      </c>
      <c r="AF193" s="417">
        <v>-1.01</v>
      </c>
      <c r="AG193" s="418">
        <v>-1.17</v>
      </c>
      <c r="AH193" s="417">
        <f t="shared" si="9"/>
        <v>-1.1000000000000001</v>
      </c>
      <c r="AI193" s="417">
        <v>-0.1</v>
      </c>
      <c r="AJ193" s="417">
        <v>-1.52</v>
      </c>
      <c r="AK193" s="423"/>
      <c r="AX193" s="463"/>
      <c r="AY193" s="463"/>
      <c r="BB193" s="427"/>
      <c r="BD193" s="463"/>
      <c r="BE193" s="463"/>
      <c r="BH193" s="427"/>
      <c r="BJ193" s="463"/>
      <c r="BK193" s="463"/>
      <c r="BN193" s="427"/>
      <c r="BP193" s="463"/>
      <c r="BQ193" s="463"/>
      <c r="BT193" s="427"/>
      <c r="BV193" s="463"/>
      <c r="BW193" s="463"/>
    </row>
    <row r="194" spans="1:97" ht="13">
      <c r="B194" s="667">
        <v>-10</v>
      </c>
      <c r="C194" s="482">
        <v>-0.46</v>
      </c>
      <c r="D194" s="417">
        <v>-0.34</v>
      </c>
      <c r="E194" s="482">
        <v>-0.27</v>
      </c>
      <c r="F194" s="417">
        <v>-0.94</v>
      </c>
      <c r="G194" s="417">
        <v>0.16</v>
      </c>
      <c r="H194" s="417">
        <v>0.18</v>
      </c>
      <c r="I194" s="417">
        <v>0.49</v>
      </c>
      <c r="J194" s="417">
        <v>0.38</v>
      </c>
      <c r="K194" s="417">
        <v>0.53</v>
      </c>
      <c r="L194" s="417">
        <v>-0.51</v>
      </c>
      <c r="M194" s="417">
        <v>0.53</v>
      </c>
      <c r="N194" s="417">
        <v>-0.84</v>
      </c>
      <c r="O194" s="417">
        <v>-0.91</v>
      </c>
      <c r="P194" s="417">
        <f t="shared" si="8"/>
        <v>-1.2</v>
      </c>
      <c r="Q194" s="417">
        <v>-0.05</v>
      </c>
      <c r="R194" s="417">
        <v>-1.26</v>
      </c>
      <c r="S194" s="423"/>
      <c r="T194" s="667">
        <v>-10</v>
      </c>
      <c r="U194" s="417">
        <v>-0.49</v>
      </c>
      <c r="V194" s="417">
        <v>-0.31</v>
      </c>
      <c r="W194" s="417">
        <v>-0.31</v>
      </c>
      <c r="X194" s="417">
        <v>-0.9</v>
      </c>
      <c r="Y194" s="417">
        <v>0.18</v>
      </c>
      <c r="Z194" s="417">
        <v>0.2</v>
      </c>
      <c r="AA194" s="417">
        <v>0.5</v>
      </c>
      <c r="AB194" s="417">
        <v>0.4</v>
      </c>
      <c r="AC194" s="417">
        <v>0.55000000000000004</v>
      </c>
      <c r="AD194" s="417">
        <v>-0.46</v>
      </c>
      <c r="AE194" s="417">
        <v>0.55000000000000004</v>
      </c>
      <c r="AF194" s="417">
        <v>-0.8</v>
      </c>
      <c r="AG194" s="418">
        <v>-0.94</v>
      </c>
      <c r="AH194" s="417">
        <f t="shared" si="9"/>
        <v>-1.2</v>
      </c>
      <c r="AI194" s="417">
        <v>-0.05</v>
      </c>
      <c r="AJ194" s="417">
        <v>-1.26</v>
      </c>
      <c r="AK194" s="423"/>
      <c r="AX194" s="463"/>
      <c r="AY194" s="463"/>
      <c r="BB194" s="427"/>
      <c r="BD194" s="463"/>
      <c r="BE194" s="463"/>
      <c r="BH194" s="427"/>
      <c r="BJ194" s="463"/>
      <c r="BK194" s="463"/>
      <c r="BN194" s="427"/>
      <c r="BP194" s="463"/>
      <c r="BQ194" s="463"/>
      <c r="BT194" s="427"/>
      <c r="BV194" s="463"/>
      <c r="BW194" s="463"/>
    </row>
    <row r="195" spans="1:97" ht="13">
      <c r="B195" s="667">
        <v>9.9999999999999995E-7</v>
      </c>
      <c r="C195" s="482">
        <v>-0.34</v>
      </c>
      <c r="D195" s="417">
        <v>-0.22</v>
      </c>
      <c r="E195" s="482">
        <v>-0.16</v>
      </c>
      <c r="F195" s="417">
        <v>-0.3</v>
      </c>
      <c r="G195" s="417">
        <v>0.14000000000000001</v>
      </c>
      <c r="H195" s="417">
        <v>0.16</v>
      </c>
      <c r="I195" s="417">
        <v>0.43</v>
      </c>
      <c r="J195" s="417">
        <v>0.39</v>
      </c>
      <c r="K195" s="417">
        <v>0.51</v>
      </c>
      <c r="L195" s="417">
        <v>-0.27</v>
      </c>
      <c r="M195" s="417">
        <v>0.51</v>
      </c>
      <c r="N195" s="417">
        <v>-0.56999999999999995</v>
      </c>
      <c r="O195" s="417">
        <v>-0.51</v>
      </c>
      <c r="P195" s="417">
        <f t="shared" si="8"/>
        <v>-1.4</v>
      </c>
      <c r="Q195" s="417">
        <v>0.03</v>
      </c>
      <c r="R195" s="417">
        <v>-0.79</v>
      </c>
      <c r="S195" s="423"/>
      <c r="T195" s="667">
        <v>9.9999999999999995E-7</v>
      </c>
      <c r="U195" s="417">
        <v>-0.35</v>
      </c>
      <c r="V195" s="417">
        <v>-0.19</v>
      </c>
      <c r="W195" s="417">
        <v>-0.21</v>
      </c>
      <c r="X195" s="417">
        <v>-0.27</v>
      </c>
      <c r="Y195" s="417">
        <v>0.16</v>
      </c>
      <c r="Z195" s="417">
        <v>0.19</v>
      </c>
      <c r="AA195" s="417">
        <v>0.45</v>
      </c>
      <c r="AB195" s="417">
        <v>0.38</v>
      </c>
      <c r="AC195" s="417">
        <v>0.52</v>
      </c>
      <c r="AD195" s="417">
        <v>-0.25</v>
      </c>
      <c r="AE195" s="417">
        <v>0.52</v>
      </c>
      <c r="AF195" s="417">
        <v>-0.61</v>
      </c>
      <c r="AG195" s="418">
        <v>-0.53</v>
      </c>
      <c r="AH195" s="417">
        <f t="shared" si="9"/>
        <v>-1.4</v>
      </c>
      <c r="AI195" s="417">
        <v>0.03</v>
      </c>
      <c r="AJ195" s="417">
        <v>-0.79</v>
      </c>
      <c r="AK195" s="423"/>
      <c r="AX195" s="463"/>
      <c r="AY195" s="463"/>
      <c r="BB195" s="427"/>
      <c r="BD195" s="463"/>
      <c r="BE195" s="463"/>
      <c r="BH195" s="427"/>
      <c r="BJ195" s="463"/>
      <c r="BK195" s="463"/>
      <c r="BN195" s="427"/>
      <c r="BP195" s="463"/>
      <c r="BQ195" s="463"/>
      <c r="BT195" s="427"/>
      <c r="BV195" s="463"/>
      <c r="BW195" s="463"/>
    </row>
    <row r="196" spans="1:97" ht="13">
      <c r="B196" s="667">
        <v>2</v>
      </c>
      <c r="C196" s="482">
        <v>-0.31</v>
      </c>
      <c r="D196" s="417">
        <v>-0.19</v>
      </c>
      <c r="E196" s="482">
        <v>-0.14000000000000001</v>
      </c>
      <c r="F196" s="417">
        <v>-0.62</v>
      </c>
      <c r="G196" s="417">
        <v>0.16</v>
      </c>
      <c r="H196" s="417">
        <v>0.18</v>
      </c>
      <c r="I196" s="417">
        <v>0.46</v>
      </c>
      <c r="J196" s="417">
        <v>0.38</v>
      </c>
      <c r="K196" s="417">
        <v>0.5</v>
      </c>
      <c r="L196" s="417">
        <v>-0.3</v>
      </c>
      <c r="M196" s="417">
        <v>0.5</v>
      </c>
      <c r="N196" s="417">
        <v>-0.56000000000000005</v>
      </c>
      <c r="O196" s="417">
        <v>-0.56999999999999995</v>
      </c>
      <c r="P196" s="417">
        <f t="shared" si="8"/>
        <v>0</v>
      </c>
      <c r="Q196" s="417">
        <v>0.04</v>
      </c>
      <c r="R196" s="417">
        <v>-0.7</v>
      </c>
      <c r="S196" s="423"/>
      <c r="T196" s="667">
        <v>2</v>
      </c>
      <c r="U196" s="417">
        <v>-0.32</v>
      </c>
      <c r="V196" s="417">
        <v>-0.17</v>
      </c>
      <c r="W196" s="417">
        <v>-0.19</v>
      </c>
      <c r="X196" s="417">
        <v>-0.56999999999999995</v>
      </c>
      <c r="Y196" s="417">
        <v>0.2</v>
      </c>
      <c r="Z196" s="417">
        <v>0.2</v>
      </c>
      <c r="AA196" s="417">
        <v>0.48</v>
      </c>
      <c r="AB196" s="417">
        <v>0.39</v>
      </c>
      <c r="AC196" s="417">
        <v>0.51</v>
      </c>
      <c r="AD196" s="417">
        <v>-0.27</v>
      </c>
      <c r="AE196" s="417">
        <v>0.51</v>
      </c>
      <c r="AF196" s="417">
        <v>-0.5</v>
      </c>
      <c r="AG196" s="418">
        <v>-0.6</v>
      </c>
      <c r="AH196" s="417">
        <f t="shared" si="9"/>
        <v>0</v>
      </c>
      <c r="AI196" s="417">
        <v>0.04</v>
      </c>
      <c r="AJ196" s="417">
        <v>-0.7</v>
      </c>
      <c r="AK196" s="423"/>
      <c r="AX196" s="463"/>
      <c r="AY196" s="463"/>
      <c r="BB196" s="427"/>
      <c r="BD196" s="463"/>
      <c r="BE196" s="463"/>
      <c r="BH196" s="427"/>
      <c r="BJ196" s="463"/>
      <c r="BK196" s="463"/>
      <c r="BN196" s="427"/>
      <c r="BP196" s="463"/>
      <c r="BQ196" s="463"/>
      <c r="BT196" s="427"/>
      <c r="BV196" s="463"/>
      <c r="BW196" s="463"/>
    </row>
    <row r="197" spans="1:97" ht="13">
      <c r="B197" s="667">
        <v>8</v>
      </c>
      <c r="C197" s="482">
        <v>-0.23</v>
      </c>
      <c r="D197" s="417">
        <v>-0.12</v>
      </c>
      <c r="E197" s="482">
        <v>-0.09</v>
      </c>
      <c r="F197" s="417">
        <v>-0.34</v>
      </c>
      <c r="G197" s="417">
        <v>0.15</v>
      </c>
      <c r="H197" s="417">
        <v>0.17</v>
      </c>
      <c r="I197" s="417">
        <v>0.45</v>
      </c>
      <c r="J197" s="417">
        <v>0.37</v>
      </c>
      <c r="K197" s="417">
        <v>0.49</v>
      </c>
      <c r="L197" s="417">
        <v>-0.06</v>
      </c>
      <c r="M197" s="417">
        <v>0.49</v>
      </c>
      <c r="N197" s="417">
        <v>-0.3</v>
      </c>
      <c r="O197" s="417">
        <v>-0.31</v>
      </c>
      <c r="P197" s="417">
        <f t="shared" si="8"/>
        <v>0</v>
      </c>
      <c r="Q197" s="417">
        <v>0.08</v>
      </c>
      <c r="R197" s="417">
        <v>-0.46</v>
      </c>
      <c r="S197" s="423"/>
      <c r="T197" s="667">
        <v>8</v>
      </c>
      <c r="U197" s="417">
        <v>-0.24</v>
      </c>
      <c r="V197" s="417">
        <v>-0.1</v>
      </c>
      <c r="W197" s="417">
        <v>-0.14000000000000001</v>
      </c>
      <c r="X197" s="417">
        <v>-0.3</v>
      </c>
      <c r="Y197" s="417">
        <v>0.19</v>
      </c>
      <c r="Z197" s="417">
        <v>0.19</v>
      </c>
      <c r="AA197" s="417">
        <v>0.47</v>
      </c>
      <c r="AB197" s="417">
        <v>0.37</v>
      </c>
      <c r="AC197" s="417">
        <v>0.5</v>
      </c>
      <c r="AD197" s="417">
        <v>-0.03</v>
      </c>
      <c r="AE197" s="417">
        <v>0.5</v>
      </c>
      <c r="AF197" s="417">
        <v>-0.27</v>
      </c>
      <c r="AG197" s="418">
        <v>-0.34</v>
      </c>
      <c r="AH197" s="417">
        <f t="shared" si="9"/>
        <v>0</v>
      </c>
      <c r="AI197" s="417">
        <v>0.08</v>
      </c>
      <c r="AJ197" s="417">
        <v>-0.46</v>
      </c>
      <c r="AK197" s="423"/>
      <c r="AX197" s="463"/>
      <c r="AY197" s="463"/>
      <c r="BB197" s="427"/>
      <c r="BD197" s="463"/>
      <c r="BE197" s="463"/>
      <c r="BH197" s="427"/>
      <c r="BJ197" s="463"/>
      <c r="BK197" s="463"/>
      <c r="BN197" s="427"/>
      <c r="BP197" s="463"/>
      <c r="BQ197" s="463"/>
      <c r="BT197" s="427"/>
      <c r="BV197" s="463"/>
      <c r="BW197" s="463"/>
    </row>
    <row r="198" spans="1:97" ht="13">
      <c r="B198" s="667">
        <v>37</v>
      </c>
      <c r="C198" s="482">
        <v>0.15</v>
      </c>
      <c r="D198" s="417">
        <v>0.18</v>
      </c>
      <c r="E198" s="482">
        <v>0.02</v>
      </c>
      <c r="F198" s="417">
        <v>0.56000000000000005</v>
      </c>
      <c r="G198" s="417">
        <v>0.15</v>
      </c>
      <c r="H198" s="417">
        <v>0.17</v>
      </c>
      <c r="I198" s="417">
        <v>0.43</v>
      </c>
      <c r="J198" s="417">
        <v>0.33</v>
      </c>
      <c r="K198" s="417">
        <v>0.42</v>
      </c>
      <c r="L198" s="417">
        <v>0.69</v>
      </c>
      <c r="M198" s="417">
        <v>0.42</v>
      </c>
      <c r="N198" s="417">
        <v>0.47</v>
      </c>
      <c r="O198" s="417">
        <v>0.55000000000000004</v>
      </c>
      <c r="P198" s="417">
        <f t="shared" si="8"/>
        <v>0</v>
      </c>
      <c r="Q198" s="417">
        <v>0.23</v>
      </c>
      <c r="R198" s="417">
        <v>0.42</v>
      </c>
      <c r="S198" s="423"/>
      <c r="T198" s="667">
        <v>37</v>
      </c>
      <c r="U198" s="417">
        <v>0.16</v>
      </c>
      <c r="V198" s="417">
        <v>0.19</v>
      </c>
      <c r="W198" s="417">
        <v>-0.02</v>
      </c>
      <c r="X198" s="417">
        <v>0.56999999999999995</v>
      </c>
      <c r="Y198" s="417">
        <v>0.18</v>
      </c>
      <c r="Z198" s="417">
        <v>0.18</v>
      </c>
      <c r="AA198" s="417">
        <v>0.45</v>
      </c>
      <c r="AB198" s="417">
        <v>0.33</v>
      </c>
      <c r="AC198" s="417">
        <v>0.4</v>
      </c>
      <c r="AD198" s="417">
        <v>0.7</v>
      </c>
      <c r="AE198" s="417">
        <v>0.4</v>
      </c>
      <c r="AF198" s="417">
        <v>0.49</v>
      </c>
      <c r="AG198" s="418">
        <v>0.56000000000000005</v>
      </c>
      <c r="AH198" s="417">
        <f t="shared" si="9"/>
        <v>0</v>
      </c>
      <c r="AI198" s="417">
        <v>0.23</v>
      </c>
      <c r="AJ198" s="417">
        <v>0.42</v>
      </c>
      <c r="AK198" s="423"/>
      <c r="AX198" s="463"/>
      <c r="AY198" s="463"/>
      <c r="BB198" s="427"/>
      <c r="BD198" s="463"/>
      <c r="BE198" s="463"/>
      <c r="BH198" s="427"/>
      <c r="BJ198" s="463"/>
      <c r="BK198" s="463"/>
      <c r="BN198" s="427"/>
      <c r="BP198" s="463"/>
      <c r="BQ198" s="463"/>
      <c r="BT198" s="427"/>
      <c r="BV198" s="463"/>
      <c r="BW198" s="463"/>
    </row>
    <row r="199" spans="1:97" ht="13">
      <c r="B199" s="667">
        <v>44</v>
      </c>
      <c r="C199" s="482">
        <v>0.24</v>
      </c>
      <c r="D199" s="417">
        <v>0.25</v>
      </c>
      <c r="E199" s="482">
        <v>0.03</v>
      </c>
      <c r="F199" s="417">
        <v>0.69</v>
      </c>
      <c r="G199" s="417">
        <v>0.16</v>
      </c>
      <c r="H199" s="417">
        <v>0.17</v>
      </c>
      <c r="I199" s="417">
        <v>0.44</v>
      </c>
      <c r="J199" s="417">
        <v>0.33</v>
      </c>
      <c r="K199" s="417">
        <v>0.4</v>
      </c>
      <c r="L199" s="417">
        <v>0.78</v>
      </c>
      <c r="M199" s="417">
        <v>0.4</v>
      </c>
      <c r="N199" s="417">
        <v>0.56000000000000005</v>
      </c>
      <c r="O199" s="417">
        <v>0.67</v>
      </c>
      <c r="P199" s="417">
        <f t="shared" si="8"/>
        <v>0</v>
      </c>
      <c r="Q199" s="417">
        <v>0.25</v>
      </c>
      <c r="R199" s="417">
        <v>0.56999999999999995</v>
      </c>
      <c r="S199" s="423"/>
      <c r="T199" s="667">
        <v>44</v>
      </c>
      <c r="U199" s="417">
        <v>0.25</v>
      </c>
      <c r="V199" s="417">
        <v>0.25</v>
      </c>
      <c r="W199" s="417">
        <v>-0.01</v>
      </c>
      <c r="X199" s="417">
        <v>0.68</v>
      </c>
      <c r="Y199" s="417">
        <v>0.18</v>
      </c>
      <c r="Z199" s="417">
        <v>0.18</v>
      </c>
      <c r="AA199" s="417">
        <v>0.46</v>
      </c>
      <c r="AB199" s="417">
        <v>0.33</v>
      </c>
      <c r="AC199" s="417">
        <v>0.38</v>
      </c>
      <c r="AD199" s="417">
        <v>0.79</v>
      </c>
      <c r="AE199" s="417">
        <v>0.38</v>
      </c>
      <c r="AF199" s="417">
        <v>0.59</v>
      </c>
      <c r="AG199" s="418">
        <v>0.7</v>
      </c>
      <c r="AH199" s="417">
        <f t="shared" si="9"/>
        <v>0</v>
      </c>
      <c r="AI199" s="417">
        <v>0.25</v>
      </c>
      <c r="AJ199" s="417">
        <v>0.56999999999999995</v>
      </c>
      <c r="AK199" s="423"/>
      <c r="AX199" s="463"/>
      <c r="AY199" s="463"/>
      <c r="BB199" s="427"/>
      <c r="BD199" s="463"/>
      <c r="BE199" s="463"/>
      <c r="BH199" s="427"/>
      <c r="BJ199" s="463"/>
      <c r="BK199" s="463"/>
      <c r="BN199" s="427"/>
      <c r="BP199" s="463"/>
      <c r="BQ199" s="463"/>
      <c r="BT199" s="427"/>
      <c r="BV199" s="463"/>
      <c r="BW199" s="463"/>
    </row>
    <row r="200" spans="1:97" ht="13">
      <c r="B200" s="667">
        <v>50</v>
      </c>
      <c r="C200" s="482">
        <v>0.31</v>
      </c>
      <c r="D200" s="417">
        <v>0.3</v>
      </c>
      <c r="E200" s="482">
        <v>0.02</v>
      </c>
      <c r="F200" s="417">
        <v>0.76</v>
      </c>
      <c r="G200" s="417">
        <v>0.17</v>
      </c>
      <c r="H200" s="417">
        <v>0.18</v>
      </c>
      <c r="I200" s="417">
        <v>0.44</v>
      </c>
      <c r="J200" s="417">
        <v>0.34</v>
      </c>
      <c r="K200" s="417">
        <v>0.38</v>
      </c>
      <c r="L200" s="417">
        <v>0.84</v>
      </c>
      <c r="M200" s="417">
        <v>0.38</v>
      </c>
      <c r="N200" s="417">
        <v>0.62</v>
      </c>
      <c r="O200" s="417">
        <v>0.75</v>
      </c>
      <c r="P200" s="417">
        <f t="shared" si="8"/>
        <v>-1</v>
      </c>
      <c r="Q200" s="417">
        <v>0.27</v>
      </c>
      <c r="R200" s="417">
        <v>0.67</v>
      </c>
      <c r="S200" s="423"/>
      <c r="T200" s="667">
        <v>50</v>
      </c>
      <c r="U200" s="417">
        <v>0.32</v>
      </c>
      <c r="V200" s="417">
        <v>0.3</v>
      </c>
      <c r="W200" s="417">
        <v>-0.02</v>
      </c>
      <c r="X200" s="417">
        <v>0.76</v>
      </c>
      <c r="Y200" s="417">
        <v>0.19</v>
      </c>
      <c r="Z200" s="417">
        <v>0.19</v>
      </c>
      <c r="AA200" s="417">
        <v>0.46</v>
      </c>
      <c r="AB200" s="417">
        <v>0.34</v>
      </c>
      <c r="AC200" s="417">
        <v>0.36</v>
      </c>
      <c r="AD200" s="417">
        <v>0.84</v>
      </c>
      <c r="AE200" s="417">
        <v>0.36</v>
      </c>
      <c r="AF200" s="417">
        <v>0.66</v>
      </c>
      <c r="AG200" s="418">
        <v>0.79</v>
      </c>
      <c r="AH200" s="417">
        <f t="shared" si="9"/>
        <v>-1</v>
      </c>
      <c r="AI200" s="417">
        <v>0.27</v>
      </c>
      <c r="AJ200" s="417">
        <v>0.67</v>
      </c>
      <c r="AK200" s="423"/>
      <c r="AX200" s="463"/>
      <c r="AY200" s="463"/>
      <c r="BB200" s="427"/>
      <c r="BD200" s="463"/>
      <c r="BE200" s="463"/>
      <c r="BH200" s="427"/>
      <c r="BJ200" s="463"/>
      <c r="BK200" s="463"/>
      <c r="BN200" s="427"/>
      <c r="BP200" s="463"/>
      <c r="BQ200" s="463"/>
      <c r="BT200" s="427"/>
      <c r="BV200" s="463"/>
      <c r="BW200" s="463"/>
    </row>
    <row r="201" spans="1:97" ht="13">
      <c r="B201" s="667">
        <v>100</v>
      </c>
      <c r="C201" s="482">
        <v>0.79</v>
      </c>
      <c r="D201" s="417">
        <v>0.59</v>
      </c>
      <c r="E201" s="482">
        <v>-0.13</v>
      </c>
      <c r="F201" s="417">
        <v>0.68</v>
      </c>
      <c r="G201" s="417">
        <v>0.28000000000000003</v>
      </c>
      <c r="H201" s="417">
        <v>0.28000000000000003</v>
      </c>
      <c r="I201" s="417">
        <v>0.53</v>
      </c>
      <c r="J201" s="417">
        <v>0.46</v>
      </c>
      <c r="K201" s="417">
        <v>0.21</v>
      </c>
      <c r="L201" s="417">
        <v>0.65</v>
      </c>
      <c r="M201" s="417">
        <v>0.21</v>
      </c>
      <c r="N201" s="417">
        <v>0.39</v>
      </c>
      <c r="O201" s="417">
        <v>0.71</v>
      </c>
      <c r="P201" s="417">
        <f t="shared" si="8"/>
        <v>-1.6</v>
      </c>
      <c r="Q201" s="417">
        <v>0.31</v>
      </c>
      <c r="R201" s="417">
        <v>0.95</v>
      </c>
      <c r="S201" s="423"/>
      <c r="T201" s="667">
        <v>100</v>
      </c>
      <c r="U201" s="417">
        <v>0.78</v>
      </c>
      <c r="V201" s="417">
        <v>0.57999999999999996</v>
      </c>
      <c r="W201" s="417">
        <v>-0.14000000000000001</v>
      </c>
      <c r="X201" s="417">
        <v>0.65</v>
      </c>
      <c r="Y201" s="417">
        <v>0.28999999999999998</v>
      </c>
      <c r="Z201" s="417">
        <v>0.28000000000000003</v>
      </c>
      <c r="AA201" s="417">
        <v>0.53</v>
      </c>
      <c r="AB201" s="417">
        <v>0.46</v>
      </c>
      <c r="AC201" s="417">
        <v>0.17</v>
      </c>
      <c r="AD201" s="417">
        <v>0.63</v>
      </c>
      <c r="AE201" s="417">
        <v>0.17</v>
      </c>
      <c r="AF201" s="417">
        <v>0.63</v>
      </c>
      <c r="AG201" s="418">
        <v>0.87</v>
      </c>
      <c r="AH201" s="417">
        <f t="shared" si="9"/>
        <v>-1.6</v>
      </c>
      <c r="AI201" s="417">
        <v>0.31</v>
      </c>
      <c r="AJ201" s="417">
        <v>0.95</v>
      </c>
      <c r="AK201" s="423"/>
      <c r="AX201" s="463"/>
      <c r="AY201" s="463"/>
      <c r="BB201" s="427"/>
      <c r="BD201" s="463"/>
      <c r="BE201" s="463"/>
      <c r="BH201" s="427"/>
      <c r="BJ201" s="463"/>
      <c r="BK201" s="463"/>
      <c r="BN201" s="427"/>
      <c r="BP201" s="463"/>
      <c r="BQ201" s="463"/>
      <c r="BT201" s="427"/>
      <c r="BV201" s="463"/>
      <c r="BW201" s="463"/>
    </row>
    <row r="202" spans="1:97" ht="13">
      <c r="B202" s="667">
        <v>150</v>
      </c>
      <c r="C202" s="482">
        <v>0.78</v>
      </c>
      <c r="D202" s="417">
        <v>0.57999999999999996</v>
      </c>
      <c r="E202" s="482">
        <v>-0.25</v>
      </c>
      <c r="F202" s="417">
        <v>-0.13</v>
      </c>
      <c r="G202" s="417">
        <v>0.49</v>
      </c>
      <c r="H202" s="417">
        <v>0.47</v>
      </c>
      <c r="I202" s="417">
        <v>0.7</v>
      </c>
      <c r="J202" s="417">
        <v>0.68</v>
      </c>
      <c r="K202" s="417">
        <v>9.9999999999999995E-7</v>
      </c>
      <c r="L202" s="417">
        <v>0.06</v>
      </c>
      <c r="M202" s="417">
        <v>9.9999999999999995E-7</v>
      </c>
      <c r="N202" s="417">
        <v>-0.37</v>
      </c>
      <c r="O202" s="417">
        <v>-0.11</v>
      </c>
      <c r="P202" s="417">
        <f t="shared" si="8"/>
        <v>-1.7</v>
      </c>
      <c r="Q202" s="417">
        <v>0.3</v>
      </c>
      <c r="R202" s="417">
        <v>0.49</v>
      </c>
      <c r="S202" s="423"/>
      <c r="T202" s="667">
        <v>150</v>
      </c>
      <c r="U202" s="417">
        <v>0.77</v>
      </c>
      <c r="V202" s="417">
        <v>0.57999999999999996</v>
      </c>
      <c r="W202" s="417">
        <v>-0.24</v>
      </c>
      <c r="X202" s="417">
        <v>-0.23</v>
      </c>
      <c r="Y202" s="417">
        <v>0.47</v>
      </c>
      <c r="Z202" s="417">
        <v>0.48</v>
      </c>
      <c r="AA202" s="417">
        <v>0.69</v>
      </c>
      <c r="AB202" s="417">
        <v>0.68</v>
      </c>
      <c r="AC202" s="417">
        <v>-0.05</v>
      </c>
      <c r="AD202" s="417">
        <v>-0.04</v>
      </c>
      <c r="AE202" s="417">
        <v>-0.05</v>
      </c>
      <c r="AF202" s="417">
        <v>-0.1</v>
      </c>
      <c r="AG202" s="418">
        <v>7.0000000000000007E-2</v>
      </c>
      <c r="AH202" s="417">
        <f t="shared" si="9"/>
        <v>-1.7</v>
      </c>
      <c r="AI202" s="417">
        <v>0.3</v>
      </c>
      <c r="AJ202" s="417">
        <v>0.49</v>
      </c>
      <c r="AK202" s="423"/>
      <c r="AX202" s="463"/>
      <c r="AY202" s="463"/>
      <c r="BB202" s="427"/>
      <c r="BD202" s="463"/>
      <c r="BE202" s="463"/>
      <c r="BH202" s="427"/>
      <c r="BJ202" s="463"/>
      <c r="BK202" s="463"/>
      <c r="BN202" s="427"/>
      <c r="BP202" s="463"/>
      <c r="BQ202" s="463"/>
      <c r="BT202" s="427"/>
      <c r="BV202" s="463"/>
      <c r="BW202" s="463"/>
    </row>
    <row r="203" spans="1:97" ht="13">
      <c r="B203" s="667">
        <v>200</v>
      </c>
      <c r="C203" s="482">
        <v>-0.02</v>
      </c>
      <c r="D203" s="417">
        <v>0.19</v>
      </c>
      <c r="E203" s="482">
        <v>0.04</v>
      </c>
      <c r="F203" s="417">
        <v>-0.84</v>
      </c>
      <c r="G203" s="417">
        <v>0.75</v>
      </c>
      <c r="H203" s="417">
        <v>0.76</v>
      </c>
      <c r="I203" s="417">
        <v>0.91</v>
      </c>
      <c r="J203" s="417">
        <v>0.9</v>
      </c>
      <c r="K203" s="417">
        <v>-0.26</v>
      </c>
      <c r="L203" s="417">
        <v>0.09</v>
      </c>
      <c r="M203" s="417">
        <v>-0.26</v>
      </c>
      <c r="N203" s="417">
        <v>-0.74</v>
      </c>
      <c r="O203" s="417">
        <v>-1.08</v>
      </c>
      <c r="P203" s="417">
        <f t="shared" si="8"/>
        <v>-0.9</v>
      </c>
      <c r="Q203" s="417">
        <v>0.34</v>
      </c>
      <c r="R203" s="417">
        <v>-0.26</v>
      </c>
      <c r="S203" s="423"/>
      <c r="T203" s="667">
        <v>200</v>
      </c>
      <c r="U203" s="417">
        <v>0.06</v>
      </c>
      <c r="V203" s="417">
        <v>0.26</v>
      </c>
      <c r="W203" s="417">
        <v>0.03</v>
      </c>
      <c r="X203" s="417">
        <v>-1.1299999999999999</v>
      </c>
      <c r="Y203" s="417">
        <v>0.71</v>
      </c>
      <c r="Z203" s="417">
        <v>0.75</v>
      </c>
      <c r="AA203" s="417">
        <v>0.92</v>
      </c>
      <c r="AB203" s="417">
        <v>0.91</v>
      </c>
      <c r="AC203" s="417">
        <v>-0.28999999999999998</v>
      </c>
      <c r="AD203" s="417">
        <v>-0.26</v>
      </c>
      <c r="AE203" s="417">
        <v>-0.28999999999999998</v>
      </c>
      <c r="AF203" s="417">
        <v>-0.93</v>
      </c>
      <c r="AG203" s="418">
        <v>-1.1000000000000001</v>
      </c>
      <c r="AH203" s="417">
        <f t="shared" si="9"/>
        <v>-0.9</v>
      </c>
      <c r="AI203" s="417">
        <v>0.34</v>
      </c>
      <c r="AJ203" s="417">
        <v>-0.26</v>
      </c>
      <c r="AK203" s="423"/>
      <c r="AX203" s="463"/>
      <c r="AY203" s="463"/>
      <c r="BB203" s="427"/>
      <c r="BD203" s="463"/>
      <c r="BE203" s="463"/>
      <c r="BH203" s="427"/>
      <c r="BJ203" s="463"/>
      <c r="BK203" s="463"/>
      <c r="BN203" s="427"/>
      <c r="BP203" s="463"/>
      <c r="BQ203" s="463"/>
      <c r="BT203" s="427"/>
      <c r="BV203" s="463"/>
      <c r="BW203" s="463"/>
    </row>
    <row r="204" spans="1:97" s="710" customFormat="1" ht="13">
      <c r="A204" s="473"/>
      <c r="B204" s="667" t="s">
        <v>396</v>
      </c>
      <c r="C204" s="712">
        <v>0.34</v>
      </c>
      <c r="D204" s="712">
        <v>0.56000000000000005</v>
      </c>
      <c r="E204" s="694">
        <v>0.28000000000000003</v>
      </c>
      <c r="F204" s="694">
        <v>0.26</v>
      </c>
      <c r="G204" s="694">
        <v>0.27</v>
      </c>
      <c r="H204" s="694">
        <v>0.25</v>
      </c>
      <c r="I204" s="694">
        <v>0.25</v>
      </c>
      <c r="J204" s="694">
        <v>0.25</v>
      </c>
      <c r="K204" s="694">
        <v>0.79</v>
      </c>
      <c r="L204" s="694">
        <v>0.26</v>
      </c>
      <c r="M204" s="694">
        <v>0.79</v>
      </c>
      <c r="N204" s="694">
        <v>0.26</v>
      </c>
      <c r="O204" s="694">
        <v>0.25</v>
      </c>
      <c r="P204" s="694">
        <f t="shared" si="8"/>
        <v>0.6</v>
      </c>
      <c r="Q204" s="694">
        <v>0.22</v>
      </c>
      <c r="R204" s="694">
        <v>0.77</v>
      </c>
      <c r="S204" s="473"/>
      <c r="T204" s="667" t="s">
        <v>396</v>
      </c>
      <c r="U204" s="694">
        <v>0.34</v>
      </c>
      <c r="V204" s="694">
        <v>0.56000000000000005</v>
      </c>
      <c r="W204" s="694">
        <v>0.28000000000000003</v>
      </c>
      <c r="X204" s="694">
        <v>0.26</v>
      </c>
      <c r="Y204" s="694">
        <v>0.26</v>
      </c>
      <c r="Z204" s="694">
        <v>0.25</v>
      </c>
      <c r="AA204" s="694">
        <v>0.24</v>
      </c>
      <c r="AB204" s="694">
        <v>0.25</v>
      </c>
      <c r="AC204" s="694">
        <v>0.79</v>
      </c>
      <c r="AD204" s="694">
        <v>0.27</v>
      </c>
      <c r="AE204" s="694">
        <v>0.79</v>
      </c>
      <c r="AF204" s="694">
        <v>0.26</v>
      </c>
      <c r="AG204" s="694">
        <v>0.25</v>
      </c>
      <c r="AH204" s="694">
        <f t="shared" si="9"/>
        <v>0.6</v>
      </c>
      <c r="AI204" s="694">
        <v>0.22</v>
      </c>
      <c r="AJ204" s="694">
        <v>0.77</v>
      </c>
      <c r="AK204" s="473"/>
      <c r="AN204" s="471"/>
      <c r="AP204" s="711"/>
      <c r="AT204" s="471"/>
      <c r="AV204" s="711"/>
      <c r="AX204" s="471"/>
      <c r="AY204" s="471"/>
      <c r="AZ204" s="471"/>
      <c r="BD204" s="471"/>
      <c r="BE204" s="471"/>
      <c r="BF204" s="471"/>
      <c r="BJ204" s="471"/>
      <c r="BK204" s="471"/>
      <c r="BL204" s="471"/>
      <c r="BP204" s="471"/>
      <c r="BQ204" s="471"/>
      <c r="BR204" s="471"/>
      <c r="BV204" s="471"/>
      <c r="BW204" s="471"/>
      <c r="BX204" s="471"/>
      <c r="BZ204" s="711"/>
      <c r="CG204" s="473"/>
      <c r="CM204" s="473"/>
      <c r="CS204" s="473"/>
    </row>
    <row r="205" spans="1:97" s="423" customFormat="1">
      <c r="V205" s="424"/>
      <c r="W205" s="424"/>
      <c r="X205" s="424"/>
      <c r="Y205" s="424"/>
      <c r="Z205" s="424"/>
      <c r="AA205" s="424"/>
      <c r="AB205" s="424"/>
      <c r="AC205" s="424"/>
      <c r="AD205" s="424"/>
      <c r="AZ205" s="424"/>
      <c r="BF205" s="424"/>
      <c r="BL205" s="424"/>
      <c r="BR205" s="424"/>
      <c r="BX205" s="424"/>
    </row>
    <row r="206" spans="1:97" s="423" customFormat="1">
      <c r="V206" s="424"/>
      <c r="W206" s="424"/>
      <c r="X206" s="424"/>
      <c r="Y206" s="424"/>
      <c r="Z206" s="424"/>
      <c r="AA206" s="424"/>
      <c r="AB206" s="424"/>
      <c r="AC206" s="424"/>
      <c r="AD206" s="424"/>
      <c r="AZ206" s="424"/>
      <c r="BF206" s="424"/>
      <c r="BL206" s="424"/>
      <c r="BR206" s="424"/>
      <c r="BX206" s="424"/>
    </row>
    <row r="207" spans="1:97" ht="97.5" customHeight="1">
      <c r="B207" s="474" t="s">
        <v>391</v>
      </c>
      <c r="C207" s="475" t="str">
        <f>U190</f>
        <v>Thermocouple Data Logger, Merek : MADGETECH, Model : OctTemp 2000, SN : P40270</v>
      </c>
      <c r="D207" s="481" t="str">
        <f>V190</f>
        <v>Thermocouple Data Logger, Merek : MADGETECH, Model : OctTemp 2000, SN : P41878</v>
      </c>
      <c r="E207" s="475" t="str">
        <f>W190</f>
        <v>Mobile Corder, Merek : Yokogawa, Model : GP 10, SN : S5T810599</v>
      </c>
      <c r="F207" s="476" t="str">
        <f t="shared" ref="F207:R207" si="10">F190</f>
        <v>Wireless Temperature Recorder : Merek : HIOKI, Model : LR 8510, SN : 200936000</v>
      </c>
      <c r="G207" s="476" t="str">
        <f t="shared" si="10"/>
        <v>Wireless Temperature Recorder : Merek : HIOKI, Model : LR 8510, SN : 200936001</v>
      </c>
      <c r="H207" s="476" t="str">
        <f t="shared" si="10"/>
        <v>Wireless Temperature Recorder : Merek : HIOKI, Model : LR 8510, SN : 200821397</v>
      </c>
      <c r="I207" s="476" t="str">
        <f t="shared" si="10"/>
        <v>Wireless Temperature Recorder : Merek : HIOKI, Model : LR 8510, SN : 210411983</v>
      </c>
      <c r="J207" s="476" t="str">
        <f t="shared" si="10"/>
        <v>Wireless Temperature Recorder : Merek : HIOKI, Model : LR 8510, SN : 210411984</v>
      </c>
      <c r="K207" s="476" t="str">
        <f t="shared" si="10"/>
        <v>Wireless Temperature Recorder : Merek : HIOKI, Model : LR 8510, SN : 210411985</v>
      </c>
      <c r="L207" s="476" t="str">
        <f t="shared" si="10"/>
        <v>Wireless Temperature Recorder : Merek : HIOKI, Model : LR 8510, SN : 210746054</v>
      </c>
      <c r="M207" s="476" t="str">
        <f t="shared" si="10"/>
        <v>Wireless Temperature Recorder : Merek : HIOKI, Model : LR 8510, SN : 210746055</v>
      </c>
      <c r="N207" s="476" t="str">
        <f t="shared" si="10"/>
        <v>Wireless Temperature Recorder : Merek : HIOKI, Model : LR 8510, SN : 210746056</v>
      </c>
      <c r="O207" s="476" t="str">
        <f t="shared" si="10"/>
        <v>Wireless Temperature Recorder : Merek : HIOKI, Model : LR 8510, SN : 200821396</v>
      </c>
      <c r="P207" s="476" t="str">
        <f t="shared" si="10"/>
        <v>Reference Thermometer, Merek : APPA, Model : APPA51, SN : 03002948</v>
      </c>
      <c r="Q207" s="476" t="str">
        <f t="shared" si="10"/>
        <v>Reference Thermometer, Merek : FLUKE, Model : 1524, SN : 1803038</v>
      </c>
      <c r="R207" s="476" t="str">
        <f t="shared" si="10"/>
        <v>Reference Thermometer, Merek : FLUKE, Model : 1524, SN : 1803037</v>
      </c>
      <c r="S207" s="423"/>
      <c r="T207" s="474" t="s">
        <v>392</v>
      </c>
      <c r="U207" s="481" t="str">
        <f>C207</f>
        <v>Thermocouple Data Logger, Merek : MADGETECH, Model : OctTemp 2000, SN : P40270</v>
      </c>
      <c r="V207" s="481" t="str">
        <f>D207</f>
        <v>Thermocouple Data Logger, Merek : MADGETECH, Model : OctTemp 2000, SN : P41878</v>
      </c>
      <c r="W207" s="483" t="str">
        <f>E207</f>
        <v>Mobile Corder, Merek : Yokogawa, Model : GP 10, SN : S5T810599</v>
      </c>
      <c r="X207" s="481" t="str">
        <f t="shared" ref="X207:AJ207" si="11">X190</f>
        <v>Wireless Temperature Recorder : Merek : HIOKI, Model : LR 8510, SN : 200936000</v>
      </c>
      <c r="Y207" s="481" t="str">
        <f t="shared" si="11"/>
        <v>Wireless Temperature Recorder : Merek : HIOKI, Model : LR 8510, SN : 200936001</v>
      </c>
      <c r="Z207" s="481" t="str">
        <f t="shared" si="11"/>
        <v>Wireless Temperature Recorder : Merek : HIOKI, Model : LR 8510, SN : 200821397</v>
      </c>
      <c r="AA207" s="481" t="str">
        <f t="shared" si="11"/>
        <v>Wireless Temperature Recorder : Merek : HIOKI, Model : LR 8510, SN : 210411983</v>
      </c>
      <c r="AB207" s="481" t="str">
        <f t="shared" si="11"/>
        <v>Wireless Temperature Recorder : Merek : HIOKI, Model : LR 8510, SN : 210411984</v>
      </c>
      <c r="AC207" s="481" t="str">
        <f t="shared" si="11"/>
        <v>Wireless Temperature Recorder : Merek : HIOKI, Model : LR 8510, SN : 210411985</v>
      </c>
      <c r="AD207" s="481" t="str">
        <f t="shared" si="11"/>
        <v>Wireless Temperature Recorder : Merek : HIOKI, Model : LR 8510, SN : 210746054</v>
      </c>
      <c r="AE207" s="481" t="str">
        <f t="shared" si="11"/>
        <v>Wireless Temperature Recorder : Merek : HIOKI, Model : LR 8510, SN : 210746055</v>
      </c>
      <c r="AF207" s="481" t="str">
        <f t="shared" si="11"/>
        <v>Wireless Temperature Recorder : Merek : HIOKI, Model : LR 8510, SN : 210746056</v>
      </c>
      <c r="AG207" s="481" t="str">
        <f t="shared" si="11"/>
        <v>Wireless Temperature Recorder : Merek : HIOKI, Model : LR 8510, SN : 200821396</v>
      </c>
      <c r="AH207" s="481" t="str">
        <f t="shared" si="11"/>
        <v>Reference Thermometer, Merek : APPA, Model : APPA51, SN : 03002948</v>
      </c>
      <c r="AI207" s="481" t="str">
        <f t="shared" si="11"/>
        <v>Reference Thermometer, Merek : FLUKE, Model : 1524, SN : 1803038</v>
      </c>
      <c r="AJ207" s="481" t="str">
        <f t="shared" si="11"/>
        <v>Reference Thermometer, Merek : FLUKE, Model : 1524, SN : 1803037</v>
      </c>
      <c r="AK207" s="423"/>
      <c r="AX207" s="695"/>
      <c r="AY207" s="696"/>
      <c r="AZ207" s="467"/>
      <c r="BB207" s="427"/>
      <c r="BD207" s="695"/>
      <c r="BE207" s="696"/>
      <c r="BF207" s="467"/>
      <c r="BH207" s="427"/>
      <c r="BJ207" s="695"/>
      <c r="BK207" s="696"/>
      <c r="BL207" s="467"/>
      <c r="BN207" s="427"/>
      <c r="BP207" s="695"/>
      <c r="BQ207" s="696"/>
      <c r="BR207" s="467"/>
      <c r="BT207" s="427"/>
      <c r="BV207" s="695"/>
      <c r="BW207" s="696"/>
      <c r="BX207" s="467"/>
    </row>
    <row r="208" spans="1:97" s="630" customFormat="1" ht="6" customHeight="1">
      <c r="B208" s="642"/>
      <c r="C208" s="644"/>
      <c r="D208" s="648"/>
      <c r="E208" s="644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34"/>
      <c r="Q208" s="634"/>
      <c r="R208" s="634"/>
      <c r="T208" s="642"/>
      <c r="U208" s="648"/>
      <c r="V208" s="648"/>
      <c r="W208" s="649"/>
      <c r="X208" s="648"/>
      <c r="Y208" s="648"/>
      <c r="Z208" s="648"/>
      <c r="AA208" s="648"/>
      <c r="AB208" s="648"/>
      <c r="AC208" s="648"/>
      <c r="AD208" s="648"/>
      <c r="AE208" s="648"/>
      <c r="AF208" s="648"/>
      <c r="AG208" s="636"/>
      <c r="AH208" s="634"/>
      <c r="AI208" s="634"/>
      <c r="AJ208" s="634"/>
      <c r="AN208" s="637"/>
      <c r="AP208" s="638"/>
      <c r="AT208" s="637"/>
      <c r="AV208" s="638"/>
      <c r="AX208" s="639"/>
      <c r="AY208" s="640"/>
      <c r="AZ208" s="641"/>
      <c r="BD208" s="639"/>
      <c r="BE208" s="640"/>
      <c r="BF208" s="641"/>
      <c r="BJ208" s="639"/>
      <c r="BK208" s="640"/>
      <c r="BL208" s="641"/>
      <c r="BP208" s="639"/>
      <c r="BQ208" s="640"/>
      <c r="BR208" s="641"/>
      <c r="BV208" s="639"/>
      <c r="BW208" s="640"/>
      <c r="BX208" s="641"/>
      <c r="BZ208" s="638"/>
    </row>
    <row r="209" spans="1:97" ht="13">
      <c r="B209" s="667">
        <v>-20</v>
      </c>
      <c r="C209" s="417">
        <v>-0.56999999999999995</v>
      </c>
      <c r="D209" s="417">
        <v>-0.49</v>
      </c>
      <c r="E209" s="417">
        <v>-0.36</v>
      </c>
      <c r="F209" s="417">
        <v>-1.33</v>
      </c>
      <c r="G209" s="417">
        <v>0.13</v>
      </c>
      <c r="H209" s="417">
        <v>0.16</v>
      </c>
      <c r="I209" s="417">
        <v>0.45</v>
      </c>
      <c r="J209" s="417">
        <v>0.37</v>
      </c>
      <c r="K209" s="417">
        <v>0.54</v>
      </c>
      <c r="L209" s="417">
        <v>-0.91</v>
      </c>
      <c r="M209" s="417">
        <v>0.54</v>
      </c>
      <c r="N209" s="417">
        <v>-1.3</v>
      </c>
      <c r="O209" s="417">
        <v>-1.34</v>
      </c>
      <c r="P209" s="417">
        <f t="shared" ref="P209:P221" si="12">P192</f>
        <v>-1.1000000000000001</v>
      </c>
      <c r="Q209" s="417">
        <v>-0.15</v>
      </c>
      <c r="R209" s="417">
        <v>-1.8</v>
      </c>
      <c r="S209" s="423"/>
      <c r="T209" s="667">
        <v>-20</v>
      </c>
      <c r="U209" s="417">
        <v>-0.65</v>
      </c>
      <c r="V209" s="417">
        <v>-0.47</v>
      </c>
      <c r="W209" s="484">
        <v>-0.43</v>
      </c>
      <c r="X209" s="417">
        <v>-1.31</v>
      </c>
      <c r="Y209" s="417">
        <v>0.19</v>
      </c>
      <c r="Z209" s="417">
        <v>0.2</v>
      </c>
      <c r="AA209" s="417">
        <v>0.46</v>
      </c>
      <c r="AB209" s="417">
        <v>0.36</v>
      </c>
      <c r="AC209" s="417">
        <v>0.52</v>
      </c>
      <c r="AD209" s="417">
        <v>-0.95</v>
      </c>
      <c r="AE209" s="417">
        <v>0.52</v>
      </c>
      <c r="AF209" s="417">
        <v>-1.22</v>
      </c>
      <c r="AG209" s="418">
        <v>-1.36</v>
      </c>
      <c r="AH209" s="417">
        <f t="shared" ref="AH209:AH221" si="13">AH192</f>
        <v>-1.1000000000000001</v>
      </c>
      <c r="AI209" s="417">
        <v>-0.15</v>
      </c>
      <c r="AJ209" s="417">
        <v>-1.8</v>
      </c>
      <c r="AK209" s="423"/>
      <c r="AX209" s="463"/>
      <c r="AY209" s="463"/>
      <c r="BB209" s="427"/>
      <c r="BD209" s="463"/>
      <c r="BE209" s="463"/>
      <c r="BH209" s="427"/>
      <c r="BJ209" s="463"/>
      <c r="BK209" s="463"/>
      <c r="BN209" s="427"/>
      <c r="BP209" s="463"/>
      <c r="BQ209" s="463"/>
      <c r="BT209" s="427"/>
      <c r="BV209" s="463"/>
      <c r="BW209" s="463"/>
    </row>
    <row r="210" spans="1:97" ht="13">
      <c r="B210" s="667">
        <v>-15</v>
      </c>
      <c r="C210" s="417">
        <v>-0.52</v>
      </c>
      <c r="D210" s="417">
        <v>-0.42</v>
      </c>
      <c r="E210" s="417">
        <v>-0.3</v>
      </c>
      <c r="F210" s="417">
        <v>-1.1000000000000001</v>
      </c>
      <c r="G210" s="417">
        <v>0.18</v>
      </c>
      <c r="H210" s="417">
        <v>0.2</v>
      </c>
      <c r="I210" s="417">
        <v>0.46</v>
      </c>
      <c r="J210" s="417">
        <v>0.39</v>
      </c>
      <c r="K210" s="417">
        <v>9.9999999999999995E-7</v>
      </c>
      <c r="L210" s="417">
        <v>-0.66</v>
      </c>
      <c r="M210" s="417">
        <v>9.9999999999999995E-7</v>
      </c>
      <c r="N210" s="417">
        <v>-1.05</v>
      </c>
      <c r="O210" s="417">
        <v>-1.05</v>
      </c>
      <c r="P210" s="417">
        <f t="shared" si="12"/>
        <v>-1.1000000000000001</v>
      </c>
      <c r="Q210" s="417">
        <v>-0.1</v>
      </c>
      <c r="R210" s="417">
        <v>-1.52</v>
      </c>
      <c r="S210" s="423"/>
      <c r="T210" s="667">
        <v>-15</v>
      </c>
      <c r="U210" s="417">
        <v>-0.56999999999999995</v>
      </c>
      <c r="V210" s="417">
        <v>-0.4</v>
      </c>
      <c r="W210" s="484">
        <v>-0.37</v>
      </c>
      <c r="X210" s="417">
        <v>-1.07</v>
      </c>
      <c r="Y210" s="417">
        <v>0.23</v>
      </c>
      <c r="Z210" s="417">
        <v>0.23</v>
      </c>
      <c r="AA210" s="417">
        <v>0.47</v>
      </c>
      <c r="AB210" s="417">
        <v>0.38</v>
      </c>
      <c r="AC210" s="417">
        <v>9.9999999999999995E-7</v>
      </c>
      <c r="AD210" s="417">
        <v>-0.69</v>
      </c>
      <c r="AE210" s="417">
        <v>9.9999999999999995E-7</v>
      </c>
      <c r="AF210" s="417">
        <v>-0.97</v>
      </c>
      <c r="AG210" s="418">
        <v>-1.0900000000000001</v>
      </c>
      <c r="AH210" s="417">
        <f t="shared" si="13"/>
        <v>-1.1000000000000001</v>
      </c>
      <c r="AI210" s="417">
        <v>-0.1</v>
      </c>
      <c r="AJ210" s="417">
        <v>-1.52</v>
      </c>
      <c r="AK210" s="423"/>
      <c r="AX210" s="463"/>
      <c r="AY210" s="463"/>
      <c r="BB210" s="427"/>
      <c r="BD210" s="463"/>
      <c r="BE210" s="463"/>
      <c r="BH210" s="427"/>
      <c r="BJ210" s="463"/>
      <c r="BK210" s="463"/>
      <c r="BN210" s="427"/>
      <c r="BP210" s="463"/>
      <c r="BQ210" s="463"/>
      <c r="BT210" s="427"/>
      <c r="BV210" s="463"/>
      <c r="BW210" s="463"/>
    </row>
    <row r="211" spans="1:97" ht="13">
      <c r="B211" s="667">
        <v>-10</v>
      </c>
      <c r="C211" s="417">
        <v>-0.46</v>
      </c>
      <c r="D211" s="417">
        <v>-0.35</v>
      </c>
      <c r="E211" s="417">
        <v>-0.25</v>
      </c>
      <c r="F211" s="417">
        <v>-0.85</v>
      </c>
      <c r="G211" s="417">
        <v>0.21</v>
      </c>
      <c r="H211" s="417">
        <v>0.2</v>
      </c>
      <c r="I211" s="417">
        <v>0.47</v>
      </c>
      <c r="J211" s="417">
        <v>0.4</v>
      </c>
      <c r="K211" s="417">
        <v>0.52</v>
      </c>
      <c r="L211" s="417">
        <v>-0.47</v>
      </c>
      <c r="M211" s="417">
        <v>0.52</v>
      </c>
      <c r="N211" s="417">
        <v>-0.84</v>
      </c>
      <c r="O211" s="417">
        <v>-0.81</v>
      </c>
      <c r="P211" s="417">
        <f t="shared" si="12"/>
        <v>-1.2</v>
      </c>
      <c r="Q211" s="417">
        <v>-0.05</v>
      </c>
      <c r="R211" s="417">
        <v>-1.26</v>
      </c>
      <c r="S211" s="423"/>
      <c r="T211" s="667">
        <v>-10</v>
      </c>
      <c r="U211" s="417">
        <v>-0.5</v>
      </c>
      <c r="V211" s="417">
        <v>-0.34</v>
      </c>
      <c r="W211" s="484">
        <v>-0.31</v>
      </c>
      <c r="X211" s="417">
        <v>-0.82</v>
      </c>
      <c r="Y211" s="417">
        <v>0.26</v>
      </c>
      <c r="Z211" s="417">
        <v>0.25</v>
      </c>
      <c r="AA211" s="417">
        <v>0.48</v>
      </c>
      <c r="AB211" s="417">
        <v>0.4</v>
      </c>
      <c r="AC211" s="418">
        <v>0.5</v>
      </c>
      <c r="AD211" s="417">
        <v>-0.49</v>
      </c>
      <c r="AE211" s="417">
        <v>0.5</v>
      </c>
      <c r="AF211" s="417">
        <v>-0.77</v>
      </c>
      <c r="AG211" s="418">
        <v>-0.85</v>
      </c>
      <c r="AH211" s="417">
        <f t="shared" si="13"/>
        <v>-1.2</v>
      </c>
      <c r="AI211" s="417">
        <v>-0.05</v>
      </c>
      <c r="AJ211" s="417">
        <v>-1.26</v>
      </c>
      <c r="AK211" s="423"/>
      <c r="AX211" s="463"/>
      <c r="AY211" s="463"/>
      <c r="BB211" s="427"/>
      <c r="BD211" s="463"/>
      <c r="BE211" s="463"/>
      <c r="BH211" s="427"/>
      <c r="BJ211" s="463"/>
      <c r="BK211" s="463"/>
      <c r="BN211" s="427"/>
      <c r="BP211" s="463"/>
      <c r="BQ211" s="463"/>
      <c r="BT211" s="427"/>
      <c r="BV211" s="463"/>
      <c r="BW211" s="463"/>
    </row>
    <row r="212" spans="1:97" ht="13">
      <c r="B212" s="667">
        <v>9.9999999999999995E-7</v>
      </c>
      <c r="C212" s="417">
        <v>-0.33</v>
      </c>
      <c r="D212" s="417">
        <v>-0.22</v>
      </c>
      <c r="E212" s="417">
        <v>-0.16</v>
      </c>
      <c r="F212" s="417">
        <v>-0.28000000000000003</v>
      </c>
      <c r="G212" s="417">
        <v>0.18</v>
      </c>
      <c r="H212" s="417">
        <v>0.21</v>
      </c>
      <c r="I212" s="417">
        <v>0.44</v>
      </c>
      <c r="J212" s="417">
        <v>0.39</v>
      </c>
      <c r="K212" s="417">
        <v>0.5</v>
      </c>
      <c r="L212" s="417">
        <v>-0.25</v>
      </c>
      <c r="M212" s="417">
        <v>0.5</v>
      </c>
      <c r="N212" s="417">
        <v>-0.57999999999999996</v>
      </c>
      <c r="O212" s="417">
        <v>-0.46</v>
      </c>
      <c r="P212" s="417">
        <f t="shared" si="12"/>
        <v>-1.4</v>
      </c>
      <c r="Q212" s="417">
        <v>0.03</v>
      </c>
      <c r="R212" s="417">
        <v>-0.79</v>
      </c>
      <c r="S212" s="423"/>
      <c r="T212" s="667">
        <v>9.9999999999999995E-7</v>
      </c>
      <c r="U212" s="417">
        <v>-0.36</v>
      </c>
      <c r="V212" s="417">
        <v>-0.21</v>
      </c>
      <c r="W212" s="484">
        <v>-0.21</v>
      </c>
      <c r="X212" s="417">
        <v>-0.28999999999999998</v>
      </c>
      <c r="Y212" s="417">
        <v>0.22</v>
      </c>
      <c r="Z212" s="417">
        <v>0.21</v>
      </c>
      <c r="AA212" s="417">
        <v>0.46</v>
      </c>
      <c r="AB212" s="417">
        <v>0.39</v>
      </c>
      <c r="AC212" s="417">
        <v>0.48</v>
      </c>
      <c r="AD212" s="417">
        <v>-0.27</v>
      </c>
      <c r="AE212" s="417">
        <v>0.48</v>
      </c>
      <c r="AF212" s="417">
        <v>-0.56000000000000005</v>
      </c>
      <c r="AG212" s="418">
        <v>-0.5</v>
      </c>
      <c r="AH212" s="417">
        <f t="shared" si="13"/>
        <v>-1.4</v>
      </c>
      <c r="AI212" s="417">
        <v>0.03</v>
      </c>
      <c r="AJ212" s="417">
        <v>-0.79</v>
      </c>
      <c r="AK212" s="423"/>
      <c r="AX212" s="463"/>
      <c r="AY212" s="463"/>
      <c r="BB212" s="427"/>
      <c r="BD212" s="463"/>
      <c r="BE212" s="463"/>
      <c r="BH212" s="427"/>
      <c r="BJ212" s="463"/>
      <c r="BK212" s="463"/>
      <c r="BN212" s="427"/>
      <c r="BP212" s="463"/>
      <c r="BQ212" s="463"/>
      <c r="BT212" s="427"/>
      <c r="BV212" s="463"/>
      <c r="BW212" s="463"/>
    </row>
    <row r="213" spans="1:97" ht="13">
      <c r="B213" s="667">
        <v>2</v>
      </c>
      <c r="C213" s="417">
        <v>-0.3</v>
      </c>
      <c r="D213" s="417">
        <v>-0.19</v>
      </c>
      <c r="E213" s="417">
        <v>-0.15</v>
      </c>
      <c r="F213" s="417">
        <v>-0.49</v>
      </c>
      <c r="G213" s="417">
        <v>0.23</v>
      </c>
      <c r="H213" s="417">
        <v>0.23</v>
      </c>
      <c r="I213" s="417">
        <v>0.46</v>
      </c>
      <c r="J213" s="417">
        <v>0.4</v>
      </c>
      <c r="K213" s="417">
        <v>0.5</v>
      </c>
      <c r="L213" s="417">
        <v>-0.28000000000000003</v>
      </c>
      <c r="M213" s="417">
        <v>0.5</v>
      </c>
      <c r="N213" s="417">
        <v>-0.54</v>
      </c>
      <c r="O213" s="417">
        <v>-0.56000000000000005</v>
      </c>
      <c r="P213" s="417">
        <f t="shared" si="12"/>
        <v>0</v>
      </c>
      <c r="Q213" s="417">
        <v>0.04</v>
      </c>
      <c r="R213" s="417">
        <v>-0.7</v>
      </c>
      <c r="S213" s="423"/>
      <c r="T213" s="667">
        <v>2</v>
      </c>
      <c r="U213" s="417">
        <v>-0.33</v>
      </c>
      <c r="V213" s="417">
        <v>-0.19</v>
      </c>
      <c r="W213" s="484">
        <v>-0.2</v>
      </c>
      <c r="X213" s="417">
        <v>-0.51</v>
      </c>
      <c r="Y213" s="417">
        <v>0.27</v>
      </c>
      <c r="Z213" s="417">
        <v>0.25</v>
      </c>
      <c r="AA213" s="417">
        <v>0.48</v>
      </c>
      <c r="AB213" s="417">
        <v>0.4</v>
      </c>
      <c r="AC213" s="417">
        <v>0.48</v>
      </c>
      <c r="AD213" s="417">
        <v>-0.27</v>
      </c>
      <c r="AE213" s="417">
        <v>0.48</v>
      </c>
      <c r="AF213" s="417">
        <v>-0.51</v>
      </c>
      <c r="AG213" s="418">
        <v>-0.57999999999999996</v>
      </c>
      <c r="AH213" s="417">
        <f t="shared" si="13"/>
        <v>0</v>
      </c>
      <c r="AI213" s="417">
        <v>0.04</v>
      </c>
      <c r="AJ213" s="417">
        <v>-0.7</v>
      </c>
      <c r="AK213" s="423"/>
      <c r="AX213" s="463"/>
      <c r="AY213" s="463"/>
      <c r="BB213" s="427"/>
      <c r="BD213" s="463"/>
      <c r="BE213" s="463"/>
      <c r="BH213" s="427"/>
      <c r="BJ213" s="463"/>
      <c r="BK213" s="463"/>
      <c r="BN213" s="427"/>
      <c r="BP213" s="463"/>
      <c r="BQ213" s="463"/>
      <c r="BT213" s="427"/>
      <c r="BV213" s="463"/>
      <c r="BW213" s="463"/>
    </row>
    <row r="214" spans="1:97" ht="13">
      <c r="B214" s="667">
        <v>8</v>
      </c>
      <c r="C214" s="417">
        <v>-0.23</v>
      </c>
      <c r="D214" s="417">
        <v>-0.12</v>
      </c>
      <c r="E214" s="417">
        <v>-0.11</v>
      </c>
      <c r="F214" s="417">
        <v>-0.26</v>
      </c>
      <c r="G214" s="417">
        <v>0.22</v>
      </c>
      <c r="H214" s="417">
        <v>0.22</v>
      </c>
      <c r="I214" s="417">
        <v>0.46</v>
      </c>
      <c r="J214" s="417">
        <v>0.38</v>
      </c>
      <c r="K214" s="417">
        <v>0.48</v>
      </c>
      <c r="L214" s="417">
        <v>-0.04</v>
      </c>
      <c r="M214" s="417">
        <v>0.48</v>
      </c>
      <c r="N214" s="417">
        <v>-0.3</v>
      </c>
      <c r="O214" s="417">
        <v>-0.28999999999999998</v>
      </c>
      <c r="P214" s="417">
        <f t="shared" si="12"/>
        <v>0</v>
      </c>
      <c r="Q214" s="417">
        <v>0.08</v>
      </c>
      <c r="R214" s="417">
        <v>-0.46</v>
      </c>
      <c r="S214" s="423"/>
      <c r="T214" s="667">
        <v>8</v>
      </c>
      <c r="U214" s="417">
        <v>-0.24</v>
      </c>
      <c r="V214" s="417">
        <v>-0.12</v>
      </c>
      <c r="W214" s="484">
        <v>-0.16</v>
      </c>
      <c r="X214" s="417">
        <v>-0.26</v>
      </c>
      <c r="Y214" s="417">
        <v>0.25</v>
      </c>
      <c r="Z214" s="417">
        <v>0.24</v>
      </c>
      <c r="AA214" s="417">
        <v>0.48</v>
      </c>
      <c r="AB214" s="417">
        <v>0.38</v>
      </c>
      <c r="AC214" s="418">
        <v>0.46</v>
      </c>
      <c r="AD214" s="417">
        <v>-0.03</v>
      </c>
      <c r="AE214" s="417">
        <v>0.46</v>
      </c>
      <c r="AF214" s="417">
        <v>-0.26</v>
      </c>
      <c r="AG214" s="418">
        <v>-0.3</v>
      </c>
      <c r="AH214" s="417">
        <f t="shared" si="13"/>
        <v>0</v>
      </c>
      <c r="AI214" s="417">
        <v>0.08</v>
      </c>
      <c r="AJ214" s="417">
        <v>-0.46</v>
      </c>
      <c r="AK214" s="423"/>
      <c r="AX214" s="463"/>
      <c r="AY214" s="463"/>
      <c r="BB214" s="427"/>
      <c r="BD214" s="463"/>
      <c r="BE214" s="463"/>
      <c r="BH214" s="427"/>
      <c r="BJ214" s="463"/>
      <c r="BK214" s="463"/>
      <c r="BN214" s="427"/>
      <c r="BP214" s="463"/>
      <c r="BQ214" s="463"/>
      <c r="BT214" s="427"/>
      <c r="BV214" s="463"/>
      <c r="BW214" s="463"/>
    </row>
    <row r="215" spans="1:97" ht="13">
      <c r="B215" s="667">
        <v>37</v>
      </c>
      <c r="C215" s="417">
        <v>0.15</v>
      </c>
      <c r="D215" s="417">
        <v>0.2</v>
      </c>
      <c r="E215" s="417">
        <v>-0.04</v>
      </c>
      <c r="F215" s="417">
        <v>0.55000000000000004</v>
      </c>
      <c r="G215" s="417">
        <v>0.19</v>
      </c>
      <c r="H215" s="417">
        <v>0.21</v>
      </c>
      <c r="I215" s="417">
        <v>0.46</v>
      </c>
      <c r="J215" s="417">
        <v>0.33</v>
      </c>
      <c r="K215" s="417">
        <v>0.41</v>
      </c>
      <c r="L215" s="417">
        <v>0.7</v>
      </c>
      <c r="M215" s="417">
        <v>0.41</v>
      </c>
      <c r="N215" s="417">
        <v>0.5</v>
      </c>
      <c r="O215" s="417">
        <v>0.6</v>
      </c>
      <c r="P215" s="417">
        <f t="shared" si="12"/>
        <v>0</v>
      </c>
      <c r="Q215" s="417">
        <v>0.23</v>
      </c>
      <c r="R215" s="417">
        <v>0.42</v>
      </c>
      <c r="S215" s="423"/>
      <c r="T215" s="667">
        <v>37</v>
      </c>
      <c r="U215" s="417">
        <v>0.16</v>
      </c>
      <c r="V215" s="417">
        <v>0.19</v>
      </c>
      <c r="W215" s="484">
        <v>-0.05</v>
      </c>
      <c r="X215" s="417">
        <v>0.57999999999999996</v>
      </c>
      <c r="Y215" s="417">
        <v>0.22</v>
      </c>
      <c r="Z215" s="417">
        <v>0.23</v>
      </c>
      <c r="AA215" s="417">
        <v>0.47</v>
      </c>
      <c r="AB215" s="417">
        <v>0.33</v>
      </c>
      <c r="AC215" s="417">
        <v>0.39</v>
      </c>
      <c r="AD215" s="417">
        <v>0.72</v>
      </c>
      <c r="AE215" s="417">
        <v>0.39</v>
      </c>
      <c r="AF215" s="417">
        <v>0.49</v>
      </c>
      <c r="AG215" s="418">
        <v>0.61</v>
      </c>
      <c r="AH215" s="417">
        <f t="shared" si="13"/>
        <v>0</v>
      </c>
      <c r="AI215" s="417">
        <v>0.23</v>
      </c>
      <c r="AJ215" s="417">
        <v>0.42</v>
      </c>
      <c r="AK215" s="423"/>
      <c r="AX215" s="463"/>
      <c r="AY215" s="463"/>
      <c r="BB215" s="427"/>
      <c r="BD215" s="463"/>
      <c r="BE215" s="463"/>
      <c r="BH215" s="427"/>
      <c r="BJ215" s="463"/>
      <c r="BK215" s="463"/>
      <c r="BN215" s="427"/>
      <c r="BP215" s="463"/>
      <c r="BQ215" s="463"/>
      <c r="BT215" s="427"/>
      <c r="BV215" s="463"/>
      <c r="BW215" s="463"/>
    </row>
    <row r="216" spans="1:97" ht="13">
      <c r="B216" s="667">
        <v>44</v>
      </c>
      <c r="C216" s="417">
        <v>0.24</v>
      </c>
      <c r="D216" s="417">
        <v>0.26</v>
      </c>
      <c r="E216" s="417">
        <v>-0.04</v>
      </c>
      <c r="F216" s="417">
        <v>0.67</v>
      </c>
      <c r="G216" s="417">
        <v>0.2</v>
      </c>
      <c r="H216" s="417">
        <v>0.21</v>
      </c>
      <c r="I216" s="417">
        <v>0.47</v>
      </c>
      <c r="J216" s="417">
        <v>0.33</v>
      </c>
      <c r="K216" s="417">
        <v>0.39</v>
      </c>
      <c r="L216" s="417">
        <v>0.79</v>
      </c>
      <c r="M216" s="417">
        <v>0.39</v>
      </c>
      <c r="N216" s="417">
        <v>0.61</v>
      </c>
      <c r="O216" s="417">
        <v>0.72</v>
      </c>
      <c r="P216" s="417">
        <f t="shared" si="12"/>
        <v>0</v>
      </c>
      <c r="Q216" s="417">
        <v>0.25</v>
      </c>
      <c r="R216" s="417">
        <v>0.56999999999999995</v>
      </c>
      <c r="S216" s="423"/>
      <c r="T216" s="667">
        <v>44</v>
      </c>
      <c r="U216" s="417">
        <v>0.25</v>
      </c>
      <c r="V216" s="417">
        <v>0.26</v>
      </c>
      <c r="W216" s="484">
        <v>-0.04</v>
      </c>
      <c r="X216" s="417">
        <v>0.7</v>
      </c>
      <c r="Y216" s="417">
        <v>0.21</v>
      </c>
      <c r="Z216" s="417">
        <v>0.23</v>
      </c>
      <c r="AA216" s="417">
        <v>0.48</v>
      </c>
      <c r="AB216" s="417">
        <v>0.33</v>
      </c>
      <c r="AC216" s="417">
        <v>0.37</v>
      </c>
      <c r="AD216" s="417">
        <v>0.82</v>
      </c>
      <c r="AE216" s="417">
        <v>0.37</v>
      </c>
      <c r="AF216" s="417">
        <v>0.56999999999999995</v>
      </c>
      <c r="AG216" s="418">
        <v>0.73</v>
      </c>
      <c r="AH216" s="417">
        <f t="shared" si="13"/>
        <v>0</v>
      </c>
      <c r="AI216" s="417">
        <v>0.25</v>
      </c>
      <c r="AJ216" s="417">
        <v>0.56999999999999995</v>
      </c>
      <c r="AK216" s="423"/>
      <c r="AX216" s="463"/>
      <c r="AY216" s="463"/>
      <c r="BB216" s="427"/>
      <c r="BD216" s="463"/>
      <c r="BE216" s="463"/>
      <c r="BH216" s="427"/>
      <c r="BJ216" s="463"/>
      <c r="BK216" s="463"/>
      <c r="BN216" s="427"/>
      <c r="BP216" s="463"/>
      <c r="BQ216" s="463"/>
      <c r="BT216" s="427"/>
      <c r="BV216" s="463"/>
      <c r="BW216" s="463"/>
    </row>
    <row r="217" spans="1:97" ht="13">
      <c r="B217" s="667">
        <v>50</v>
      </c>
      <c r="C217" s="417">
        <v>0.31</v>
      </c>
      <c r="D217" s="417">
        <v>0.31</v>
      </c>
      <c r="E217" s="417">
        <v>-0.05</v>
      </c>
      <c r="F217" s="417">
        <v>0.75</v>
      </c>
      <c r="G217" s="417">
        <v>0.2</v>
      </c>
      <c r="H217" s="417">
        <v>0.22</v>
      </c>
      <c r="I217" s="417">
        <v>0.47</v>
      </c>
      <c r="J217" s="417">
        <v>0.33</v>
      </c>
      <c r="K217" s="417">
        <v>0.37</v>
      </c>
      <c r="L217" s="417">
        <v>0.84</v>
      </c>
      <c r="M217" s="417">
        <v>0.37</v>
      </c>
      <c r="N217" s="417">
        <v>0.68</v>
      </c>
      <c r="O217" s="417">
        <v>0.8</v>
      </c>
      <c r="P217" s="417">
        <f t="shared" si="12"/>
        <v>-1</v>
      </c>
      <c r="Q217" s="417">
        <v>0.27</v>
      </c>
      <c r="R217" s="417">
        <v>0.67</v>
      </c>
      <c r="S217" s="423"/>
      <c r="T217" s="667">
        <v>50</v>
      </c>
      <c r="U217" s="417">
        <v>0.32</v>
      </c>
      <c r="V217" s="417">
        <v>0.31</v>
      </c>
      <c r="W217" s="484">
        <v>-0.05</v>
      </c>
      <c r="X217" s="417">
        <v>0.79</v>
      </c>
      <c r="Y217" s="417">
        <v>0.21</v>
      </c>
      <c r="Z217" s="417">
        <v>0.23</v>
      </c>
      <c r="AA217" s="417">
        <v>0.48</v>
      </c>
      <c r="AB217" s="417">
        <v>0.34</v>
      </c>
      <c r="AC217" s="417">
        <v>0.35</v>
      </c>
      <c r="AD217" s="417">
        <v>0.87</v>
      </c>
      <c r="AE217" s="417">
        <v>0.35</v>
      </c>
      <c r="AF217" s="417">
        <v>0.62</v>
      </c>
      <c r="AG217" s="418">
        <v>0.81</v>
      </c>
      <c r="AH217" s="417">
        <f t="shared" si="13"/>
        <v>-1</v>
      </c>
      <c r="AI217" s="417">
        <v>0.27</v>
      </c>
      <c r="AJ217" s="417">
        <v>0.67</v>
      </c>
      <c r="AK217" s="423"/>
      <c r="AX217" s="463"/>
      <c r="AY217" s="463"/>
      <c r="BB217" s="427"/>
      <c r="BD217" s="463"/>
      <c r="BE217" s="463"/>
      <c r="BH217" s="427"/>
      <c r="BJ217" s="463"/>
      <c r="BK217" s="463"/>
      <c r="BN217" s="427"/>
      <c r="BP217" s="463"/>
      <c r="BQ217" s="463"/>
      <c r="BT217" s="427"/>
      <c r="BV217" s="463"/>
      <c r="BW217" s="463"/>
    </row>
    <row r="218" spans="1:97" ht="13">
      <c r="B218" s="667">
        <v>100</v>
      </c>
      <c r="C218" s="417">
        <v>0.77</v>
      </c>
      <c r="D218" s="417">
        <v>0.56999999999999995</v>
      </c>
      <c r="E218" s="417">
        <v>-0.19</v>
      </c>
      <c r="F218" s="417">
        <v>0.79</v>
      </c>
      <c r="G218" s="417">
        <v>0.28999999999999998</v>
      </c>
      <c r="H218" s="417">
        <v>0.32</v>
      </c>
      <c r="I218" s="417">
        <v>0.57999999999999996</v>
      </c>
      <c r="J218" s="417">
        <v>0.42</v>
      </c>
      <c r="K218" s="417">
        <v>0.2</v>
      </c>
      <c r="L218" s="417">
        <v>0.6</v>
      </c>
      <c r="M218" s="417">
        <v>0.2</v>
      </c>
      <c r="N218" s="417">
        <v>0.63</v>
      </c>
      <c r="O218" s="417">
        <v>0.68</v>
      </c>
      <c r="P218" s="417">
        <f t="shared" si="12"/>
        <v>-1.6</v>
      </c>
      <c r="Q218" s="417">
        <v>0.31</v>
      </c>
      <c r="R218" s="417">
        <v>0.95</v>
      </c>
      <c r="S218" s="423"/>
      <c r="T218" s="667">
        <v>100</v>
      </c>
      <c r="U218" s="417">
        <v>0.75</v>
      </c>
      <c r="V218" s="417">
        <v>0.61</v>
      </c>
      <c r="W218" s="484">
        <v>-0.17</v>
      </c>
      <c r="X218" s="417">
        <v>0.82</v>
      </c>
      <c r="Y218" s="417">
        <v>0.28000000000000003</v>
      </c>
      <c r="Z218" s="417">
        <v>0.33</v>
      </c>
      <c r="AA218" s="417">
        <v>0.57999999999999996</v>
      </c>
      <c r="AB218" s="417">
        <v>0.43</v>
      </c>
      <c r="AC218" s="417">
        <v>0.19</v>
      </c>
      <c r="AD218" s="417">
        <v>0.71</v>
      </c>
      <c r="AE218" s="417">
        <v>0.19</v>
      </c>
      <c r="AF218" s="417">
        <v>0.31</v>
      </c>
      <c r="AG218" s="418">
        <v>0.66</v>
      </c>
      <c r="AH218" s="417">
        <f t="shared" si="13"/>
        <v>-1.6</v>
      </c>
      <c r="AI218" s="417">
        <v>0.31</v>
      </c>
      <c r="AJ218" s="417">
        <v>0.95</v>
      </c>
      <c r="AK218" s="423"/>
      <c r="AX218" s="463"/>
      <c r="AY218" s="463"/>
      <c r="BB218" s="427"/>
      <c r="BD218" s="463"/>
      <c r="BE218" s="463"/>
      <c r="BH218" s="427"/>
      <c r="BJ218" s="463"/>
      <c r="BK218" s="463"/>
      <c r="BN218" s="427"/>
      <c r="BP218" s="463"/>
      <c r="BQ218" s="463"/>
      <c r="BT218" s="427"/>
      <c r="BV218" s="463"/>
      <c r="BW218" s="463"/>
    </row>
    <row r="219" spans="1:97" ht="13">
      <c r="B219" s="667">
        <v>150</v>
      </c>
      <c r="C219" s="417">
        <v>0.77</v>
      </c>
      <c r="D219" s="417">
        <v>0.55000000000000004</v>
      </c>
      <c r="E219" s="417">
        <v>-0.27</v>
      </c>
      <c r="F219" s="417">
        <v>0.06</v>
      </c>
      <c r="G219" s="417">
        <v>0.47</v>
      </c>
      <c r="H219" s="417">
        <v>0.52</v>
      </c>
      <c r="I219" s="417">
        <v>0.76</v>
      </c>
      <c r="J219" s="417">
        <v>0.62</v>
      </c>
      <c r="K219" s="417">
        <v>-0.02</v>
      </c>
      <c r="L219" s="417">
        <v>-0.1</v>
      </c>
      <c r="M219" s="417">
        <v>-0.02</v>
      </c>
      <c r="N219" s="417">
        <v>-7.0000000000000007E-2</v>
      </c>
      <c r="O219" s="417">
        <v>-0.3</v>
      </c>
      <c r="P219" s="417">
        <f t="shared" si="12"/>
        <v>-1.7</v>
      </c>
      <c r="Q219" s="417">
        <v>0.3</v>
      </c>
      <c r="R219" s="417">
        <v>0.49</v>
      </c>
      <c r="S219" s="423"/>
      <c r="T219" s="667">
        <v>150</v>
      </c>
      <c r="U219" s="417">
        <v>0.71</v>
      </c>
      <c r="V219" s="417">
        <v>0.56999999999999995</v>
      </c>
      <c r="W219" s="484">
        <v>-0.26</v>
      </c>
      <c r="X219" s="417">
        <v>0.09</v>
      </c>
      <c r="Y219" s="417">
        <v>0.44</v>
      </c>
      <c r="Z219" s="417">
        <v>0.51</v>
      </c>
      <c r="AA219" s="417">
        <v>0.74</v>
      </c>
      <c r="AB219" s="417">
        <v>0.62</v>
      </c>
      <c r="AC219" s="417">
        <v>-0.02</v>
      </c>
      <c r="AD219" s="417">
        <v>0.09</v>
      </c>
      <c r="AE219" s="417">
        <v>-0.02</v>
      </c>
      <c r="AF219" s="417">
        <v>-0.56999999999999995</v>
      </c>
      <c r="AG219" s="418">
        <v>-0.22</v>
      </c>
      <c r="AH219" s="417">
        <f t="shared" si="13"/>
        <v>-1.7</v>
      </c>
      <c r="AI219" s="417">
        <v>0.3</v>
      </c>
      <c r="AJ219" s="417">
        <v>0.49</v>
      </c>
      <c r="AK219" s="423"/>
      <c r="AX219" s="463"/>
      <c r="AY219" s="463"/>
      <c r="BB219" s="427"/>
      <c r="BD219" s="463"/>
      <c r="BE219" s="463"/>
      <c r="BH219" s="427"/>
      <c r="BJ219" s="463"/>
      <c r="BK219" s="463"/>
      <c r="BN219" s="427"/>
      <c r="BP219" s="463"/>
      <c r="BQ219" s="463"/>
      <c r="BT219" s="427"/>
      <c r="BV219" s="463"/>
      <c r="BW219" s="463"/>
    </row>
    <row r="220" spans="1:97" ht="13">
      <c r="B220" s="667">
        <v>200</v>
      </c>
      <c r="C220" s="417">
        <v>0.02</v>
      </c>
      <c r="D220" s="417">
        <v>0.24</v>
      </c>
      <c r="E220" s="417">
        <v>0.04</v>
      </c>
      <c r="F220" s="417">
        <v>-0.9</v>
      </c>
      <c r="G220" s="417">
        <v>0.7</v>
      </c>
      <c r="H220" s="417">
        <v>0.76</v>
      </c>
      <c r="I220" s="417">
        <v>0.98</v>
      </c>
      <c r="J220" s="417">
        <v>0.83</v>
      </c>
      <c r="K220" s="417">
        <v>-0.28000000000000003</v>
      </c>
      <c r="L220" s="417">
        <v>-0.31</v>
      </c>
      <c r="M220" s="417">
        <v>-0.28000000000000003</v>
      </c>
      <c r="N220" s="417">
        <v>-0.74</v>
      </c>
      <c r="O220" s="417">
        <v>-1.43</v>
      </c>
      <c r="P220" s="417">
        <f t="shared" si="12"/>
        <v>-0.9</v>
      </c>
      <c r="Q220" s="417">
        <v>0.34</v>
      </c>
      <c r="R220" s="417">
        <v>-0.26</v>
      </c>
      <c r="S220" s="423"/>
      <c r="T220" s="667">
        <v>200</v>
      </c>
      <c r="U220" s="417">
        <v>-0.06</v>
      </c>
      <c r="V220" s="417">
        <v>0.11</v>
      </c>
      <c r="W220" s="484">
        <v>-0.03</v>
      </c>
      <c r="X220" s="417">
        <v>-0.86</v>
      </c>
      <c r="Y220" s="417">
        <v>0.67</v>
      </c>
      <c r="Z220" s="417">
        <v>0.76</v>
      </c>
      <c r="AA220" s="417">
        <v>0.96</v>
      </c>
      <c r="AB220" s="417">
        <v>0.82</v>
      </c>
      <c r="AC220" s="417">
        <v>-0.26</v>
      </c>
      <c r="AD220" s="417">
        <v>-0.06</v>
      </c>
      <c r="AE220" s="417">
        <v>-0.26</v>
      </c>
      <c r="AF220" s="417">
        <v>-1.06</v>
      </c>
      <c r="AG220" s="418">
        <v>-0.93</v>
      </c>
      <c r="AH220" s="417">
        <f t="shared" si="13"/>
        <v>-0.9</v>
      </c>
      <c r="AI220" s="417">
        <v>0.34</v>
      </c>
      <c r="AJ220" s="417">
        <v>-0.26</v>
      </c>
      <c r="AK220" s="423"/>
      <c r="AX220" s="463"/>
      <c r="AY220" s="463"/>
      <c r="BB220" s="427"/>
      <c r="BD220" s="463"/>
      <c r="BE220" s="463"/>
      <c r="BH220" s="427"/>
      <c r="BJ220" s="463"/>
      <c r="BK220" s="463"/>
      <c r="BN220" s="427"/>
      <c r="BP220" s="463"/>
      <c r="BQ220" s="463"/>
      <c r="BT220" s="427"/>
      <c r="BV220" s="463"/>
      <c r="BW220" s="463"/>
    </row>
    <row r="221" spans="1:97" s="710" customFormat="1" ht="13">
      <c r="A221" s="473"/>
      <c r="B221" s="667" t="s">
        <v>396</v>
      </c>
      <c r="C221" s="694">
        <v>0.34</v>
      </c>
      <c r="D221" s="694">
        <v>0.56000000000000005</v>
      </c>
      <c r="E221" s="694">
        <v>0.28000000000000003</v>
      </c>
      <c r="F221" s="694">
        <v>0.25</v>
      </c>
      <c r="G221" s="694">
        <v>0.26</v>
      </c>
      <c r="H221" s="694">
        <v>0.26</v>
      </c>
      <c r="I221" s="694">
        <v>0.25</v>
      </c>
      <c r="J221" s="694">
        <v>0.25</v>
      </c>
      <c r="K221" s="694">
        <v>0.79</v>
      </c>
      <c r="L221" s="694">
        <v>0.27</v>
      </c>
      <c r="M221" s="694">
        <v>0.79</v>
      </c>
      <c r="N221" s="694">
        <v>0.26</v>
      </c>
      <c r="O221" s="694">
        <v>0.27</v>
      </c>
      <c r="P221" s="694">
        <f t="shared" si="12"/>
        <v>0.6</v>
      </c>
      <c r="Q221" s="694">
        <v>0.22</v>
      </c>
      <c r="R221" s="694">
        <v>0.77</v>
      </c>
      <c r="S221" s="473"/>
      <c r="T221" s="667" t="s">
        <v>396</v>
      </c>
      <c r="U221" s="694">
        <v>0.34</v>
      </c>
      <c r="V221" s="694">
        <v>0.56000000000000005</v>
      </c>
      <c r="W221" s="709">
        <v>0.28000000000000003</v>
      </c>
      <c r="X221" s="694">
        <v>0.26</v>
      </c>
      <c r="Y221" s="694">
        <v>0.26</v>
      </c>
      <c r="Z221" s="694">
        <v>0.26</v>
      </c>
      <c r="AA221" s="694">
        <v>0.25</v>
      </c>
      <c r="AB221" s="694">
        <v>0.25</v>
      </c>
      <c r="AC221" s="694">
        <v>0.79</v>
      </c>
      <c r="AD221" s="694">
        <v>0.27</v>
      </c>
      <c r="AE221" s="694">
        <v>0.79</v>
      </c>
      <c r="AF221" s="694">
        <v>0.26</v>
      </c>
      <c r="AG221" s="694">
        <v>0.28000000000000003</v>
      </c>
      <c r="AH221" s="694">
        <f t="shared" si="13"/>
        <v>0.6</v>
      </c>
      <c r="AI221" s="694">
        <v>0.22</v>
      </c>
      <c r="AJ221" s="694">
        <v>0.77</v>
      </c>
      <c r="AK221" s="473"/>
      <c r="AN221" s="471"/>
      <c r="AP221" s="711"/>
      <c r="AT221" s="471"/>
      <c r="AV221" s="711"/>
      <c r="AX221" s="471"/>
      <c r="AY221" s="471"/>
      <c r="AZ221" s="471"/>
      <c r="BD221" s="471"/>
      <c r="BE221" s="471"/>
      <c r="BF221" s="471"/>
      <c r="BJ221" s="471"/>
      <c r="BK221" s="471"/>
      <c r="BL221" s="471"/>
      <c r="BP221" s="471"/>
      <c r="BQ221" s="471"/>
      <c r="BR221" s="471"/>
      <c r="BV221" s="471"/>
      <c r="BW221" s="471"/>
      <c r="BX221" s="471"/>
      <c r="BZ221" s="711"/>
      <c r="CG221" s="473"/>
      <c r="CM221" s="473"/>
      <c r="CS221" s="473"/>
    </row>
    <row r="222" spans="1:97" s="423" customFormat="1">
      <c r="B222" s="424"/>
      <c r="C222" s="424"/>
      <c r="D222" s="424"/>
      <c r="E222" s="424"/>
      <c r="F222" s="424"/>
      <c r="G222" s="424"/>
      <c r="H222" s="424"/>
      <c r="I222" s="424"/>
      <c r="J222" s="424"/>
      <c r="K222" s="424"/>
      <c r="L222" s="424"/>
      <c r="M222" s="424"/>
      <c r="N222" s="424"/>
      <c r="O222" s="424"/>
      <c r="P222" s="424"/>
      <c r="Q222" s="424"/>
      <c r="T222" s="424"/>
      <c r="U222" s="424"/>
      <c r="V222" s="424"/>
      <c r="W222" s="424"/>
      <c r="X222" s="424"/>
      <c r="Y222" s="424"/>
      <c r="Z222" s="424"/>
      <c r="AA222" s="424"/>
      <c r="AB222" s="424"/>
      <c r="AC222" s="424"/>
      <c r="AD222" s="424"/>
      <c r="AE222" s="424"/>
      <c r="AF222" s="424"/>
      <c r="AG222" s="424"/>
      <c r="AI222" s="425"/>
      <c r="AZ222" s="424"/>
      <c r="BB222" s="425"/>
      <c r="BF222" s="424"/>
      <c r="BH222" s="425"/>
      <c r="BL222" s="424"/>
      <c r="BN222" s="425"/>
      <c r="BR222" s="424"/>
      <c r="BT222" s="425"/>
      <c r="BX222" s="424"/>
      <c r="BZ222" s="425"/>
    </row>
    <row r="223" spans="1:97" ht="97.5" customHeight="1">
      <c r="B223" s="485" t="s">
        <v>393</v>
      </c>
      <c r="C223" s="475" t="str">
        <f t="shared" ref="C223:R223" si="14">C207</f>
        <v>Thermocouple Data Logger, Merek : MADGETECH, Model : OctTemp 2000, SN : P40270</v>
      </c>
      <c r="D223" s="475" t="str">
        <f t="shared" si="14"/>
        <v>Thermocouple Data Logger, Merek : MADGETECH, Model : OctTemp 2000, SN : P41878</v>
      </c>
      <c r="E223" s="475" t="str">
        <f t="shared" si="14"/>
        <v>Mobile Corder, Merek : Yokogawa, Model : GP 10, SN : S5T810599</v>
      </c>
      <c r="F223" s="475" t="str">
        <f t="shared" si="14"/>
        <v>Wireless Temperature Recorder : Merek : HIOKI, Model : LR 8510, SN : 200936000</v>
      </c>
      <c r="G223" s="475" t="str">
        <f t="shared" si="14"/>
        <v>Wireless Temperature Recorder : Merek : HIOKI, Model : LR 8510, SN : 200936001</v>
      </c>
      <c r="H223" s="475" t="str">
        <f t="shared" si="14"/>
        <v>Wireless Temperature Recorder : Merek : HIOKI, Model : LR 8510, SN : 200821397</v>
      </c>
      <c r="I223" s="475" t="str">
        <f t="shared" si="14"/>
        <v>Wireless Temperature Recorder : Merek : HIOKI, Model : LR 8510, SN : 210411983</v>
      </c>
      <c r="J223" s="475" t="str">
        <f t="shared" si="14"/>
        <v>Wireless Temperature Recorder : Merek : HIOKI, Model : LR 8510, SN : 210411984</v>
      </c>
      <c r="K223" s="475" t="str">
        <f t="shared" si="14"/>
        <v>Wireless Temperature Recorder : Merek : HIOKI, Model : LR 8510, SN : 210411985</v>
      </c>
      <c r="L223" s="475" t="str">
        <f t="shared" si="14"/>
        <v>Wireless Temperature Recorder : Merek : HIOKI, Model : LR 8510, SN : 210746054</v>
      </c>
      <c r="M223" s="475" t="str">
        <f t="shared" si="14"/>
        <v>Wireless Temperature Recorder : Merek : HIOKI, Model : LR 8510, SN : 210746055</v>
      </c>
      <c r="N223" s="475" t="str">
        <f t="shared" si="14"/>
        <v>Wireless Temperature Recorder : Merek : HIOKI, Model : LR 8510, SN : 210746056</v>
      </c>
      <c r="O223" s="481" t="str">
        <f t="shared" si="14"/>
        <v>Wireless Temperature Recorder : Merek : HIOKI, Model : LR 8510, SN : 200821396</v>
      </c>
      <c r="P223" s="481" t="str">
        <f t="shared" si="14"/>
        <v>Reference Thermometer, Merek : APPA, Model : APPA51, SN : 03002948</v>
      </c>
      <c r="Q223" s="481" t="str">
        <f t="shared" si="14"/>
        <v>Reference Thermometer, Merek : FLUKE, Model : 1524, SN : 1803038</v>
      </c>
      <c r="R223" s="481" t="str">
        <f t="shared" si="14"/>
        <v>Reference Thermometer, Merek : FLUKE, Model : 1524, SN : 1803037</v>
      </c>
      <c r="S223" s="423"/>
      <c r="T223" s="485" t="s">
        <v>394</v>
      </c>
      <c r="U223" s="481" t="str">
        <f t="shared" ref="U223:AJ223" si="15">U207</f>
        <v>Thermocouple Data Logger, Merek : MADGETECH, Model : OctTemp 2000, SN : P40270</v>
      </c>
      <c r="V223" s="481" t="str">
        <f t="shared" si="15"/>
        <v>Thermocouple Data Logger, Merek : MADGETECH, Model : OctTemp 2000, SN : P41878</v>
      </c>
      <c r="W223" s="481" t="str">
        <f t="shared" si="15"/>
        <v>Mobile Corder, Merek : Yokogawa, Model : GP 10, SN : S5T810599</v>
      </c>
      <c r="X223" s="481" t="str">
        <f t="shared" si="15"/>
        <v>Wireless Temperature Recorder : Merek : HIOKI, Model : LR 8510, SN : 200936000</v>
      </c>
      <c r="Y223" s="481" t="str">
        <f t="shared" si="15"/>
        <v>Wireless Temperature Recorder : Merek : HIOKI, Model : LR 8510, SN : 200936001</v>
      </c>
      <c r="Z223" s="481" t="str">
        <f t="shared" si="15"/>
        <v>Wireless Temperature Recorder : Merek : HIOKI, Model : LR 8510, SN : 200821397</v>
      </c>
      <c r="AA223" s="481" t="str">
        <f t="shared" si="15"/>
        <v>Wireless Temperature Recorder : Merek : HIOKI, Model : LR 8510, SN : 210411983</v>
      </c>
      <c r="AB223" s="481" t="str">
        <f t="shared" si="15"/>
        <v>Wireless Temperature Recorder : Merek : HIOKI, Model : LR 8510, SN : 210411984</v>
      </c>
      <c r="AC223" s="481" t="str">
        <f t="shared" si="15"/>
        <v>Wireless Temperature Recorder : Merek : HIOKI, Model : LR 8510, SN : 210411985</v>
      </c>
      <c r="AD223" s="481" t="str">
        <f t="shared" si="15"/>
        <v>Wireless Temperature Recorder : Merek : HIOKI, Model : LR 8510, SN : 210746054</v>
      </c>
      <c r="AE223" s="481" t="str">
        <f t="shared" si="15"/>
        <v>Wireless Temperature Recorder : Merek : HIOKI, Model : LR 8510, SN : 210746055</v>
      </c>
      <c r="AF223" s="481" t="str">
        <f t="shared" si="15"/>
        <v>Wireless Temperature Recorder : Merek : HIOKI, Model : LR 8510, SN : 210746056</v>
      </c>
      <c r="AG223" s="481" t="str">
        <f t="shared" si="15"/>
        <v>Wireless Temperature Recorder : Merek : HIOKI, Model : LR 8510, SN : 200821396</v>
      </c>
      <c r="AH223" s="481" t="str">
        <f t="shared" si="15"/>
        <v>Reference Thermometer, Merek : APPA, Model : APPA51, SN : 03002948</v>
      </c>
      <c r="AI223" s="481" t="str">
        <f t="shared" si="15"/>
        <v>Reference Thermometer, Merek : FLUKE, Model : 1524, SN : 1803038</v>
      </c>
      <c r="AJ223" s="481" t="str">
        <f t="shared" si="15"/>
        <v>Reference Thermometer, Merek : FLUKE, Model : 1524, SN : 1803037</v>
      </c>
      <c r="AK223" s="423"/>
      <c r="AX223" s="695"/>
      <c r="AY223" s="696"/>
      <c r="AZ223" s="467"/>
      <c r="BB223" s="427"/>
      <c r="BD223" s="695"/>
      <c r="BE223" s="696"/>
      <c r="BF223" s="467"/>
      <c r="BH223" s="427"/>
      <c r="BJ223" s="695"/>
      <c r="BK223" s="696"/>
      <c r="BL223" s="467"/>
      <c r="BN223" s="427"/>
      <c r="BP223" s="695"/>
      <c r="BQ223" s="696"/>
      <c r="BR223" s="467"/>
      <c r="BT223" s="427"/>
      <c r="BV223" s="695"/>
      <c r="BW223" s="696"/>
      <c r="BX223" s="467"/>
      <c r="BZ223" s="427"/>
    </row>
    <row r="224" spans="1:97" s="630" customFormat="1" ht="6" customHeight="1">
      <c r="B224" s="650"/>
      <c r="C224" s="643"/>
      <c r="D224" s="643"/>
      <c r="E224" s="643"/>
      <c r="F224" s="643"/>
      <c r="G224" s="643"/>
      <c r="H224" s="643"/>
      <c r="I224" s="643"/>
      <c r="J224" s="643"/>
      <c r="K224" s="643"/>
      <c r="L224" s="643"/>
      <c r="M224" s="643"/>
      <c r="N224" s="643"/>
      <c r="O224" s="636"/>
      <c r="P224" s="634"/>
      <c r="Q224" s="634"/>
      <c r="R224" s="634"/>
      <c r="T224" s="650"/>
      <c r="U224" s="648"/>
      <c r="V224" s="648"/>
      <c r="W224" s="648"/>
      <c r="X224" s="648"/>
      <c r="Y224" s="648"/>
      <c r="Z224" s="648"/>
      <c r="AA224" s="648"/>
      <c r="AB224" s="648"/>
      <c r="AC224" s="648"/>
      <c r="AD224" s="648"/>
      <c r="AE224" s="648"/>
      <c r="AF224" s="648"/>
      <c r="AG224" s="636"/>
      <c r="AH224" s="634"/>
      <c r="AI224" s="634"/>
      <c r="AJ224" s="634"/>
      <c r="AN224" s="637"/>
      <c r="AP224" s="638"/>
      <c r="AT224" s="637"/>
      <c r="AV224" s="638"/>
      <c r="AX224" s="639"/>
      <c r="AY224" s="640"/>
      <c r="AZ224" s="641"/>
      <c r="BD224" s="639"/>
      <c r="BE224" s="640"/>
      <c r="BF224" s="641"/>
      <c r="BJ224" s="639"/>
      <c r="BK224" s="640"/>
      <c r="BL224" s="641"/>
      <c r="BP224" s="639"/>
      <c r="BQ224" s="640"/>
      <c r="BR224" s="641"/>
      <c r="BV224" s="639"/>
      <c r="BW224" s="640"/>
      <c r="BX224" s="641"/>
    </row>
    <row r="225" spans="1:97" ht="13">
      <c r="B225" s="667">
        <v>-20</v>
      </c>
      <c r="C225" s="417">
        <v>9.9999999999999995E-7</v>
      </c>
      <c r="D225" s="417">
        <v>9.9999999999999995E-7</v>
      </c>
      <c r="E225" s="417">
        <v>-0.45</v>
      </c>
      <c r="F225" s="417">
        <v>-1.4</v>
      </c>
      <c r="G225" s="417">
        <v>0.2</v>
      </c>
      <c r="H225" s="417">
        <v>0.19</v>
      </c>
      <c r="I225" s="417">
        <v>0.44</v>
      </c>
      <c r="J225" s="417">
        <v>0.36</v>
      </c>
      <c r="K225" s="417">
        <v>0.5</v>
      </c>
      <c r="L225" s="417">
        <v>-1.1100000000000001</v>
      </c>
      <c r="M225" s="417">
        <v>0.5</v>
      </c>
      <c r="N225" s="417">
        <v>-1.26</v>
      </c>
      <c r="O225" s="417">
        <v>-1.42</v>
      </c>
      <c r="P225" s="417">
        <f t="shared" ref="P225:P237" si="16">P209</f>
        <v>-1.1000000000000001</v>
      </c>
      <c r="Q225" s="417">
        <v>-0.15</v>
      </c>
      <c r="R225" s="417">
        <v>-1.8</v>
      </c>
      <c r="S225" s="423"/>
      <c r="T225" s="667">
        <v>-20</v>
      </c>
      <c r="U225" s="417">
        <v>9.9999999999999995E-7</v>
      </c>
      <c r="V225" s="417">
        <v>9.9999999999999995E-7</v>
      </c>
      <c r="W225" s="417">
        <v>-0.46</v>
      </c>
      <c r="X225" s="417">
        <v>-1.35</v>
      </c>
      <c r="Y225" s="417">
        <v>0.21</v>
      </c>
      <c r="Z225" s="417">
        <v>0.22</v>
      </c>
      <c r="AA225" s="417">
        <v>0.44</v>
      </c>
      <c r="AB225" s="417">
        <v>0.34</v>
      </c>
      <c r="AC225" s="417">
        <v>0.47</v>
      </c>
      <c r="AD225" s="417">
        <v>-1.0900000000000001</v>
      </c>
      <c r="AE225" s="417">
        <v>0.47</v>
      </c>
      <c r="AF225" s="417">
        <v>-1.22</v>
      </c>
      <c r="AG225" s="418">
        <v>-1.34</v>
      </c>
      <c r="AH225" s="417">
        <f t="shared" ref="AH225:AH237" si="17">AH209</f>
        <v>-1.1000000000000001</v>
      </c>
      <c r="AI225" s="417">
        <v>-0.15</v>
      </c>
      <c r="AJ225" s="417">
        <v>-1.8</v>
      </c>
      <c r="AK225" s="423"/>
      <c r="AX225" s="463"/>
      <c r="AY225" s="463"/>
      <c r="BB225" s="427"/>
      <c r="BD225" s="463"/>
      <c r="BE225" s="463"/>
      <c r="BH225" s="427"/>
      <c r="BJ225" s="463"/>
      <c r="BK225" s="463"/>
      <c r="BN225" s="427"/>
      <c r="BP225" s="463"/>
      <c r="BQ225" s="463"/>
      <c r="BT225" s="427"/>
      <c r="BV225" s="463"/>
      <c r="BW225" s="463"/>
      <c r="BZ225" s="427"/>
    </row>
    <row r="226" spans="1:97" ht="13">
      <c r="B226" s="667">
        <v>-15</v>
      </c>
      <c r="C226" s="417">
        <v>9.9999999999999995E-7</v>
      </c>
      <c r="D226" s="417">
        <v>9.9999999999999995E-7</v>
      </c>
      <c r="E226" s="417">
        <v>-0.38</v>
      </c>
      <c r="F226" s="417">
        <v>-1.1499999999999999</v>
      </c>
      <c r="G226" s="417">
        <v>0.24</v>
      </c>
      <c r="H226" s="417">
        <v>0.24</v>
      </c>
      <c r="I226" s="417">
        <v>0.45</v>
      </c>
      <c r="J226" s="417">
        <v>0.38</v>
      </c>
      <c r="K226" s="417">
        <v>9.9999999999999995E-7</v>
      </c>
      <c r="L226" s="417">
        <v>-0.83</v>
      </c>
      <c r="M226" s="417">
        <v>9.9999999999999995E-7</v>
      </c>
      <c r="N226" s="417">
        <v>-1</v>
      </c>
      <c r="O226" s="417">
        <v>-1.1399999999999999</v>
      </c>
      <c r="P226" s="417">
        <f t="shared" si="16"/>
        <v>-1.1000000000000001</v>
      </c>
      <c r="Q226" s="417">
        <v>-0.1</v>
      </c>
      <c r="R226" s="417">
        <v>-1.52</v>
      </c>
      <c r="S226" s="423"/>
      <c r="T226" s="667">
        <v>-15</v>
      </c>
      <c r="U226" s="417">
        <v>9.9999999999999995E-7</v>
      </c>
      <c r="V226" s="417">
        <v>9.9999999999999995E-7</v>
      </c>
      <c r="W226" s="417">
        <v>-0.39</v>
      </c>
      <c r="X226" s="417">
        <v>-1.1100000000000001</v>
      </c>
      <c r="Y226" s="417">
        <v>0.25</v>
      </c>
      <c r="Z226" s="417">
        <v>0.26</v>
      </c>
      <c r="AA226" s="417">
        <v>0.45</v>
      </c>
      <c r="AB226" s="417">
        <v>0.35</v>
      </c>
      <c r="AC226" s="417">
        <v>9.9999999999999995E-7</v>
      </c>
      <c r="AD226" s="417">
        <v>-0.81</v>
      </c>
      <c r="AE226" s="417">
        <v>9.9999999999999995E-7</v>
      </c>
      <c r="AF226" s="417">
        <v>-0.96</v>
      </c>
      <c r="AG226" s="418">
        <v>-1.06</v>
      </c>
      <c r="AH226" s="417">
        <f t="shared" si="17"/>
        <v>-1.1000000000000001</v>
      </c>
      <c r="AI226" s="417">
        <v>-0.1</v>
      </c>
      <c r="AJ226" s="417">
        <v>-1.52</v>
      </c>
      <c r="AK226" s="423"/>
      <c r="AX226" s="463"/>
      <c r="AY226" s="463"/>
      <c r="BB226" s="427"/>
      <c r="BD226" s="463"/>
      <c r="BE226" s="463"/>
      <c r="BH226" s="427"/>
      <c r="BJ226" s="463"/>
      <c r="BK226" s="463"/>
      <c r="BN226" s="427"/>
      <c r="BP226" s="463"/>
      <c r="BQ226" s="463"/>
      <c r="BT226" s="427"/>
      <c r="BV226" s="463"/>
      <c r="BW226" s="463"/>
      <c r="BZ226" s="427"/>
    </row>
    <row r="227" spans="1:97" ht="13">
      <c r="B227" s="667">
        <v>-10</v>
      </c>
      <c r="C227" s="417">
        <v>9.9999999999999995E-7</v>
      </c>
      <c r="D227" s="417">
        <v>9.9999999999999995E-7</v>
      </c>
      <c r="E227" s="417">
        <v>-0.32</v>
      </c>
      <c r="F227" s="417">
        <v>-0.9</v>
      </c>
      <c r="G227" s="417">
        <v>0.27</v>
      </c>
      <c r="H227" s="417">
        <v>0.26</v>
      </c>
      <c r="I227" s="417">
        <v>0.46</v>
      </c>
      <c r="J227" s="417">
        <v>0.39</v>
      </c>
      <c r="K227" s="417">
        <v>0.48</v>
      </c>
      <c r="L227" s="417">
        <v>-0.6</v>
      </c>
      <c r="M227" s="417">
        <v>0.48</v>
      </c>
      <c r="N227" s="417">
        <v>-0.78</v>
      </c>
      <c r="O227" s="417">
        <v>-0.89</v>
      </c>
      <c r="P227" s="417">
        <f t="shared" si="16"/>
        <v>-1.2</v>
      </c>
      <c r="Q227" s="417">
        <v>-0.05</v>
      </c>
      <c r="R227" s="417">
        <v>-1.26</v>
      </c>
      <c r="S227" s="423"/>
      <c r="T227" s="667">
        <v>-10</v>
      </c>
      <c r="U227" s="417">
        <v>9.9999999999999995E-7</v>
      </c>
      <c r="V227" s="417">
        <v>9.9999999999999995E-7</v>
      </c>
      <c r="W227" s="417">
        <v>-0.32</v>
      </c>
      <c r="X227" s="417">
        <v>-0.87</v>
      </c>
      <c r="Y227" s="417">
        <v>0.28000000000000003</v>
      </c>
      <c r="Z227" s="417">
        <v>0.28000000000000003</v>
      </c>
      <c r="AA227" s="417">
        <v>0.46</v>
      </c>
      <c r="AB227" s="417">
        <v>0.36</v>
      </c>
      <c r="AC227" s="417">
        <v>0.46</v>
      </c>
      <c r="AD227" s="417">
        <v>-0.59</v>
      </c>
      <c r="AE227" s="417">
        <v>0.46</v>
      </c>
      <c r="AF227" s="417">
        <v>-0.75</v>
      </c>
      <c r="AG227" s="418">
        <v>-0.81</v>
      </c>
      <c r="AH227" s="417">
        <f t="shared" si="17"/>
        <v>-1.2</v>
      </c>
      <c r="AI227" s="417">
        <v>-0.05</v>
      </c>
      <c r="AJ227" s="417">
        <v>-1.26</v>
      </c>
      <c r="AK227" s="423"/>
      <c r="AX227" s="463"/>
      <c r="AY227" s="463"/>
      <c r="BB227" s="427"/>
      <c r="BD227" s="463"/>
      <c r="BE227" s="463"/>
      <c r="BH227" s="427"/>
      <c r="BJ227" s="463"/>
      <c r="BK227" s="463"/>
      <c r="BN227" s="427"/>
      <c r="BP227" s="463"/>
      <c r="BQ227" s="463"/>
      <c r="BT227" s="427"/>
      <c r="BV227" s="463"/>
      <c r="BW227" s="463"/>
      <c r="BZ227" s="427"/>
    </row>
    <row r="228" spans="1:97" ht="13">
      <c r="B228" s="667">
        <v>9.9999999999999995E-7</v>
      </c>
      <c r="C228" s="417">
        <v>9.9999999999999995E-7</v>
      </c>
      <c r="D228" s="417">
        <v>9.9999999999999995E-7</v>
      </c>
      <c r="E228" s="417">
        <v>-0.21</v>
      </c>
      <c r="F228" s="417">
        <v>-0.36</v>
      </c>
      <c r="G228" s="417">
        <v>0.22</v>
      </c>
      <c r="H228" s="417">
        <v>0.21</v>
      </c>
      <c r="I228" s="417">
        <v>0.46</v>
      </c>
      <c r="J228" s="417">
        <v>0.38</v>
      </c>
      <c r="K228" s="417">
        <v>0.47</v>
      </c>
      <c r="L228" s="417">
        <v>-0.34</v>
      </c>
      <c r="M228" s="417">
        <v>0.47</v>
      </c>
      <c r="N228" s="417">
        <v>-0.55000000000000004</v>
      </c>
      <c r="O228" s="417">
        <v>-0.54</v>
      </c>
      <c r="P228" s="417">
        <f t="shared" si="16"/>
        <v>-1.4</v>
      </c>
      <c r="Q228" s="417">
        <v>0.03</v>
      </c>
      <c r="R228" s="417">
        <v>-0.79</v>
      </c>
      <c r="S228" s="423"/>
      <c r="T228" s="667">
        <v>9.9999999999999995E-7</v>
      </c>
      <c r="U228" s="417">
        <v>9.9999999999999995E-7</v>
      </c>
      <c r="V228" s="417">
        <v>9.9999999999999995E-7</v>
      </c>
      <c r="W228" s="417">
        <v>-0.22</v>
      </c>
      <c r="X228" s="417">
        <v>-0.36</v>
      </c>
      <c r="Y228" s="417">
        <v>0.26</v>
      </c>
      <c r="Z228" s="417">
        <v>0.24</v>
      </c>
      <c r="AA228" s="417">
        <v>0.46</v>
      </c>
      <c r="AB228" s="417">
        <v>0.36</v>
      </c>
      <c r="AC228" s="417">
        <v>0.45</v>
      </c>
      <c r="AD228" s="417">
        <v>-0.34</v>
      </c>
      <c r="AE228" s="417">
        <v>0.45</v>
      </c>
      <c r="AF228" s="417">
        <v>-0.53</v>
      </c>
      <c r="AG228" s="418">
        <v>-0.52</v>
      </c>
      <c r="AH228" s="417">
        <f t="shared" si="17"/>
        <v>-1.4</v>
      </c>
      <c r="AI228" s="417">
        <v>0.03</v>
      </c>
      <c r="AJ228" s="417">
        <v>-0.79</v>
      </c>
      <c r="AK228" s="423"/>
      <c r="AX228" s="463"/>
      <c r="AY228" s="463"/>
      <c r="BB228" s="427"/>
      <c r="BD228" s="463"/>
      <c r="BE228" s="463"/>
      <c r="BH228" s="427"/>
      <c r="BJ228" s="463"/>
      <c r="BK228" s="463"/>
      <c r="BN228" s="427"/>
      <c r="BP228" s="463"/>
      <c r="BQ228" s="463"/>
      <c r="BT228" s="427"/>
      <c r="BV228" s="463"/>
      <c r="BW228" s="463"/>
      <c r="BZ228" s="427"/>
    </row>
    <row r="229" spans="1:97" ht="13">
      <c r="B229" s="667">
        <v>2</v>
      </c>
      <c r="C229" s="417">
        <v>9.9999999999999995E-7</v>
      </c>
      <c r="D229" s="417">
        <v>9.9999999999999995E-7</v>
      </c>
      <c r="E229" s="417">
        <v>-0.2</v>
      </c>
      <c r="F229" s="417">
        <v>-0.53</v>
      </c>
      <c r="G229" s="417">
        <v>0.26</v>
      </c>
      <c r="H229" s="417">
        <v>0.25</v>
      </c>
      <c r="I229" s="417">
        <v>0.49</v>
      </c>
      <c r="J229" s="417">
        <v>0.4</v>
      </c>
      <c r="K229" s="417">
        <v>0.47</v>
      </c>
      <c r="L229" s="417">
        <v>-0.36</v>
      </c>
      <c r="M229" s="417">
        <v>0.47</v>
      </c>
      <c r="N229" s="417">
        <v>-0.53</v>
      </c>
      <c r="O229" s="417">
        <v>-0.62</v>
      </c>
      <c r="P229" s="417">
        <f t="shared" si="16"/>
        <v>0</v>
      </c>
      <c r="Q229" s="417">
        <v>0.04</v>
      </c>
      <c r="R229" s="417">
        <v>-2.7</v>
      </c>
      <c r="S229" s="423"/>
      <c r="T229" s="667">
        <v>2</v>
      </c>
      <c r="U229" s="417">
        <v>9.9999999999999995E-7</v>
      </c>
      <c r="V229" s="417">
        <v>9.9999999999999995E-7</v>
      </c>
      <c r="W229" s="417">
        <v>-0.2</v>
      </c>
      <c r="X229" s="417">
        <v>-0.51</v>
      </c>
      <c r="Y229" s="417">
        <v>0.31</v>
      </c>
      <c r="Z229" s="417">
        <v>0.28000000000000003</v>
      </c>
      <c r="AA229" s="417">
        <v>0.48</v>
      </c>
      <c r="AB229" s="417">
        <v>0.38</v>
      </c>
      <c r="AC229" s="417">
        <v>0.44</v>
      </c>
      <c r="AD229" s="417">
        <v>-0.37</v>
      </c>
      <c r="AE229" s="417">
        <v>0.44</v>
      </c>
      <c r="AF229" s="417">
        <v>-0.47</v>
      </c>
      <c r="AG229" s="418">
        <v>-0.57999999999999996</v>
      </c>
      <c r="AH229" s="417">
        <f t="shared" si="17"/>
        <v>0</v>
      </c>
      <c r="AI229" s="417">
        <v>0.04</v>
      </c>
      <c r="AJ229" s="417">
        <v>-2.7</v>
      </c>
      <c r="AK229" s="423"/>
      <c r="AX229" s="463"/>
      <c r="AY229" s="463"/>
      <c r="BB229" s="427"/>
      <c r="BD229" s="463"/>
      <c r="BE229" s="463"/>
      <c r="BH229" s="427"/>
      <c r="BJ229" s="463"/>
      <c r="BK229" s="463"/>
      <c r="BN229" s="427"/>
      <c r="BP229" s="463"/>
      <c r="BQ229" s="463"/>
      <c r="BT229" s="427"/>
      <c r="BV229" s="463"/>
      <c r="BW229" s="463"/>
      <c r="BZ229" s="427"/>
    </row>
    <row r="230" spans="1:97" ht="13">
      <c r="B230" s="667">
        <v>8</v>
      </c>
      <c r="C230" s="417">
        <v>9.9999999999999995E-7</v>
      </c>
      <c r="D230" s="417">
        <v>9.9999999999999995E-7</v>
      </c>
      <c r="E230" s="417">
        <v>-0.15</v>
      </c>
      <c r="F230" s="417">
        <v>-0.28000000000000003</v>
      </c>
      <c r="G230" s="417">
        <v>0.25</v>
      </c>
      <c r="H230" s="417">
        <v>0.25</v>
      </c>
      <c r="I230" s="417">
        <v>0.49</v>
      </c>
      <c r="J230" s="417">
        <v>0.38</v>
      </c>
      <c r="K230" s="417">
        <v>0.46</v>
      </c>
      <c r="L230" s="417">
        <v>-0.09</v>
      </c>
      <c r="M230" s="417">
        <v>0.46</v>
      </c>
      <c r="N230" s="417">
        <v>-0.27</v>
      </c>
      <c r="O230" s="417">
        <v>-0.34</v>
      </c>
      <c r="P230" s="417">
        <f t="shared" si="16"/>
        <v>0</v>
      </c>
      <c r="Q230" s="417">
        <v>0.08</v>
      </c>
      <c r="R230" s="417">
        <v>-0.46</v>
      </c>
      <c r="S230" s="423"/>
      <c r="T230" s="667">
        <v>8</v>
      </c>
      <c r="U230" s="417">
        <v>9.9999999999999995E-7</v>
      </c>
      <c r="V230" s="417">
        <v>9.9999999999999995E-7</v>
      </c>
      <c r="W230" s="417">
        <v>-0.15</v>
      </c>
      <c r="X230" s="417">
        <v>-0.26</v>
      </c>
      <c r="Y230" s="417">
        <v>0.28999999999999998</v>
      </c>
      <c r="Z230" s="417">
        <v>0.28000000000000003</v>
      </c>
      <c r="AA230" s="417">
        <v>0.49</v>
      </c>
      <c r="AB230" s="417">
        <v>0.37</v>
      </c>
      <c r="AC230" s="417">
        <v>0.43</v>
      </c>
      <c r="AD230" s="417">
        <v>-0.09</v>
      </c>
      <c r="AE230" s="417">
        <v>0.43</v>
      </c>
      <c r="AF230" s="417">
        <v>-0.24</v>
      </c>
      <c r="AG230" s="418">
        <v>-0.31</v>
      </c>
      <c r="AH230" s="417">
        <f t="shared" si="17"/>
        <v>0</v>
      </c>
      <c r="AI230" s="417">
        <v>0.08</v>
      </c>
      <c r="AJ230" s="417">
        <v>-0.46</v>
      </c>
      <c r="AK230" s="423"/>
      <c r="AX230" s="463"/>
      <c r="AY230" s="463"/>
      <c r="BB230" s="427"/>
      <c r="BD230" s="463"/>
      <c r="BE230" s="463"/>
      <c r="BH230" s="427"/>
      <c r="BJ230" s="463"/>
      <c r="BK230" s="463"/>
      <c r="BN230" s="427"/>
      <c r="BP230" s="463"/>
      <c r="BQ230" s="463"/>
      <c r="BT230" s="427"/>
      <c r="BV230" s="463"/>
      <c r="BW230" s="463"/>
      <c r="BZ230" s="427"/>
    </row>
    <row r="231" spans="1:97" ht="13">
      <c r="B231" s="667">
        <v>37</v>
      </c>
      <c r="C231" s="417">
        <v>9.9999999999999995E-7</v>
      </c>
      <c r="D231" s="417">
        <v>9.9999999999999995E-7</v>
      </c>
      <c r="E231" s="417">
        <v>-0.04</v>
      </c>
      <c r="F231" s="417">
        <v>0.6</v>
      </c>
      <c r="G231" s="417">
        <v>0.24</v>
      </c>
      <c r="H231" s="417">
        <v>0.26</v>
      </c>
      <c r="I231" s="417">
        <v>0.51</v>
      </c>
      <c r="J231" s="417">
        <v>0.34</v>
      </c>
      <c r="K231" s="417">
        <v>0.4</v>
      </c>
      <c r="L231" s="417">
        <v>0.79</v>
      </c>
      <c r="M231" s="417">
        <v>0.4</v>
      </c>
      <c r="N231" s="417">
        <v>0.52</v>
      </c>
      <c r="O231" s="417">
        <v>0.56999999999999995</v>
      </c>
      <c r="P231" s="417">
        <f t="shared" si="16"/>
        <v>0</v>
      </c>
      <c r="Q231" s="417">
        <v>0.23</v>
      </c>
      <c r="R231" s="417">
        <v>0.42</v>
      </c>
      <c r="S231" s="423"/>
      <c r="T231" s="667">
        <v>37</v>
      </c>
      <c r="U231" s="417">
        <v>9.9999999999999995E-7</v>
      </c>
      <c r="V231" s="417">
        <v>9.9999999999999995E-7</v>
      </c>
      <c r="W231" s="417">
        <v>-0.03</v>
      </c>
      <c r="X231" s="417">
        <v>0.63</v>
      </c>
      <c r="Y231" s="417">
        <v>0.27</v>
      </c>
      <c r="Z231" s="417">
        <v>0.28999999999999998</v>
      </c>
      <c r="AA231" s="417">
        <v>0.52</v>
      </c>
      <c r="AB231" s="417">
        <v>0.35</v>
      </c>
      <c r="AC231" s="417">
        <v>0.37</v>
      </c>
      <c r="AD231" s="417">
        <v>0.81</v>
      </c>
      <c r="AE231" s="417">
        <v>0.37</v>
      </c>
      <c r="AF231" s="417">
        <v>0.5</v>
      </c>
      <c r="AG231" s="418">
        <v>0.56999999999999995</v>
      </c>
      <c r="AH231" s="417">
        <f t="shared" si="17"/>
        <v>0</v>
      </c>
      <c r="AI231" s="417">
        <v>0.23</v>
      </c>
      <c r="AJ231" s="417">
        <v>0.42</v>
      </c>
      <c r="AK231" s="423"/>
      <c r="AX231" s="463"/>
      <c r="AY231" s="463"/>
      <c r="BB231" s="427"/>
      <c r="BD231" s="463"/>
      <c r="BE231" s="463"/>
      <c r="BH231" s="427"/>
      <c r="BJ231" s="463"/>
      <c r="BK231" s="463"/>
      <c r="BN231" s="427"/>
      <c r="BP231" s="463"/>
      <c r="BQ231" s="463"/>
      <c r="BT231" s="427"/>
      <c r="BV231" s="463"/>
      <c r="BW231" s="463"/>
      <c r="BZ231" s="427"/>
    </row>
    <row r="232" spans="1:97" ht="13">
      <c r="B232" s="667">
        <v>44</v>
      </c>
      <c r="C232" s="417">
        <v>9.9999999999999995E-7</v>
      </c>
      <c r="D232" s="417">
        <v>9.9999999999999995E-7</v>
      </c>
      <c r="E232" s="417">
        <v>-0.04</v>
      </c>
      <c r="F232" s="417">
        <v>0.74</v>
      </c>
      <c r="G232" s="417">
        <v>0.24</v>
      </c>
      <c r="H232" s="417">
        <v>0.26</v>
      </c>
      <c r="I232" s="417">
        <v>0.51</v>
      </c>
      <c r="J232" s="417">
        <v>0.34</v>
      </c>
      <c r="K232" s="417">
        <v>0.38</v>
      </c>
      <c r="L232" s="417">
        <v>0.91</v>
      </c>
      <c r="M232" s="417">
        <v>0.38</v>
      </c>
      <c r="N232" s="417">
        <v>0.6</v>
      </c>
      <c r="O232" s="417">
        <v>0.7</v>
      </c>
      <c r="P232" s="417">
        <f t="shared" si="16"/>
        <v>0</v>
      </c>
      <c r="Q232" s="417">
        <v>0.25</v>
      </c>
      <c r="R232" s="417">
        <v>0.56999999999999995</v>
      </c>
      <c r="S232" s="423"/>
      <c r="T232" s="667">
        <v>44</v>
      </c>
      <c r="U232" s="417">
        <v>9.9999999999999995E-7</v>
      </c>
      <c r="V232" s="417">
        <v>9.9999999999999995E-7</v>
      </c>
      <c r="W232" s="417">
        <v>-0.03</v>
      </c>
      <c r="X232" s="417">
        <v>0.77</v>
      </c>
      <c r="Y232" s="417">
        <v>0.27</v>
      </c>
      <c r="Z232" s="417">
        <v>0.28999999999999998</v>
      </c>
      <c r="AA232" s="417">
        <v>0.53</v>
      </c>
      <c r="AB232" s="417">
        <v>0.35</v>
      </c>
      <c r="AC232" s="417">
        <v>0.36</v>
      </c>
      <c r="AD232" s="417">
        <v>0.93</v>
      </c>
      <c r="AE232" s="417">
        <v>0.36</v>
      </c>
      <c r="AF232" s="417">
        <v>0.6</v>
      </c>
      <c r="AG232" s="418">
        <v>0.68</v>
      </c>
      <c r="AH232" s="417">
        <f t="shared" si="17"/>
        <v>0</v>
      </c>
      <c r="AI232" s="417">
        <v>0.25</v>
      </c>
      <c r="AJ232" s="417">
        <v>0.56999999999999995</v>
      </c>
      <c r="AK232" s="423"/>
      <c r="AX232" s="463"/>
      <c r="AY232" s="463"/>
      <c r="BB232" s="427"/>
      <c r="BD232" s="463"/>
      <c r="BE232" s="463"/>
      <c r="BH232" s="427"/>
      <c r="BJ232" s="463"/>
      <c r="BK232" s="463"/>
      <c r="BN232" s="427"/>
      <c r="BP232" s="463"/>
      <c r="BQ232" s="463"/>
      <c r="BT232" s="427"/>
      <c r="BV232" s="463"/>
      <c r="BW232" s="463"/>
      <c r="BZ232" s="427"/>
    </row>
    <row r="233" spans="1:97" ht="13">
      <c r="B233" s="667">
        <v>50</v>
      </c>
      <c r="C233" s="417">
        <v>9.9999999999999995E-7</v>
      </c>
      <c r="D233" s="417">
        <v>9.9999999999999995E-7</v>
      </c>
      <c r="E233" s="417">
        <v>-0.04</v>
      </c>
      <c r="F233" s="417">
        <v>0.83</v>
      </c>
      <c r="G233" s="417">
        <v>0.24</v>
      </c>
      <c r="H233" s="417">
        <v>0.27</v>
      </c>
      <c r="I233" s="417">
        <v>0.52</v>
      </c>
      <c r="J233" s="417">
        <v>0.34</v>
      </c>
      <c r="K233" s="417">
        <v>0.37</v>
      </c>
      <c r="L233" s="417">
        <v>0.99</v>
      </c>
      <c r="M233" s="417">
        <v>0.37</v>
      </c>
      <c r="N233" s="417">
        <v>0.65</v>
      </c>
      <c r="O233" s="417">
        <v>0.77</v>
      </c>
      <c r="P233" s="417">
        <f t="shared" si="16"/>
        <v>-1</v>
      </c>
      <c r="Q233" s="417">
        <v>0.27</v>
      </c>
      <c r="R233" s="417">
        <v>0.67</v>
      </c>
      <c r="S233" s="423"/>
      <c r="T233" s="667">
        <v>50</v>
      </c>
      <c r="U233" s="417">
        <v>9.9999999999999995E-7</v>
      </c>
      <c r="V233" s="417">
        <v>9.9999999999999995E-7</v>
      </c>
      <c r="W233" s="417">
        <v>-0.03</v>
      </c>
      <c r="X233" s="417">
        <v>0.86</v>
      </c>
      <c r="Y233" s="417">
        <v>0.27</v>
      </c>
      <c r="Z233" s="417">
        <v>0.3</v>
      </c>
      <c r="AA233" s="417">
        <v>0.53</v>
      </c>
      <c r="AB233" s="417">
        <v>0.35</v>
      </c>
      <c r="AC233" s="417">
        <v>0.34</v>
      </c>
      <c r="AD233" s="417">
        <v>1.01</v>
      </c>
      <c r="AE233" s="417">
        <v>0.34</v>
      </c>
      <c r="AF233" s="417">
        <v>0.66</v>
      </c>
      <c r="AG233" s="418">
        <v>0.75</v>
      </c>
      <c r="AH233" s="417">
        <f t="shared" si="17"/>
        <v>-1</v>
      </c>
      <c r="AI233" s="417">
        <v>0.27</v>
      </c>
      <c r="AJ233" s="417">
        <v>0.67</v>
      </c>
      <c r="AK233" s="423"/>
      <c r="AX233" s="463"/>
      <c r="AY233" s="463"/>
      <c r="BB233" s="427"/>
      <c r="BD233" s="463"/>
      <c r="BE233" s="463"/>
      <c r="BH233" s="427"/>
      <c r="BJ233" s="463"/>
      <c r="BK233" s="463"/>
      <c r="BN233" s="427"/>
      <c r="BP233" s="463"/>
      <c r="BQ233" s="463"/>
      <c r="BT233" s="427"/>
      <c r="BV233" s="463"/>
      <c r="BW233" s="463"/>
      <c r="BZ233" s="427"/>
    </row>
    <row r="234" spans="1:97" ht="13">
      <c r="B234" s="667">
        <v>100</v>
      </c>
      <c r="C234" s="417">
        <v>9.9999999999999995E-7</v>
      </c>
      <c r="D234" s="417">
        <v>9.9999999999999995E-7</v>
      </c>
      <c r="E234" s="417">
        <v>-0.17</v>
      </c>
      <c r="F234" s="417">
        <v>0.95</v>
      </c>
      <c r="G234" s="417">
        <v>0.33</v>
      </c>
      <c r="H234" s="417">
        <v>0.36</v>
      </c>
      <c r="I234" s="417">
        <v>0.61</v>
      </c>
      <c r="J234" s="417">
        <v>0.44</v>
      </c>
      <c r="K234" s="417">
        <v>0.2</v>
      </c>
      <c r="L234" s="417">
        <v>1.02</v>
      </c>
      <c r="M234" s="417">
        <v>0.2</v>
      </c>
      <c r="N234" s="417">
        <v>0.37</v>
      </c>
      <c r="O234" s="417">
        <v>0.67</v>
      </c>
      <c r="P234" s="417">
        <f t="shared" si="16"/>
        <v>-1.6</v>
      </c>
      <c r="Q234" s="417">
        <v>0.31</v>
      </c>
      <c r="R234" s="417">
        <v>0.95</v>
      </c>
      <c r="S234" s="423"/>
      <c r="T234" s="667">
        <v>100</v>
      </c>
      <c r="U234" s="417">
        <v>9.9999999999999995E-7</v>
      </c>
      <c r="V234" s="417">
        <v>9.9999999999999995E-7</v>
      </c>
      <c r="W234" s="417">
        <v>-0.16</v>
      </c>
      <c r="X234" s="417">
        <v>0.99</v>
      </c>
      <c r="Y234" s="417">
        <v>0.34</v>
      </c>
      <c r="Z234" s="417">
        <v>0.38</v>
      </c>
      <c r="AA234" s="417">
        <v>0.6</v>
      </c>
      <c r="AB234" s="417">
        <v>0.44</v>
      </c>
      <c r="AC234" s="417">
        <v>0.18</v>
      </c>
      <c r="AD234" s="417">
        <v>1.06</v>
      </c>
      <c r="AE234" s="417">
        <v>0.18</v>
      </c>
      <c r="AF234" s="417">
        <v>0.54</v>
      </c>
      <c r="AG234" s="418">
        <v>0.56000000000000005</v>
      </c>
      <c r="AH234" s="417">
        <f t="shared" si="17"/>
        <v>-1.6</v>
      </c>
      <c r="AI234" s="417">
        <v>0.31</v>
      </c>
      <c r="AJ234" s="417">
        <v>0.95</v>
      </c>
      <c r="AK234" s="423"/>
      <c r="AX234" s="463"/>
      <c r="AY234" s="463"/>
      <c r="BB234" s="427"/>
      <c r="BD234" s="463"/>
      <c r="BE234" s="463"/>
      <c r="BH234" s="427"/>
      <c r="BJ234" s="463"/>
      <c r="BK234" s="463"/>
      <c r="BN234" s="427"/>
      <c r="BP234" s="463"/>
      <c r="BQ234" s="463"/>
      <c r="BT234" s="427"/>
      <c r="BV234" s="463"/>
      <c r="BW234" s="463"/>
      <c r="BZ234" s="427"/>
    </row>
    <row r="235" spans="1:97" ht="13">
      <c r="B235" s="667">
        <v>150</v>
      </c>
      <c r="C235" s="417">
        <v>9.9999999999999995E-7</v>
      </c>
      <c r="D235" s="417">
        <v>9.9999999999999995E-7</v>
      </c>
      <c r="E235" s="417">
        <v>-0.28000000000000003</v>
      </c>
      <c r="F235" s="417">
        <v>0.34</v>
      </c>
      <c r="G235" s="417">
        <v>0.51</v>
      </c>
      <c r="H235" s="417">
        <v>0.54</v>
      </c>
      <c r="I235" s="417">
        <v>0.77</v>
      </c>
      <c r="J235" s="417">
        <v>0.62</v>
      </c>
      <c r="K235" s="417">
        <v>-0.01</v>
      </c>
      <c r="L235" s="417">
        <v>0.63</v>
      </c>
      <c r="M235" s="417">
        <v>-0.01</v>
      </c>
      <c r="N235" s="417">
        <v>-0.35</v>
      </c>
      <c r="O235" s="417">
        <v>-0.12</v>
      </c>
      <c r="P235" s="417">
        <f t="shared" si="16"/>
        <v>-1.7</v>
      </c>
      <c r="Q235" s="417">
        <v>0.3</v>
      </c>
      <c r="R235" s="417">
        <v>0.49</v>
      </c>
      <c r="S235" s="423"/>
      <c r="T235" s="667">
        <v>150</v>
      </c>
      <c r="U235" s="417">
        <v>9.9999999999999995E-7</v>
      </c>
      <c r="V235" s="417">
        <v>9.9999999999999995E-7</v>
      </c>
      <c r="W235" s="417">
        <v>-0.28000000000000003</v>
      </c>
      <c r="X235" s="417">
        <v>0.28000000000000003</v>
      </c>
      <c r="Y235" s="417">
        <v>0.51</v>
      </c>
      <c r="Z235" s="417">
        <v>0.54</v>
      </c>
      <c r="AA235" s="417">
        <v>0.72</v>
      </c>
      <c r="AB235" s="417">
        <v>0.61</v>
      </c>
      <c r="AC235" s="417">
        <v>-0.02</v>
      </c>
      <c r="AD235" s="417">
        <v>0.62</v>
      </c>
      <c r="AE235" s="417">
        <v>-0.02</v>
      </c>
      <c r="AF235" s="417">
        <v>-0.15</v>
      </c>
      <c r="AG235" s="418">
        <v>-0.39</v>
      </c>
      <c r="AH235" s="417">
        <f t="shared" si="17"/>
        <v>-1.7</v>
      </c>
      <c r="AI235" s="417">
        <v>0.3</v>
      </c>
      <c r="AJ235" s="417">
        <v>0.49</v>
      </c>
      <c r="AK235" s="423"/>
      <c r="AX235" s="463"/>
      <c r="AY235" s="463"/>
      <c r="BB235" s="427"/>
      <c r="BD235" s="463"/>
      <c r="BE235" s="463"/>
      <c r="BH235" s="427"/>
      <c r="BJ235" s="463"/>
      <c r="BK235" s="463"/>
      <c r="BN235" s="427"/>
      <c r="BP235" s="463"/>
      <c r="BQ235" s="463"/>
      <c r="BT235" s="427"/>
      <c r="BV235" s="463"/>
      <c r="BW235" s="463"/>
      <c r="BZ235" s="427"/>
    </row>
    <row r="236" spans="1:97" ht="13">
      <c r="B236" s="667">
        <v>200</v>
      </c>
      <c r="C236" s="417">
        <v>9.9999999999999995E-7</v>
      </c>
      <c r="D236" s="417">
        <v>9.9999999999999995E-7</v>
      </c>
      <c r="E236" s="417">
        <v>0</v>
      </c>
      <c r="F236" s="417">
        <v>-0.41</v>
      </c>
      <c r="G236" s="417">
        <v>0.74</v>
      </c>
      <c r="H236" s="417">
        <v>0.81</v>
      </c>
      <c r="I236" s="417">
        <v>1.02</v>
      </c>
      <c r="J236" s="417">
        <v>0.83</v>
      </c>
      <c r="K236" s="417">
        <v>-0.28999999999999998</v>
      </c>
      <c r="L236" s="417">
        <v>0.8</v>
      </c>
      <c r="M236" s="417">
        <v>-0.28999999999999998</v>
      </c>
      <c r="N236" s="417">
        <v>-0.36</v>
      </c>
      <c r="O236" s="417">
        <v>-0.65</v>
      </c>
      <c r="P236" s="417">
        <f t="shared" si="16"/>
        <v>-0.9</v>
      </c>
      <c r="Q236" s="417">
        <v>0.34</v>
      </c>
      <c r="R236" s="417">
        <v>-0.26</v>
      </c>
      <c r="S236" s="423"/>
      <c r="T236" s="667">
        <v>200</v>
      </c>
      <c r="U236" s="417">
        <v>9.9999999999999995E-7</v>
      </c>
      <c r="V236" s="417">
        <v>9.9999999999999995E-7</v>
      </c>
      <c r="W236" s="417">
        <v>0</v>
      </c>
      <c r="X236" s="417">
        <v>-0.8</v>
      </c>
      <c r="Y236" s="417">
        <v>0.73</v>
      </c>
      <c r="Z236" s="417">
        <v>0.81</v>
      </c>
      <c r="AA236" s="417">
        <v>0.95</v>
      </c>
      <c r="AB236" s="417">
        <v>0.84</v>
      </c>
      <c r="AC236" s="417">
        <v>-0.28000000000000003</v>
      </c>
      <c r="AD236" s="417">
        <v>0.66</v>
      </c>
      <c r="AE236" s="417">
        <v>-0.28000000000000003</v>
      </c>
      <c r="AF236" s="417">
        <v>-0.66</v>
      </c>
      <c r="AG236" s="418">
        <v>-1.22</v>
      </c>
      <c r="AH236" s="417">
        <f t="shared" si="17"/>
        <v>-0.9</v>
      </c>
      <c r="AI236" s="417">
        <v>0.34</v>
      </c>
      <c r="AJ236" s="417">
        <v>-0.26</v>
      </c>
      <c r="AK236" s="423"/>
      <c r="AX236" s="463"/>
      <c r="AY236" s="463"/>
      <c r="BB236" s="427"/>
      <c r="BD236" s="463"/>
      <c r="BE236" s="463"/>
      <c r="BH236" s="427"/>
      <c r="BJ236" s="463"/>
      <c r="BK236" s="463"/>
      <c r="BN236" s="427"/>
      <c r="BP236" s="463"/>
      <c r="BQ236" s="463"/>
      <c r="BT236" s="427"/>
      <c r="BV236" s="463"/>
      <c r="BW236" s="463"/>
      <c r="BZ236" s="427"/>
    </row>
    <row r="237" spans="1:97" s="710" customFormat="1" ht="13">
      <c r="A237" s="473"/>
      <c r="B237" s="667" t="s">
        <v>396</v>
      </c>
      <c r="C237" s="694">
        <v>0.1</v>
      </c>
      <c r="D237" s="694">
        <v>0.1</v>
      </c>
      <c r="E237" s="694">
        <v>0.28000000000000003</v>
      </c>
      <c r="F237" s="694">
        <v>0.25</v>
      </c>
      <c r="G237" s="694">
        <v>0.26</v>
      </c>
      <c r="H237" s="694">
        <v>0.27</v>
      </c>
      <c r="I237" s="694">
        <v>0.25</v>
      </c>
      <c r="J237" s="694">
        <v>0.25</v>
      </c>
      <c r="K237" s="694">
        <v>0.79</v>
      </c>
      <c r="L237" s="694">
        <v>0.28000000000000003</v>
      </c>
      <c r="M237" s="694">
        <v>0.79</v>
      </c>
      <c r="N237" s="694">
        <v>0.25</v>
      </c>
      <c r="O237" s="694">
        <v>0.27</v>
      </c>
      <c r="P237" s="694">
        <f t="shared" si="16"/>
        <v>0.6</v>
      </c>
      <c r="Q237" s="694">
        <v>0.22</v>
      </c>
      <c r="R237" s="694">
        <v>0.77</v>
      </c>
      <c r="S237" s="473"/>
      <c r="T237" s="667" t="s">
        <v>396</v>
      </c>
      <c r="U237" s="694">
        <v>0.1</v>
      </c>
      <c r="V237" s="694">
        <v>0.1</v>
      </c>
      <c r="W237" s="694">
        <v>0.28000000000000003</v>
      </c>
      <c r="X237" s="694">
        <v>0.26</v>
      </c>
      <c r="Y237" s="694">
        <v>0.26</v>
      </c>
      <c r="Z237" s="694">
        <v>0.28000000000000003</v>
      </c>
      <c r="AA237" s="694">
        <v>0.24</v>
      </c>
      <c r="AB237" s="694">
        <v>0.25</v>
      </c>
      <c r="AC237" s="694">
        <v>0.79</v>
      </c>
      <c r="AD237" s="694">
        <v>0.27</v>
      </c>
      <c r="AE237" s="694">
        <v>0.79</v>
      </c>
      <c r="AF237" s="694">
        <v>0.25</v>
      </c>
      <c r="AG237" s="694">
        <v>0.27</v>
      </c>
      <c r="AH237" s="694">
        <f t="shared" si="17"/>
        <v>0.6</v>
      </c>
      <c r="AI237" s="694">
        <v>0.22</v>
      </c>
      <c r="AJ237" s="694">
        <v>0.77</v>
      </c>
      <c r="AK237" s="473"/>
      <c r="AN237" s="471"/>
      <c r="AP237" s="711"/>
      <c r="AT237" s="471"/>
      <c r="AV237" s="711"/>
      <c r="AX237" s="471"/>
      <c r="AY237" s="471"/>
      <c r="AZ237" s="471"/>
      <c r="BD237" s="471"/>
      <c r="BE237" s="471"/>
      <c r="BF237" s="471"/>
      <c r="BJ237" s="471"/>
      <c r="BK237" s="471"/>
      <c r="BL237" s="471"/>
      <c r="BP237" s="471"/>
      <c r="BQ237" s="471"/>
      <c r="BR237" s="471"/>
      <c r="BV237" s="471"/>
      <c r="BW237" s="471"/>
      <c r="BX237" s="471"/>
      <c r="CG237" s="473"/>
      <c r="CM237" s="473"/>
      <c r="CS237" s="473"/>
    </row>
    <row r="238" spans="1:97" s="423" customFormat="1">
      <c r="V238" s="424"/>
      <c r="W238" s="424"/>
      <c r="X238" s="424"/>
      <c r="Y238" s="424"/>
      <c r="Z238" s="424"/>
      <c r="AA238" s="424"/>
      <c r="AB238" s="424"/>
      <c r="AC238" s="424"/>
      <c r="AD238" s="424"/>
      <c r="AI238" s="425"/>
      <c r="AZ238" s="424"/>
      <c r="BB238" s="425"/>
      <c r="BF238" s="424"/>
      <c r="BH238" s="425"/>
      <c r="BL238" s="424"/>
      <c r="BN238" s="425"/>
      <c r="BR238" s="424"/>
      <c r="BT238" s="425"/>
      <c r="BX238" s="424"/>
      <c r="BZ238" s="425"/>
    </row>
    <row r="239" spans="1:97" ht="97.5" customHeight="1">
      <c r="B239" s="485" t="s">
        <v>397</v>
      </c>
      <c r="C239" s="475" t="str">
        <f t="shared" ref="C239:R239" si="18">C223</f>
        <v>Thermocouple Data Logger, Merek : MADGETECH, Model : OctTemp 2000, SN : P40270</v>
      </c>
      <c r="D239" s="475" t="str">
        <f t="shared" si="18"/>
        <v>Thermocouple Data Logger, Merek : MADGETECH, Model : OctTemp 2000, SN : P41878</v>
      </c>
      <c r="E239" s="475" t="str">
        <f t="shared" si="18"/>
        <v>Mobile Corder, Merek : Yokogawa, Model : GP 10, SN : S5T810599</v>
      </c>
      <c r="F239" s="475" t="str">
        <f t="shared" si="18"/>
        <v>Wireless Temperature Recorder : Merek : HIOKI, Model : LR 8510, SN : 200936000</v>
      </c>
      <c r="G239" s="475" t="str">
        <f t="shared" si="18"/>
        <v>Wireless Temperature Recorder : Merek : HIOKI, Model : LR 8510, SN : 200936001</v>
      </c>
      <c r="H239" s="475" t="str">
        <f t="shared" si="18"/>
        <v>Wireless Temperature Recorder : Merek : HIOKI, Model : LR 8510, SN : 200821397</v>
      </c>
      <c r="I239" s="475" t="str">
        <f t="shared" si="18"/>
        <v>Wireless Temperature Recorder : Merek : HIOKI, Model : LR 8510, SN : 210411983</v>
      </c>
      <c r="J239" s="475" t="str">
        <f t="shared" si="18"/>
        <v>Wireless Temperature Recorder : Merek : HIOKI, Model : LR 8510, SN : 210411984</v>
      </c>
      <c r="K239" s="475" t="str">
        <f t="shared" si="18"/>
        <v>Wireless Temperature Recorder : Merek : HIOKI, Model : LR 8510, SN : 210411985</v>
      </c>
      <c r="L239" s="475" t="str">
        <f t="shared" si="18"/>
        <v>Wireless Temperature Recorder : Merek : HIOKI, Model : LR 8510, SN : 210746054</v>
      </c>
      <c r="M239" s="475" t="str">
        <f t="shared" si="18"/>
        <v>Wireless Temperature Recorder : Merek : HIOKI, Model : LR 8510, SN : 210746055</v>
      </c>
      <c r="N239" s="475" t="str">
        <f t="shared" si="18"/>
        <v>Wireless Temperature Recorder : Merek : HIOKI, Model : LR 8510, SN : 210746056</v>
      </c>
      <c r="O239" s="481" t="str">
        <f t="shared" si="18"/>
        <v>Wireless Temperature Recorder : Merek : HIOKI, Model : LR 8510, SN : 200821396</v>
      </c>
      <c r="P239" s="481" t="str">
        <f t="shared" si="18"/>
        <v>Reference Thermometer, Merek : APPA, Model : APPA51, SN : 03002948</v>
      </c>
      <c r="Q239" s="481" t="str">
        <f t="shared" si="18"/>
        <v>Reference Thermometer, Merek : FLUKE, Model : 1524, SN : 1803038</v>
      </c>
      <c r="R239" s="481" t="str">
        <f t="shared" si="18"/>
        <v>Reference Thermometer, Merek : FLUKE, Model : 1524, SN : 1803037</v>
      </c>
      <c r="S239" s="423"/>
      <c r="T239" s="485" t="s">
        <v>398</v>
      </c>
      <c r="U239" s="481" t="str">
        <f t="shared" ref="U239:AJ239" si="19">U223</f>
        <v>Thermocouple Data Logger, Merek : MADGETECH, Model : OctTemp 2000, SN : P40270</v>
      </c>
      <c r="V239" s="481" t="str">
        <f t="shared" si="19"/>
        <v>Thermocouple Data Logger, Merek : MADGETECH, Model : OctTemp 2000, SN : P41878</v>
      </c>
      <c r="W239" s="481" t="str">
        <f t="shared" si="19"/>
        <v>Mobile Corder, Merek : Yokogawa, Model : GP 10, SN : S5T810599</v>
      </c>
      <c r="X239" s="481" t="str">
        <f t="shared" si="19"/>
        <v>Wireless Temperature Recorder : Merek : HIOKI, Model : LR 8510, SN : 200936000</v>
      </c>
      <c r="Y239" s="481" t="str">
        <f t="shared" si="19"/>
        <v>Wireless Temperature Recorder : Merek : HIOKI, Model : LR 8510, SN : 200936001</v>
      </c>
      <c r="Z239" s="481" t="str">
        <f t="shared" si="19"/>
        <v>Wireless Temperature Recorder : Merek : HIOKI, Model : LR 8510, SN : 200821397</v>
      </c>
      <c r="AA239" s="481" t="str">
        <f t="shared" si="19"/>
        <v>Wireless Temperature Recorder : Merek : HIOKI, Model : LR 8510, SN : 210411983</v>
      </c>
      <c r="AB239" s="481" t="str">
        <f t="shared" si="19"/>
        <v>Wireless Temperature Recorder : Merek : HIOKI, Model : LR 8510, SN : 210411984</v>
      </c>
      <c r="AC239" s="481" t="str">
        <f t="shared" si="19"/>
        <v>Wireless Temperature Recorder : Merek : HIOKI, Model : LR 8510, SN : 210411985</v>
      </c>
      <c r="AD239" s="481" t="str">
        <f t="shared" si="19"/>
        <v>Wireless Temperature Recorder : Merek : HIOKI, Model : LR 8510, SN : 210746054</v>
      </c>
      <c r="AE239" s="481" t="str">
        <f t="shared" si="19"/>
        <v>Wireless Temperature Recorder : Merek : HIOKI, Model : LR 8510, SN : 210746055</v>
      </c>
      <c r="AF239" s="481" t="str">
        <f t="shared" si="19"/>
        <v>Wireless Temperature Recorder : Merek : HIOKI, Model : LR 8510, SN : 210746056</v>
      </c>
      <c r="AG239" s="481" t="str">
        <f t="shared" si="19"/>
        <v>Wireless Temperature Recorder : Merek : HIOKI, Model : LR 8510, SN : 200821396</v>
      </c>
      <c r="AH239" s="481" t="str">
        <f t="shared" si="19"/>
        <v>Reference Thermometer, Merek : APPA, Model : APPA51, SN : 03002948</v>
      </c>
      <c r="AI239" s="481" t="str">
        <f t="shared" si="19"/>
        <v>Reference Thermometer, Merek : FLUKE, Model : 1524, SN : 1803038</v>
      </c>
      <c r="AJ239" s="481" t="str">
        <f t="shared" si="19"/>
        <v>Reference Thermometer, Merek : FLUKE, Model : 1524, SN : 1803037</v>
      </c>
      <c r="AK239" s="423"/>
      <c r="AX239" s="465"/>
      <c r="AY239" s="466"/>
      <c r="AZ239" s="467"/>
      <c r="BB239" s="427"/>
      <c r="BD239" s="465"/>
      <c r="BE239" s="466"/>
      <c r="BF239" s="467"/>
      <c r="BH239" s="427"/>
      <c r="BJ239" s="465"/>
      <c r="BK239" s="466"/>
      <c r="BL239" s="467"/>
      <c r="BN239" s="427"/>
      <c r="BP239" s="465"/>
      <c r="BQ239" s="466"/>
      <c r="BR239" s="467"/>
      <c r="BT239" s="427"/>
      <c r="BV239" s="465"/>
      <c r="BW239" s="466"/>
      <c r="BX239" s="467"/>
      <c r="BZ239" s="427"/>
    </row>
    <row r="240" spans="1:97" s="630" customFormat="1" ht="6" customHeight="1">
      <c r="B240" s="650"/>
      <c r="C240" s="643"/>
      <c r="D240" s="643"/>
      <c r="E240" s="643"/>
      <c r="F240" s="643"/>
      <c r="G240" s="643"/>
      <c r="H240" s="643"/>
      <c r="I240" s="643"/>
      <c r="J240" s="643"/>
      <c r="K240" s="643"/>
      <c r="L240" s="643"/>
      <c r="M240" s="643"/>
      <c r="N240" s="643"/>
      <c r="O240" s="636"/>
      <c r="P240" s="634"/>
      <c r="Q240" s="634"/>
      <c r="R240" s="634"/>
      <c r="T240" s="650"/>
      <c r="U240" s="648"/>
      <c r="V240" s="648"/>
      <c r="W240" s="648"/>
      <c r="X240" s="648"/>
      <c r="Y240" s="648"/>
      <c r="Z240" s="648"/>
      <c r="AA240" s="648"/>
      <c r="AB240" s="648"/>
      <c r="AC240" s="648"/>
      <c r="AD240" s="648"/>
      <c r="AE240" s="648"/>
      <c r="AF240" s="648"/>
      <c r="AG240" s="636"/>
      <c r="AH240" s="634"/>
      <c r="AI240" s="634"/>
      <c r="AJ240" s="634"/>
      <c r="AN240" s="637"/>
      <c r="AP240" s="638"/>
      <c r="AT240" s="637"/>
      <c r="AV240" s="638"/>
      <c r="AX240" s="639"/>
      <c r="AY240" s="640"/>
      <c r="AZ240" s="641"/>
      <c r="BD240" s="639"/>
      <c r="BE240" s="640"/>
      <c r="BF240" s="641"/>
      <c r="BJ240" s="639"/>
      <c r="BK240" s="640"/>
      <c r="BL240" s="641"/>
      <c r="BP240" s="639"/>
      <c r="BQ240" s="640"/>
      <c r="BR240" s="641"/>
      <c r="BV240" s="639"/>
      <c r="BW240" s="640"/>
      <c r="BX240" s="641"/>
    </row>
    <row r="241" spans="1:97" ht="13">
      <c r="B241" s="667">
        <v>-20</v>
      </c>
      <c r="C241" s="417">
        <v>9.9999999999999995E-7</v>
      </c>
      <c r="D241" s="417">
        <v>9.9999999999999995E-7</v>
      </c>
      <c r="E241" s="417">
        <v>9.9999999999999995E-7</v>
      </c>
      <c r="F241" s="417">
        <v>9.9999999999999995E-7</v>
      </c>
      <c r="G241" s="417">
        <v>9.9999999999999995E-7</v>
      </c>
      <c r="H241" s="417">
        <v>9.9999999999999995E-7</v>
      </c>
      <c r="I241" s="417">
        <v>9.9999999999999995E-7</v>
      </c>
      <c r="J241" s="417">
        <v>9.9999999999999995E-7</v>
      </c>
      <c r="K241" s="417">
        <v>9.9999999999999995E-7</v>
      </c>
      <c r="L241" s="417">
        <v>9.9999999999999995E-7</v>
      </c>
      <c r="M241" s="417">
        <v>9.9999999999999995E-7</v>
      </c>
      <c r="N241" s="417">
        <v>9.9999999999999995E-7</v>
      </c>
      <c r="O241" s="417">
        <v>2</v>
      </c>
      <c r="P241" s="417">
        <f t="shared" ref="P241:P253" si="20">P225</f>
        <v>-1.1000000000000001</v>
      </c>
      <c r="Q241" s="417">
        <v>-0.15</v>
      </c>
      <c r="R241" s="417">
        <v>-1.8</v>
      </c>
      <c r="S241" s="423"/>
      <c r="T241" s="667">
        <v>-20</v>
      </c>
      <c r="U241" s="417">
        <v>9.9999999999999995E-7</v>
      </c>
      <c r="V241" s="417">
        <v>9.9999999999999995E-7</v>
      </c>
      <c r="W241" s="417">
        <v>9.9999999999999995E-7</v>
      </c>
      <c r="X241" s="417">
        <v>9.9999999999999995E-7</v>
      </c>
      <c r="Y241" s="417">
        <v>9.9999999999999995E-7</v>
      </c>
      <c r="Z241" s="417">
        <v>9.9999999999999995E-7</v>
      </c>
      <c r="AA241" s="417">
        <v>9.9999999999999995E-7</v>
      </c>
      <c r="AB241" s="417">
        <v>9.9999999999999995E-7</v>
      </c>
      <c r="AC241" s="417">
        <v>9.9999999999999995E-7</v>
      </c>
      <c r="AD241" s="417">
        <v>9.9999999999999995E-7</v>
      </c>
      <c r="AE241" s="417">
        <v>9.9999999999999995E-7</v>
      </c>
      <c r="AF241" s="417">
        <v>9.9999999999999995E-7</v>
      </c>
      <c r="AG241" s="418">
        <v>9.9999999999999995E-7</v>
      </c>
      <c r="AH241" s="417">
        <f t="shared" ref="AH241:AH253" si="21">AH225</f>
        <v>-1.1000000000000001</v>
      </c>
      <c r="AI241" s="417">
        <v>-0.15</v>
      </c>
      <c r="AJ241" s="417">
        <v>-1.8</v>
      </c>
      <c r="AK241" s="423"/>
      <c r="AX241" s="463"/>
      <c r="AY241" s="463"/>
      <c r="BB241" s="427"/>
      <c r="BD241" s="463"/>
      <c r="BE241" s="463"/>
      <c r="BH241" s="427"/>
      <c r="BJ241" s="463"/>
      <c r="BK241" s="463"/>
      <c r="BN241" s="427"/>
      <c r="BP241" s="463"/>
      <c r="BQ241" s="463"/>
      <c r="BT241" s="427"/>
      <c r="BV241" s="463"/>
      <c r="BW241" s="463"/>
      <c r="BZ241" s="427"/>
    </row>
    <row r="242" spans="1:97" ht="13">
      <c r="B242" s="667">
        <v>-15</v>
      </c>
      <c r="C242" s="417">
        <v>9.9999999999999995E-7</v>
      </c>
      <c r="D242" s="417">
        <v>9.9999999999999995E-7</v>
      </c>
      <c r="E242" s="417">
        <v>9.9999999999999995E-7</v>
      </c>
      <c r="F242" s="417">
        <v>9.9999999999999995E-7</v>
      </c>
      <c r="G242" s="417">
        <v>9.9999999999999995E-7</v>
      </c>
      <c r="H242" s="417">
        <v>9.9999999999999995E-7</v>
      </c>
      <c r="I242" s="417">
        <v>9.9999999999999995E-7</v>
      </c>
      <c r="J242" s="417">
        <v>9.9999999999999995E-7</v>
      </c>
      <c r="K242" s="417">
        <v>9.9999999999999995E-7</v>
      </c>
      <c r="L242" s="417">
        <v>9.9999999999999995E-7</v>
      </c>
      <c r="M242" s="417">
        <v>9.9999999999999995E-7</v>
      </c>
      <c r="N242" s="417">
        <v>9.9999999999999995E-7</v>
      </c>
      <c r="O242" s="417">
        <v>3</v>
      </c>
      <c r="P242" s="417">
        <f t="shared" si="20"/>
        <v>-1.1000000000000001</v>
      </c>
      <c r="Q242" s="417">
        <v>-0.1</v>
      </c>
      <c r="R242" s="417">
        <v>-1.52</v>
      </c>
      <c r="S242" s="423"/>
      <c r="T242" s="667">
        <v>-15</v>
      </c>
      <c r="U242" s="417">
        <v>9.9999999999999995E-7</v>
      </c>
      <c r="V242" s="417">
        <v>9.9999999999999995E-7</v>
      </c>
      <c r="W242" s="417">
        <v>9.9999999999999995E-7</v>
      </c>
      <c r="X242" s="417">
        <v>9.9999999999999995E-7</v>
      </c>
      <c r="Y242" s="417">
        <v>9.9999999999999995E-7</v>
      </c>
      <c r="Z242" s="417">
        <v>9.9999999999999995E-7</v>
      </c>
      <c r="AA242" s="417">
        <v>9.9999999999999995E-7</v>
      </c>
      <c r="AB242" s="417">
        <v>9.9999999999999995E-7</v>
      </c>
      <c r="AC242" s="417">
        <v>9.9999999999999995E-7</v>
      </c>
      <c r="AD242" s="417">
        <v>9.9999999999999995E-7</v>
      </c>
      <c r="AE242" s="417">
        <v>9.9999999999999995E-7</v>
      </c>
      <c r="AF242" s="417">
        <v>9.9999999999999995E-7</v>
      </c>
      <c r="AG242" s="418">
        <v>9.9999999999999995E-7</v>
      </c>
      <c r="AH242" s="417">
        <f t="shared" si="21"/>
        <v>-1.1000000000000001</v>
      </c>
      <c r="AI242" s="417">
        <v>-0.1</v>
      </c>
      <c r="AJ242" s="417">
        <v>-1.52</v>
      </c>
      <c r="AK242" s="423"/>
      <c r="AX242" s="463"/>
      <c r="AY242" s="463"/>
      <c r="BB242" s="427"/>
      <c r="BD242" s="463"/>
      <c r="BE242" s="463"/>
      <c r="BH242" s="427"/>
      <c r="BJ242" s="463"/>
      <c r="BK242" s="463"/>
      <c r="BN242" s="427"/>
      <c r="BP242" s="463"/>
      <c r="BQ242" s="463"/>
      <c r="BT242" s="427"/>
      <c r="BV242" s="463"/>
      <c r="BW242" s="463"/>
      <c r="BZ242" s="427"/>
    </row>
    <row r="243" spans="1:97" ht="13">
      <c r="B243" s="667">
        <v>-10</v>
      </c>
      <c r="C243" s="417">
        <v>9.9999999999999995E-7</v>
      </c>
      <c r="D243" s="417">
        <v>9.9999999999999995E-7</v>
      </c>
      <c r="E243" s="417">
        <v>9.9999999999999995E-7</v>
      </c>
      <c r="F243" s="417">
        <v>9.9999999999999995E-7</v>
      </c>
      <c r="G243" s="417">
        <v>9.9999999999999995E-7</v>
      </c>
      <c r="H243" s="417">
        <v>9.9999999999999995E-7</v>
      </c>
      <c r="I243" s="417">
        <v>9.9999999999999995E-7</v>
      </c>
      <c r="J243" s="417">
        <v>9.9999999999999995E-7</v>
      </c>
      <c r="K243" s="417">
        <v>9.9999999999999995E-7</v>
      </c>
      <c r="L243" s="417">
        <v>9.9999999999999995E-7</v>
      </c>
      <c r="M243" s="417">
        <v>9.9999999999999995E-7</v>
      </c>
      <c r="N243" s="417">
        <v>9.9999999999999995E-7</v>
      </c>
      <c r="O243" s="417">
        <v>4</v>
      </c>
      <c r="P243" s="417">
        <f t="shared" si="20"/>
        <v>-1.2</v>
      </c>
      <c r="Q243" s="417">
        <v>-0.05</v>
      </c>
      <c r="R243" s="417">
        <v>-1.26</v>
      </c>
      <c r="S243" s="423"/>
      <c r="T243" s="667">
        <v>-10</v>
      </c>
      <c r="U243" s="417">
        <v>9.9999999999999995E-7</v>
      </c>
      <c r="V243" s="417">
        <v>9.9999999999999995E-7</v>
      </c>
      <c r="W243" s="417">
        <v>9.9999999999999995E-7</v>
      </c>
      <c r="X243" s="417">
        <v>9.9999999999999995E-7</v>
      </c>
      <c r="Y243" s="417">
        <v>9.9999999999999995E-7</v>
      </c>
      <c r="Z243" s="417">
        <v>9.9999999999999995E-7</v>
      </c>
      <c r="AA243" s="417">
        <v>9.9999999999999995E-7</v>
      </c>
      <c r="AB243" s="417">
        <v>9.9999999999999995E-7</v>
      </c>
      <c r="AC243" s="417">
        <v>9.9999999999999995E-7</v>
      </c>
      <c r="AD243" s="417">
        <v>9.9999999999999995E-7</v>
      </c>
      <c r="AE243" s="417">
        <v>9.9999999999999995E-7</v>
      </c>
      <c r="AF243" s="417">
        <v>9.9999999999999995E-7</v>
      </c>
      <c r="AG243" s="418">
        <v>9.9999999999999995E-7</v>
      </c>
      <c r="AH243" s="417">
        <f t="shared" si="21"/>
        <v>-1.2</v>
      </c>
      <c r="AI243" s="417">
        <v>-0.05</v>
      </c>
      <c r="AJ243" s="417">
        <v>-1.26</v>
      </c>
      <c r="AK243" s="423"/>
      <c r="AX243" s="463"/>
      <c r="AY243" s="463"/>
      <c r="BB243" s="427"/>
      <c r="BD243" s="463"/>
      <c r="BE243" s="463"/>
      <c r="BH243" s="427"/>
      <c r="BJ243" s="463"/>
      <c r="BK243" s="463"/>
      <c r="BN243" s="427"/>
      <c r="BP243" s="463"/>
      <c r="BQ243" s="463"/>
      <c r="BT243" s="427"/>
      <c r="BV243" s="463"/>
      <c r="BW243" s="463"/>
      <c r="BZ243" s="427"/>
    </row>
    <row r="244" spans="1:97" ht="13">
      <c r="B244" s="667">
        <v>9.9999999999999995E-7</v>
      </c>
      <c r="C244" s="417">
        <v>9.9999999999999995E-7</v>
      </c>
      <c r="D244" s="417">
        <v>9.9999999999999995E-7</v>
      </c>
      <c r="E244" s="417">
        <v>9.9999999999999995E-7</v>
      </c>
      <c r="F244" s="417">
        <v>9.9999999999999995E-7</v>
      </c>
      <c r="G244" s="417">
        <v>9.9999999999999995E-7</v>
      </c>
      <c r="H244" s="417">
        <v>9.9999999999999995E-7</v>
      </c>
      <c r="I244" s="417">
        <v>9.9999999999999995E-7</v>
      </c>
      <c r="J244" s="417">
        <v>9.9999999999999995E-7</v>
      </c>
      <c r="K244" s="417">
        <v>9.9999999999999995E-7</v>
      </c>
      <c r="L244" s="417">
        <v>9.9999999999999995E-7</v>
      </c>
      <c r="M244" s="417">
        <v>9.9999999999999995E-7</v>
      </c>
      <c r="N244" s="417">
        <v>9.9999999999999995E-7</v>
      </c>
      <c r="O244" s="417">
        <v>5</v>
      </c>
      <c r="P244" s="417">
        <f t="shared" si="20"/>
        <v>-1.4</v>
      </c>
      <c r="Q244" s="417">
        <v>0.03</v>
      </c>
      <c r="R244" s="417">
        <v>-0.79</v>
      </c>
      <c r="S244" s="423"/>
      <c r="T244" s="667">
        <v>9.9999999999999995E-7</v>
      </c>
      <c r="U244" s="417">
        <v>9.9999999999999995E-7</v>
      </c>
      <c r="V244" s="417">
        <v>9.9999999999999995E-7</v>
      </c>
      <c r="W244" s="417">
        <v>9.9999999999999995E-7</v>
      </c>
      <c r="X244" s="417">
        <v>9.9999999999999995E-7</v>
      </c>
      <c r="Y244" s="417">
        <v>9.9999999999999995E-7</v>
      </c>
      <c r="Z244" s="417">
        <v>9.9999999999999995E-7</v>
      </c>
      <c r="AA244" s="417">
        <v>9.9999999999999995E-7</v>
      </c>
      <c r="AB244" s="417">
        <v>9.9999999999999995E-7</v>
      </c>
      <c r="AC244" s="417">
        <v>9.9999999999999995E-7</v>
      </c>
      <c r="AD244" s="417">
        <v>9.9999999999999995E-7</v>
      </c>
      <c r="AE244" s="417">
        <v>9.9999999999999995E-7</v>
      </c>
      <c r="AF244" s="417">
        <v>9.9999999999999995E-7</v>
      </c>
      <c r="AG244" s="418">
        <v>9.9999999999999995E-7</v>
      </c>
      <c r="AH244" s="417">
        <f t="shared" si="21"/>
        <v>-1.4</v>
      </c>
      <c r="AI244" s="417">
        <v>0.03</v>
      </c>
      <c r="AJ244" s="417">
        <v>-0.79</v>
      </c>
      <c r="AK244" s="423"/>
      <c r="AX244" s="463"/>
      <c r="AY244" s="463"/>
      <c r="BB244" s="427"/>
      <c r="BD244" s="463"/>
      <c r="BE244" s="463"/>
      <c r="BH244" s="427"/>
      <c r="BJ244" s="463"/>
      <c r="BK244" s="463"/>
      <c r="BN244" s="427"/>
      <c r="BP244" s="463"/>
      <c r="BQ244" s="463"/>
      <c r="BT244" s="427"/>
      <c r="BV244" s="463"/>
      <c r="BW244" s="463"/>
      <c r="BZ244" s="427"/>
    </row>
    <row r="245" spans="1:97" ht="13">
      <c r="B245" s="667">
        <v>2</v>
      </c>
      <c r="C245" s="417">
        <v>9.9999999999999995E-7</v>
      </c>
      <c r="D245" s="417">
        <v>9.9999999999999995E-7</v>
      </c>
      <c r="E245" s="417">
        <v>9.9999999999999995E-7</v>
      </c>
      <c r="F245" s="417">
        <v>9.9999999999999995E-7</v>
      </c>
      <c r="G245" s="417">
        <v>9.9999999999999995E-7</v>
      </c>
      <c r="H245" s="417">
        <v>9.9999999999999995E-7</v>
      </c>
      <c r="I245" s="417">
        <v>9.9999999999999995E-7</v>
      </c>
      <c r="J245" s="417">
        <v>9.9999999999999995E-7</v>
      </c>
      <c r="K245" s="417">
        <v>9.9999999999999995E-7</v>
      </c>
      <c r="L245" s="417">
        <v>9.9999999999999995E-7</v>
      </c>
      <c r="M245" s="417">
        <v>9.9999999999999995E-7</v>
      </c>
      <c r="N245" s="417">
        <v>9.9999999999999995E-7</v>
      </c>
      <c r="O245" s="417">
        <v>6</v>
      </c>
      <c r="P245" s="417">
        <f t="shared" si="20"/>
        <v>0</v>
      </c>
      <c r="Q245" s="417">
        <v>0.04</v>
      </c>
      <c r="R245" s="417">
        <v>-2.7</v>
      </c>
      <c r="S245" s="423"/>
      <c r="T245" s="667">
        <v>2</v>
      </c>
      <c r="U245" s="417">
        <v>9.9999999999999995E-7</v>
      </c>
      <c r="V245" s="417">
        <v>9.9999999999999995E-7</v>
      </c>
      <c r="W245" s="417">
        <v>9.9999999999999995E-7</v>
      </c>
      <c r="X245" s="417">
        <v>9.9999999999999995E-7</v>
      </c>
      <c r="Y245" s="417">
        <v>9.9999999999999995E-7</v>
      </c>
      <c r="Z245" s="417">
        <v>9.9999999999999995E-7</v>
      </c>
      <c r="AA245" s="417">
        <v>9.9999999999999995E-7</v>
      </c>
      <c r="AB245" s="417">
        <v>9.9999999999999995E-7</v>
      </c>
      <c r="AC245" s="417">
        <v>9.9999999999999995E-7</v>
      </c>
      <c r="AD245" s="417">
        <v>9.9999999999999995E-7</v>
      </c>
      <c r="AE245" s="417">
        <v>9.9999999999999995E-7</v>
      </c>
      <c r="AF245" s="417">
        <v>9.9999999999999995E-7</v>
      </c>
      <c r="AG245" s="418">
        <v>9.9999999999999995E-7</v>
      </c>
      <c r="AH245" s="417">
        <f t="shared" si="21"/>
        <v>0</v>
      </c>
      <c r="AI245" s="417">
        <v>0.04</v>
      </c>
      <c r="AJ245" s="417">
        <v>-2.7</v>
      </c>
      <c r="AK245" s="423"/>
      <c r="AX245" s="463"/>
      <c r="AY245" s="463"/>
      <c r="BB245" s="427"/>
      <c r="BD245" s="463"/>
      <c r="BE245" s="463"/>
      <c r="BH245" s="427"/>
      <c r="BJ245" s="463"/>
      <c r="BK245" s="463"/>
      <c r="BN245" s="427"/>
      <c r="BP245" s="463"/>
      <c r="BQ245" s="463"/>
      <c r="BT245" s="427"/>
      <c r="BV245" s="463"/>
      <c r="BW245" s="463"/>
      <c r="BZ245" s="427"/>
    </row>
    <row r="246" spans="1:97" ht="13">
      <c r="B246" s="667">
        <v>8</v>
      </c>
      <c r="C246" s="417">
        <v>9.9999999999999995E-7</v>
      </c>
      <c r="D246" s="417">
        <v>9.9999999999999995E-7</v>
      </c>
      <c r="E246" s="417">
        <v>9.9999999999999995E-7</v>
      </c>
      <c r="F246" s="417">
        <v>9.9999999999999995E-7</v>
      </c>
      <c r="G246" s="417">
        <v>9.9999999999999995E-7</v>
      </c>
      <c r="H246" s="417">
        <v>9.9999999999999995E-7</v>
      </c>
      <c r="I246" s="417">
        <v>9.9999999999999995E-7</v>
      </c>
      <c r="J246" s="417">
        <v>9.9999999999999995E-7</v>
      </c>
      <c r="K246" s="417">
        <v>9.9999999999999995E-7</v>
      </c>
      <c r="L246" s="417">
        <v>9.9999999999999995E-7</v>
      </c>
      <c r="M246" s="417">
        <v>9.9999999999999995E-7</v>
      </c>
      <c r="N246" s="417">
        <v>9.9999999999999995E-7</v>
      </c>
      <c r="O246" s="417">
        <v>7</v>
      </c>
      <c r="P246" s="417">
        <f t="shared" si="20"/>
        <v>0</v>
      </c>
      <c r="Q246" s="417">
        <v>0.08</v>
      </c>
      <c r="R246" s="417">
        <v>-0.46</v>
      </c>
      <c r="S246" s="423"/>
      <c r="T246" s="667">
        <v>8</v>
      </c>
      <c r="U246" s="417">
        <v>9.9999999999999995E-7</v>
      </c>
      <c r="V246" s="417">
        <v>9.9999999999999995E-7</v>
      </c>
      <c r="W246" s="417">
        <v>9.9999999999999995E-7</v>
      </c>
      <c r="X246" s="417">
        <v>9.9999999999999995E-7</v>
      </c>
      <c r="Y246" s="417">
        <v>9.9999999999999995E-7</v>
      </c>
      <c r="Z246" s="417">
        <v>9.9999999999999995E-7</v>
      </c>
      <c r="AA246" s="417">
        <v>9.9999999999999995E-7</v>
      </c>
      <c r="AB246" s="417">
        <v>9.9999999999999995E-7</v>
      </c>
      <c r="AC246" s="417">
        <v>9.9999999999999995E-7</v>
      </c>
      <c r="AD246" s="417">
        <v>9.9999999999999995E-7</v>
      </c>
      <c r="AE246" s="417">
        <v>9.9999999999999995E-7</v>
      </c>
      <c r="AF246" s="417">
        <v>9.9999999999999995E-7</v>
      </c>
      <c r="AG246" s="418">
        <v>9.9999999999999995E-7</v>
      </c>
      <c r="AH246" s="417">
        <f t="shared" si="21"/>
        <v>0</v>
      </c>
      <c r="AI246" s="417">
        <v>0.08</v>
      </c>
      <c r="AJ246" s="417">
        <v>-0.46</v>
      </c>
      <c r="AK246" s="423"/>
      <c r="AX246" s="463"/>
      <c r="AY246" s="463"/>
      <c r="BB246" s="427"/>
      <c r="BD246" s="463"/>
      <c r="BE246" s="463"/>
      <c r="BH246" s="427"/>
      <c r="BJ246" s="463"/>
      <c r="BK246" s="463"/>
      <c r="BN246" s="427"/>
      <c r="BP246" s="463"/>
      <c r="BQ246" s="463"/>
      <c r="BT246" s="427"/>
      <c r="BV246" s="463"/>
      <c r="BW246" s="463"/>
      <c r="BZ246" s="427"/>
    </row>
    <row r="247" spans="1:97" ht="13">
      <c r="B247" s="667">
        <v>37</v>
      </c>
      <c r="C247" s="417">
        <v>9.9999999999999995E-7</v>
      </c>
      <c r="D247" s="417">
        <v>9.9999999999999995E-7</v>
      </c>
      <c r="E247" s="417">
        <v>9.9999999999999995E-7</v>
      </c>
      <c r="F247" s="417">
        <v>9.9999999999999995E-7</v>
      </c>
      <c r="G247" s="417">
        <v>9.9999999999999995E-7</v>
      </c>
      <c r="H247" s="417">
        <v>9.9999999999999995E-7</v>
      </c>
      <c r="I247" s="417">
        <v>9.9999999999999995E-7</v>
      </c>
      <c r="J247" s="417">
        <v>9.9999999999999995E-7</v>
      </c>
      <c r="K247" s="417">
        <v>9.9999999999999995E-7</v>
      </c>
      <c r="L247" s="417">
        <v>9.9999999999999995E-7</v>
      </c>
      <c r="M247" s="417">
        <v>9.9999999999999995E-7</v>
      </c>
      <c r="N247" s="417">
        <v>9.9999999999999995E-7</v>
      </c>
      <c r="O247" s="417">
        <v>8</v>
      </c>
      <c r="P247" s="417">
        <f t="shared" si="20"/>
        <v>0</v>
      </c>
      <c r="Q247" s="417">
        <v>0.23</v>
      </c>
      <c r="R247" s="417">
        <v>0.42</v>
      </c>
      <c r="S247" s="423"/>
      <c r="T247" s="667">
        <v>37</v>
      </c>
      <c r="U247" s="417">
        <v>9.9999999999999995E-7</v>
      </c>
      <c r="V247" s="417">
        <v>9.9999999999999995E-7</v>
      </c>
      <c r="W247" s="417">
        <v>9.9999999999999995E-7</v>
      </c>
      <c r="X247" s="417">
        <v>9.9999999999999995E-7</v>
      </c>
      <c r="Y247" s="417">
        <v>9.9999999999999995E-7</v>
      </c>
      <c r="Z247" s="417">
        <v>9.9999999999999995E-7</v>
      </c>
      <c r="AA247" s="417">
        <v>9.9999999999999995E-7</v>
      </c>
      <c r="AB247" s="417">
        <v>9.9999999999999995E-7</v>
      </c>
      <c r="AC247" s="417">
        <v>9.9999999999999995E-7</v>
      </c>
      <c r="AD247" s="417">
        <v>9.9999999999999995E-7</v>
      </c>
      <c r="AE247" s="417">
        <v>9.9999999999999995E-7</v>
      </c>
      <c r="AF247" s="417">
        <v>9.9999999999999995E-7</v>
      </c>
      <c r="AG247" s="418">
        <v>9.9999999999999995E-7</v>
      </c>
      <c r="AH247" s="417">
        <f t="shared" si="21"/>
        <v>0</v>
      </c>
      <c r="AI247" s="417">
        <v>0.23</v>
      </c>
      <c r="AJ247" s="417">
        <v>0.42</v>
      </c>
      <c r="AK247" s="423"/>
      <c r="AX247" s="463"/>
      <c r="AY247" s="463"/>
      <c r="BB247" s="427"/>
      <c r="BD247" s="463"/>
      <c r="BE247" s="463"/>
      <c r="BH247" s="427"/>
      <c r="BJ247" s="463"/>
      <c r="BK247" s="463"/>
      <c r="BN247" s="427"/>
      <c r="BP247" s="463"/>
      <c r="BQ247" s="463"/>
      <c r="BT247" s="427"/>
      <c r="BV247" s="463"/>
      <c r="BW247" s="463"/>
      <c r="BZ247" s="427"/>
    </row>
    <row r="248" spans="1:97" ht="13">
      <c r="B248" s="667">
        <v>44</v>
      </c>
      <c r="C248" s="417">
        <v>9.9999999999999995E-7</v>
      </c>
      <c r="D248" s="417">
        <v>9.9999999999999995E-7</v>
      </c>
      <c r="E248" s="417">
        <v>9.9999999999999995E-7</v>
      </c>
      <c r="F248" s="417">
        <v>9.9999999999999995E-7</v>
      </c>
      <c r="G248" s="417">
        <v>9.9999999999999995E-7</v>
      </c>
      <c r="H248" s="417">
        <v>9.9999999999999995E-7</v>
      </c>
      <c r="I248" s="417">
        <v>9.9999999999999995E-7</v>
      </c>
      <c r="J248" s="417">
        <v>9.9999999999999995E-7</v>
      </c>
      <c r="K248" s="417">
        <v>9.9999999999999995E-7</v>
      </c>
      <c r="L248" s="417">
        <v>9.9999999999999995E-7</v>
      </c>
      <c r="M248" s="417">
        <v>9.9999999999999995E-7</v>
      </c>
      <c r="N248" s="417">
        <v>9.9999999999999995E-7</v>
      </c>
      <c r="O248" s="417">
        <v>9</v>
      </c>
      <c r="P248" s="417">
        <f t="shared" si="20"/>
        <v>0</v>
      </c>
      <c r="Q248" s="417">
        <v>0.25</v>
      </c>
      <c r="R248" s="417">
        <v>0.56999999999999995</v>
      </c>
      <c r="S248" s="423"/>
      <c r="T248" s="667">
        <v>44</v>
      </c>
      <c r="U248" s="417">
        <v>9.9999999999999995E-7</v>
      </c>
      <c r="V248" s="417">
        <v>9.9999999999999995E-7</v>
      </c>
      <c r="W248" s="417">
        <v>9.9999999999999995E-7</v>
      </c>
      <c r="X248" s="417">
        <v>9.9999999999999995E-7</v>
      </c>
      <c r="Y248" s="417">
        <v>9.9999999999999995E-7</v>
      </c>
      <c r="Z248" s="417">
        <v>9.9999999999999995E-7</v>
      </c>
      <c r="AA248" s="417">
        <v>9.9999999999999995E-7</v>
      </c>
      <c r="AB248" s="417">
        <v>9.9999999999999995E-7</v>
      </c>
      <c r="AC248" s="417">
        <v>9.9999999999999995E-7</v>
      </c>
      <c r="AD248" s="417">
        <v>9.9999999999999995E-7</v>
      </c>
      <c r="AE248" s="417">
        <v>9.9999999999999995E-7</v>
      </c>
      <c r="AF248" s="417">
        <v>9.9999999999999995E-7</v>
      </c>
      <c r="AG248" s="418">
        <v>9.9999999999999995E-7</v>
      </c>
      <c r="AH248" s="417">
        <f t="shared" si="21"/>
        <v>0</v>
      </c>
      <c r="AI248" s="417">
        <v>0.25</v>
      </c>
      <c r="AJ248" s="417">
        <v>0.56999999999999995</v>
      </c>
      <c r="AK248" s="423"/>
      <c r="AX248" s="463"/>
      <c r="AY248" s="463"/>
      <c r="BB248" s="427"/>
      <c r="BD248" s="463"/>
      <c r="BE248" s="463"/>
      <c r="BH248" s="427"/>
      <c r="BJ248" s="463"/>
      <c r="BK248" s="463"/>
      <c r="BN248" s="427"/>
      <c r="BP248" s="463"/>
      <c r="BQ248" s="463"/>
      <c r="BT248" s="427"/>
      <c r="BV248" s="463"/>
      <c r="BW248" s="463"/>
      <c r="BZ248" s="427"/>
    </row>
    <row r="249" spans="1:97" ht="13">
      <c r="B249" s="667">
        <v>50</v>
      </c>
      <c r="C249" s="417">
        <v>9.9999999999999995E-7</v>
      </c>
      <c r="D249" s="417">
        <v>9.9999999999999995E-7</v>
      </c>
      <c r="E249" s="417">
        <v>9.9999999999999995E-7</v>
      </c>
      <c r="F249" s="417">
        <v>9.9999999999999995E-7</v>
      </c>
      <c r="G249" s="417">
        <v>9.9999999999999995E-7</v>
      </c>
      <c r="H249" s="417">
        <v>9.9999999999999995E-7</v>
      </c>
      <c r="I249" s="417">
        <v>9.9999999999999995E-7</v>
      </c>
      <c r="J249" s="417">
        <v>9.9999999999999995E-7</v>
      </c>
      <c r="K249" s="417">
        <v>9.9999999999999995E-7</v>
      </c>
      <c r="L249" s="417">
        <v>9.9999999999999995E-7</v>
      </c>
      <c r="M249" s="417">
        <v>9.9999999999999995E-7</v>
      </c>
      <c r="N249" s="417">
        <v>9.9999999999999995E-7</v>
      </c>
      <c r="O249" s="417">
        <v>10</v>
      </c>
      <c r="P249" s="417">
        <f t="shared" si="20"/>
        <v>-1</v>
      </c>
      <c r="Q249" s="417">
        <v>0.27</v>
      </c>
      <c r="R249" s="417">
        <v>0.67</v>
      </c>
      <c r="S249" s="423"/>
      <c r="T249" s="667">
        <v>50</v>
      </c>
      <c r="U249" s="417">
        <v>9.9999999999999995E-7</v>
      </c>
      <c r="V249" s="417">
        <v>9.9999999999999995E-7</v>
      </c>
      <c r="W249" s="417">
        <v>9.9999999999999995E-7</v>
      </c>
      <c r="X249" s="417">
        <v>9.9999999999999995E-7</v>
      </c>
      <c r="Y249" s="417">
        <v>9.9999999999999995E-7</v>
      </c>
      <c r="Z249" s="417">
        <v>9.9999999999999995E-7</v>
      </c>
      <c r="AA249" s="417">
        <v>9.9999999999999995E-7</v>
      </c>
      <c r="AB249" s="417">
        <v>9.9999999999999995E-7</v>
      </c>
      <c r="AC249" s="417">
        <v>9.9999999999999995E-7</v>
      </c>
      <c r="AD249" s="417">
        <v>9.9999999999999995E-7</v>
      </c>
      <c r="AE249" s="417">
        <v>9.9999999999999995E-7</v>
      </c>
      <c r="AF249" s="417">
        <v>9.9999999999999995E-7</v>
      </c>
      <c r="AG249" s="418">
        <v>9.9999999999999995E-7</v>
      </c>
      <c r="AH249" s="417">
        <f t="shared" si="21"/>
        <v>-1</v>
      </c>
      <c r="AI249" s="417">
        <v>0.27</v>
      </c>
      <c r="AJ249" s="417">
        <v>0.67</v>
      </c>
      <c r="AK249" s="423"/>
      <c r="AX249" s="463"/>
      <c r="AY249" s="463"/>
      <c r="BB249" s="427"/>
      <c r="BD249" s="463"/>
      <c r="BE249" s="463"/>
      <c r="BH249" s="427"/>
      <c r="BJ249" s="463"/>
      <c r="BK249" s="463"/>
      <c r="BN249" s="427"/>
      <c r="BP249" s="463"/>
      <c r="BQ249" s="463"/>
      <c r="BT249" s="427"/>
      <c r="BV249" s="463"/>
      <c r="BW249" s="463"/>
      <c r="BZ249" s="427"/>
    </row>
    <row r="250" spans="1:97" ht="13">
      <c r="B250" s="667">
        <v>100</v>
      </c>
      <c r="C250" s="417">
        <v>9.9999999999999995E-7</v>
      </c>
      <c r="D250" s="417">
        <v>9.9999999999999995E-7</v>
      </c>
      <c r="E250" s="417">
        <v>9.9999999999999995E-7</v>
      </c>
      <c r="F250" s="417">
        <v>9.9999999999999995E-7</v>
      </c>
      <c r="G250" s="417">
        <v>9.9999999999999995E-7</v>
      </c>
      <c r="H250" s="417">
        <v>9.9999999999999995E-7</v>
      </c>
      <c r="I250" s="417">
        <v>9.9999999999999995E-7</v>
      </c>
      <c r="J250" s="417">
        <v>9.9999999999999995E-7</v>
      </c>
      <c r="K250" s="417">
        <v>9.9999999999999995E-7</v>
      </c>
      <c r="L250" s="417">
        <v>9.9999999999999995E-7</v>
      </c>
      <c r="M250" s="417">
        <v>9.9999999999999995E-7</v>
      </c>
      <c r="N250" s="417">
        <v>9.9999999999999995E-7</v>
      </c>
      <c r="O250" s="417">
        <v>11</v>
      </c>
      <c r="P250" s="417">
        <f t="shared" si="20"/>
        <v>-1.6</v>
      </c>
      <c r="Q250" s="417">
        <v>0.31</v>
      </c>
      <c r="R250" s="417">
        <v>0.95</v>
      </c>
      <c r="S250" s="423"/>
      <c r="T250" s="667">
        <v>100</v>
      </c>
      <c r="U250" s="417">
        <v>9.9999999999999995E-7</v>
      </c>
      <c r="V250" s="417">
        <v>9.9999999999999995E-7</v>
      </c>
      <c r="W250" s="417">
        <v>9.9999999999999995E-7</v>
      </c>
      <c r="X250" s="417">
        <v>9.9999999999999995E-7</v>
      </c>
      <c r="Y250" s="417">
        <v>9.9999999999999995E-7</v>
      </c>
      <c r="Z250" s="417">
        <v>9.9999999999999995E-7</v>
      </c>
      <c r="AA250" s="417">
        <v>9.9999999999999995E-7</v>
      </c>
      <c r="AB250" s="417">
        <v>9.9999999999999995E-7</v>
      </c>
      <c r="AC250" s="417">
        <v>9.9999999999999995E-7</v>
      </c>
      <c r="AD250" s="417">
        <v>9.9999999999999995E-7</v>
      </c>
      <c r="AE250" s="417">
        <v>9.9999999999999995E-7</v>
      </c>
      <c r="AF250" s="417">
        <v>9.9999999999999995E-7</v>
      </c>
      <c r="AG250" s="418">
        <v>9.9999999999999995E-7</v>
      </c>
      <c r="AH250" s="417">
        <f t="shared" si="21"/>
        <v>-1.6</v>
      </c>
      <c r="AI250" s="417">
        <v>0.31</v>
      </c>
      <c r="AJ250" s="417">
        <v>0.95</v>
      </c>
      <c r="AK250" s="423"/>
      <c r="AX250" s="463"/>
      <c r="AY250" s="463"/>
      <c r="BB250" s="427"/>
      <c r="BD250" s="463"/>
      <c r="BE250" s="463"/>
      <c r="BH250" s="427"/>
      <c r="BJ250" s="463"/>
      <c r="BK250" s="463"/>
      <c r="BN250" s="427"/>
      <c r="BP250" s="463"/>
      <c r="BQ250" s="463"/>
      <c r="BT250" s="427"/>
      <c r="BV250" s="463"/>
      <c r="BW250" s="463"/>
      <c r="BZ250" s="427"/>
    </row>
    <row r="251" spans="1:97" ht="13">
      <c r="B251" s="667">
        <v>150</v>
      </c>
      <c r="C251" s="417">
        <v>9.9999999999999995E-7</v>
      </c>
      <c r="D251" s="417">
        <v>9.9999999999999995E-7</v>
      </c>
      <c r="E251" s="417">
        <v>9.9999999999999995E-7</v>
      </c>
      <c r="F251" s="417">
        <v>9.9999999999999995E-7</v>
      </c>
      <c r="G251" s="417">
        <v>9.9999999999999995E-7</v>
      </c>
      <c r="H251" s="417">
        <v>9.9999999999999995E-7</v>
      </c>
      <c r="I251" s="417">
        <v>9.9999999999999995E-7</v>
      </c>
      <c r="J251" s="417">
        <v>9.9999999999999995E-7</v>
      </c>
      <c r="K251" s="417">
        <v>9.9999999999999995E-7</v>
      </c>
      <c r="L251" s="417">
        <v>9.9999999999999995E-7</v>
      </c>
      <c r="M251" s="417">
        <v>9.9999999999999995E-7</v>
      </c>
      <c r="N251" s="417">
        <v>9.9999999999999995E-7</v>
      </c>
      <c r="O251" s="417">
        <v>12</v>
      </c>
      <c r="P251" s="417">
        <f t="shared" si="20"/>
        <v>-1.7</v>
      </c>
      <c r="Q251" s="417">
        <v>0.3</v>
      </c>
      <c r="R251" s="417">
        <v>0.49</v>
      </c>
      <c r="S251" s="423"/>
      <c r="T251" s="667">
        <v>150</v>
      </c>
      <c r="U251" s="417">
        <v>9.9999999999999995E-7</v>
      </c>
      <c r="V251" s="417">
        <v>9.9999999999999995E-7</v>
      </c>
      <c r="W251" s="417">
        <v>9.9999999999999995E-7</v>
      </c>
      <c r="X251" s="417">
        <v>9.9999999999999995E-7</v>
      </c>
      <c r="Y251" s="417">
        <v>9.9999999999999995E-7</v>
      </c>
      <c r="Z251" s="417">
        <v>9.9999999999999995E-7</v>
      </c>
      <c r="AA251" s="417">
        <v>9.9999999999999995E-7</v>
      </c>
      <c r="AB251" s="417">
        <v>9.9999999999999995E-7</v>
      </c>
      <c r="AC251" s="417">
        <v>9.9999999999999995E-7</v>
      </c>
      <c r="AD251" s="417">
        <v>9.9999999999999995E-7</v>
      </c>
      <c r="AE251" s="417">
        <v>9.9999999999999995E-7</v>
      </c>
      <c r="AF251" s="417">
        <v>9.9999999999999995E-7</v>
      </c>
      <c r="AG251" s="418">
        <v>9.9999999999999995E-7</v>
      </c>
      <c r="AH251" s="417">
        <f t="shared" si="21"/>
        <v>-1.7</v>
      </c>
      <c r="AI251" s="417">
        <v>0.3</v>
      </c>
      <c r="AJ251" s="417">
        <v>0.49</v>
      </c>
      <c r="AK251" s="423"/>
      <c r="AX251" s="463"/>
      <c r="AY251" s="463"/>
      <c r="BB251" s="427"/>
      <c r="BD251" s="463"/>
      <c r="BE251" s="463"/>
      <c r="BH251" s="427"/>
      <c r="BJ251" s="463"/>
      <c r="BK251" s="463"/>
      <c r="BN251" s="427"/>
      <c r="BP251" s="463"/>
      <c r="BQ251" s="463"/>
      <c r="BT251" s="427"/>
      <c r="BV251" s="463"/>
      <c r="BW251" s="463"/>
      <c r="BZ251" s="427"/>
    </row>
    <row r="252" spans="1:97" ht="13">
      <c r="B252" s="667">
        <v>200</v>
      </c>
      <c r="C252" s="417">
        <v>9.9999999999999995E-7</v>
      </c>
      <c r="D252" s="417">
        <v>9.9999999999999995E-7</v>
      </c>
      <c r="E252" s="417">
        <v>9.9999999999999995E-7</v>
      </c>
      <c r="F252" s="417">
        <v>9.9999999999999995E-7</v>
      </c>
      <c r="G252" s="417">
        <v>9.9999999999999995E-7</v>
      </c>
      <c r="H252" s="417">
        <v>9.9999999999999995E-7</v>
      </c>
      <c r="I252" s="417">
        <v>9.9999999999999995E-7</v>
      </c>
      <c r="J252" s="417">
        <v>9.9999999999999995E-7</v>
      </c>
      <c r="K252" s="417">
        <v>9.9999999999999995E-7</v>
      </c>
      <c r="L252" s="417">
        <v>9.9999999999999995E-7</v>
      </c>
      <c r="M252" s="417">
        <v>9.9999999999999995E-7</v>
      </c>
      <c r="N252" s="417">
        <v>9.9999999999999995E-7</v>
      </c>
      <c r="O252" s="417">
        <v>13</v>
      </c>
      <c r="P252" s="417">
        <f t="shared" si="20"/>
        <v>-0.9</v>
      </c>
      <c r="Q252" s="417">
        <v>0.34</v>
      </c>
      <c r="R252" s="417">
        <v>-0.26</v>
      </c>
      <c r="S252" s="423"/>
      <c r="T252" s="667">
        <v>200</v>
      </c>
      <c r="U252" s="417">
        <v>9.9999999999999995E-7</v>
      </c>
      <c r="V252" s="417">
        <v>9.9999999999999995E-7</v>
      </c>
      <c r="W252" s="417">
        <v>9.9999999999999995E-7</v>
      </c>
      <c r="X252" s="417">
        <v>9.9999999999999995E-7</v>
      </c>
      <c r="Y252" s="417">
        <v>9.9999999999999995E-7</v>
      </c>
      <c r="Z252" s="417">
        <v>9.9999999999999995E-7</v>
      </c>
      <c r="AA252" s="417">
        <v>9.9999999999999995E-7</v>
      </c>
      <c r="AB252" s="417">
        <v>9.9999999999999995E-7</v>
      </c>
      <c r="AC252" s="417">
        <v>9.9999999999999995E-7</v>
      </c>
      <c r="AD252" s="417">
        <v>9.9999999999999995E-7</v>
      </c>
      <c r="AE252" s="417">
        <v>9.9999999999999995E-7</v>
      </c>
      <c r="AF252" s="417">
        <v>9.9999999999999995E-7</v>
      </c>
      <c r="AG252" s="418">
        <v>9.9999999999999995E-7</v>
      </c>
      <c r="AH252" s="417">
        <f t="shared" si="21"/>
        <v>-0.9</v>
      </c>
      <c r="AI252" s="417">
        <v>0.34</v>
      </c>
      <c r="AJ252" s="417">
        <v>-0.26</v>
      </c>
      <c r="AK252" s="423"/>
      <c r="AX252" s="463"/>
      <c r="AY252" s="463"/>
      <c r="BB252" s="427"/>
      <c r="BD252" s="463"/>
      <c r="BE252" s="463"/>
      <c r="BH252" s="427"/>
      <c r="BJ252" s="463"/>
      <c r="BK252" s="463"/>
      <c r="BN252" s="427"/>
      <c r="BP252" s="463"/>
      <c r="BQ252" s="463"/>
      <c r="BT252" s="427"/>
      <c r="BV252" s="463"/>
      <c r="BW252" s="463"/>
      <c r="BZ252" s="427"/>
    </row>
    <row r="253" spans="1:97" s="710" customFormat="1" ht="13">
      <c r="A253" s="473"/>
      <c r="B253" s="667" t="s">
        <v>396</v>
      </c>
      <c r="C253" s="694">
        <v>0.1</v>
      </c>
      <c r="D253" s="694">
        <v>0.1</v>
      </c>
      <c r="E253" s="694">
        <v>0.1</v>
      </c>
      <c r="F253" s="694">
        <v>0.1</v>
      </c>
      <c r="G253" s="694">
        <v>0.1</v>
      </c>
      <c r="H253" s="694">
        <v>0.1</v>
      </c>
      <c r="I253" s="694">
        <v>0.1</v>
      </c>
      <c r="J253" s="694">
        <v>0.1</v>
      </c>
      <c r="K253" s="694">
        <v>0.1</v>
      </c>
      <c r="L253" s="694">
        <v>0.1</v>
      </c>
      <c r="M253" s="694">
        <v>0.1</v>
      </c>
      <c r="N253" s="694">
        <v>0.1</v>
      </c>
      <c r="O253" s="694">
        <v>0.1</v>
      </c>
      <c r="P253" s="694">
        <f t="shared" si="20"/>
        <v>0.6</v>
      </c>
      <c r="Q253" s="694">
        <v>0.22</v>
      </c>
      <c r="R253" s="694">
        <v>0.77</v>
      </c>
      <c r="S253" s="473"/>
      <c r="T253" s="667" t="s">
        <v>396</v>
      </c>
      <c r="U253" s="694">
        <v>0.1</v>
      </c>
      <c r="V253" s="694">
        <v>0.1</v>
      </c>
      <c r="W253" s="694">
        <v>0.1</v>
      </c>
      <c r="X253" s="694">
        <v>0.1</v>
      </c>
      <c r="Y253" s="694">
        <v>0.1</v>
      </c>
      <c r="Z253" s="694">
        <v>0.1</v>
      </c>
      <c r="AA253" s="694">
        <v>0.1</v>
      </c>
      <c r="AB253" s="694">
        <v>0.1</v>
      </c>
      <c r="AC253" s="694">
        <v>0.1</v>
      </c>
      <c r="AD253" s="694">
        <v>0.1</v>
      </c>
      <c r="AE253" s="694">
        <v>0.1</v>
      </c>
      <c r="AF253" s="694">
        <v>0.1</v>
      </c>
      <c r="AG253" s="694">
        <v>9.9999999999999995E-7</v>
      </c>
      <c r="AH253" s="694">
        <f t="shared" si="21"/>
        <v>0.6</v>
      </c>
      <c r="AI253" s="694">
        <v>0.22</v>
      </c>
      <c r="AJ253" s="694">
        <v>0.77</v>
      </c>
      <c r="AK253" s="473"/>
      <c r="AN253" s="471"/>
      <c r="AP253" s="711"/>
      <c r="AT253" s="471"/>
      <c r="AV253" s="711"/>
      <c r="AX253" s="471"/>
      <c r="AY253" s="471"/>
      <c r="AZ253" s="471"/>
      <c r="BD253" s="471"/>
      <c r="BE253" s="471"/>
      <c r="BF253" s="471"/>
      <c r="BJ253" s="471"/>
      <c r="BK253" s="471"/>
      <c r="BL253" s="471"/>
      <c r="BP253" s="471"/>
      <c r="BQ253" s="471"/>
      <c r="BR253" s="471"/>
      <c r="BV253" s="471"/>
      <c r="BW253" s="471"/>
      <c r="BX253" s="471"/>
      <c r="CG253" s="473"/>
      <c r="CM253" s="473"/>
      <c r="CS253" s="473"/>
    </row>
    <row r="254" spans="1:97" s="423" customFormat="1" ht="13">
      <c r="B254" s="442"/>
      <c r="C254" s="442"/>
      <c r="D254" s="442"/>
      <c r="E254" s="424"/>
      <c r="F254" s="424"/>
      <c r="G254" s="424"/>
      <c r="H254" s="424"/>
      <c r="I254" s="424"/>
      <c r="J254" s="424"/>
      <c r="K254" s="424"/>
      <c r="L254" s="424"/>
      <c r="M254" s="424"/>
      <c r="N254" s="424"/>
      <c r="O254" s="424"/>
      <c r="R254" s="442"/>
      <c r="S254" s="442"/>
      <c r="T254" s="442"/>
      <c r="U254" s="424"/>
      <c r="V254" s="442"/>
      <c r="W254" s="442"/>
      <c r="X254" s="442"/>
      <c r="Y254" s="442"/>
      <c r="Z254" s="442"/>
      <c r="AA254" s="442"/>
      <c r="AB254" s="442"/>
      <c r="AD254" s="424"/>
      <c r="AE254" s="442"/>
      <c r="AF254" s="442"/>
      <c r="AG254" s="442"/>
      <c r="AH254" s="424"/>
      <c r="AJ254" s="425"/>
      <c r="AK254" s="442"/>
      <c r="AL254" s="442"/>
      <c r="AM254" s="442"/>
      <c r="AN254" s="424"/>
      <c r="AR254" s="442"/>
      <c r="AS254" s="442"/>
      <c r="AT254" s="424"/>
      <c r="AX254" s="442"/>
      <c r="AY254" s="442"/>
      <c r="AZ254" s="424"/>
      <c r="BD254" s="442"/>
      <c r="BE254" s="442"/>
      <c r="BF254" s="424"/>
      <c r="BJ254" s="442"/>
      <c r="BK254" s="442"/>
      <c r="BL254" s="424"/>
      <c r="BP254" s="442"/>
      <c r="BQ254" s="442"/>
      <c r="BR254" s="424"/>
      <c r="BV254" s="442"/>
      <c r="BW254" s="442"/>
      <c r="BX254" s="424"/>
    </row>
    <row r="255" spans="1:97" s="423" customFormat="1" ht="13">
      <c r="B255" s="442"/>
      <c r="C255" s="442"/>
      <c r="D255" s="442"/>
      <c r="E255" s="424"/>
      <c r="F255" s="424"/>
      <c r="G255" s="424"/>
      <c r="H255" s="424"/>
      <c r="I255" s="424"/>
      <c r="J255" s="424"/>
      <c r="K255" s="424"/>
      <c r="L255" s="424"/>
      <c r="M255" s="424"/>
      <c r="N255" s="424"/>
      <c r="O255" s="424"/>
      <c r="R255" s="442"/>
      <c r="S255" s="442"/>
      <c r="T255" s="442"/>
      <c r="U255" s="424"/>
      <c r="V255" s="442"/>
      <c r="W255" s="442"/>
      <c r="X255" s="442"/>
      <c r="Y255" s="442"/>
      <c r="Z255" s="442"/>
      <c r="AA255" s="442"/>
      <c r="AB255" s="442"/>
      <c r="AD255" s="424"/>
      <c r="AE255" s="442"/>
      <c r="AF255" s="442"/>
      <c r="AG255" s="442"/>
      <c r="AH255" s="424"/>
      <c r="AJ255" s="425"/>
      <c r="AK255" s="442"/>
      <c r="AL255" s="442"/>
      <c r="AM255" s="442"/>
      <c r="AN255" s="424"/>
      <c r="AR255" s="442"/>
      <c r="AS255" s="442"/>
      <c r="AT255" s="424"/>
      <c r="AX255" s="442"/>
      <c r="AY255" s="442"/>
      <c r="AZ255" s="424"/>
      <c r="BD255" s="442"/>
      <c r="BE255" s="442"/>
      <c r="BF255" s="424"/>
      <c r="BJ255" s="442"/>
      <c r="BK255" s="442"/>
      <c r="BL255" s="424"/>
      <c r="BP255" s="442"/>
      <c r="BQ255" s="442"/>
      <c r="BR255" s="424"/>
      <c r="BV255" s="442"/>
      <c r="BW255" s="442"/>
      <c r="BX255" s="424"/>
    </row>
    <row r="256" spans="1:97" s="423" customFormat="1" ht="20.149999999999999" customHeight="1">
      <c r="T256" s="424"/>
      <c r="U256" s="424"/>
      <c r="V256" s="424"/>
      <c r="W256" s="424"/>
      <c r="X256" s="424"/>
      <c r="Y256" s="424"/>
      <c r="Z256" s="424"/>
      <c r="AA256" s="424"/>
      <c r="AB256" s="424"/>
      <c r="AH256" s="424"/>
      <c r="AJ256" s="425"/>
      <c r="AN256" s="424"/>
      <c r="AT256" s="424"/>
      <c r="AZ256" s="424"/>
      <c r="BF256" s="424"/>
      <c r="BL256" s="424"/>
      <c r="BR256" s="424"/>
      <c r="BX256" s="424"/>
    </row>
    <row r="257" spans="2:78" ht="70" customHeight="1">
      <c r="B257" s="1313" t="s">
        <v>399</v>
      </c>
      <c r="C257" s="1313"/>
      <c r="D257" s="1313"/>
      <c r="E257" s="1313"/>
      <c r="F257" s="1313"/>
      <c r="G257" s="1313"/>
      <c r="H257" s="1313"/>
      <c r="I257" s="1313"/>
      <c r="J257" s="1313"/>
      <c r="K257" s="1313"/>
      <c r="L257" s="1313"/>
      <c r="M257" s="423"/>
      <c r="N257" s="423"/>
      <c r="O257" s="423"/>
      <c r="P257" s="423"/>
      <c r="Q257" s="423"/>
      <c r="R257" s="423"/>
      <c r="AP257" s="427"/>
      <c r="AV257" s="427"/>
      <c r="BB257" s="427"/>
      <c r="BH257" s="427"/>
      <c r="BN257" s="427"/>
      <c r="BT257" s="427"/>
      <c r="BZ257" s="427"/>
    </row>
    <row r="258" spans="2:78" ht="20.149999999999999" customHeight="1">
      <c r="B258" s="1314"/>
      <c r="C258" s="1314"/>
      <c r="D258" s="1314"/>
      <c r="E258" s="1314"/>
      <c r="F258" s="1314"/>
      <c r="G258" s="1314"/>
      <c r="H258" s="1314"/>
      <c r="I258" s="1314"/>
      <c r="J258" s="1314"/>
      <c r="K258" s="1314"/>
      <c r="L258" s="1314"/>
      <c r="M258" s="423"/>
      <c r="N258" s="423"/>
      <c r="O258" s="423"/>
      <c r="P258" s="423"/>
      <c r="Q258" s="423"/>
      <c r="R258" s="423"/>
      <c r="AP258" s="427"/>
      <c r="AV258" s="427"/>
      <c r="BB258" s="427"/>
      <c r="BH258" s="427"/>
      <c r="BN258" s="427"/>
      <c r="BT258" s="427"/>
      <c r="BZ258" s="427"/>
    </row>
    <row r="259" spans="2:78" ht="84" customHeight="1">
      <c r="B259" s="486" t="str">
        <f>ID!B112</f>
        <v>Wireless Temperature Recorder : Merek : HIOKI, Model : LR 8510, SN : 210411984</v>
      </c>
      <c r="C259" s="487" t="s">
        <v>381</v>
      </c>
      <c r="D259" s="487" t="s">
        <v>386</v>
      </c>
      <c r="E259" s="487" t="s">
        <v>387</v>
      </c>
      <c r="F259" s="487" t="s">
        <v>388</v>
      </c>
      <c r="G259" s="487" t="s">
        <v>389</v>
      </c>
      <c r="H259" s="487" t="s">
        <v>390</v>
      </c>
      <c r="I259" s="487" t="s">
        <v>391</v>
      </c>
      <c r="J259" s="487" t="s">
        <v>392</v>
      </c>
      <c r="K259" s="487" t="s">
        <v>393</v>
      </c>
      <c r="L259" s="487" t="s">
        <v>394</v>
      </c>
      <c r="M259" s="424"/>
      <c r="N259" s="424"/>
      <c r="O259" s="424"/>
      <c r="P259" s="424"/>
      <c r="Q259" s="424"/>
      <c r="R259" s="424"/>
      <c r="AP259" s="427"/>
      <c r="AV259" s="427"/>
      <c r="BB259" s="427"/>
      <c r="BH259" s="427"/>
      <c r="BN259" s="427"/>
      <c r="BT259" s="427"/>
      <c r="BZ259" s="427"/>
    </row>
    <row r="260" spans="2:78" ht="13">
      <c r="B260" s="488">
        <v>-25</v>
      </c>
      <c r="C260" s="489">
        <f>HLOOKUP($B$259,$B$156:$R$170,2,0)</f>
        <v>0</v>
      </c>
      <c r="D260" s="489">
        <f>HLOOKUP($B$259,$T$156:$AJ$170,2,0)</f>
        <v>0</v>
      </c>
      <c r="E260" s="489">
        <f>HLOOKUP($B$259,$B$173:$R$187,2,0)</f>
        <v>0</v>
      </c>
      <c r="F260" s="489">
        <f>HLOOKUP($B$259,$T$173:$AJ$187,2,0)</f>
        <v>0</v>
      </c>
      <c r="G260" s="489">
        <f>HLOOKUP($B$259,$B$190:$R$204,2,0)</f>
        <v>0</v>
      </c>
      <c r="H260" s="489">
        <f>HLOOKUP($B$259,$T$190:$AJ$204,2,0)</f>
        <v>0</v>
      </c>
      <c r="I260" s="489">
        <f>HLOOKUP($B$259,$B$207:$R$221,2,0)</f>
        <v>0</v>
      </c>
      <c r="J260" s="489">
        <f>HLOOKUP($B$259,$T$207:$AJ$221,2,0)</f>
        <v>0</v>
      </c>
      <c r="K260" s="489">
        <f>HLOOKUP($B$259,$B$223:$R$237,2,0)</f>
        <v>0</v>
      </c>
      <c r="L260" s="489">
        <v>0.1</v>
      </c>
      <c r="M260" s="440"/>
      <c r="N260" s="440"/>
      <c r="O260" s="440"/>
      <c r="P260" s="440"/>
      <c r="Q260" s="440"/>
      <c r="R260" s="440"/>
      <c r="AP260" s="427"/>
      <c r="AV260" s="427"/>
      <c r="BB260" s="427"/>
      <c r="BH260" s="427"/>
      <c r="BN260" s="427"/>
      <c r="BT260" s="427"/>
      <c r="BZ260" s="427"/>
    </row>
    <row r="261" spans="2:78" ht="15.5">
      <c r="B261" s="488">
        <v>-20</v>
      </c>
      <c r="C261" s="489">
        <f>HLOOKUP($B$259,$B$156:$R$170,3,0)</f>
        <v>0.33</v>
      </c>
      <c r="D261" s="489">
        <f>HLOOKUP($B$259,$T$156:$AJ$170,3,0)</f>
        <v>0.3</v>
      </c>
      <c r="E261" s="489">
        <f>HLOOKUP($B$259,$B$173:$R$187,3,0)</f>
        <v>0.33</v>
      </c>
      <c r="F261" s="489">
        <f>HLOOKUP($B$259,$T$173:$AJ$187,3,0)</f>
        <v>0.33</v>
      </c>
      <c r="G261" s="489">
        <f>HLOOKUP($B$259,$B$190:$R$204,3,0)</f>
        <v>0.34</v>
      </c>
      <c r="H261" s="489">
        <f>HLOOKUP($B$259,$T$190:$AJ$204,3,0)</f>
        <v>0.35</v>
      </c>
      <c r="I261" s="489">
        <f>HLOOKUP($B$259,$B$207:$R$221,3,0)</f>
        <v>0.37</v>
      </c>
      <c r="J261" s="489">
        <f>HLOOKUP($B$259,$T$207:$AJ$221,3,0)</f>
        <v>0.36</v>
      </c>
      <c r="K261" s="489">
        <f>HLOOKUP($B$259,$B$223:$R$237,3,0)</f>
        <v>0.36</v>
      </c>
      <c r="L261" s="489">
        <v>0.1</v>
      </c>
      <c r="M261" s="440"/>
      <c r="N261" s="440"/>
      <c r="O261" s="440"/>
      <c r="P261" s="440"/>
      <c r="Q261" s="440"/>
      <c r="R261" s="440"/>
      <c r="V261" s="490"/>
      <c r="W261" s="490"/>
      <c r="X261" s="490"/>
      <c r="Y261" s="490"/>
      <c r="Z261" s="490"/>
      <c r="AA261" s="490"/>
      <c r="AB261" s="490"/>
      <c r="AP261" s="427"/>
      <c r="AV261" s="427"/>
      <c r="BB261" s="427"/>
      <c r="BH261" s="427"/>
      <c r="BN261" s="427"/>
      <c r="BT261" s="427"/>
      <c r="BZ261" s="427"/>
    </row>
    <row r="262" spans="2:78" ht="15.5">
      <c r="B262" s="488">
        <v>-15</v>
      </c>
      <c r="C262" s="489">
        <f>HLOOKUP($B$259,$B$156:$R$170,4,0)</f>
        <v>0.35</v>
      </c>
      <c r="D262" s="489">
        <f>HLOOKUP($B$259,$T$156:$AJ$170,4,0)</f>
        <v>0.33</v>
      </c>
      <c r="E262" s="489">
        <f>HLOOKUP($B$259,$B$173:$R$187,4,0)</f>
        <v>0.36</v>
      </c>
      <c r="F262" s="489">
        <f>HLOOKUP($B$259,$T$173:$AJ$187,4,0)</f>
        <v>0.35</v>
      </c>
      <c r="G262" s="489">
        <f>HLOOKUP($B$259,$B$190:$R$204,4,0)</f>
        <v>0.36</v>
      </c>
      <c r="H262" s="489">
        <f>HLOOKUP($B$259,$T$190:$AJ$204,4,0)</f>
        <v>0.38</v>
      </c>
      <c r="I262" s="489">
        <f>HLOOKUP($B$259,$B$207:$R$221,4,0)</f>
        <v>0.39</v>
      </c>
      <c r="J262" s="489">
        <f>HLOOKUP($B$259,$T$207:$AJ$221,4,0)</f>
        <v>0.38</v>
      </c>
      <c r="K262" s="489">
        <f>HLOOKUP($B$259,$B$223:$R$237,4,0)</f>
        <v>0.38</v>
      </c>
      <c r="L262" s="489">
        <v>0.1</v>
      </c>
      <c r="M262" s="491"/>
      <c r="N262" s="440"/>
      <c r="O262" s="440"/>
      <c r="P262" s="440"/>
      <c r="Q262" s="440"/>
      <c r="R262" s="440"/>
      <c r="V262" s="490"/>
      <c r="W262" s="490"/>
      <c r="X262" s="490"/>
      <c r="Y262" s="490"/>
      <c r="Z262" s="490"/>
      <c r="AA262" s="490"/>
      <c r="AB262" s="490"/>
      <c r="AP262" s="427"/>
      <c r="AV262" s="427"/>
      <c r="BB262" s="427"/>
      <c r="BH262" s="427"/>
      <c r="BN262" s="427"/>
      <c r="BT262" s="427"/>
      <c r="BZ262" s="427"/>
    </row>
    <row r="263" spans="2:78" ht="15.5">
      <c r="B263" s="488">
        <v>-10</v>
      </c>
      <c r="C263" s="489">
        <f>HLOOKUP($B$259,$B$156:$R$170,5,0)</f>
        <v>0.36</v>
      </c>
      <c r="D263" s="489">
        <f>HLOOKUP($B$259,$T$156:$AJ$170,5,0)</f>
        <v>0.35</v>
      </c>
      <c r="E263" s="489">
        <f>HLOOKUP($B$259,$B$173:$R$187,5,0)</f>
        <v>0.37</v>
      </c>
      <c r="F263" s="489">
        <f>HLOOKUP($B$259,$T$173:$AJ$187,5,0)</f>
        <v>0.36</v>
      </c>
      <c r="G263" s="489">
        <f>HLOOKUP($B$259,$B$190:$R$204,5,0)</f>
        <v>0.38</v>
      </c>
      <c r="H263" s="489">
        <f>HLOOKUP($B$259,$T$190:$AJ$204,5,0)</f>
        <v>0.4</v>
      </c>
      <c r="I263" s="489">
        <f>HLOOKUP($B$259,$B$207:$R$221,5,0)</f>
        <v>0.4</v>
      </c>
      <c r="J263" s="489">
        <f>HLOOKUP($B$259,$T$207:$AJ$221,5,0)</f>
        <v>0.4</v>
      </c>
      <c r="K263" s="489">
        <f>HLOOKUP($B$259,$B$223:$R$237,5,0)</f>
        <v>0.39</v>
      </c>
      <c r="L263" s="489">
        <v>0.1</v>
      </c>
      <c r="M263" s="440"/>
      <c r="N263" s="440"/>
      <c r="O263" s="440"/>
      <c r="P263" s="440"/>
      <c r="Q263" s="440"/>
      <c r="R263" s="440"/>
      <c r="V263" s="490"/>
      <c r="W263" s="490"/>
      <c r="X263" s="490"/>
      <c r="Y263" s="490"/>
      <c r="Z263" s="490"/>
      <c r="AA263" s="490"/>
      <c r="AB263" s="490"/>
      <c r="AP263" s="427"/>
      <c r="AV263" s="427"/>
      <c r="BB263" s="427"/>
      <c r="BH263" s="427"/>
      <c r="BN263" s="427"/>
      <c r="BT263" s="427"/>
      <c r="BZ263" s="427"/>
    </row>
    <row r="264" spans="2:78" ht="15.5">
      <c r="B264" s="488">
        <v>9.9999999999999995E-7</v>
      </c>
      <c r="C264" s="489">
        <f>HLOOKUP($B$259,$B$156:$R$170,6,0)</f>
        <v>0.34</v>
      </c>
      <c r="D264" s="489">
        <f>HLOOKUP($B$259,$T$156:$AJ$170,6,0)</f>
        <v>0.35</v>
      </c>
      <c r="E264" s="489">
        <f>HLOOKUP($B$259,$B$173:$R$187,6,0)</f>
        <v>0.37</v>
      </c>
      <c r="F264" s="489">
        <f>HLOOKUP($B$259,$T$173:$AJ$187,6,0)</f>
        <v>0.38</v>
      </c>
      <c r="G264" s="489">
        <f>HLOOKUP($B$259,$B$190:$R$204,6,0)</f>
        <v>0.39</v>
      </c>
      <c r="H264" s="489">
        <f>HLOOKUP($B$259,$T$190:$AJ$204,6,0)</f>
        <v>0.38</v>
      </c>
      <c r="I264" s="489">
        <f>HLOOKUP($B$259,$B$207:$R$221,6,0)</f>
        <v>0.39</v>
      </c>
      <c r="J264" s="489">
        <f>HLOOKUP($B$259,$T$207:$AJ$221,6,0)</f>
        <v>0.39</v>
      </c>
      <c r="K264" s="489">
        <f>HLOOKUP($B$259,$B$223:$R$237,6,0)</f>
        <v>0.38</v>
      </c>
      <c r="L264" s="489">
        <v>0.1</v>
      </c>
      <c r="M264" s="440"/>
      <c r="N264" s="440"/>
      <c r="O264" s="440"/>
      <c r="P264" s="440"/>
      <c r="Q264" s="440"/>
      <c r="R264" s="440"/>
      <c r="V264" s="106"/>
      <c r="W264" s="106"/>
      <c r="X264" s="106"/>
      <c r="Y264" s="106"/>
      <c r="Z264" s="106"/>
      <c r="AA264" s="106"/>
      <c r="AB264" s="106"/>
      <c r="AP264" s="427"/>
      <c r="AV264" s="427"/>
      <c r="BB264" s="427"/>
      <c r="BH264" s="427"/>
      <c r="BN264" s="427"/>
      <c r="BT264" s="427"/>
      <c r="BZ264" s="427"/>
    </row>
    <row r="265" spans="2:78" ht="15.5">
      <c r="B265" s="488">
        <v>2</v>
      </c>
      <c r="C265" s="489">
        <f>HLOOKUP($B$259,$B$156:$R$170,7,0)</f>
        <v>0.37</v>
      </c>
      <c r="D265" s="489">
        <f>HLOOKUP($B$259,$T$156:$AJ$170,7,0)</f>
        <v>0.36</v>
      </c>
      <c r="E265" s="489">
        <f>HLOOKUP($B$259,$B$173:$R$187,7,0)</f>
        <v>0.37</v>
      </c>
      <c r="F265" s="489">
        <f>HLOOKUP($B$259,$T$173:$AJ$187,7,0)</f>
        <v>0.38</v>
      </c>
      <c r="G265" s="489">
        <f>HLOOKUP($B$259,$B$190:$R$204,7,0)</f>
        <v>0.38</v>
      </c>
      <c r="H265" s="489">
        <f>HLOOKUP($B$259,$T$190:$AJ$204,7,0)</f>
        <v>0.39</v>
      </c>
      <c r="I265" s="489">
        <f>HLOOKUP($B$259,$B$207:$R$221,7,0)</f>
        <v>0.4</v>
      </c>
      <c r="J265" s="489">
        <f>HLOOKUP($B$259,$T$207:$AJ$221,7,0)</f>
        <v>0.4</v>
      </c>
      <c r="K265" s="489">
        <f>HLOOKUP($B$259,$B$223:$R$237,7,0)</f>
        <v>0.4</v>
      </c>
      <c r="L265" s="489">
        <v>0.1</v>
      </c>
      <c r="M265" s="440"/>
      <c r="N265" s="440"/>
      <c r="O265" s="440"/>
      <c r="P265" s="440"/>
      <c r="Q265" s="440"/>
      <c r="R265" s="440"/>
      <c r="V265" s="106"/>
      <c r="W265" s="106"/>
      <c r="X265" s="106"/>
      <c r="Y265" s="106"/>
      <c r="Z265" s="106"/>
      <c r="AA265" s="106"/>
      <c r="AB265" s="106"/>
    </row>
    <row r="266" spans="2:78" ht="15.5">
      <c r="B266" s="488">
        <v>8</v>
      </c>
      <c r="C266" s="489">
        <f>HLOOKUP($B$259,$B$156:$R$170,8,0)</f>
        <v>0.36</v>
      </c>
      <c r="D266" s="489">
        <f>HLOOKUP($B$259,$T$156:$AJ$170,8,0)</f>
        <v>0.35</v>
      </c>
      <c r="E266" s="489">
        <f>HLOOKUP($B$259,$B$173:$R$187,8,0)</f>
        <v>0.36</v>
      </c>
      <c r="F266" s="489">
        <f>HLOOKUP($B$259,$T$173:$AJ$187,8,0)</f>
        <v>0.36</v>
      </c>
      <c r="G266" s="489">
        <f>HLOOKUP($B$259,$B$190:$R$204,8,0)</f>
        <v>0.37</v>
      </c>
      <c r="H266" s="489">
        <f>HLOOKUP($B$259,$T$190:$AJ$204,8,0)</f>
        <v>0.37</v>
      </c>
      <c r="I266" s="489">
        <f>HLOOKUP($B$259,$B$207:$R$221,8,0)</f>
        <v>0.38</v>
      </c>
      <c r="J266" s="489">
        <f>HLOOKUP($B$259,$T$207:$AJ$221,8,0)</f>
        <v>0.38</v>
      </c>
      <c r="K266" s="489">
        <f>HLOOKUP($B$259,$B$223:$R$237,8,0)</f>
        <v>0.38</v>
      </c>
      <c r="L266" s="489">
        <v>0.1</v>
      </c>
      <c r="M266" s="440"/>
      <c r="N266" s="440"/>
      <c r="O266" s="440"/>
      <c r="P266" s="440"/>
      <c r="Q266" s="440"/>
      <c r="R266" s="440"/>
      <c r="V266" s="106"/>
      <c r="W266" s="106"/>
      <c r="X266" s="106"/>
      <c r="Y266" s="106"/>
      <c r="Z266" s="106"/>
      <c r="AA266" s="106"/>
      <c r="AB266" s="106"/>
    </row>
    <row r="267" spans="2:78" ht="15.5">
      <c r="B267" s="488">
        <v>37</v>
      </c>
      <c r="C267" s="489">
        <f>HLOOKUP($B$259,$B$156:$R$170,9,0)</f>
        <v>0.33</v>
      </c>
      <c r="D267" s="489">
        <f>HLOOKUP($B$259,$T$156:$AJ$170,9,0)</f>
        <v>0.33</v>
      </c>
      <c r="E267" s="489">
        <f>HLOOKUP($B$259,$B$173:$R$187,9,0)</f>
        <v>0.32</v>
      </c>
      <c r="F267" s="489">
        <f>HLOOKUP($B$259,$T$173:$AJ$187,9,0)</f>
        <v>0.33</v>
      </c>
      <c r="G267" s="489">
        <f>HLOOKUP($B$259,$B$190:$R$204,9,0)</f>
        <v>0.33</v>
      </c>
      <c r="H267" s="489">
        <f>HLOOKUP($B$259,$T$190:$AJ$204,9,0)</f>
        <v>0.33</v>
      </c>
      <c r="I267" s="489">
        <f>HLOOKUP($B$259,$B$207:$R$221,9,0)</f>
        <v>0.33</v>
      </c>
      <c r="J267" s="489">
        <f>HLOOKUP($B$259,$T$207:$AJ$221,9,0)</f>
        <v>0.33</v>
      </c>
      <c r="K267" s="489">
        <f>HLOOKUP($B$259,$B$223:$R$237,9,0)</f>
        <v>0.34</v>
      </c>
      <c r="L267" s="489">
        <v>0.1</v>
      </c>
      <c r="M267" s="440"/>
      <c r="N267" s="440"/>
      <c r="O267" s="440"/>
      <c r="P267" s="440"/>
      <c r="Q267" s="440"/>
      <c r="R267" s="440"/>
      <c r="V267" s="106"/>
      <c r="W267" s="106"/>
      <c r="X267" s="106"/>
      <c r="Y267" s="106"/>
      <c r="Z267" s="106"/>
      <c r="AA267" s="106"/>
      <c r="AB267" s="106"/>
    </row>
    <row r="268" spans="2:78" ht="15.5">
      <c r="B268" s="488">
        <v>44</v>
      </c>
      <c r="C268" s="489">
        <f>HLOOKUP($B$259,$B$156:$R$170,10,0)</f>
        <v>0.33</v>
      </c>
      <c r="D268" s="489">
        <f>HLOOKUP($B$259,$T$156:$AJ$170,10,0)</f>
        <v>0.33</v>
      </c>
      <c r="E268" s="489">
        <f>HLOOKUP($B$259,$B$173:$R$187,10,0)</f>
        <v>0.32</v>
      </c>
      <c r="F268" s="489">
        <f>HLOOKUP($B$259,$T$173:$AJ$187,10,0)</f>
        <v>0.33</v>
      </c>
      <c r="G268" s="489">
        <f>HLOOKUP($B$259,$B$190:$R$204,10,0)</f>
        <v>0.33</v>
      </c>
      <c r="H268" s="489">
        <f>HLOOKUP($B$259,$T$190:$AJ$204,10,0)</f>
        <v>0.33</v>
      </c>
      <c r="I268" s="489">
        <f>HLOOKUP($B$259,$B$207:$R$221,10,0)</f>
        <v>0.33</v>
      </c>
      <c r="J268" s="489">
        <f>HLOOKUP($B$259,$T$207:$AJ$221,10,0)</f>
        <v>0.33</v>
      </c>
      <c r="K268" s="489">
        <f>HLOOKUP($B$259,$B$223:$R$237,10,0)</f>
        <v>0.34</v>
      </c>
      <c r="L268" s="489">
        <v>0.1</v>
      </c>
      <c r="M268" s="440"/>
      <c r="N268" s="440"/>
      <c r="O268" s="440"/>
      <c r="P268" s="440"/>
      <c r="Q268" s="440"/>
      <c r="R268" s="440"/>
      <c r="V268" s="106"/>
      <c r="W268" s="106"/>
      <c r="X268" s="106"/>
      <c r="Y268" s="106"/>
      <c r="Z268" s="106"/>
      <c r="AA268" s="106"/>
      <c r="AB268" s="106"/>
    </row>
    <row r="269" spans="2:78" ht="15.5">
      <c r="B269" s="488">
        <v>50</v>
      </c>
      <c r="C269" s="489">
        <f>HLOOKUP($B$259,$B$156:$R$170,11,0)</f>
        <v>0.33</v>
      </c>
      <c r="D269" s="489">
        <f>HLOOKUP($B$259,$T$156:$AJ$170,11,0)</f>
        <v>0.34</v>
      </c>
      <c r="E269" s="489">
        <f>HLOOKUP($B$259,$B$173:$R$187,11,0)</f>
        <v>0.32</v>
      </c>
      <c r="F269" s="489">
        <f>HLOOKUP($B$259,$T$173:$AJ$187,11,0)</f>
        <v>0.33</v>
      </c>
      <c r="G269" s="489">
        <f>HLOOKUP($B$259,$B$190:$R$204,11,0)</f>
        <v>0.34</v>
      </c>
      <c r="H269" s="489">
        <f>HLOOKUP($B$259,$T$190:$AJ$204,11,0)</f>
        <v>0.34</v>
      </c>
      <c r="I269" s="489">
        <f>HLOOKUP($B$259,$B$207:$R$221,11,0)</f>
        <v>0.33</v>
      </c>
      <c r="J269" s="489">
        <f>HLOOKUP($B$259,$T$207:$AJ$221,11,0)</f>
        <v>0.34</v>
      </c>
      <c r="K269" s="489">
        <f>HLOOKUP($B$259,$B$223:$R$237,11,0)</f>
        <v>0.34</v>
      </c>
      <c r="L269" s="489">
        <v>0.1</v>
      </c>
      <c r="M269" s="440"/>
      <c r="N269" s="440"/>
      <c r="O269" s="440"/>
      <c r="P269" s="440"/>
      <c r="Q269" s="440"/>
      <c r="R269" s="440"/>
      <c r="V269" s="106"/>
      <c r="W269" s="106"/>
      <c r="X269" s="106"/>
      <c r="Y269" s="106"/>
      <c r="Z269" s="106"/>
      <c r="AA269" s="106"/>
      <c r="AB269" s="106"/>
    </row>
    <row r="270" spans="2:78" ht="15.5">
      <c r="B270" s="488">
        <v>100</v>
      </c>
      <c r="C270" s="489">
        <f>HLOOKUP($B$259,$B$156:$R$170,12,0)</f>
        <v>0.41</v>
      </c>
      <c r="D270" s="489">
        <f>HLOOKUP($B$259,$T$156:$AJ$170,12,0)</f>
        <v>0.45</v>
      </c>
      <c r="E270" s="489">
        <f>HLOOKUP($B$259,$B$173:$R$187,12,0)</f>
        <v>0.42</v>
      </c>
      <c r="F270" s="489">
        <f>HLOOKUP($B$259,$T$173:$AJ$187,12,0)</f>
        <v>0.45</v>
      </c>
      <c r="G270" s="489">
        <f>HLOOKUP($B$259,$B$190:$R$204,12,0)</f>
        <v>0.46</v>
      </c>
      <c r="H270" s="489">
        <f>HLOOKUP($B$259,$T$190:$AJ$204,12,0)</f>
        <v>0.46</v>
      </c>
      <c r="I270" s="489">
        <f>HLOOKUP($B$259,$B$207:$R$221,12,0)</f>
        <v>0.42</v>
      </c>
      <c r="J270" s="489">
        <f>HLOOKUP($B$259,$T$207:$AJ$221,12,0)</f>
        <v>0.43</v>
      </c>
      <c r="K270" s="489">
        <f>HLOOKUP($B$259,$B$223:$R$237,12,0)</f>
        <v>0.44</v>
      </c>
      <c r="L270" s="489">
        <v>0.1</v>
      </c>
      <c r="M270" s="440"/>
      <c r="N270" s="440"/>
      <c r="O270" s="440"/>
      <c r="P270" s="440"/>
      <c r="Q270" s="440"/>
      <c r="R270" s="440"/>
      <c r="V270" s="106"/>
      <c r="W270" s="106"/>
      <c r="X270" s="106"/>
      <c r="Y270" s="106"/>
      <c r="Z270" s="106"/>
      <c r="AA270" s="106"/>
      <c r="AB270" s="106"/>
    </row>
    <row r="271" spans="2:78" ht="15.5">
      <c r="B271" s="488">
        <v>150</v>
      </c>
      <c r="C271" s="489">
        <f>HLOOKUP($B$259,$B$156:$R$170,13,0)</f>
        <v>0.57999999999999996</v>
      </c>
      <c r="D271" s="489">
        <f>HLOOKUP($B$259,$T$156:$AJ$170,13,0)</f>
        <v>0.66</v>
      </c>
      <c r="E271" s="489">
        <f>HLOOKUP($B$259,$B$173:$R$187,13,0)</f>
        <v>0.61</v>
      </c>
      <c r="F271" s="489">
        <f>HLOOKUP($B$259,$T$173:$AJ$187,13,0)</f>
        <v>0.67</v>
      </c>
      <c r="G271" s="489">
        <f>HLOOKUP($B$259,$B$190:$R$204,13,0)</f>
        <v>0.68</v>
      </c>
      <c r="H271" s="489">
        <f>HLOOKUP($B$259,$T$190:$AJ$204,13,0)</f>
        <v>0.68</v>
      </c>
      <c r="I271" s="489">
        <f>HLOOKUP($B$259,$B$207:$R$221,13,0)</f>
        <v>0.62</v>
      </c>
      <c r="J271" s="489">
        <f>HLOOKUP($B$259,$T$207:$AJ$221,13,0)</f>
        <v>0.62</v>
      </c>
      <c r="K271" s="489">
        <f>HLOOKUP($B$259,$B$223:$R$237,13,0)</f>
        <v>0.62</v>
      </c>
      <c r="L271" s="489">
        <v>0.1</v>
      </c>
      <c r="M271" s="440"/>
      <c r="N271" s="440"/>
      <c r="O271" s="440"/>
      <c r="P271" s="440"/>
      <c r="Q271" s="440"/>
      <c r="R271" s="440"/>
      <c r="V271" s="106"/>
      <c r="W271" s="106"/>
      <c r="X271" s="106"/>
      <c r="Y271" s="106"/>
      <c r="Z271" s="106"/>
      <c r="AA271" s="106"/>
      <c r="AB271" s="106"/>
    </row>
    <row r="272" spans="2:78" ht="15.5">
      <c r="B272" s="488">
        <v>200</v>
      </c>
      <c r="C272" s="489">
        <f>HLOOKUP($B$259,$B$156:$R$170,14,0)</f>
        <v>0.81</v>
      </c>
      <c r="D272" s="489">
        <f>HLOOKUP($B$259,$T$156:$AJ$170,14,0)</f>
        <v>0.9</v>
      </c>
      <c r="E272" s="489">
        <f>HLOOKUP($B$259,$B$173:$R$187,14,0)</f>
        <v>0.82</v>
      </c>
      <c r="F272" s="489">
        <f>HLOOKUP($B$259,$T$173:$AJ$187,14,0)</f>
        <v>0.91</v>
      </c>
      <c r="G272" s="489">
        <f>HLOOKUP($B$259,$B$190:$R$204,14,0)</f>
        <v>0.9</v>
      </c>
      <c r="H272" s="489">
        <f>HLOOKUP($B$259,$T$190:$AJ$204,14,0)</f>
        <v>0.91</v>
      </c>
      <c r="I272" s="489">
        <f>HLOOKUP($B$259,$B$207:$R$221,14,0)</f>
        <v>0.83</v>
      </c>
      <c r="J272" s="489">
        <f>HLOOKUP($B$259,$T$207:$AJ$221,14,0)</f>
        <v>0.82</v>
      </c>
      <c r="K272" s="489">
        <f>HLOOKUP($B$259,$B$223:$R$237,14,0)</f>
        <v>0.83</v>
      </c>
      <c r="L272" s="489">
        <v>0.1</v>
      </c>
      <c r="M272" s="440"/>
      <c r="N272" s="440"/>
      <c r="O272" s="440"/>
      <c r="P272" s="440"/>
      <c r="Q272" s="440"/>
      <c r="R272" s="440"/>
      <c r="V272" s="106"/>
      <c r="W272" s="106"/>
      <c r="X272" s="106"/>
      <c r="Y272" s="106"/>
      <c r="Z272" s="106"/>
      <c r="AA272" s="106"/>
      <c r="AB272" s="106"/>
    </row>
    <row r="273" spans="2:78" ht="15.5">
      <c r="B273" s="488" t="s">
        <v>396</v>
      </c>
      <c r="C273" s="492">
        <f>HLOOKUP($B$259,$B$156:$R$170,15,0)</f>
        <v>0.24</v>
      </c>
      <c r="D273" s="492">
        <f>HLOOKUP($B$259,$T$156:$AJ$170,15,0)</f>
        <v>0.24</v>
      </c>
      <c r="E273" s="492">
        <f>HLOOKUP($B$259,$B$173:$R$187,15,0)</f>
        <v>0.24</v>
      </c>
      <c r="F273" s="492">
        <f>HLOOKUP($B$259,$T$173:$AJ$187,15,0)</f>
        <v>0.24</v>
      </c>
      <c r="G273" s="492">
        <f>HLOOKUP($B$259,$B$190:$R$204,15,0)</f>
        <v>0.25</v>
      </c>
      <c r="H273" s="492">
        <f>HLOOKUP($B$259,$T$190:$AJ$204,15,0)</f>
        <v>0.25</v>
      </c>
      <c r="I273" s="492">
        <f>HLOOKUP($B$259,$B$207:$R$221,15,0)</f>
        <v>0.25</v>
      </c>
      <c r="J273" s="492">
        <f>HLOOKUP($B$259,$T$207:$AJ$221,15,0)</f>
        <v>0.25</v>
      </c>
      <c r="K273" s="492">
        <f>HLOOKUP($B$259,$B$223:$R$237,15,0)</f>
        <v>0.25</v>
      </c>
      <c r="L273" s="492">
        <f>HLOOKUP($B$259,$T$223:$AJ$237,15,0)</f>
        <v>0.25</v>
      </c>
      <c r="M273" s="440"/>
      <c r="N273" s="440"/>
      <c r="O273" s="440"/>
      <c r="P273" s="440"/>
      <c r="Q273" s="440"/>
      <c r="R273" s="440"/>
      <c r="V273" s="106"/>
      <c r="W273" s="106"/>
      <c r="X273" s="106"/>
      <c r="Y273" s="106"/>
      <c r="Z273" s="106"/>
      <c r="AA273" s="106"/>
      <c r="AB273" s="106"/>
    </row>
    <row r="274" spans="2:78" ht="15.5">
      <c r="B274" s="493" t="s">
        <v>400</v>
      </c>
      <c r="C274" s="494">
        <f>HLOOKUP($B$259,Drift!$B$154:$R$164,2,0)</f>
        <v>0.08</v>
      </c>
      <c r="D274" s="494">
        <f>HLOOKUP($B$259,Drift!$B$154:$R$164,3,0)</f>
        <v>0.08</v>
      </c>
      <c r="E274" s="495">
        <f>HLOOKUP($B$259,Drift!$B$154:$R$164,4,0)</f>
        <v>0.08</v>
      </c>
      <c r="F274" s="494">
        <f>HLOOKUP($B$259,Drift!$B$154:$R$164,5,0)</f>
        <v>0.08</v>
      </c>
      <c r="G274" s="494">
        <f>HLOOKUP($B$259,Drift!$B$154:$R$164,6,0)</f>
        <v>8.3333333333333329E-2</v>
      </c>
      <c r="H274" s="494">
        <f>HLOOKUP($B$259,Drift!$B$154:$R$164,7,0)</f>
        <v>8.3333333333333329E-2</v>
      </c>
      <c r="I274" s="494">
        <f>HLOOKUP($B$259,Drift!$B$154:$R$164,8,0)</f>
        <v>8.3333333333333329E-2</v>
      </c>
      <c r="J274" s="494">
        <f>HLOOKUP($B$259,Drift!$B$154:$R$164,9,0)</f>
        <v>8.3333333333333329E-2</v>
      </c>
      <c r="K274" s="494">
        <f>HLOOKUP($B$259,Drift!$B$154:$R$164,10,0)</f>
        <v>8.3333333333333329E-2</v>
      </c>
      <c r="L274" s="494">
        <f>HLOOKUP($B$259,Drift!$B$154:$R$164,11,0)</f>
        <v>8.3333333333333329E-2</v>
      </c>
      <c r="M274" s="440"/>
      <c r="N274" s="440"/>
      <c r="O274" s="440"/>
      <c r="P274" s="440"/>
      <c r="Q274" s="440"/>
      <c r="R274" s="440"/>
      <c r="V274" s="106"/>
      <c r="W274" s="106"/>
      <c r="X274" s="106"/>
      <c r="Y274" s="106"/>
      <c r="Z274" s="106"/>
      <c r="AA274" s="106"/>
      <c r="AB274" s="106"/>
    </row>
    <row r="275" spans="2:78" s="423" customFormat="1" ht="15.5">
      <c r="C275" s="496">
        <f>IF(OR(C274&lt;0.000001),0.000001,HLOOKUP($B$259,Drift!$B$154:$R$164,2,0))</f>
        <v>0.08</v>
      </c>
      <c r="D275" s="496">
        <f>IF(OR(D274&lt;0.000001),0.000001,HLOOKUP($B$259,Drift!$B$154:$R$164,2,0))</f>
        <v>0.08</v>
      </c>
      <c r="E275" s="496">
        <f>IF(OR(E274&lt;0.000001),0.000001,HLOOKUP($B$259,Drift!$B$154:$R$164,2,0))</f>
        <v>0.08</v>
      </c>
      <c r="F275" s="496">
        <f>IF(OR(F274&lt;0.000001),0.000001,HLOOKUP($B$259,Drift!$B$154:$R$164,2,0))</f>
        <v>0.08</v>
      </c>
      <c r="G275" s="496">
        <f>IF(OR(G274&lt;0.000001),0.000001,HLOOKUP($B$259,Drift!$B$154:$R$164,2,0))</f>
        <v>0.08</v>
      </c>
      <c r="H275" s="496">
        <f>IF(OR(H274&lt;0.000001),0.000001,HLOOKUP($B$259,Drift!$B$154:$R$164,2,0))</f>
        <v>0.08</v>
      </c>
      <c r="I275" s="496">
        <f>IF(OR(I274&lt;0.000001),0.000001,HLOOKUP($B$259,Drift!$B$154:$R$164,2,0))</f>
        <v>0.08</v>
      </c>
      <c r="J275" s="496">
        <f>IF(OR(J274&lt;0.000001),0.000001,HLOOKUP($B$259,Drift!$B$154:$R$164,2,0))</f>
        <v>0.08</v>
      </c>
      <c r="K275" s="496">
        <f>IF(OR(K274&lt;0.000001),0.000001,HLOOKUP($B$259,Drift!$B$154:$R$164,2,0))</f>
        <v>0.08</v>
      </c>
      <c r="L275" s="496">
        <f>IF(OR(L274&lt;0.000001),0.000001,HLOOKUP($B$259,Drift!$B$154:$R$164,2,0))</f>
        <v>0.08</v>
      </c>
      <c r="V275" s="497"/>
      <c r="W275" s="497"/>
      <c r="X275" s="497"/>
      <c r="Y275" s="497"/>
      <c r="Z275" s="497"/>
      <c r="AA275" s="497"/>
      <c r="AB275" s="497"/>
      <c r="AH275" s="424"/>
      <c r="AJ275" s="425"/>
      <c r="AN275" s="424"/>
      <c r="AP275" s="425"/>
      <c r="AT275" s="424"/>
      <c r="AV275" s="425"/>
      <c r="AZ275" s="424"/>
      <c r="BB275" s="425"/>
      <c r="BF275" s="424"/>
      <c r="BH275" s="425"/>
      <c r="BL275" s="424"/>
      <c r="BN275" s="425"/>
      <c r="BR275" s="424"/>
      <c r="BT275" s="425"/>
      <c r="BX275" s="424"/>
      <c r="BZ275" s="425"/>
    </row>
    <row r="276" spans="2:78" s="423" customFormat="1" ht="15.5">
      <c r="V276" s="497"/>
      <c r="W276" s="497"/>
      <c r="X276" s="497"/>
      <c r="Y276" s="497"/>
      <c r="Z276" s="497"/>
      <c r="AA276" s="497"/>
      <c r="AB276" s="497"/>
      <c r="AH276" s="424"/>
      <c r="AJ276" s="425"/>
      <c r="AN276" s="424"/>
      <c r="AP276" s="425"/>
      <c r="AT276" s="424"/>
      <c r="AV276" s="425"/>
      <c r="AZ276" s="424"/>
      <c r="BB276" s="425"/>
      <c r="BF276" s="424"/>
      <c r="BH276" s="425"/>
      <c r="BL276" s="424"/>
      <c r="BN276" s="425"/>
      <c r="BR276" s="424"/>
      <c r="BT276" s="425"/>
      <c r="BX276" s="424"/>
      <c r="BZ276" s="425"/>
    </row>
    <row r="277" spans="2:78" s="423" customFormat="1" ht="15.5">
      <c r="V277" s="497"/>
      <c r="W277" s="497"/>
      <c r="X277" s="497"/>
      <c r="Y277" s="497"/>
      <c r="Z277" s="497"/>
      <c r="AA277" s="497"/>
      <c r="AB277" s="497"/>
      <c r="AH277" s="424"/>
      <c r="AJ277" s="425"/>
      <c r="AN277" s="424"/>
      <c r="AP277" s="425"/>
      <c r="AT277" s="424"/>
      <c r="AV277" s="425"/>
      <c r="AZ277" s="424"/>
      <c r="BB277" s="425"/>
      <c r="BF277" s="424"/>
      <c r="BH277" s="425"/>
      <c r="BL277" s="424"/>
      <c r="BN277" s="425"/>
      <c r="BR277" s="424"/>
      <c r="BT277" s="425"/>
      <c r="BX277" s="424"/>
      <c r="BZ277" s="425"/>
    </row>
    <row r="284" spans="2:78">
      <c r="B284" s="997" t="s">
        <v>597</v>
      </c>
      <c r="C284" s="997" t="s">
        <v>78</v>
      </c>
    </row>
    <row r="285" spans="2:78" ht="13">
      <c r="B285" s="984">
        <f>C304</f>
        <v>160</v>
      </c>
      <c r="C285" s="984">
        <f>C300</f>
        <v>160</v>
      </c>
    </row>
    <row r="286" spans="2:78">
      <c r="B286" s="985">
        <f>IF($C$285&lt;=$B$271,$B$270,IF($C$285&lt;=$B$272,$B$271))</f>
        <v>150</v>
      </c>
      <c r="C286" s="985">
        <f>IF($C$285&lt;=$B$271,$B$270,IF($C$285&lt;=$B$272,$B$271))</f>
        <v>150</v>
      </c>
    </row>
    <row r="287" spans="2:78">
      <c r="B287" s="437"/>
      <c r="C287" s="437"/>
    </row>
    <row r="288" spans="2:78">
      <c r="B288" s="985">
        <f>IF($C$285&lt;=$B$270,$B$270,IF($C$285&lt;=$B$271,$B$271,IF($C$285&lt;=$B$272,$B$272,)))</f>
        <v>200</v>
      </c>
      <c r="C288" s="985">
        <f>IF($C$285&lt;=$B$270,$B$270,IF($C$285&lt;=$B$271,$B$271,IF($C$285&lt;=$B$272,$B$272,)))</f>
        <v>200</v>
      </c>
    </row>
    <row r="289" spans="2:86">
      <c r="B289" s="437"/>
      <c r="C289" s="437"/>
    </row>
    <row r="290" spans="2:86">
      <c r="B290" s="986">
        <f>VLOOKUP(B286,B270:L272,8)</f>
        <v>0.62</v>
      </c>
      <c r="C290" s="986">
        <f>VLOOKUP(C286,B270:L272,4)</f>
        <v>0.61</v>
      </c>
    </row>
    <row r="291" spans="2:86">
      <c r="B291" s="437"/>
      <c r="C291" s="437"/>
    </row>
    <row r="292" spans="2:86">
      <c r="B292" s="986">
        <f>VLOOKUP(B288,B270:L272,8)</f>
        <v>0.83</v>
      </c>
      <c r="C292" s="986">
        <f>VLOOKUP(C288,B270:L272,4)</f>
        <v>0.82</v>
      </c>
    </row>
    <row r="293" spans="2:86">
      <c r="B293" s="987"/>
      <c r="C293" s="987"/>
    </row>
    <row r="294" spans="2:86">
      <c r="B294" s="988">
        <f>(((B292-B290)/(B288-B286))*(B285-B286))+B290</f>
        <v>0.66200000000000003</v>
      </c>
      <c r="C294" s="988">
        <f>(((C292-C290)/(C288-C286))*(C285-C286))+C290</f>
        <v>0.65200000000000002</v>
      </c>
    </row>
    <row r="295" spans="2:86" s="423" customFormat="1">
      <c r="T295" s="424"/>
      <c r="U295" s="424"/>
      <c r="V295" s="424"/>
      <c r="W295" s="424"/>
      <c r="X295" s="424"/>
      <c r="Y295" s="424"/>
      <c r="Z295" s="424"/>
      <c r="AA295" s="424"/>
      <c r="AB295" s="424"/>
      <c r="AE295" s="424"/>
      <c r="AF295" s="424"/>
      <c r="AG295" s="424"/>
      <c r="AH295" s="425"/>
      <c r="AJ295" s="441"/>
      <c r="AK295" s="424"/>
      <c r="AL295" s="424"/>
      <c r="AM295" s="424"/>
      <c r="AN295" s="425"/>
      <c r="AP295" s="441"/>
      <c r="AQ295" s="424"/>
      <c r="AR295" s="424"/>
      <c r="AS295" s="424"/>
      <c r="AT295" s="425"/>
      <c r="AV295" s="441"/>
      <c r="AW295" s="424"/>
      <c r="AX295" s="424"/>
      <c r="AY295" s="424"/>
      <c r="AZ295" s="425"/>
      <c r="BB295" s="441"/>
      <c r="BC295" s="424"/>
      <c r="BD295" s="424"/>
      <c r="BE295" s="424"/>
      <c r="BF295" s="425"/>
      <c r="BH295" s="441"/>
      <c r="BI295" s="424"/>
      <c r="BJ295" s="424"/>
      <c r="BK295" s="424"/>
      <c r="BL295" s="425"/>
      <c r="BN295" s="441"/>
      <c r="BO295" s="424"/>
      <c r="BP295" s="424"/>
      <c r="BQ295" s="424"/>
      <c r="BR295" s="425"/>
      <c r="BT295" s="441"/>
      <c r="BU295" s="424"/>
      <c r="BV295" s="424"/>
      <c r="BW295" s="424"/>
      <c r="BX295" s="425"/>
      <c r="BZ295" s="441"/>
      <c r="CA295" s="424"/>
      <c r="CB295" s="425"/>
      <c r="CD295" s="441"/>
      <c r="CE295" s="424"/>
      <c r="CF295" s="424"/>
      <c r="CG295" s="424"/>
      <c r="CH295" s="425"/>
    </row>
    <row r="296" spans="2:86" s="423" customFormat="1">
      <c r="T296" s="424"/>
      <c r="U296" s="424"/>
      <c r="V296" s="424"/>
      <c r="W296" s="424"/>
      <c r="X296" s="424"/>
      <c r="Y296" s="424"/>
      <c r="Z296" s="424"/>
      <c r="AA296" s="424"/>
      <c r="AB296" s="424"/>
      <c r="AE296" s="424"/>
      <c r="AF296" s="424"/>
      <c r="AG296" s="424"/>
      <c r="AH296" s="425"/>
      <c r="AJ296" s="441"/>
      <c r="AK296" s="424"/>
      <c r="AL296" s="424"/>
      <c r="AM296" s="424"/>
      <c r="AN296" s="425"/>
      <c r="AP296" s="441"/>
      <c r="AQ296" s="424"/>
      <c r="AR296" s="424"/>
      <c r="AS296" s="424"/>
      <c r="AT296" s="425"/>
      <c r="AV296" s="441"/>
      <c r="AW296" s="424"/>
      <c r="AX296" s="424"/>
      <c r="AY296" s="424"/>
      <c r="AZ296" s="425"/>
      <c r="BB296" s="441"/>
      <c r="BC296" s="424"/>
      <c r="BD296" s="424"/>
      <c r="BE296" s="424"/>
      <c r="BF296" s="425"/>
      <c r="BH296" s="441"/>
      <c r="BI296" s="424"/>
      <c r="BJ296" s="424"/>
      <c r="BK296" s="424"/>
      <c r="BL296" s="425"/>
      <c r="BN296" s="441"/>
      <c r="BO296" s="424"/>
      <c r="BP296" s="424"/>
      <c r="BQ296" s="424"/>
      <c r="BR296" s="425"/>
      <c r="BT296" s="441"/>
      <c r="BU296" s="424"/>
      <c r="BV296" s="424"/>
      <c r="BW296" s="424"/>
      <c r="BX296" s="425"/>
      <c r="BZ296" s="441"/>
      <c r="CA296" s="424"/>
      <c r="CB296" s="425"/>
      <c r="CD296" s="441"/>
      <c r="CE296" s="424"/>
      <c r="CF296" s="424"/>
      <c r="CG296" s="424"/>
      <c r="CH296" s="425"/>
    </row>
    <row r="297" spans="2:86" ht="27" customHeight="1">
      <c r="B297" s="507" t="s">
        <v>408</v>
      </c>
      <c r="C297" s="667" t="s">
        <v>409</v>
      </c>
      <c r="D297" s="507" t="s">
        <v>410</v>
      </c>
      <c r="E297" s="470" t="s">
        <v>411</v>
      </c>
      <c r="F297" s="508" t="s">
        <v>412</v>
      </c>
      <c r="G297" s="984">
        <f>C307</f>
        <v>160</v>
      </c>
      <c r="H297" s="507" t="s">
        <v>413</v>
      </c>
      <c r="I297" s="667" t="s">
        <v>409</v>
      </c>
      <c r="J297" s="507" t="s">
        <v>410</v>
      </c>
      <c r="K297" s="470" t="s">
        <v>411</v>
      </c>
      <c r="L297" s="508" t="s">
        <v>412</v>
      </c>
      <c r="M297" s="984">
        <f>I307</f>
        <v>160</v>
      </c>
      <c r="AE297" s="463"/>
      <c r="AF297" s="463"/>
      <c r="AG297" s="463"/>
      <c r="AH297" s="464"/>
      <c r="AJ297" s="422"/>
      <c r="AK297" s="463"/>
      <c r="AL297" s="463"/>
      <c r="AM297" s="463"/>
      <c r="AN297" s="464"/>
      <c r="AP297" s="422"/>
      <c r="AQ297" s="463"/>
      <c r="AR297" s="463"/>
      <c r="AS297" s="463"/>
      <c r="AT297" s="464"/>
      <c r="AV297" s="422"/>
      <c r="AW297" s="463"/>
      <c r="AX297" s="463"/>
      <c r="AY297" s="463"/>
      <c r="AZ297" s="464"/>
      <c r="BB297" s="422"/>
      <c r="BC297" s="463"/>
      <c r="BD297" s="463"/>
      <c r="BE297" s="463"/>
      <c r="BF297" s="464"/>
      <c r="BH297" s="422"/>
      <c r="BI297" s="463"/>
      <c r="BJ297" s="463"/>
      <c r="BK297" s="463"/>
      <c r="BL297" s="464"/>
      <c r="BN297" s="422"/>
      <c r="BO297" s="463"/>
      <c r="BP297" s="463"/>
      <c r="BQ297" s="463"/>
      <c r="BR297" s="464"/>
      <c r="BT297" s="422"/>
      <c r="BU297" s="463"/>
      <c r="BV297" s="463"/>
      <c r="BW297" s="463"/>
      <c r="BX297" s="464"/>
      <c r="BZ297" s="422"/>
      <c r="CA297" s="463"/>
      <c r="CB297" s="464"/>
      <c r="CD297" s="422"/>
      <c r="CE297" s="463"/>
      <c r="CF297" s="463"/>
      <c r="CG297" s="424"/>
      <c r="CH297" s="464"/>
    </row>
    <row r="298" spans="2:86" ht="13.9" customHeight="1">
      <c r="B298" s="509" t="s">
        <v>414</v>
      </c>
      <c r="C298" s="470">
        <f>ID!D73</f>
        <v>160</v>
      </c>
      <c r="D298" s="470">
        <f>_xlfn.FORECAST.LINEAR($C$298,$C$270:$C$272,$B$270:$B$272)</f>
        <v>0.64</v>
      </c>
      <c r="E298" s="470">
        <f>C298+D298</f>
        <v>160.63999999999999</v>
      </c>
      <c r="F298" s="508">
        <f t="shared" ref="F298:F305" si="22">AQ369</f>
        <v>0</v>
      </c>
      <c r="G298" s="985">
        <f>IF($C$285&lt;=$B$271,$B$270,IF($C$285&lt;=$B$272,$B$271))</f>
        <v>150</v>
      </c>
      <c r="H298" s="509" t="s">
        <v>414</v>
      </c>
      <c r="I298" s="470">
        <f>ID!E73</f>
        <v>161.56</v>
      </c>
      <c r="J298" s="470">
        <f>_xlfn.FORECAST.LINEAR($C$298,$C$270:$C$272,$B$270:$B$272)</f>
        <v>0.64</v>
      </c>
      <c r="K298" s="470">
        <f>I298+J298</f>
        <v>162.19999999999999</v>
      </c>
      <c r="L298" s="508">
        <f t="shared" ref="L298:L305" si="23">AW369</f>
        <v>0</v>
      </c>
      <c r="M298" s="985">
        <f>IF($C$285&lt;=$B$271,$B$270,IF($C$285&lt;=$B$272,$B$271))</f>
        <v>150</v>
      </c>
      <c r="AE298" s="463"/>
      <c r="AF298" s="463"/>
      <c r="AG298" s="463"/>
      <c r="AH298" s="464"/>
      <c r="AJ298" s="422"/>
      <c r="AK298" s="463"/>
      <c r="AL298" s="463"/>
      <c r="AM298" s="463"/>
      <c r="AN298" s="464"/>
      <c r="AP298" s="422"/>
      <c r="AQ298" s="463"/>
      <c r="AR298" s="463"/>
      <c r="AS298" s="463"/>
      <c r="AT298" s="464"/>
      <c r="AV298" s="422"/>
      <c r="AW298" s="463"/>
      <c r="AX298" s="463"/>
      <c r="AY298" s="463"/>
      <c r="AZ298" s="464"/>
      <c r="BB298" s="422"/>
      <c r="BC298" s="463"/>
      <c r="BD298" s="463"/>
      <c r="BE298" s="463"/>
      <c r="BF298" s="464"/>
      <c r="BH298" s="422"/>
      <c r="BI298" s="463"/>
      <c r="BJ298" s="463"/>
      <c r="BK298" s="463"/>
      <c r="BL298" s="464"/>
      <c r="BN298" s="422"/>
      <c r="BO298" s="463"/>
      <c r="BP298" s="463"/>
      <c r="BQ298" s="463"/>
      <c r="BR298" s="464"/>
      <c r="BT298" s="422"/>
      <c r="BU298" s="463"/>
      <c r="BV298" s="463"/>
      <c r="BW298" s="463"/>
      <c r="BX298" s="464"/>
      <c r="BZ298" s="422"/>
      <c r="CA298" s="463"/>
      <c r="CB298" s="464"/>
      <c r="CD298" s="422"/>
      <c r="CE298" s="463"/>
      <c r="CF298" s="463"/>
      <c r="CG298" s="424"/>
      <c r="CH298" s="464"/>
    </row>
    <row r="299" spans="2:86" ht="13.9" customHeight="1">
      <c r="B299" s="509" t="s">
        <v>415</v>
      </c>
      <c r="C299" s="470">
        <f>ID!D74</f>
        <v>160</v>
      </c>
      <c r="D299" s="470">
        <f>_xlfn.FORECAST.LINEAR($C$299,$D$270:$D$272,$B$270:$B$272)</f>
        <v>0.71500000000000008</v>
      </c>
      <c r="E299" s="470">
        <f t="shared" ref="E299:E307" si="24">C299+D299</f>
        <v>160.715</v>
      </c>
      <c r="F299" s="508">
        <f t="shared" si="22"/>
        <v>0</v>
      </c>
      <c r="G299" s="437"/>
      <c r="H299" s="509" t="s">
        <v>415</v>
      </c>
      <c r="I299" s="470">
        <f>ID!E74</f>
        <v>161.56</v>
      </c>
      <c r="J299" s="470">
        <f>_xlfn.FORECAST.LINEAR($C$299,$D$270:$D$272,$B$270:$B$272)</f>
        <v>0.71500000000000008</v>
      </c>
      <c r="K299" s="470">
        <f t="shared" ref="K299:K307" si="25">I299+J299</f>
        <v>162.27500000000001</v>
      </c>
      <c r="L299" s="508">
        <f t="shared" si="23"/>
        <v>0</v>
      </c>
      <c r="M299" s="437"/>
      <c r="AE299" s="471"/>
      <c r="AF299" s="501"/>
      <c r="AG299" s="463"/>
      <c r="AH299" s="464"/>
      <c r="AJ299" s="501"/>
      <c r="AK299" s="471"/>
      <c r="AL299" s="501"/>
      <c r="AM299" s="463"/>
      <c r="AN299" s="464"/>
      <c r="AP299" s="501"/>
      <c r="AQ299" s="471"/>
      <c r="AR299" s="501"/>
      <c r="AS299" s="463"/>
      <c r="AT299" s="464"/>
      <c r="AV299" s="501"/>
      <c r="AW299" s="501"/>
      <c r="AX299" s="501"/>
      <c r="AY299" s="463"/>
      <c r="AZ299" s="464"/>
      <c r="BB299" s="501"/>
      <c r="BC299" s="463"/>
      <c r="BD299" s="501"/>
      <c r="BE299" s="463"/>
      <c r="BF299" s="464"/>
      <c r="BH299" s="501"/>
      <c r="BI299" s="463"/>
      <c r="BJ299" s="501"/>
      <c r="BK299" s="463"/>
      <c r="BL299" s="464"/>
      <c r="BN299" s="501"/>
      <c r="BO299" s="463"/>
      <c r="BP299" s="501"/>
      <c r="BQ299" s="463"/>
      <c r="BR299" s="464"/>
      <c r="BT299" s="501"/>
      <c r="BU299" s="463"/>
      <c r="BV299" s="501"/>
      <c r="BW299" s="463"/>
      <c r="BX299" s="464"/>
      <c r="BZ299" s="501"/>
      <c r="CA299" s="463"/>
      <c r="CB299" s="464"/>
      <c r="CD299" s="501"/>
      <c r="CE299" s="471"/>
      <c r="CF299" s="501"/>
      <c r="CG299" s="424"/>
      <c r="CH299" s="464"/>
    </row>
    <row r="300" spans="2:86" ht="13.9" customHeight="1">
      <c r="B300" s="509" t="s">
        <v>416</v>
      </c>
      <c r="C300" s="417">
        <f>ID!D75</f>
        <v>160</v>
      </c>
      <c r="D300" s="417">
        <f>C294</f>
        <v>0.65200000000000002</v>
      </c>
      <c r="E300" s="470">
        <f t="shared" si="24"/>
        <v>160.65199999999999</v>
      </c>
      <c r="F300" s="508">
        <f t="shared" si="22"/>
        <v>0</v>
      </c>
      <c r="G300" s="985">
        <f>IF($C$285&lt;=$B$270,$B$270,IF($C$285&lt;=$B$271,$B$271,IF($C$285&lt;=$B$272,$B$272,)))</f>
        <v>200</v>
      </c>
      <c r="H300" s="509" t="s">
        <v>416</v>
      </c>
      <c r="I300" s="470">
        <f>ID!E75</f>
        <v>161.56</v>
      </c>
      <c r="J300" s="470">
        <f>_xlfn.FORECAST.LINEAR($C$300,$E$270:$E$272,$B$270:$B$272)</f>
        <v>0.65666666666666673</v>
      </c>
      <c r="K300" s="470">
        <f t="shared" si="25"/>
        <v>162.21666666666667</v>
      </c>
      <c r="L300" s="508">
        <f t="shared" si="23"/>
        <v>0</v>
      </c>
      <c r="M300" s="985">
        <f>IF($C$285&lt;=$B$270,$B$270,IF($C$285&lt;=$B$271,$B$271,IF($C$285&lt;=$B$272,$B$272,)))</f>
        <v>200</v>
      </c>
      <c r="AE300" s="463"/>
      <c r="AF300" s="463"/>
      <c r="AG300" s="463"/>
      <c r="AH300" s="464"/>
      <c r="AJ300" s="422"/>
      <c r="AK300" s="463"/>
      <c r="AL300" s="463"/>
      <c r="AM300" s="463"/>
      <c r="AN300" s="464"/>
      <c r="AP300" s="422"/>
      <c r="AQ300" s="463"/>
      <c r="AR300" s="463"/>
      <c r="AS300" s="463"/>
      <c r="AT300" s="464"/>
      <c r="AV300" s="422"/>
      <c r="AW300" s="463"/>
      <c r="AX300" s="463"/>
      <c r="AY300" s="463"/>
      <c r="AZ300" s="464"/>
      <c r="BB300" s="422"/>
      <c r="BC300" s="463"/>
      <c r="BD300" s="463"/>
      <c r="BE300" s="463"/>
      <c r="BF300" s="464"/>
      <c r="BH300" s="422"/>
      <c r="BI300" s="463"/>
      <c r="BJ300" s="463"/>
      <c r="BK300" s="463"/>
      <c r="BL300" s="464"/>
      <c r="BN300" s="422"/>
      <c r="BO300" s="463"/>
      <c r="BP300" s="463"/>
      <c r="BQ300" s="463"/>
      <c r="BR300" s="464"/>
      <c r="BT300" s="422"/>
      <c r="BU300" s="463"/>
      <c r="BV300" s="463"/>
      <c r="BW300" s="463"/>
      <c r="BX300" s="464"/>
      <c r="BZ300" s="422"/>
      <c r="CA300" s="463"/>
      <c r="CB300" s="464"/>
      <c r="CD300" s="422"/>
      <c r="CE300" s="463"/>
      <c r="CF300" s="463"/>
      <c r="CG300" s="424"/>
      <c r="CH300" s="464"/>
    </row>
    <row r="301" spans="2:86" ht="13.9" customHeight="1">
      <c r="B301" s="509" t="s">
        <v>417</v>
      </c>
      <c r="C301" s="470">
        <f>ID!D76</f>
        <v>160</v>
      </c>
      <c r="D301" s="470">
        <f>_xlfn.FORECAST.LINEAR($C$301,$F$270:$F$272,$B$270:$B$272)</f>
        <v>0.72266666666666679</v>
      </c>
      <c r="E301" s="470">
        <f t="shared" si="24"/>
        <v>160.72266666666667</v>
      </c>
      <c r="F301" s="508">
        <f t="shared" si="22"/>
        <v>0</v>
      </c>
      <c r="G301" s="437"/>
      <c r="H301" s="509" t="s">
        <v>417</v>
      </c>
      <c r="I301" s="470">
        <f>ID!E76</f>
        <v>161.56</v>
      </c>
      <c r="J301" s="470">
        <f>_xlfn.FORECAST.LINEAR($C$301,$F$270:$F$272,$B$270:$B$272)</f>
        <v>0.72266666666666679</v>
      </c>
      <c r="K301" s="470">
        <f t="shared" si="25"/>
        <v>162.28266666666667</v>
      </c>
      <c r="L301" s="508">
        <f t="shared" si="23"/>
        <v>0</v>
      </c>
      <c r="M301" s="437"/>
      <c r="AE301" s="463"/>
      <c r="AF301" s="463"/>
      <c r="AG301" s="463"/>
      <c r="AH301" s="464"/>
      <c r="AJ301" s="422"/>
      <c r="AK301" s="463"/>
      <c r="AL301" s="463"/>
      <c r="AM301" s="463"/>
      <c r="AN301" s="464"/>
      <c r="AP301" s="422"/>
      <c r="AQ301" s="463"/>
      <c r="AR301" s="463"/>
      <c r="AS301" s="463"/>
      <c r="AT301" s="464"/>
      <c r="AV301" s="422"/>
      <c r="AW301" s="463"/>
      <c r="AX301" s="463"/>
      <c r="AY301" s="463"/>
      <c r="AZ301" s="464"/>
      <c r="BB301" s="422"/>
      <c r="BC301" s="463"/>
      <c r="BD301" s="463"/>
      <c r="BE301" s="463"/>
      <c r="BF301" s="464"/>
      <c r="BH301" s="422"/>
      <c r="BI301" s="463"/>
      <c r="BJ301" s="463"/>
      <c r="BK301" s="463"/>
      <c r="BL301" s="464"/>
      <c r="BN301" s="422"/>
      <c r="BO301" s="463"/>
      <c r="BP301" s="463"/>
      <c r="BQ301" s="463"/>
      <c r="BR301" s="464"/>
      <c r="BT301" s="422"/>
      <c r="BU301" s="463"/>
      <c r="BV301" s="463"/>
      <c r="BW301" s="463"/>
      <c r="BX301" s="464"/>
      <c r="BZ301" s="422"/>
      <c r="CA301" s="463"/>
      <c r="CB301" s="464"/>
      <c r="CD301" s="422"/>
      <c r="CE301" s="463"/>
      <c r="CF301" s="463"/>
      <c r="CG301" s="424"/>
      <c r="CH301" s="464"/>
    </row>
    <row r="302" spans="2:86" ht="13.9" customHeight="1">
      <c r="B302" s="509" t="s">
        <v>418</v>
      </c>
      <c r="C302" s="470">
        <f>ID!D77</f>
        <v>160</v>
      </c>
      <c r="D302" s="470">
        <f>_xlfn.FORECAST.LINEAR($C$302,$G$270:$G$272,$B$270:$B$272)</f>
        <v>0.72400000000000009</v>
      </c>
      <c r="E302" s="470">
        <f t="shared" si="24"/>
        <v>160.72399999999999</v>
      </c>
      <c r="F302" s="508">
        <f t="shared" si="22"/>
        <v>0</v>
      </c>
      <c r="G302" s="986">
        <f>VLOOKUP(G298,$B$270:$L$272,11)</f>
        <v>0.1</v>
      </c>
      <c r="H302" s="509" t="s">
        <v>418</v>
      </c>
      <c r="I302" s="470">
        <f>ID!E77</f>
        <v>161.56</v>
      </c>
      <c r="J302" s="470">
        <f>_xlfn.FORECAST.LINEAR($C$302,$G$270:$G$272,$B$270:$B$272)</f>
        <v>0.72400000000000009</v>
      </c>
      <c r="K302" s="470">
        <f t="shared" si="25"/>
        <v>162.28399999999999</v>
      </c>
      <c r="L302" s="508">
        <f t="shared" si="23"/>
        <v>0</v>
      </c>
      <c r="M302" s="986">
        <f>VLOOKUP(M298,$B$270:$L$272,11)</f>
        <v>0.1</v>
      </c>
      <c r="AE302" s="463"/>
      <c r="AF302" s="463"/>
      <c r="AG302" s="463"/>
      <c r="AH302" s="464"/>
      <c r="AJ302" s="422"/>
      <c r="AK302" s="463"/>
      <c r="AL302" s="463"/>
      <c r="AM302" s="463"/>
      <c r="AN302" s="464"/>
      <c r="AP302" s="422"/>
      <c r="AQ302" s="463"/>
      <c r="AR302" s="463"/>
      <c r="AS302" s="463"/>
      <c r="AT302" s="464"/>
      <c r="AV302" s="422"/>
      <c r="AW302" s="463"/>
      <c r="AX302" s="463"/>
      <c r="AY302" s="463"/>
      <c r="AZ302" s="464"/>
      <c r="BB302" s="422"/>
      <c r="BC302" s="463"/>
      <c r="BD302" s="463"/>
      <c r="BE302" s="463"/>
      <c r="BF302" s="464"/>
      <c r="BH302" s="422"/>
      <c r="BI302" s="463"/>
      <c r="BJ302" s="463"/>
      <c r="BK302" s="463"/>
      <c r="BL302" s="464"/>
      <c r="BN302" s="422"/>
      <c r="BO302" s="463"/>
      <c r="BP302" s="463"/>
      <c r="BQ302" s="463"/>
      <c r="BR302" s="464"/>
      <c r="BT302" s="422"/>
      <c r="BU302" s="463"/>
      <c r="BV302" s="463"/>
      <c r="BW302" s="463"/>
      <c r="BX302" s="464"/>
      <c r="BZ302" s="422"/>
      <c r="CA302" s="463"/>
      <c r="CB302" s="464"/>
      <c r="CD302" s="422"/>
      <c r="CE302" s="463"/>
      <c r="CF302" s="463"/>
      <c r="CG302" s="424"/>
      <c r="CH302" s="464"/>
    </row>
    <row r="303" spans="2:86" ht="13.9" customHeight="1">
      <c r="B303" s="509" t="s">
        <v>419</v>
      </c>
      <c r="C303" s="470">
        <f>ID!D78</f>
        <v>160</v>
      </c>
      <c r="D303" s="470">
        <f>_xlfn.FORECAST.LINEAR($C$303,$H$270:$H$272,$B$270:$B$272)</f>
        <v>0.7283333333333335</v>
      </c>
      <c r="E303" s="470">
        <f t="shared" si="24"/>
        <v>160.72833333333332</v>
      </c>
      <c r="F303" s="508">
        <f t="shared" si="22"/>
        <v>0</v>
      </c>
      <c r="G303" s="437"/>
      <c r="H303" s="509" t="s">
        <v>419</v>
      </c>
      <c r="I303" s="470">
        <f>ID!E78</f>
        <v>161.56</v>
      </c>
      <c r="J303" s="470">
        <f>_xlfn.FORECAST.LINEAR($C$303,$H$270:$H$272,$B$270:$B$272)</f>
        <v>0.7283333333333335</v>
      </c>
      <c r="K303" s="470">
        <f t="shared" si="25"/>
        <v>162.28833333333333</v>
      </c>
      <c r="L303" s="508">
        <f t="shared" si="23"/>
        <v>0</v>
      </c>
      <c r="M303" s="437"/>
      <c r="AE303" s="463"/>
      <c r="AF303" s="463"/>
      <c r="AG303" s="463"/>
      <c r="AH303" s="464"/>
      <c r="AJ303" s="422"/>
      <c r="AK303" s="463"/>
      <c r="AL303" s="463"/>
      <c r="AM303" s="463"/>
      <c r="AN303" s="464"/>
      <c r="AP303" s="422"/>
      <c r="AQ303" s="463"/>
      <c r="AR303" s="463"/>
      <c r="AS303" s="463"/>
      <c r="AT303" s="464"/>
      <c r="AV303" s="422"/>
      <c r="AW303" s="463"/>
      <c r="AX303" s="463"/>
      <c r="AY303" s="463"/>
      <c r="AZ303" s="464"/>
      <c r="BB303" s="422"/>
      <c r="BC303" s="463"/>
      <c r="BD303" s="463"/>
      <c r="BE303" s="463"/>
      <c r="BF303" s="464"/>
      <c r="BH303" s="422"/>
      <c r="BI303" s="463"/>
      <c r="BJ303" s="463"/>
      <c r="BK303" s="463"/>
      <c r="BL303" s="464"/>
      <c r="BN303" s="422"/>
      <c r="BO303" s="463"/>
      <c r="BP303" s="463"/>
      <c r="BQ303" s="463"/>
      <c r="BR303" s="464"/>
      <c r="BT303" s="422"/>
      <c r="BU303" s="463"/>
      <c r="BV303" s="463"/>
      <c r="BW303" s="463"/>
      <c r="BX303" s="464"/>
      <c r="BZ303" s="422"/>
      <c r="CA303" s="463"/>
      <c r="CB303" s="464"/>
      <c r="CD303" s="422"/>
      <c r="CE303" s="463"/>
      <c r="CF303" s="463"/>
      <c r="CG303" s="424"/>
      <c r="CH303" s="464"/>
    </row>
    <row r="304" spans="2:86" ht="13.9" customHeight="1">
      <c r="B304" s="509" t="s">
        <v>420</v>
      </c>
      <c r="C304" s="417">
        <f>ID!D79</f>
        <v>160</v>
      </c>
      <c r="D304" s="417">
        <f>B294</f>
        <v>0.66200000000000003</v>
      </c>
      <c r="E304" s="470">
        <f t="shared" si="24"/>
        <v>160.66200000000001</v>
      </c>
      <c r="F304" s="508">
        <f t="shared" si="22"/>
        <v>0</v>
      </c>
      <c r="G304" s="986">
        <f>VLOOKUP(G300,$B$270:$L$272,11)</f>
        <v>0.1</v>
      </c>
      <c r="H304" s="509" t="s">
        <v>420</v>
      </c>
      <c r="I304" s="470">
        <f>ID!E79</f>
        <v>161.56</v>
      </c>
      <c r="J304" s="470">
        <f>_xlfn.FORECAST.LINEAR($C$304,$I$270:$I$272,$B$270:$B$272)</f>
        <v>0.66433333333333333</v>
      </c>
      <c r="K304" s="470">
        <f t="shared" si="25"/>
        <v>162.22433333333333</v>
      </c>
      <c r="L304" s="508">
        <f t="shared" si="23"/>
        <v>0</v>
      </c>
      <c r="M304" s="986">
        <f>VLOOKUP(M300,$B$270:$L$272,11)</f>
        <v>0.1</v>
      </c>
      <c r="AE304" s="463"/>
      <c r="AF304" s="463"/>
      <c r="AG304" s="463"/>
      <c r="AH304" s="464"/>
      <c r="AJ304" s="422"/>
      <c r="AK304" s="463"/>
      <c r="AL304" s="463"/>
      <c r="AM304" s="463"/>
      <c r="AN304" s="464"/>
      <c r="AP304" s="422"/>
      <c r="AQ304" s="463"/>
      <c r="AR304" s="463"/>
      <c r="AS304" s="463"/>
      <c r="AT304" s="464"/>
      <c r="AV304" s="422"/>
      <c r="AW304" s="463"/>
      <c r="AX304" s="463"/>
      <c r="AY304" s="463"/>
      <c r="AZ304" s="464"/>
      <c r="BB304" s="422"/>
      <c r="BC304" s="463"/>
      <c r="BD304" s="463"/>
      <c r="BE304" s="463"/>
      <c r="BF304" s="464"/>
      <c r="BH304" s="422"/>
      <c r="BI304" s="463"/>
      <c r="BJ304" s="463"/>
      <c r="BK304" s="463"/>
      <c r="BL304" s="464"/>
      <c r="BN304" s="422"/>
      <c r="BO304" s="463"/>
      <c r="BP304" s="463"/>
      <c r="BQ304" s="463"/>
      <c r="BR304" s="464"/>
      <c r="BT304" s="422"/>
      <c r="BU304" s="463"/>
      <c r="BV304" s="463"/>
      <c r="BW304" s="463"/>
      <c r="BX304" s="464"/>
      <c r="BZ304" s="422"/>
      <c r="CA304" s="463"/>
      <c r="CB304" s="464"/>
      <c r="CD304" s="422"/>
      <c r="CE304" s="463"/>
      <c r="CF304" s="463"/>
      <c r="CG304" s="424"/>
      <c r="CH304" s="464"/>
    </row>
    <row r="305" spans="2:86" ht="13.9" customHeight="1">
      <c r="B305" s="509" t="s">
        <v>421</v>
      </c>
      <c r="C305" s="470">
        <f>ID!D80</f>
        <v>160</v>
      </c>
      <c r="D305" s="470">
        <f>_xlfn.FORECAST.LINEAR($C$305,$J$270:$J$272,$B$270:$B$272)</f>
        <v>0.66233333333333344</v>
      </c>
      <c r="E305" s="470">
        <f t="shared" si="24"/>
        <v>160.66233333333332</v>
      </c>
      <c r="F305" s="508">
        <f t="shared" si="22"/>
        <v>0</v>
      </c>
      <c r="G305" s="987"/>
      <c r="H305" s="509" t="s">
        <v>421</v>
      </c>
      <c r="I305" s="470">
        <f>ID!E80</f>
        <v>161.56</v>
      </c>
      <c r="J305" s="470">
        <f>_xlfn.FORECAST.LINEAR($C$305,$J$270:$J$272,$B$270:$B$272)</f>
        <v>0.66233333333333344</v>
      </c>
      <c r="K305" s="470">
        <f t="shared" si="25"/>
        <v>162.22233333333332</v>
      </c>
      <c r="L305" s="508">
        <f t="shared" si="23"/>
        <v>0</v>
      </c>
      <c r="M305" s="987"/>
      <c r="AE305" s="463"/>
      <c r="AF305" s="463"/>
      <c r="AG305" s="463"/>
      <c r="AH305" s="464"/>
      <c r="AJ305" s="422"/>
      <c r="AK305" s="463"/>
      <c r="AL305" s="463"/>
      <c r="AM305" s="463"/>
      <c r="AN305" s="464"/>
      <c r="AP305" s="422"/>
      <c r="AQ305" s="463"/>
      <c r="AR305" s="463"/>
      <c r="AS305" s="463"/>
      <c r="AT305" s="464"/>
      <c r="AV305" s="422"/>
      <c r="AW305" s="463"/>
      <c r="AX305" s="463"/>
      <c r="AY305" s="463"/>
      <c r="AZ305" s="464"/>
      <c r="BB305" s="422"/>
      <c r="BC305" s="463"/>
      <c r="BD305" s="463"/>
      <c r="BE305" s="463"/>
      <c r="BF305" s="464"/>
      <c r="BH305" s="422"/>
      <c r="BI305" s="463"/>
      <c r="BJ305" s="463"/>
      <c r="BK305" s="463"/>
      <c r="BL305" s="464"/>
      <c r="BN305" s="422"/>
      <c r="BO305" s="463"/>
      <c r="BP305" s="463"/>
      <c r="BQ305" s="463"/>
      <c r="BR305" s="464"/>
      <c r="BT305" s="422"/>
      <c r="BU305" s="463"/>
      <c r="BV305" s="463"/>
      <c r="BW305" s="463"/>
      <c r="BX305" s="464"/>
      <c r="BZ305" s="422"/>
      <c r="CA305" s="463"/>
      <c r="CB305" s="464"/>
      <c r="CD305" s="422"/>
      <c r="CE305" s="463"/>
      <c r="CF305" s="463"/>
      <c r="CG305" s="424"/>
      <c r="CH305" s="464"/>
    </row>
    <row r="306" spans="2:86" ht="13.9" customHeight="1">
      <c r="B306" s="509" t="s">
        <v>422</v>
      </c>
      <c r="C306" s="470">
        <f>ID!D81</f>
        <v>160</v>
      </c>
      <c r="D306" s="470">
        <f>_xlfn.FORECAST.LINEAR($C$306,$K$270:$K$272,$B$270:$B$272)</f>
        <v>0.66900000000000004</v>
      </c>
      <c r="E306" s="470">
        <f t="shared" si="24"/>
        <v>160.66900000000001</v>
      </c>
      <c r="F306" s="508">
        <f t="shared" ref="F306:F307" si="26">AQ377</f>
        <v>0</v>
      </c>
      <c r="G306" s="988">
        <f>(((G304-G302)/(G300-G298))*(G297-G298))+G302</f>
        <v>0.1</v>
      </c>
      <c r="H306" s="509" t="s">
        <v>422</v>
      </c>
      <c r="I306" s="470">
        <v>160</v>
      </c>
      <c r="J306" s="470">
        <f>_xlfn.FORECAST.LINEAR($C$306,$K$270:$K$272,$B$270:$B$272)</f>
        <v>0.66900000000000004</v>
      </c>
      <c r="K306" s="470">
        <f t="shared" si="25"/>
        <v>160.66900000000001</v>
      </c>
      <c r="L306" s="508">
        <f t="shared" ref="L306:L307" si="27">AW377</f>
        <v>0</v>
      </c>
      <c r="M306" s="988">
        <f>(((M304-M302)/(M300-M298))*(M297-M298))+M302</f>
        <v>0.1</v>
      </c>
      <c r="AE306" s="463"/>
      <c r="AF306" s="463"/>
      <c r="AG306" s="463"/>
      <c r="AH306" s="464"/>
      <c r="AJ306" s="422"/>
      <c r="AK306" s="463"/>
      <c r="AL306" s="463"/>
      <c r="AM306" s="463"/>
      <c r="AN306" s="464"/>
      <c r="AP306" s="422"/>
      <c r="AQ306" s="463"/>
      <c r="AR306" s="463"/>
      <c r="AS306" s="463"/>
      <c r="AT306" s="464"/>
      <c r="AV306" s="422"/>
      <c r="AW306" s="463"/>
      <c r="AX306" s="463"/>
      <c r="AY306" s="463"/>
      <c r="AZ306" s="464"/>
      <c r="BB306" s="422"/>
      <c r="BC306" s="463"/>
      <c r="BD306" s="463"/>
      <c r="BE306" s="463"/>
      <c r="BF306" s="464"/>
      <c r="BH306" s="422"/>
      <c r="BI306" s="463"/>
      <c r="BJ306" s="463"/>
      <c r="BK306" s="463"/>
      <c r="BL306" s="464"/>
      <c r="BN306" s="422"/>
      <c r="BO306" s="463"/>
      <c r="BP306" s="463"/>
      <c r="BQ306" s="463"/>
      <c r="BR306" s="464"/>
      <c r="BT306" s="422"/>
      <c r="BU306" s="463"/>
      <c r="BV306" s="463"/>
      <c r="BW306" s="463"/>
      <c r="BX306" s="464"/>
      <c r="BZ306" s="422"/>
      <c r="CA306" s="463"/>
      <c r="CB306" s="464"/>
      <c r="CD306" s="422"/>
      <c r="CE306" s="463"/>
      <c r="CF306" s="463"/>
      <c r="CG306" s="424"/>
      <c r="CH306" s="464"/>
    </row>
    <row r="307" spans="2:86" ht="13.9" customHeight="1">
      <c r="B307" s="509" t="s">
        <v>423</v>
      </c>
      <c r="C307" s="470">
        <v>160</v>
      </c>
      <c r="D307" s="474">
        <f>G306</f>
        <v>0.1</v>
      </c>
      <c r="E307" s="474">
        <f t="shared" si="24"/>
        <v>160.1</v>
      </c>
      <c r="F307" s="508">
        <f t="shared" si="26"/>
        <v>0</v>
      </c>
      <c r="G307" s="423"/>
      <c r="H307" s="509" t="s">
        <v>423</v>
      </c>
      <c r="I307" s="470">
        <v>160</v>
      </c>
      <c r="J307" s="474">
        <f>M306</f>
        <v>0.1</v>
      </c>
      <c r="K307" s="474">
        <f t="shared" si="25"/>
        <v>160.1</v>
      </c>
      <c r="L307" s="508">
        <f t="shared" si="27"/>
        <v>0</v>
      </c>
      <c r="M307" s="423"/>
      <c r="AE307" s="463"/>
      <c r="AF307" s="463"/>
      <c r="AG307" s="463"/>
      <c r="AH307" s="464"/>
      <c r="AJ307" s="422"/>
      <c r="AK307" s="463"/>
      <c r="AL307" s="463"/>
      <c r="AM307" s="463"/>
      <c r="AN307" s="464"/>
      <c r="AP307" s="422"/>
      <c r="AQ307" s="463"/>
      <c r="AR307" s="463"/>
      <c r="AS307" s="463"/>
      <c r="AT307" s="464"/>
      <c r="AV307" s="422"/>
      <c r="AW307" s="463"/>
      <c r="AX307" s="463"/>
      <c r="AY307" s="463"/>
      <c r="AZ307" s="464"/>
      <c r="BB307" s="422"/>
      <c r="BC307" s="463"/>
      <c r="BD307" s="463"/>
      <c r="BE307" s="463"/>
      <c r="BF307" s="464"/>
      <c r="BH307" s="422"/>
      <c r="BI307" s="463"/>
      <c r="BJ307" s="463"/>
      <c r="BK307" s="463"/>
      <c r="BL307" s="464"/>
      <c r="BN307" s="422"/>
      <c r="BO307" s="463"/>
      <c r="BP307" s="463"/>
      <c r="BQ307" s="463"/>
      <c r="BR307" s="464"/>
      <c r="BT307" s="422"/>
      <c r="BU307" s="463"/>
      <c r="BV307" s="463"/>
      <c r="BW307" s="463"/>
      <c r="BX307" s="464"/>
      <c r="BZ307" s="422"/>
      <c r="CA307" s="463"/>
      <c r="CB307" s="464"/>
      <c r="CD307" s="422"/>
      <c r="CE307" s="463"/>
      <c r="CF307" s="463"/>
      <c r="CG307" s="424"/>
      <c r="CH307" s="464"/>
    </row>
    <row r="308" spans="2:86" s="423" customFormat="1" ht="13.9" customHeight="1">
      <c r="T308" s="424"/>
      <c r="U308" s="424"/>
      <c r="V308" s="424"/>
      <c r="W308" s="424"/>
      <c r="X308" s="424"/>
      <c r="Y308" s="424"/>
      <c r="Z308" s="424"/>
      <c r="AA308" s="424"/>
      <c r="AB308" s="424"/>
      <c r="AE308" s="441"/>
      <c r="AF308" s="441"/>
      <c r="AG308" s="441"/>
      <c r="AH308" s="440"/>
      <c r="AL308" s="424"/>
      <c r="AN308" s="425"/>
      <c r="AR308" s="424"/>
      <c r="AT308" s="425"/>
      <c r="AW308" s="424"/>
      <c r="AX308" s="424"/>
      <c r="AZ308" s="425"/>
      <c r="BD308" s="424"/>
      <c r="BF308" s="425"/>
      <c r="BJ308" s="424"/>
      <c r="BL308" s="425"/>
      <c r="BP308" s="424"/>
      <c r="BR308" s="425"/>
      <c r="BV308" s="424"/>
      <c r="BX308" s="425"/>
      <c r="CB308" s="425"/>
      <c r="CF308" s="424"/>
      <c r="CH308" s="425"/>
    </row>
    <row r="309" spans="2:86" s="423" customFormat="1" ht="13.9" customHeight="1">
      <c r="T309" s="424"/>
      <c r="U309" s="424"/>
      <c r="V309" s="424"/>
      <c r="W309" s="424"/>
      <c r="X309" s="424"/>
      <c r="Y309" s="424"/>
      <c r="Z309" s="424"/>
      <c r="AA309" s="424"/>
      <c r="AB309" s="424"/>
      <c r="AE309" s="442"/>
      <c r="AF309" s="510"/>
      <c r="AG309" s="424"/>
      <c r="AH309" s="425"/>
      <c r="AJ309" s="511"/>
      <c r="AK309" s="442"/>
      <c r="AL309" s="510"/>
      <c r="AM309" s="424"/>
      <c r="AN309" s="425"/>
      <c r="AP309" s="511"/>
      <c r="AQ309" s="442"/>
      <c r="AR309" s="510"/>
      <c r="AS309" s="424"/>
      <c r="AT309" s="425"/>
      <c r="AV309" s="511"/>
      <c r="AW309" s="510"/>
      <c r="AX309" s="510"/>
      <c r="AY309" s="424"/>
      <c r="AZ309" s="425"/>
      <c r="BB309" s="511"/>
      <c r="BC309" s="424"/>
      <c r="BD309" s="510"/>
      <c r="BE309" s="424"/>
      <c r="BF309" s="425"/>
      <c r="BH309" s="511"/>
      <c r="BI309" s="424"/>
      <c r="BJ309" s="510"/>
      <c r="BK309" s="424"/>
      <c r="BL309" s="425"/>
      <c r="BN309" s="511"/>
      <c r="BO309" s="424"/>
      <c r="BP309" s="510"/>
      <c r="BQ309" s="424"/>
      <c r="BR309" s="425"/>
      <c r="BT309" s="511"/>
      <c r="BU309" s="424"/>
      <c r="BV309" s="510"/>
      <c r="BW309" s="424"/>
      <c r="BX309" s="425"/>
      <c r="BZ309" s="511"/>
      <c r="CA309" s="424"/>
      <c r="CB309" s="425"/>
      <c r="CD309" s="511"/>
      <c r="CE309" s="442"/>
      <c r="CF309" s="510"/>
      <c r="CG309" s="424"/>
      <c r="CH309" s="425"/>
    </row>
    <row r="310" spans="2:86" ht="25.15" customHeight="1">
      <c r="B310" s="507" t="s">
        <v>424</v>
      </c>
      <c r="C310" s="667" t="s">
        <v>409</v>
      </c>
      <c r="D310" s="507" t="s">
        <v>410</v>
      </c>
      <c r="E310" s="470" t="s">
        <v>411</v>
      </c>
      <c r="F310" s="508" t="s">
        <v>412</v>
      </c>
      <c r="G310" s="984">
        <f>C320</f>
        <v>160</v>
      </c>
      <c r="H310" s="507" t="s">
        <v>425</v>
      </c>
      <c r="I310" s="667" t="s">
        <v>409</v>
      </c>
      <c r="J310" s="507" t="s">
        <v>410</v>
      </c>
      <c r="K310" s="470" t="s">
        <v>411</v>
      </c>
      <c r="L310" s="508" t="s">
        <v>412</v>
      </c>
      <c r="M310" s="984">
        <f>I320</f>
        <v>160</v>
      </c>
      <c r="AE310" s="463"/>
      <c r="AF310" s="463"/>
      <c r="AG310" s="463"/>
      <c r="AH310" s="464"/>
      <c r="AJ310" s="422"/>
      <c r="AK310" s="463"/>
      <c r="AL310" s="463"/>
      <c r="AM310" s="463"/>
      <c r="AN310" s="464"/>
      <c r="AP310" s="422"/>
      <c r="AQ310" s="463"/>
      <c r="AR310" s="463"/>
      <c r="AS310" s="463"/>
      <c r="AT310" s="464"/>
      <c r="AV310" s="422"/>
      <c r="AW310" s="463"/>
      <c r="AX310" s="463"/>
      <c r="AY310" s="463"/>
      <c r="AZ310" s="464"/>
      <c r="BB310" s="422"/>
      <c r="BC310" s="463"/>
      <c r="BD310" s="463"/>
      <c r="BE310" s="463"/>
      <c r="BF310" s="464"/>
      <c r="BH310" s="422"/>
      <c r="BI310" s="463"/>
      <c r="BJ310" s="463"/>
      <c r="BK310" s="463"/>
      <c r="BL310" s="464"/>
      <c r="BN310" s="422"/>
      <c r="BO310" s="463"/>
      <c r="BP310" s="463"/>
      <c r="BQ310" s="463"/>
      <c r="BR310" s="464"/>
      <c r="BT310" s="422"/>
      <c r="BU310" s="463"/>
      <c r="BV310" s="463"/>
      <c r="BW310" s="463"/>
      <c r="BX310" s="464"/>
      <c r="BZ310" s="422"/>
      <c r="CA310" s="463"/>
      <c r="CB310" s="464"/>
      <c r="CD310" s="422"/>
      <c r="CE310" s="463"/>
      <c r="CF310" s="463"/>
      <c r="CG310" s="424"/>
      <c r="CH310" s="464"/>
    </row>
    <row r="311" spans="2:86" ht="13.9" customHeight="1">
      <c r="B311" s="509" t="s">
        <v>414</v>
      </c>
      <c r="C311" s="470">
        <f>ID!F73</f>
        <v>160</v>
      </c>
      <c r="D311" s="470">
        <f>_xlfn.FORECAST.LINEAR($C$298,$C$270:$C$272,$B$270:$B$272)</f>
        <v>0.64</v>
      </c>
      <c r="E311" s="470">
        <f>C311+D311</f>
        <v>160.63999999999999</v>
      </c>
      <c r="F311" s="508">
        <f t="shared" ref="F311:F318" si="28">AQ382</f>
        <v>0</v>
      </c>
      <c r="G311" s="985">
        <f>IF($C$285&lt;=$B$271,$B$270,IF($C$285&lt;=$B$272,$B$271))</f>
        <v>150</v>
      </c>
      <c r="H311" s="509" t="s">
        <v>414</v>
      </c>
      <c r="I311" s="470">
        <f>ID!G73</f>
        <v>161.56</v>
      </c>
      <c r="J311" s="470">
        <f>_xlfn.FORECAST.LINEAR($C$298,$C$270:$C$272,$B$270:$B$272)</f>
        <v>0.64</v>
      </c>
      <c r="K311" s="470">
        <f>I311+J311</f>
        <v>162.19999999999999</v>
      </c>
      <c r="L311" s="508">
        <f t="shared" ref="L311:L318" si="29">AW382</f>
        <v>0</v>
      </c>
      <c r="M311" s="985">
        <f>IF($C$285&lt;=$B$271,$B$270,IF($C$285&lt;=$B$272,$B$271))</f>
        <v>150</v>
      </c>
      <c r="AE311" s="463"/>
      <c r="AF311" s="463"/>
      <c r="AG311" s="463"/>
      <c r="AH311" s="464"/>
      <c r="AJ311" s="422"/>
      <c r="AK311" s="463"/>
      <c r="AL311" s="463"/>
      <c r="AM311" s="463"/>
      <c r="AN311" s="464"/>
      <c r="AP311" s="422"/>
      <c r="AQ311" s="463"/>
      <c r="AR311" s="463"/>
      <c r="AS311" s="463"/>
      <c r="AT311" s="464"/>
      <c r="AV311" s="422"/>
      <c r="AW311" s="463"/>
      <c r="AX311" s="463"/>
      <c r="AY311" s="463"/>
      <c r="AZ311" s="464"/>
      <c r="BB311" s="422"/>
      <c r="BC311" s="463"/>
      <c r="BD311" s="463"/>
      <c r="BE311" s="463"/>
      <c r="BF311" s="464"/>
      <c r="BH311" s="422"/>
      <c r="BI311" s="463"/>
      <c r="BJ311" s="463"/>
      <c r="BK311" s="463"/>
      <c r="BL311" s="464"/>
      <c r="BN311" s="422"/>
      <c r="BO311" s="463"/>
      <c r="BP311" s="463"/>
      <c r="BQ311" s="463"/>
      <c r="BR311" s="464"/>
      <c r="BT311" s="422"/>
      <c r="BU311" s="463"/>
      <c r="BV311" s="463"/>
      <c r="BW311" s="463"/>
      <c r="BX311" s="464"/>
      <c r="BZ311" s="422"/>
      <c r="CA311" s="463"/>
      <c r="CB311" s="464"/>
      <c r="CD311" s="422"/>
      <c r="CE311" s="463"/>
      <c r="CF311" s="463"/>
      <c r="CG311" s="424"/>
      <c r="CH311" s="464"/>
    </row>
    <row r="312" spans="2:86" ht="13.9" customHeight="1">
      <c r="B312" s="509" t="s">
        <v>415</v>
      </c>
      <c r="C312" s="470">
        <f>ID!F74</f>
        <v>160</v>
      </c>
      <c r="D312" s="470">
        <f>_xlfn.FORECAST.LINEAR($C$299,$D$270:$D$272,$B$270:$B$272)</f>
        <v>0.71500000000000008</v>
      </c>
      <c r="E312" s="470">
        <f t="shared" ref="E312:E320" si="30">C312+D312</f>
        <v>160.715</v>
      </c>
      <c r="F312" s="508">
        <f t="shared" si="28"/>
        <v>0</v>
      </c>
      <c r="G312" s="437"/>
      <c r="H312" s="509" t="s">
        <v>415</v>
      </c>
      <c r="I312" s="470">
        <f>ID!G74</f>
        <v>161.56</v>
      </c>
      <c r="J312" s="470">
        <f>_xlfn.FORECAST.LINEAR($C$299,$D$270:$D$272,$B$270:$B$272)</f>
        <v>0.71500000000000008</v>
      </c>
      <c r="K312" s="470">
        <f t="shared" ref="K312:K320" si="31">I312+J312</f>
        <v>162.27500000000001</v>
      </c>
      <c r="L312" s="508">
        <f t="shared" si="29"/>
        <v>0</v>
      </c>
      <c r="M312" s="437"/>
      <c r="AE312" s="463"/>
      <c r="AF312" s="463"/>
      <c r="AG312" s="463"/>
      <c r="AH312" s="464"/>
      <c r="AJ312" s="422"/>
      <c r="AK312" s="463"/>
      <c r="AL312" s="463"/>
      <c r="AM312" s="463"/>
      <c r="AN312" s="464"/>
      <c r="AP312" s="422"/>
      <c r="AQ312" s="463"/>
      <c r="AR312" s="463"/>
      <c r="AS312" s="463"/>
      <c r="AT312" s="464"/>
      <c r="AV312" s="422"/>
      <c r="AW312" s="463"/>
      <c r="AX312" s="463"/>
      <c r="AY312" s="463"/>
      <c r="AZ312" s="464"/>
      <c r="BB312" s="422"/>
      <c r="BC312" s="463"/>
      <c r="BD312" s="463"/>
      <c r="BE312" s="463"/>
      <c r="BF312" s="464"/>
      <c r="BH312" s="422"/>
      <c r="BI312" s="463"/>
      <c r="BJ312" s="463"/>
      <c r="BK312" s="463"/>
      <c r="BL312" s="464"/>
      <c r="BN312" s="422"/>
      <c r="BO312" s="463"/>
      <c r="BP312" s="463"/>
      <c r="BQ312" s="463"/>
      <c r="BR312" s="464"/>
      <c r="BT312" s="422"/>
      <c r="BU312" s="463"/>
      <c r="BV312" s="463"/>
      <c r="BW312" s="463"/>
      <c r="BX312" s="464"/>
      <c r="BZ312" s="422"/>
      <c r="CA312" s="463"/>
      <c r="CB312" s="464"/>
      <c r="CD312" s="422"/>
      <c r="CE312" s="463"/>
      <c r="CF312" s="463"/>
      <c r="CG312" s="424"/>
      <c r="CH312" s="464"/>
    </row>
    <row r="313" spans="2:86" ht="13.9" customHeight="1">
      <c r="B313" s="509" t="s">
        <v>416</v>
      </c>
      <c r="C313" s="470">
        <f>ID!F75</f>
        <v>160</v>
      </c>
      <c r="D313" s="470">
        <f>_xlfn.FORECAST.LINEAR($C$300,$E$270:$E$272,$B$270:$B$272)</f>
        <v>0.65666666666666673</v>
      </c>
      <c r="E313" s="470">
        <f t="shared" si="30"/>
        <v>160.65666666666667</v>
      </c>
      <c r="F313" s="508">
        <f t="shared" si="28"/>
        <v>0</v>
      </c>
      <c r="G313" s="985">
        <f>IF($C$285&lt;=$B$270,$B$270,IF($C$285&lt;=$B$271,$B$271,IF($C$285&lt;=$B$272,$B$272,)))</f>
        <v>200</v>
      </c>
      <c r="H313" s="509" t="s">
        <v>416</v>
      </c>
      <c r="I313" s="470">
        <f>ID!G75</f>
        <v>161.56</v>
      </c>
      <c r="J313" s="470">
        <f>_xlfn.FORECAST.LINEAR($C$300,$E$270:$E$272,$B$270:$B$272)</f>
        <v>0.65666666666666673</v>
      </c>
      <c r="K313" s="470">
        <f t="shared" si="31"/>
        <v>162.21666666666667</v>
      </c>
      <c r="L313" s="508">
        <f t="shared" si="29"/>
        <v>0</v>
      </c>
      <c r="M313" s="985">
        <f>IF($C$285&lt;=$B$270,$B$270,IF($C$285&lt;=$B$271,$B$271,IF($C$285&lt;=$B$272,$B$272,)))</f>
        <v>200</v>
      </c>
      <c r="AE313" s="463"/>
      <c r="AF313" s="463"/>
      <c r="AG313" s="463"/>
      <c r="AH313" s="464"/>
      <c r="AJ313" s="422"/>
      <c r="AK313" s="463"/>
      <c r="AL313" s="463"/>
      <c r="AM313" s="463"/>
      <c r="AN313" s="464"/>
      <c r="AP313" s="422"/>
      <c r="AQ313" s="463"/>
      <c r="AR313" s="463"/>
      <c r="AS313" s="463"/>
      <c r="AT313" s="464"/>
      <c r="AV313" s="422"/>
      <c r="AW313" s="463"/>
      <c r="AX313" s="463"/>
      <c r="AY313" s="463"/>
      <c r="AZ313" s="464"/>
      <c r="BB313" s="422"/>
      <c r="BC313" s="463"/>
      <c r="BD313" s="463"/>
      <c r="BE313" s="463"/>
      <c r="BF313" s="464"/>
      <c r="BH313" s="422"/>
      <c r="BI313" s="463"/>
      <c r="BJ313" s="463"/>
      <c r="BK313" s="463"/>
      <c r="BL313" s="464"/>
      <c r="BN313" s="422"/>
      <c r="BO313" s="463"/>
      <c r="BP313" s="463"/>
      <c r="BQ313" s="463"/>
      <c r="BR313" s="464"/>
      <c r="BT313" s="422"/>
      <c r="BU313" s="463"/>
      <c r="BV313" s="463"/>
      <c r="BW313" s="463"/>
      <c r="BX313" s="464"/>
      <c r="BZ313" s="422"/>
      <c r="CA313" s="463"/>
      <c r="CB313" s="464"/>
      <c r="CD313" s="422"/>
      <c r="CE313" s="463"/>
      <c r="CF313" s="463"/>
      <c r="CG313" s="424"/>
      <c r="CH313" s="464"/>
    </row>
    <row r="314" spans="2:86" ht="13.9" customHeight="1">
      <c r="B314" s="509" t="s">
        <v>417</v>
      </c>
      <c r="C314" s="470">
        <f>ID!F76</f>
        <v>160</v>
      </c>
      <c r="D314" s="470">
        <f>_xlfn.FORECAST.LINEAR($C$301,$F$270:$F$272,$B$270:$B$272)</f>
        <v>0.72266666666666679</v>
      </c>
      <c r="E314" s="470">
        <f t="shared" si="30"/>
        <v>160.72266666666667</v>
      </c>
      <c r="F314" s="508">
        <f t="shared" si="28"/>
        <v>0</v>
      </c>
      <c r="G314" s="437"/>
      <c r="H314" s="509" t="s">
        <v>417</v>
      </c>
      <c r="I314" s="470">
        <f>ID!G76</f>
        <v>161.56</v>
      </c>
      <c r="J314" s="470">
        <f>_xlfn.FORECAST.LINEAR($C$301,$F$270:$F$272,$B$270:$B$272)</f>
        <v>0.72266666666666679</v>
      </c>
      <c r="K314" s="470">
        <f t="shared" si="31"/>
        <v>162.28266666666667</v>
      </c>
      <c r="L314" s="508">
        <f t="shared" si="29"/>
        <v>0</v>
      </c>
      <c r="M314" s="437"/>
      <c r="AE314" s="463"/>
      <c r="AF314" s="463"/>
      <c r="AG314" s="463"/>
      <c r="AH314" s="464"/>
      <c r="AJ314" s="422"/>
      <c r="AK314" s="463"/>
      <c r="AL314" s="463"/>
      <c r="AM314" s="463"/>
      <c r="AN314" s="464"/>
      <c r="AP314" s="422"/>
      <c r="AQ314" s="463"/>
      <c r="AR314" s="463"/>
      <c r="AS314" s="463"/>
      <c r="AT314" s="464"/>
      <c r="AV314" s="422"/>
      <c r="AW314" s="463"/>
      <c r="AX314" s="463"/>
      <c r="AY314" s="463"/>
      <c r="AZ314" s="464"/>
      <c r="BB314" s="422"/>
      <c r="BC314" s="463"/>
      <c r="BD314" s="463"/>
      <c r="BE314" s="463"/>
      <c r="BF314" s="464"/>
      <c r="BH314" s="422"/>
      <c r="BI314" s="463"/>
      <c r="BJ314" s="463"/>
      <c r="BK314" s="463"/>
      <c r="BL314" s="464"/>
      <c r="BN314" s="422"/>
      <c r="BO314" s="463"/>
      <c r="BP314" s="463"/>
      <c r="BQ314" s="463"/>
      <c r="BR314" s="464"/>
      <c r="BT314" s="422"/>
      <c r="BU314" s="463"/>
      <c r="BV314" s="463"/>
      <c r="BW314" s="463"/>
      <c r="BX314" s="464"/>
      <c r="BZ314" s="422"/>
      <c r="CA314" s="463"/>
      <c r="CB314" s="464"/>
      <c r="CD314" s="422"/>
      <c r="CE314" s="463"/>
      <c r="CF314" s="463"/>
      <c r="CG314" s="424"/>
      <c r="CH314" s="464"/>
    </row>
    <row r="315" spans="2:86" ht="13.9" customHeight="1">
      <c r="B315" s="509" t="s">
        <v>418</v>
      </c>
      <c r="C315" s="470">
        <f>ID!F77</f>
        <v>160</v>
      </c>
      <c r="D315" s="470">
        <f>_xlfn.FORECAST.LINEAR($C$302,$G$270:$G$272,$B$270:$B$272)</f>
        <v>0.72400000000000009</v>
      </c>
      <c r="E315" s="470">
        <f t="shared" si="30"/>
        <v>160.72399999999999</v>
      </c>
      <c r="F315" s="508">
        <f t="shared" si="28"/>
        <v>0</v>
      </c>
      <c r="G315" s="986">
        <f>VLOOKUP(G311,$B$270:$L$272,11)</f>
        <v>0.1</v>
      </c>
      <c r="H315" s="509" t="s">
        <v>418</v>
      </c>
      <c r="I315" s="470">
        <f>ID!G77</f>
        <v>161.56</v>
      </c>
      <c r="J315" s="470">
        <f>_xlfn.FORECAST.LINEAR($C$302,$G$270:$G$272,$B$270:$B$272)</f>
        <v>0.72400000000000009</v>
      </c>
      <c r="K315" s="470">
        <f t="shared" si="31"/>
        <v>162.28399999999999</v>
      </c>
      <c r="L315" s="508">
        <f t="shared" si="29"/>
        <v>0</v>
      </c>
      <c r="M315" s="986">
        <f>VLOOKUP(M311,$B$270:$L$272,11)</f>
        <v>0.1</v>
      </c>
      <c r="AE315" s="463"/>
      <c r="AF315" s="463"/>
      <c r="AG315" s="463"/>
      <c r="AH315" s="464"/>
      <c r="AJ315" s="422"/>
      <c r="AK315" s="463"/>
      <c r="AL315" s="463"/>
      <c r="AM315" s="463"/>
      <c r="AN315" s="464"/>
      <c r="AP315" s="422"/>
      <c r="AQ315" s="463"/>
      <c r="AR315" s="463"/>
      <c r="AS315" s="463"/>
      <c r="AT315" s="464"/>
      <c r="AV315" s="422"/>
      <c r="AW315" s="463"/>
      <c r="AX315" s="463"/>
      <c r="AY315" s="463"/>
      <c r="AZ315" s="464"/>
      <c r="BB315" s="422"/>
      <c r="BC315" s="463"/>
      <c r="BD315" s="463"/>
      <c r="BE315" s="463"/>
      <c r="BF315" s="464"/>
      <c r="BH315" s="422"/>
      <c r="BI315" s="463"/>
      <c r="BJ315" s="463"/>
      <c r="BK315" s="463"/>
      <c r="BL315" s="464"/>
      <c r="BN315" s="422"/>
      <c r="BO315" s="463"/>
      <c r="BP315" s="463"/>
      <c r="BQ315" s="463"/>
      <c r="BR315" s="464"/>
      <c r="BT315" s="422"/>
      <c r="BU315" s="463"/>
      <c r="BV315" s="463"/>
      <c r="BW315" s="463"/>
      <c r="BX315" s="464"/>
      <c r="BZ315" s="422"/>
      <c r="CA315" s="463"/>
      <c r="CB315" s="464"/>
      <c r="CD315" s="422"/>
      <c r="CE315" s="463"/>
      <c r="CF315" s="463"/>
      <c r="CG315" s="424"/>
      <c r="CH315" s="464"/>
    </row>
    <row r="316" spans="2:86" ht="13.9" customHeight="1">
      <c r="B316" s="509" t="s">
        <v>419</v>
      </c>
      <c r="C316" s="470">
        <f>ID!F78</f>
        <v>160</v>
      </c>
      <c r="D316" s="470">
        <f>_xlfn.FORECAST.LINEAR($C$303,$H$270:$H$272,$B$270:$B$272)</f>
        <v>0.7283333333333335</v>
      </c>
      <c r="E316" s="470">
        <f t="shared" si="30"/>
        <v>160.72833333333332</v>
      </c>
      <c r="F316" s="508">
        <f t="shared" si="28"/>
        <v>0</v>
      </c>
      <c r="G316" s="437"/>
      <c r="H316" s="509" t="s">
        <v>419</v>
      </c>
      <c r="I316" s="470">
        <f>ID!G78</f>
        <v>161.56</v>
      </c>
      <c r="J316" s="470">
        <f>_xlfn.FORECAST.LINEAR($C$303,$H$270:$H$272,$B$270:$B$272)</f>
        <v>0.7283333333333335</v>
      </c>
      <c r="K316" s="470">
        <f t="shared" si="31"/>
        <v>162.28833333333333</v>
      </c>
      <c r="L316" s="508">
        <f t="shared" si="29"/>
        <v>0</v>
      </c>
      <c r="M316" s="437"/>
      <c r="AE316" s="463"/>
      <c r="AF316" s="463"/>
      <c r="AG316" s="463"/>
      <c r="AH316" s="464"/>
      <c r="AJ316" s="422"/>
      <c r="AK316" s="463"/>
      <c r="AL316" s="463"/>
      <c r="AM316" s="463"/>
      <c r="AN316" s="464"/>
      <c r="AP316" s="422"/>
      <c r="AQ316" s="463"/>
      <c r="AR316" s="463"/>
      <c r="AS316" s="463"/>
      <c r="AT316" s="464"/>
      <c r="AV316" s="422"/>
      <c r="AW316" s="463"/>
      <c r="AX316" s="463"/>
      <c r="AY316" s="463"/>
      <c r="AZ316" s="464"/>
      <c r="BB316" s="422"/>
      <c r="BC316" s="463"/>
      <c r="BD316" s="463"/>
      <c r="BE316" s="463"/>
      <c r="BF316" s="464"/>
      <c r="BH316" s="422"/>
      <c r="BI316" s="463"/>
      <c r="BJ316" s="463"/>
      <c r="BK316" s="463"/>
      <c r="BL316" s="464"/>
      <c r="BN316" s="422"/>
      <c r="BO316" s="463"/>
      <c r="BP316" s="463"/>
      <c r="BQ316" s="463"/>
      <c r="BR316" s="464"/>
      <c r="BT316" s="422"/>
      <c r="BU316" s="463"/>
      <c r="BV316" s="463"/>
      <c r="BW316" s="463"/>
      <c r="BX316" s="464"/>
      <c r="BZ316" s="422"/>
      <c r="CA316" s="463"/>
      <c r="CB316" s="464"/>
      <c r="CD316" s="422"/>
      <c r="CE316" s="463"/>
      <c r="CF316" s="463"/>
      <c r="CG316" s="424"/>
      <c r="CH316" s="464"/>
    </row>
    <row r="317" spans="2:86" ht="13.9" customHeight="1">
      <c r="B317" s="509" t="s">
        <v>420</v>
      </c>
      <c r="C317" s="470">
        <f>ID!F79</f>
        <v>160</v>
      </c>
      <c r="D317" s="470">
        <f>_xlfn.FORECAST.LINEAR($C$304,$I$270:$I$272,$B$270:$B$272)</f>
        <v>0.66433333333333333</v>
      </c>
      <c r="E317" s="470">
        <f t="shared" si="30"/>
        <v>160.66433333333333</v>
      </c>
      <c r="F317" s="508">
        <f t="shared" si="28"/>
        <v>0</v>
      </c>
      <c r="G317" s="986">
        <f>VLOOKUP(G313,$B$270:$L$272,11)</f>
        <v>0.1</v>
      </c>
      <c r="H317" s="509" t="s">
        <v>420</v>
      </c>
      <c r="I317" s="470">
        <f>ID!G79</f>
        <v>161.56</v>
      </c>
      <c r="J317" s="470">
        <f>_xlfn.FORECAST.LINEAR($C$304,$I$270:$I$272,$B$270:$B$272)</f>
        <v>0.66433333333333333</v>
      </c>
      <c r="K317" s="470">
        <f t="shared" si="31"/>
        <v>162.22433333333333</v>
      </c>
      <c r="L317" s="508">
        <f t="shared" si="29"/>
        <v>0</v>
      </c>
      <c r="M317" s="986">
        <f>VLOOKUP(M313,$B$270:$L$272,11)</f>
        <v>0.1</v>
      </c>
      <c r="AE317" s="463"/>
      <c r="AF317" s="463"/>
      <c r="AG317" s="463"/>
      <c r="AH317" s="464"/>
      <c r="AJ317" s="422"/>
      <c r="AK317" s="463"/>
      <c r="AL317" s="463"/>
      <c r="AM317" s="463"/>
      <c r="AN317" s="464"/>
      <c r="AP317" s="422"/>
      <c r="AQ317" s="463"/>
      <c r="AR317" s="463"/>
      <c r="AS317" s="463"/>
      <c r="AT317" s="464"/>
      <c r="AV317" s="422"/>
      <c r="AW317" s="463"/>
      <c r="AX317" s="463"/>
      <c r="AY317" s="463"/>
      <c r="AZ317" s="464"/>
      <c r="BB317" s="422"/>
      <c r="BC317" s="463"/>
      <c r="BD317" s="463"/>
      <c r="BE317" s="463"/>
      <c r="BF317" s="464"/>
      <c r="BH317" s="422"/>
      <c r="BI317" s="463"/>
      <c r="BJ317" s="463"/>
      <c r="BK317" s="463"/>
      <c r="BL317" s="464"/>
      <c r="BN317" s="422"/>
      <c r="BO317" s="463"/>
      <c r="BP317" s="463"/>
      <c r="BQ317" s="463"/>
      <c r="BR317" s="464"/>
      <c r="BT317" s="422"/>
      <c r="BU317" s="463"/>
      <c r="BV317" s="463"/>
      <c r="BW317" s="463"/>
      <c r="BX317" s="464"/>
      <c r="BZ317" s="422"/>
      <c r="CA317" s="463"/>
      <c r="CB317" s="464"/>
      <c r="CD317" s="422"/>
      <c r="CE317" s="463"/>
      <c r="CF317" s="463"/>
      <c r="CG317" s="424"/>
      <c r="CH317" s="464"/>
    </row>
    <row r="318" spans="2:86" ht="13.9" customHeight="1">
      <c r="B318" s="509" t="s">
        <v>421</v>
      </c>
      <c r="C318" s="470">
        <f>ID!F80</f>
        <v>160</v>
      </c>
      <c r="D318" s="470">
        <f>_xlfn.FORECAST.LINEAR($C$305,$J$270:$J$272,$B$270:$B$272)</f>
        <v>0.66233333333333344</v>
      </c>
      <c r="E318" s="470">
        <f t="shared" si="30"/>
        <v>160.66233333333332</v>
      </c>
      <c r="F318" s="508">
        <f t="shared" si="28"/>
        <v>0</v>
      </c>
      <c r="G318" s="987"/>
      <c r="H318" s="509" t="s">
        <v>421</v>
      </c>
      <c r="I318" s="470">
        <f>ID!G80</f>
        <v>161.56</v>
      </c>
      <c r="J318" s="470">
        <f>_xlfn.FORECAST.LINEAR($C$305,$J$270:$J$272,$B$270:$B$272)</f>
        <v>0.66233333333333344</v>
      </c>
      <c r="K318" s="470">
        <f t="shared" si="31"/>
        <v>162.22233333333332</v>
      </c>
      <c r="L318" s="508">
        <f t="shared" si="29"/>
        <v>0</v>
      </c>
      <c r="M318" s="987"/>
      <c r="AE318" s="463"/>
      <c r="AF318" s="463"/>
      <c r="AG318" s="463"/>
      <c r="AH318" s="464"/>
      <c r="AJ318" s="422"/>
      <c r="AK318" s="463"/>
      <c r="AL318" s="463"/>
      <c r="AM318" s="463"/>
      <c r="AN318" s="464"/>
      <c r="AP318" s="422"/>
      <c r="AQ318" s="463"/>
      <c r="AR318" s="463"/>
      <c r="AS318" s="463"/>
      <c r="AT318" s="464"/>
      <c r="AV318" s="422"/>
      <c r="AW318" s="463"/>
      <c r="AX318" s="463"/>
      <c r="AY318" s="463"/>
      <c r="AZ318" s="464"/>
      <c r="BB318" s="422"/>
      <c r="BC318" s="463"/>
      <c r="BD318" s="463"/>
      <c r="BE318" s="463"/>
      <c r="BF318" s="464"/>
      <c r="BH318" s="422"/>
      <c r="BI318" s="463"/>
      <c r="BJ318" s="463"/>
      <c r="BK318" s="463"/>
      <c r="BL318" s="464"/>
      <c r="BN318" s="422"/>
      <c r="BO318" s="463"/>
      <c r="BP318" s="463"/>
      <c r="BQ318" s="463"/>
      <c r="BR318" s="464"/>
      <c r="BT318" s="422"/>
      <c r="BU318" s="463"/>
      <c r="BV318" s="463"/>
      <c r="BW318" s="463"/>
      <c r="BX318" s="464"/>
      <c r="BZ318" s="422"/>
      <c r="CA318" s="463"/>
      <c r="CB318" s="464"/>
      <c r="CD318" s="422"/>
      <c r="CE318" s="463"/>
      <c r="CF318" s="463"/>
      <c r="CG318" s="424"/>
      <c r="CH318" s="464"/>
    </row>
    <row r="319" spans="2:86" ht="13.9" customHeight="1">
      <c r="B319" s="509" t="s">
        <v>422</v>
      </c>
      <c r="C319" s="470">
        <v>160</v>
      </c>
      <c r="D319" s="470">
        <f>_xlfn.FORECAST.LINEAR($C$306,$K$270:$K$272,$B$270:$B$272)</f>
        <v>0.66900000000000004</v>
      </c>
      <c r="E319" s="470">
        <f t="shared" si="30"/>
        <v>160.66900000000001</v>
      </c>
      <c r="F319" s="508">
        <f t="shared" ref="F319:F320" si="32">AQ390</f>
        <v>0</v>
      </c>
      <c r="G319" s="988">
        <f>(((G317-G315)/(G313-G311))*(G310-G311))+G315</f>
        <v>0.1</v>
      </c>
      <c r="H319" s="509" t="s">
        <v>422</v>
      </c>
      <c r="I319" s="470">
        <v>160</v>
      </c>
      <c r="J319" s="470">
        <f>_xlfn.FORECAST.LINEAR($C$306,$K$270:$K$272,$B$270:$B$272)</f>
        <v>0.66900000000000004</v>
      </c>
      <c r="K319" s="470">
        <f t="shared" si="31"/>
        <v>160.66900000000001</v>
      </c>
      <c r="L319" s="508">
        <f t="shared" ref="L319:L320" si="33">AW390</f>
        <v>0</v>
      </c>
      <c r="M319" s="988">
        <f>(((M317-M315)/(M313-M311))*(M310-M311))+M315</f>
        <v>0.1</v>
      </c>
      <c r="AE319" s="471"/>
      <c r="AF319" s="504"/>
      <c r="AG319" s="463"/>
      <c r="AH319" s="464"/>
      <c r="AJ319" s="501"/>
      <c r="AK319" s="471"/>
      <c r="AL319" s="504"/>
      <c r="AM319" s="463"/>
      <c r="AN319" s="464"/>
      <c r="AP319" s="501"/>
      <c r="AQ319" s="471"/>
      <c r="AR319" s="504"/>
      <c r="AS319" s="463"/>
      <c r="AT319" s="464"/>
      <c r="AV319" s="501"/>
      <c r="AW319" s="504"/>
      <c r="AX319" s="504"/>
      <c r="AY319" s="463"/>
      <c r="AZ319" s="464"/>
      <c r="BB319" s="501"/>
      <c r="BC319" s="463"/>
      <c r="BD319" s="504"/>
      <c r="BE319" s="463"/>
      <c r="BF319" s="464"/>
      <c r="BH319" s="501"/>
      <c r="BI319" s="463"/>
      <c r="BJ319" s="504"/>
      <c r="BK319" s="463"/>
      <c r="BL319" s="464"/>
      <c r="BN319" s="501"/>
      <c r="BO319" s="463"/>
      <c r="BP319" s="504"/>
      <c r="BQ319" s="463"/>
      <c r="BR319" s="464"/>
      <c r="BT319" s="501"/>
      <c r="BU319" s="463"/>
      <c r="BV319" s="504"/>
      <c r="BW319" s="463"/>
      <c r="BX319" s="464"/>
      <c r="BZ319" s="501"/>
      <c r="CA319" s="463"/>
      <c r="CB319" s="464"/>
      <c r="CD319" s="501"/>
      <c r="CE319" s="471"/>
      <c r="CF319" s="504"/>
      <c r="CG319" s="424"/>
      <c r="CH319" s="464"/>
    </row>
    <row r="320" spans="2:86" ht="13.9" customHeight="1">
      <c r="B320" s="509" t="s">
        <v>423</v>
      </c>
      <c r="C320" s="470">
        <v>160</v>
      </c>
      <c r="D320" s="474">
        <f>G319</f>
        <v>0.1</v>
      </c>
      <c r="E320" s="474">
        <f t="shared" si="30"/>
        <v>160.1</v>
      </c>
      <c r="F320" s="508">
        <f t="shared" si="32"/>
        <v>0</v>
      </c>
      <c r="G320" s="423"/>
      <c r="H320" s="509" t="s">
        <v>423</v>
      </c>
      <c r="I320" s="470">
        <v>160</v>
      </c>
      <c r="J320" s="474">
        <f>M319</f>
        <v>0.1</v>
      </c>
      <c r="K320" s="474">
        <f t="shared" si="31"/>
        <v>160.1</v>
      </c>
      <c r="L320" s="508">
        <f t="shared" si="33"/>
        <v>0</v>
      </c>
      <c r="M320" s="423"/>
      <c r="AE320" s="463"/>
      <c r="AF320" s="463"/>
      <c r="AG320" s="463"/>
      <c r="AH320" s="464"/>
      <c r="AJ320" s="422"/>
      <c r="AK320" s="463"/>
      <c r="AL320" s="463"/>
      <c r="AM320" s="463"/>
      <c r="AN320" s="464"/>
      <c r="AP320" s="422"/>
      <c r="AQ320" s="463"/>
      <c r="AR320" s="463"/>
      <c r="AS320" s="463"/>
      <c r="AT320" s="464"/>
      <c r="AV320" s="422"/>
      <c r="AW320" s="463"/>
      <c r="AX320" s="463"/>
      <c r="AY320" s="463"/>
      <c r="AZ320" s="464"/>
      <c r="BB320" s="422"/>
      <c r="BC320" s="463"/>
      <c r="BD320" s="463"/>
      <c r="BE320" s="463"/>
      <c r="BF320" s="464"/>
      <c r="BH320" s="422"/>
      <c r="BI320" s="463"/>
      <c r="BJ320" s="463"/>
      <c r="BK320" s="463"/>
      <c r="BL320" s="464"/>
      <c r="BN320" s="422"/>
      <c r="BO320" s="463"/>
      <c r="BP320" s="463"/>
      <c r="BQ320" s="463"/>
      <c r="BR320" s="464"/>
      <c r="BT320" s="422"/>
      <c r="BU320" s="463"/>
      <c r="BV320" s="463"/>
      <c r="BW320" s="463"/>
      <c r="BX320" s="464"/>
      <c r="BZ320" s="422"/>
      <c r="CA320" s="463"/>
      <c r="CB320" s="464"/>
      <c r="CD320" s="422"/>
      <c r="CE320" s="463"/>
      <c r="CF320" s="463"/>
      <c r="CG320" s="424"/>
      <c r="CH320" s="464"/>
    </row>
    <row r="321" spans="2:86" s="423" customFormat="1" ht="13.9" customHeight="1">
      <c r="T321" s="424"/>
      <c r="U321" s="424"/>
      <c r="V321" s="424"/>
      <c r="W321" s="424"/>
      <c r="X321" s="424"/>
      <c r="Y321" s="424"/>
      <c r="Z321" s="424"/>
      <c r="AA321" s="424"/>
      <c r="AB321" s="424"/>
      <c r="AE321" s="424"/>
      <c r="AF321" s="424"/>
      <c r="AG321" s="424"/>
      <c r="AH321" s="425"/>
      <c r="AJ321" s="441"/>
      <c r="AK321" s="424"/>
      <c r="AL321" s="424"/>
      <c r="AM321" s="424"/>
      <c r="AN321" s="425"/>
      <c r="AP321" s="441"/>
      <c r="AQ321" s="424"/>
      <c r="AR321" s="424"/>
      <c r="AS321" s="424"/>
      <c r="AT321" s="425"/>
      <c r="AV321" s="441"/>
      <c r="AW321" s="424"/>
      <c r="AX321" s="424"/>
      <c r="AY321" s="424"/>
      <c r="AZ321" s="425"/>
      <c r="BB321" s="441"/>
      <c r="BC321" s="424"/>
      <c r="BD321" s="424"/>
      <c r="BE321" s="424"/>
      <c r="BF321" s="425"/>
      <c r="BH321" s="441"/>
      <c r="BI321" s="424"/>
      <c r="BJ321" s="424"/>
      <c r="BK321" s="424"/>
      <c r="BL321" s="425"/>
      <c r="BN321" s="441"/>
      <c r="BO321" s="424"/>
      <c r="BP321" s="424"/>
      <c r="BQ321" s="424"/>
      <c r="BR321" s="425"/>
      <c r="BT321" s="441"/>
      <c r="BU321" s="424"/>
      <c r="BV321" s="424"/>
      <c r="BW321" s="424"/>
      <c r="BX321" s="425"/>
      <c r="BZ321" s="441"/>
      <c r="CA321" s="424"/>
      <c r="CB321" s="425"/>
      <c r="CD321" s="441"/>
      <c r="CE321" s="424"/>
      <c r="CF321" s="424"/>
      <c r="CG321" s="424"/>
      <c r="CH321" s="425"/>
    </row>
    <row r="322" spans="2:86" s="423" customFormat="1" ht="13.9" customHeight="1">
      <c r="T322" s="424"/>
      <c r="U322" s="424"/>
      <c r="V322" s="424"/>
      <c r="W322" s="424"/>
      <c r="X322" s="424"/>
      <c r="Y322" s="424"/>
      <c r="Z322" s="424"/>
      <c r="AA322" s="424"/>
      <c r="AB322" s="424"/>
      <c r="AE322" s="424"/>
      <c r="AF322" s="424"/>
      <c r="AG322" s="424"/>
      <c r="AH322" s="425"/>
      <c r="AJ322" s="441"/>
      <c r="AK322" s="424"/>
      <c r="AL322" s="424"/>
      <c r="AM322" s="424"/>
      <c r="AN322" s="425"/>
      <c r="AP322" s="441"/>
      <c r="AQ322" s="424"/>
      <c r="AR322" s="424"/>
      <c r="AS322" s="424"/>
      <c r="AT322" s="425"/>
      <c r="AV322" s="441"/>
      <c r="AW322" s="424"/>
      <c r="AX322" s="424"/>
      <c r="AY322" s="424"/>
      <c r="AZ322" s="425"/>
      <c r="BB322" s="441"/>
      <c r="BC322" s="424"/>
      <c r="BD322" s="424"/>
      <c r="BE322" s="424"/>
      <c r="BF322" s="425"/>
      <c r="BH322" s="441"/>
      <c r="BI322" s="424"/>
      <c r="BJ322" s="424"/>
      <c r="BK322" s="424"/>
      <c r="BL322" s="425"/>
      <c r="BN322" s="441"/>
      <c r="BO322" s="424"/>
      <c r="BP322" s="424"/>
      <c r="BQ322" s="424"/>
      <c r="BR322" s="425"/>
      <c r="BT322" s="441"/>
      <c r="BU322" s="424"/>
      <c r="BV322" s="424"/>
      <c r="BW322" s="424"/>
      <c r="BX322" s="425"/>
      <c r="BZ322" s="441"/>
      <c r="CA322" s="424"/>
      <c r="CB322" s="425"/>
      <c r="CD322" s="441"/>
      <c r="CE322" s="424"/>
      <c r="CF322" s="424"/>
      <c r="CG322" s="424"/>
      <c r="CH322" s="425"/>
    </row>
    <row r="323" spans="2:86" ht="26.5" customHeight="1">
      <c r="B323" s="507" t="s">
        <v>426</v>
      </c>
      <c r="C323" s="667" t="s">
        <v>409</v>
      </c>
      <c r="D323" s="507" t="s">
        <v>410</v>
      </c>
      <c r="E323" s="470" t="s">
        <v>411</v>
      </c>
      <c r="F323" s="508" t="s">
        <v>412</v>
      </c>
      <c r="G323" s="984">
        <f>C333</f>
        <v>160</v>
      </c>
      <c r="H323" s="507" t="s">
        <v>427</v>
      </c>
      <c r="I323" s="667" t="s">
        <v>409</v>
      </c>
      <c r="J323" s="507" t="s">
        <v>410</v>
      </c>
      <c r="K323" s="470" t="s">
        <v>411</v>
      </c>
      <c r="L323" s="508" t="s">
        <v>412</v>
      </c>
      <c r="M323" s="984">
        <f>I333</f>
        <v>160</v>
      </c>
      <c r="AE323" s="463"/>
      <c r="AF323" s="463"/>
      <c r="AG323" s="463"/>
      <c r="AH323" s="464"/>
      <c r="AJ323" s="422"/>
      <c r="AK323" s="463"/>
      <c r="AL323" s="463"/>
      <c r="AM323" s="463"/>
      <c r="AN323" s="464"/>
      <c r="AP323" s="422"/>
      <c r="AQ323" s="463"/>
      <c r="AR323" s="463"/>
      <c r="AS323" s="463"/>
      <c r="AT323" s="464"/>
      <c r="AV323" s="422"/>
      <c r="AW323" s="463"/>
      <c r="AX323" s="463"/>
      <c r="AY323" s="463"/>
      <c r="AZ323" s="464"/>
      <c r="BB323" s="422"/>
      <c r="BC323" s="463"/>
      <c r="BD323" s="463"/>
      <c r="BE323" s="463"/>
      <c r="BF323" s="464"/>
      <c r="BH323" s="422"/>
      <c r="BI323" s="463"/>
      <c r="BJ323" s="463"/>
      <c r="BK323" s="463"/>
      <c r="BL323" s="464"/>
      <c r="BN323" s="422"/>
      <c r="BO323" s="463"/>
      <c r="BP323" s="463"/>
      <c r="BQ323" s="463"/>
      <c r="BR323" s="464"/>
      <c r="BT323" s="422"/>
      <c r="BU323" s="463"/>
      <c r="BV323" s="463"/>
      <c r="BW323" s="463"/>
      <c r="BX323" s="464"/>
      <c r="BZ323" s="422"/>
      <c r="CA323" s="463"/>
      <c r="CB323" s="464"/>
      <c r="CD323" s="422"/>
      <c r="CE323" s="463"/>
      <c r="CF323" s="463"/>
      <c r="CG323" s="424"/>
      <c r="CH323" s="464"/>
    </row>
    <row r="324" spans="2:86">
      <c r="B324" s="509" t="s">
        <v>414</v>
      </c>
      <c r="C324" s="470">
        <f>ID!H73</f>
        <v>160</v>
      </c>
      <c r="D324" s="470">
        <f>_xlfn.FORECAST.LINEAR($C$298,$C$270:$C$272,$B$270:$B$272)</f>
        <v>0.64</v>
      </c>
      <c r="E324" s="470">
        <f>C324+D324</f>
        <v>160.63999999999999</v>
      </c>
      <c r="F324" s="508">
        <f t="shared" ref="F324:F331" si="34">AQ395</f>
        <v>0</v>
      </c>
      <c r="G324" s="985">
        <f>IF($C$285&lt;=$B$271,$B$270,IF($C$285&lt;=$B$272,$B$271))</f>
        <v>150</v>
      </c>
      <c r="H324" s="509" t="s">
        <v>414</v>
      </c>
      <c r="I324" s="470">
        <f>ID!I73</f>
        <v>161.56</v>
      </c>
      <c r="J324" s="470">
        <f>_xlfn.FORECAST.LINEAR($C$298,$C$270:$C$272,$B$270:$B$272)</f>
        <v>0.64</v>
      </c>
      <c r="K324" s="470">
        <f>I324+J324</f>
        <v>162.19999999999999</v>
      </c>
      <c r="L324" s="508">
        <f t="shared" ref="L324:L331" si="35">AW395</f>
        <v>0</v>
      </c>
      <c r="M324" s="985">
        <f>IF($C$285&lt;=$B$271,$B$270,IF($C$285&lt;=$B$272,$B$271))</f>
        <v>150</v>
      </c>
      <c r="AE324" s="463"/>
      <c r="AF324" s="463"/>
      <c r="AG324" s="463"/>
      <c r="AH324" s="464"/>
      <c r="AJ324" s="422"/>
      <c r="AK324" s="463"/>
      <c r="AL324" s="463"/>
      <c r="AM324" s="463"/>
      <c r="AN324" s="464"/>
      <c r="AP324" s="422"/>
      <c r="AQ324" s="463"/>
      <c r="AR324" s="463"/>
      <c r="AS324" s="463"/>
      <c r="AT324" s="464"/>
      <c r="AV324" s="422"/>
      <c r="AW324" s="463"/>
      <c r="AX324" s="463"/>
      <c r="AY324" s="463"/>
      <c r="AZ324" s="464"/>
      <c r="BB324" s="422"/>
      <c r="BC324" s="463"/>
      <c r="BD324" s="463"/>
      <c r="BE324" s="463"/>
      <c r="BF324" s="464"/>
      <c r="BH324" s="422"/>
      <c r="BI324" s="463"/>
      <c r="BJ324" s="463"/>
      <c r="BK324" s="463"/>
      <c r="BL324" s="464"/>
      <c r="BN324" s="422"/>
      <c r="BO324" s="463"/>
      <c r="BP324" s="463"/>
      <c r="BQ324" s="463"/>
      <c r="BR324" s="464"/>
      <c r="BT324" s="422"/>
      <c r="BU324" s="463"/>
      <c r="BV324" s="463"/>
      <c r="BW324" s="463"/>
      <c r="BX324" s="464"/>
      <c r="BZ324" s="422"/>
      <c r="CA324" s="463"/>
      <c r="CB324" s="464"/>
      <c r="CD324" s="422"/>
      <c r="CE324" s="463"/>
      <c r="CF324" s="463"/>
      <c r="CG324" s="424"/>
      <c r="CH324" s="464"/>
    </row>
    <row r="325" spans="2:86">
      <c r="B325" s="509" t="s">
        <v>415</v>
      </c>
      <c r="C325" s="470">
        <f>ID!H74</f>
        <v>160</v>
      </c>
      <c r="D325" s="470">
        <f>_xlfn.FORECAST.LINEAR($C$299,$D$270:$D$272,$B$270:$B$272)</f>
        <v>0.71500000000000008</v>
      </c>
      <c r="E325" s="470">
        <f t="shared" ref="E325:E333" si="36">C325+D325</f>
        <v>160.715</v>
      </c>
      <c r="F325" s="508">
        <f t="shared" si="34"/>
        <v>0</v>
      </c>
      <c r="G325" s="437"/>
      <c r="H325" s="509" t="s">
        <v>415</v>
      </c>
      <c r="I325" s="470">
        <f>ID!I74</f>
        <v>161.56</v>
      </c>
      <c r="J325" s="470">
        <f>_xlfn.FORECAST.LINEAR($C$299,$D$270:$D$272,$B$270:$B$272)</f>
        <v>0.71500000000000008</v>
      </c>
      <c r="K325" s="470">
        <f t="shared" ref="K325:K333" si="37">I325+J325</f>
        <v>162.27500000000001</v>
      </c>
      <c r="L325" s="508">
        <f t="shared" si="35"/>
        <v>0</v>
      </c>
      <c r="M325" s="437"/>
      <c r="AE325" s="463"/>
      <c r="AF325" s="463"/>
      <c r="AG325" s="463"/>
      <c r="AH325" s="464"/>
      <c r="AJ325" s="422"/>
      <c r="AK325" s="463"/>
      <c r="AL325" s="463"/>
      <c r="AM325" s="463"/>
      <c r="AN325" s="464"/>
      <c r="AP325" s="422"/>
      <c r="AQ325" s="463"/>
      <c r="AR325" s="463"/>
      <c r="AS325" s="463"/>
      <c r="AT325" s="464"/>
      <c r="AV325" s="422"/>
      <c r="AW325" s="463"/>
      <c r="AX325" s="463"/>
      <c r="AY325" s="463"/>
      <c r="AZ325" s="464"/>
      <c r="BB325" s="422"/>
      <c r="BC325" s="463"/>
      <c r="BD325" s="463"/>
      <c r="BE325" s="463"/>
      <c r="BF325" s="464"/>
      <c r="BH325" s="422"/>
      <c r="BI325" s="463"/>
      <c r="BJ325" s="463"/>
      <c r="BK325" s="463"/>
      <c r="BL325" s="464"/>
      <c r="BN325" s="422"/>
      <c r="BO325" s="463"/>
      <c r="BP325" s="463"/>
      <c r="BQ325" s="463"/>
      <c r="BR325" s="464"/>
      <c r="BT325" s="422"/>
      <c r="BU325" s="463"/>
      <c r="BV325" s="463"/>
      <c r="BW325" s="463"/>
      <c r="BX325" s="464"/>
      <c r="BZ325" s="422"/>
      <c r="CA325" s="463"/>
      <c r="CB325" s="464"/>
      <c r="CD325" s="422"/>
      <c r="CE325" s="463"/>
      <c r="CF325" s="463"/>
      <c r="CG325" s="424"/>
      <c r="CH325" s="464"/>
    </row>
    <row r="326" spans="2:86">
      <c r="B326" s="509" t="s">
        <v>416</v>
      </c>
      <c r="C326" s="470">
        <f>ID!H75</f>
        <v>160</v>
      </c>
      <c r="D326" s="470">
        <f>_xlfn.FORECAST.LINEAR($C$300,$E$270:$E$272,$B$270:$B$272)</f>
        <v>0.65666666666666673</v>
      </c>
      <c r="E326" s="470">
        <f t="shared" si="36"/>
        <v>160.65666666666667</v>
      </c>
      <c r="F326" s="508">
        <f t="shared" si="34"/>
        <v>0</v>
      </c>
      <c r="G326" s="985">
        <f>IF($C$285&lt;=$B$270,$B$270,IF($C$285&lt;=$B$271,$B$271,IF($C$285&lt;=$B$272,$B$272,)))</f>
        <v>200</v>
      </c>
      <c r="H326" s="509" t="s">
        <v>416</v>
      </c>
      <c r="I326" s="470">
        <f>ID!I75</f>
        <v>161.56</v>
      </c>
      <c r="J326" s="470">
        <f>_xlfn.FORECAST.LINEAR($C$300,$E$270:$E$272,$B$270:$B$272)</f>
        <v>0.65666666666666673</v>
      </c>
      <c r="K326" s="470">
        <f t="shared" si="37"/>
        <v>162.21666666666667</v>
      </c>
      <c r="L326" s="508">
        <f t="shared" si="35"/>
        <v>0</v>
      </c>
      <c r="M326" s="985">
        <f>IF($C$285&lt;=$B$270,$B$270,IF($C$285&lt;=$B$271,$B$271,IF($C$285&lt;=$B$272,$B$272,)))</f>
        <v>200</v>
      </c>
      <c r="AE326" s="463"/>
      <c r="AF326" s="463"/>
      <c r="AG326" s="463"/>
      <c r="AH326" s="464"/>
      <c r="AJ326" s="422"/>
      <c r="AK326" s="463"/>
      <c r="AL326" s="463"/>
      <c r="AM326" s="463"/>
      <c r="AN326" s="464"/>
      <c r="AP326" s="422"/>
      <c r="AQ326" s="463"/>
      <c r="AR326" s="463"/>
      <c r="AS326" s="463"/>
      <c r="AT326" s="464"/>
      <c r="AV326" s="422"/>
      <c r="AW326" s="463"/>
      <c r="AX326" s="463"/>
      <c r="AY326" s="463"/>
      <c r="AZ326" s="464"/>
      <c r="BB326" s="422"/>
      <c r="BC326" s="463"/>
      <c r="BD326" s="463"/>
      <c r="BE326" s="463"/>
      <c r="BF326" s="464"/>
      <c r="BH326" s="422"/>
      <c r="BI326" s="463"/>
      <c r="BJ326" s="463"/>
      <c r="BK326" s="463"/>
      <c r="BL326" s="464"/>
      <c r="BN326" s="422"/>
      <c r="BO326" s="463"/>
      <c r="BP326" s="463"/>
      <c r="BQ326" s="463"/>
      <c r="BR326" s="464"/>
      <c r="BT326" s="422"/>
      <c r="BU326" s="463"/>
      <c r="BV326" s="463"/>
      <c r="BW326" s="463"/>
      <c r="BX326" s="464"/>
      <c r="BZ326" s="422"/>
      <c r="CA326" s="463"/>
      <c r="CB326" s="464"/>
      <c r="CD326" s="422"/>
      <c r="CE326" s="463"/>
      <c r="CF326" s="463"/>
      <c r="CG326" s="424"/>
      <c r="CH326" s="464"/>
    </row>
    <row r="327" spans="2:86">
      <c r="B327" s="509" t="s">
        <v>417</v>
      </c>
      <c r="C327" s="470">
        <f>ID!H76</f>
        <v>160</v>
      </c>
      <c r="D327" s="470">
        <f>_xlfn.FORECAST.LINEAR($C$301,$F$270:$F$272,$B$270:$B$272)</f>
        <v>0.72266666666666679</v>
      </c>
      <c r="E327" s="470">
        <f t="shared" si="36"/>
        <v>160.72266666666667</v>
      </c>
      <c r="F327" s="508">
        <f t="shared" si="34"/>
        <v>0</v>
      </c>
      <c r="G327" s="437"/>
      <c r="H327" s="509" t="s">
        <v>417</v>
      </c>
      <c r="I327" s="470">
        <f>ID!I76</f>
        <v>161.56</v>
      </c>
      <c r="J327" s="470">
        <f>_xlfn.FORECAST.LINEAR($C$301,$F$270:$F$272,$B$270:$B$272)</f>
        <v>0.72266666666666679</v>
      </c>
      <c r="K327" s="470">
        <f t="shared" si="37"/>
        <v>162.28266666666667</v>
      </c>
      <c r="L327" s="508">
        <f t="shared" si="35"/>
        <v>0</v>
      </c>
      <c r="M327" s="437"/>
      <c r="AE327" s="463"/>
      <c r="AF327" s="463"/>
      <c r="AG327" s="463"/>
      <c r="AH327" s="464"/>
      <c r="AJ327" s="422"/>
      <c r="AK327" s="463"/>
      <c r="AL327" s="463"/>
      <c r="AM327" s="463"/>
      <c r="AN327" s="464"/>
      <c r="AP327" s="422"/>
      <c r="AQ327" s="463"/>
      <c r="AR327" s="463"/>
      <c r="AS327" s="463"/>
      <c r="AT327" s="464"/>
      <c r="AV327" s="422"/>
      <c r="AW327" s="463"/>
      <c r="AX327" s="463"/>
      <c r="AY327" s="463"/>
      <c r="AZ327" s="464"/>
      <c r="BB327" s="422"/>
      <c r="BC327" s="463"/>
      <c r="BD327" s="463"/>
      <c r="BE327" s="463"/>
      <c r="BF327" s="464"/>
      <c r="BH327" s="422"/>
      <c r="BI327" s="463"/>
      <c r="BJ327" s="463"/>
      <c r="BK327" s="463"/>
      <c r="BL327" s="464"/>
      <c r="BN327" s="422"/>
      <c r="BO327" s="463"/>
      <c r="BP327" s="463"/>
      <c r="BQ327" s="463"/>
      <c r="BR327" s="464"/>
      <c r="BT327" s="422"/>
      <c r="BU327" s="463"/>
      <c r="BV327" s="463"/>
      <c r="BW327" s="463"/>
      <c r="BX327" s="464"/>
      <c r="BZ327" s="422"/>
      <c r="CA327" s="463"/>
      <c r="CB327" s="464"/>
      <c r="CD327" s="422"/>
      <c r="CE327" s="463"/>
      <c r="CF327" s="463"/>
      <c r="CG327" s="424"/>
      <c r="CH327" s="464"/>
    </row>
    <row r="328" spans="2:86">
      <c r="B328" s="509" t="s">
        <v>418</v>
      </c>
      <c r="C328" s="470">
        <f>ID!H77</f>
        <v>160</v>
      </c>
      <c r="D328" s="470">
        <f>_xlfn.FORECAST.LINEAR($C$302,$G$270:$G$272,$B$270:$B$272)</f>
        <v>0.72400000000000009</v>
      </c>
      <c r="E328" s="470">
        <f t="shared" si="36"/>
        <v>160.72399999999999</v>
      </c>
      <c r="F328" s="508">
        <f t="shared" si="34"/>
        <v>0</v>
      </c>
      <c r="G328" s="986">
        <f>VLOOKUP(G324,$B$270:$L$272,11)</f>
        <v>0.1</v>
      </c>
      <c r="H328" s="509" t="s">
        <v>418</v>
      </c>
      <c r="I328" s="470">
        <f>ID!I77</f>
        <v>161.56</v>
      </c>
      <c r="J328" s="470">
        <f>_xlfn.FORECAST.LINEAR($C$302,$G$270:$G$272,$B$270:$B$272)</f>
        <v>0.72400000000000009</v>
      </c>
      <c r="K328" s="470">
        <f t="shared" si="37"/>
        <v>162.28399999999999</v>
      </c>
      <c r="L328" s="508">
        <f t="shared" si="35"/>
        <v>0</v>
      </c>
      <c r="M328" s="986">
        <f>VLOOKUP(M324,$B$270:$L$272,11)</f>
        <v>0.1</v>
      </c>
      <c r="P328" s="422"/>
      <c r="Q328" s="463"/>
      <c r="R328" s="463"/>
      <c r="S328" s="463"/>
      <c r="T328" s="512"/>
      <c r="U328" s="512"/>
      <c r="V328" s="512"/>
      <c r="W328" s="512"/>
      <c r="X328" s="512"/>
      <c r="Y328" s="512"/>
      <c r="Z328" s="512"/>
      <c r="AA328" s="512"/>
      <c r="AB328" s="512"/>
      <c r="AD328" s="422"/>
      <c r="AH328" s="427"/>
      <c r="AJ328" s="427"/>
      <c r="AN328" s="427"/>
      <c r="AP328" s="427"/>
      <c r="AT328" s="427"/>
      <c r="AV328" s="427"/>
      <c r="AZ328" s="427"/>
      <c r="BB328" s="427"/>
      <c r="BF328" s="427"/>
      <c r="BH328" s="427"/>
      <c r="BL328" s="427"/>
      <c r="BN328" s="427"/>
      <c r="BR328" s="427"/>
      <c r="BT328" s="427"/>
      <c r="BX328" s="427"/>
      <c r="BZ328" s="427"/>
    </row>
    <row r="329" spans="2:86">
      <c r="B329" s="509" t="s">
        <v>419</v>
      </c>
      <c r="C329" s="470">
        <f>ID!H78</f>
        <v>160</v>
      </c>
      <c r="D329" s="470">
        <f>_xlfn.FORECAST.LINEAR($C$303,$H$270:$H$272,$B$270:$B$272)</f>
        <v>0.7283333333333335</v>
      </c>
      <c r="E329" s="470">
        <f t="shared" si="36"/>
        <v>160.72833333333332</v>
      </c>
      <c r="F329" s="508">
        <f t="shared" si="34"/>
        <v>0</v>
      </c>
      <c r="G329" s="437"/>
      <c r="H329" s="509" t="s">
        <v>419</v>
      </c>
      <c r="I329" s="470">
        <f>ID!I78</f>
        <v>161.56</v>
      </c>
      <c r="J329" s="470">
        <f>_xlfn.FORECAST.LINEAR($C$303,$H$270:$H$272,$B$270:$B$272)</f>
        <v>0.7283333333333335</v>
      </c>
      <c r="K329" s="470">
        <f t="shared" si="37"/>
        <v>162.28833333333333</v>
      </c>
      <c r="L329" s="508">
        <f t="shared" si="35"/>
        <v>0</v>
      </c>
      <c r="M329" s="437"/>
      <c r="P329" s="422"/>
      <c r="Q329" s="463"/>
      <c r="R329" s="463"/>
      <c r="S329" s="463"/>
      <c r="T329" s="512"/>
      <c r="U329" s="512"/>
      <c r="V329" s="512"/>
      <c r="W329" s="512"/>
      <c r="X329" s="512"/>
      <c r="Y329" s="512"/>
      <c r="Z329" s="512"/>
      <c r="AA329" s="512"/>
      <c r="AB329" s="512"/>
      <c r="AD329" s="422"/>
      <c r="AF329" s="422"/>
      <c r="AG329" s="463"/>
      <c r="AI329" s="463"/>
      <c r="AL329" s="422"/>
      <c r="AM329" s="463"/>
      <c r="AO329" s="463"/>
      <c r="AR329" s="422"/>
      <c r="AS329" s="463"/>
      <c r="AU329" s="463"/>
      <c r="AX329" s="422"/>
      <c r="AY329" s="463"/>
      <c r="BA329" s="463"/>
      <c r="BD329" s="422"/>
      <c r="BE329" s="463"/>
      <c r="BG329" s="463"/>
      <c r="BJ329" s="422"/>
      <c r="BK329" s="463"/>
      <c r="BM329" s="463"/>
      <c r="BP329" s="422"/>
      <c r="BQ329" s="463"/>
      <c r="BS329" s="463"/>
      <c r="BV329" s="422"/>
      <c r="BW329" s="463"/>
      <c r="BY329" s="463"/>
    </row>
    <row r="330" spans="2:86">
      <c r="B330" s="509" t="s">
        <v>420</v>
      </c>
      <c r="C330" s="470">
        <f>ID!H79</f>
        <v>160</v>
      </c>
      <c r="D330" s="470">
        <f>_xlfn.FORECAST.LINEAR($C$304,$I$270:$I$272,$B$270:$B$272)</f>
        <v>0.66433333333333333</v>
      </c>
      <c r="E330" s="470">
        <f t="shared" si="36"/>
        <v>160.66433333333333</v>
      </c>
      <c r="F330" s="508">
        <f t="shared" si="34"/>
        <v>0</v>
      </c>
      <c r="G330" s="986">
        <f>VLOOKUP(G326,$B$270:$L$272,11)</f>
        <v>0.1</v>
      </c>
      <c r="H330" s="509" t="s">
        <v>420</v>
      </c>
      <c r="I330" s="470">
        <f>ID!I79</f>
        <v>161.56</v>
      </c>
      <c r="J330" s="470">
        <f>_xlfn.FORECAST.LINEAR($C$304,$I$270:$I$272,$B$270:$B$272)</f>
        <v>0.66433333333333333</v>
      </c>
      <c r="K330" s="470">
        <f t="shared" si="37"/>
        <v>162.22433333333333</v>
      </c>
      <c r="L330" s="508">
        <f t="shared" si="35"/>
        <v>0</v>
      </c>
      <c r="M330" s="986">
        <f>VLOOKUP(M326,$B$270:$L$272,11)</f>
        <v>0.1</v>
      </c>
      <c r="P330" s="422"/>
      <c r="Q330" s="463"/>
      <c r="R330" s="463"/>
      <c r="S330" s="463"/>
      <c r="T330" s="512"/>
      <c r="U330" s="512"/>
      <c r="V330" s="512"/>
      <c r="W330" s="512"/>
      <c r="X330" s="512"/>
      <c r="Y330" s="512"/>
      <c r="Z330" s="512"/>
      <c r="AA330" s="512"/>
      <c r="AB330" s="512"/>
      <c r="AD330" s="422"/>
      <c r="AF330" s="422"/>
      <c r="AG330" s="463"/>
      <c r="AI330" s="463"/>
      <c r="AL330" s="422"/>
      <c r="AM330" s="463"/>
      <c r="AO330" s="463"/>
      <c r="AR330" s="422"/>
      <c r="AS330" s="463"/>
      <c r="AU330" s="463"/>
      <c r="AX330" s="422"/>
      <c r="AY330" s="463"/>
      <c r="BA330" s="463"/>
      <c r="BD330" s="422"/>
      <c r="BE330" s="463"/>
      <c r="BG330" s="463"/>
      <c r="BJ330" s="422"/>
      <c r="BK330" s="463"/>
      <c r="BM330" s="463"/>
      <c r="BP330" s="422"/>
      <c r="BQ330" s="463"/>
      <c r="BS330" s="463"/>
      <c r="BV330" s="422"/>
      <c r="BW330" s="463"/>
      <c r="BY330" s="463"/>
    </row>
    <row r="331" spans="2:86">
      <c r="B331" s="509" t="s">
        <v>421</v>
      </c>
      <c r="C331" s="470">
        <f>ID!H80</f>
        <v>160</v>
      </c>
      <c r="D331" s="470">
        <f>_xlfn.FORECAST.LINEAR($C$305,$J$270:$J$272,$B$270:$B$272)</f>
        <v>0.66233333333333344</v>
      </c>
      <c r="E331" s="470">
        <f t="shared" si="36"/>
        <v>160.66233333333332</v>
      </c>
      <c r="F331" s="508">
        <f t="shared" si="34"/>
        <v>0</v>
      </c>
      <c r="G331" s="987"/>
      <c r="H331" s="509" t="s">
        <v>421</v>
      </c>
      <c r="I331" s="470">
        <f>ID!I80</f>
        <v>161.56</v>
      </c>
      <c r="J331" s="470">
        <f>_xlfn.FORECAST.LINEAR($C$305,$J$270:$J$272,$B$270:$B$272)</f>
        <v>0.66233333333333344</v>
      </c>
      <c r="K331" s="470">
        <f t="shared" si="37"/>
        <v>162.22233333333332</v>
      </c>
      <c r="L331" s="508">
        <f t="shared" si="35"/>
        <v>0</v>
      </c>
      <c r="M331" s="987"/>
      <c r="P331" s="422"/>
      <c r="Q331" s="463"/>
      <c r="R331" s="463"/>
      <c r="S331" s="463"/>
      <c r="T331" s="512"/>
      <c r="U331" s="512"/>
      <c r="V331" s="512"/>
      <c r="W331" s="512"/>
      <c r="X331" s="512"/>
      <c r="Y331" s="512"/>
      <c r="Z331" s="512"/>
      <c r="AA331" s="512"/>
      <c r="AB331" s="512"/>
      <c r="AD331" s="422"/>
      <c r="AF331" s="422"/>
      <c r="AG331" s="463"/>
      <c r="AI331" s="463"/>
      <c r="AL331" s="422"/>
      <c r="AM331" s="463"/>
      <c r="AO331" s="463"/>
      <c r="AR331" s="422"/>
      <c r="AS331" s="463"/>
      <c r="AU331" s="463"/>
      <c r="AX331" s="422"/>
      <c r="AY331" s="463"/>
      <c r="BA331" s="463"/>
      <c r="BD331" s="422"/>
      <c r="BE331" s="463"/>
      <c r="BG331" s="463"/>
      <c r="BJ331" s="422"/>
      <c r="BK331" s="463"/>
      <c r="BM331" s="463"/>
      <c r="BP331" s="422"/>
      <c r="BQ331" s="463"/>
      <c r="BS331" s="463"/>
      <c r="BV331" s="422"/>
      <c r="BW331" s="463"/>
      <c r="BY331" s="463"/>
    </row>
    <row r="332" spans="2:86">
      <c r="B332" s="509" t="s">
        <v>422</v>
      </c>
      <c r="C332" s="470">
        <v>160</v>
      </c>
      <c r="D332" s="470">
        <f>_xlfn.FORECAST.LINEAR($C$306,$K$270:$K$272,$B$270:$B$272)</f>
        <v>0.66900000000000004</v>
      </c>
      <c r="E332" s="470">
        <f t="shared" si="36"/>
        <v>160.66900000000001</v>
      </c>
      <c r="F332" s="508">
        <f t="shared" ref="F332:F333" si="38">AQ403</f>
        <v>0</v>
      </c>
      <c r="G332" s="988">
        <f>(((G330-G328)/(G326-G324))*(G323-G324))+G328</f>
        <v>0.1</v>
      </c>
      <c r="H332" s="509" t="s">
        <v>422</v>
      </c>
      <c r="I332" s="470">
        <v>160</v>
      </c>
      <c r="J332" s="470">
        <f>_xlfn.FORECAST.LINEAR($C$306,$K$270:$K$272,$B$270:$B$272)</f>
        <v>0.66900000000000004</v>
      </c>
      <c r="K332" s="470">
        <f t="shared" si="37"/>
        <v>160.66900000000001</v>
      </c>
      <c r="L332" s="508">
        <f t="shared" ref="L332:L333" si="39">AW403</f>
        <v>0</v>
      </c>
      <c r="M332" s="988">
        <f>(((M330-M328)/(M326-M324))*(M323-M324))+M328</f>
        <v>0.1</v>
      </c>
      <c r="P332" s="422"/>
      <c r="Q332" s="463"/>
      <c r="R332" s="463"/>
      <c r="S332" s="463"/>
      <c r="T332" s="512"/>
      <c r="U332" s="512"/>
      <c r="V332" s="512"/>
      <c r="W332" s="512"/>
      <c r="X332" s="512"/>
      <c r="Y332" s="512"/>
      <c r="Z332" s="512"/>
      <c r="AA332" s="512"/>
      <c r="AB332" s="512"/>
      <c r="AD332" s="422"/>
      <c r="AF332" s="422"/>
      <c r="AG332" s="463"/>
      <c r="AI332" s="463"/>
      <c r="AL332" s="422"/>
      <c r="AM332" s="463"/>
      <c r="AO332" s="463"/>
      <c r="AR332" s="422"/>
      <c r="AS332" s="463"/>
      <c r="AU332" s="463"/>
      <c r="AX332" s="422"/>
      <c r="AY332" s="463"/>
      <c r="BA332" s="463"/>
      <c r="BD332" s="422"/>
      <c r="BE332" s="463"/>
      <c r="BG332" s="463"/>
      <c r="BJ332" s="422"/>
      <c r="BK332" s="463"/>
      <c r="BM332" s="463"/>
      <c r="BP332" s="422"/>
      <c r="BQ332" s="463"/>
      <c r="BS332" s="463"/>
      <c r="BV332" s="422"/>
      <c r="BW332" s="463"/>
      <c r="BY332" s="463"/>
    </row>
    <row r="333" spans="2:86">
      <c r="B333" s="509" t="s">
        <v>423</v>
      </c>
      <c r="C333" s="470">
        <v>160</v>
      </c>
      <c r="D333" s="474">
        <f>G332</f>
        <v>0.1</v>
      </c>
      <c r="E333" s="474">
        <f t="shared" si="36"/>
        <v>160.1</v>
      </c>
      <c r="F333" s="508">
        <f t="shared" si="38"/>
        <v>0</v>
      </c>
      <c r="G333" s="423"/>
      <c r="H333" s="509" t="s">
        <v>423</v>
      </c>
      <c r="I333" s="470">
        <v>160</v>
      </c>
      <c r="J333" s="474">
        <f>M332</f>
        <v>0.1</v>
      </c>
      <c r="K333" s="474">
        <f t="shared" si="37"/>
        <v>160.1</v>
      </c>
      <c r="L333" s="508">
        <f t="shared" si="39"/>
        <v>0</v>
      </c>
      <c r="M333" s="423"/>
      <c r="P333" s="422"/>
      <c r="Q333" s="463"/>
      <c r="R333" s="463"/>
      <c r="S333" s="463"/>
      <c r="T333" s="512"/>
      <c r="U333" s="512"/>
      <c r="V333" s="512"/>
      <c r="W333" s="512"/>
      <c r="X333" s="512"/>
      <c r="Y333" s="512"/>
      <c r="Z333" s="512"/>
      <c r="AA333" s="512"/>
      <c r="AB333" s="512"/>
      <c r="AD333" s="422"/>
      <c r="AF333" s="422"/>
      <c r="AG333" s="463"/>
      <c r="AI333" s="463"/>
      <c r="AL333" s="422"/>
      <c r="AM333" s="463"/>
      <c r="AO333" s="463"/>
      <c r="AR333" s="422"/>
      <c r="AS333" s="463"/>
      <c r="AU333" s="463"/>
      <c r="AX333" s="422"/>
      <c r="AY333" s="463"/>
      <c r="BA333" s="463"/>
      <c r="BD333" s="422"/>
      <c r="BE333" s="463"/>
      <c r="BG333" s="463"/>
      <c r="BJ333" s="422"/>
      <c r="BK333" s="463"/>
      <c r="BM333" s="463"/>
      <c r="BP333" s="422"/>
      <c r="BQ333" s="463"/>
      <c r="BS333" s="463"/>
      <c r="BV333" s="422"/>
      <c r="BW333" s="463"/>
      <c r="BY333" s="463"/>
    </row>
    <row r="334" spans="2:86" s="423" customFormat="1">
      <c r="C334" s="424"/>
      <c r="P334" s="441"/>
      <c r="Q334" s="424"/>
      <c r="R334" s="424"/>
      <c r="S334" s="424"/>
      <c r="T334" s="425"/>
      <c r="U334" s="425"/>
      <c r="V334" s="425"/>
      <c r="W334" s="425"/>
      <c r="X334" s="425"/>
      <c r="Y334" s="425"/>
      <c r="Z334" s="425"/>
      <c r="AA334" s="425"/>
      <c r="AB334" s="425"/>
      <c r="AD334" s="441"/>
      <c r="AF334" s="441"/>
      <c r="AG334" s="424"/>
      <c r="AH334" s="424"/>
      <c r="AI334" s="424"/>
      <c r="AJ334" s="425"/>
      <c r="AL334" s="441"/>
      <c r="AM334" s="424"/>
      <c r="AN334" s="424"/>
      <c r="AO334" s="424"/>
      <c r="AP334" s="425"/>
      <c r="AR334" s="441"/>
      <c r="AS334" s="424"/>
      <c r="AT334" s="424"/>
      <c r="AU334" s="424"/>
      <c r="AV334" s="425"/>
      <c r="AX334" s="441"/>
      <c r="AY334" s="424"/>
      <c r="AZ334" s="424"/>
      <c r="BA334" s="424"/>
      <c r="BB334" s="425"/>
      <c r="BD334" s="441"/>
      <c r="BE334" s="424"/>
      <c r="BF334" s="424"/>
      <c r="BG334" s="424"/>
      <c r="BH334" s="425"/>
      <c r="BJ334" s="441"/>
      <c r="BK334" s="424"/>
      <c r="BL334" s="424"/>
      <c r="BM334" s="424"/>
      <c r="BN334" s="425"/>
      <c r="BP334" s="441"/>
      <c r="BQ334" s="424"/>
      <c r="BR334" s="424"/>
      <c r="BS334" s="424"/>
      <c r="BT334" s="425"/>
      <c r="BV334" s="441"/>
      <c r="BW334" s="424"/>
      <c r="BX334" s="424"/>
      <c r="BY334" s="424"/>
      <c r="BZ334" s="425"/>
    </row>
    <row r="335" spans="2:86" s="423" customFormat="1">
      <c r="P335" s="441"/>
      <c r="Q335" s="424"/>
      <c r="R335" s="424"/>
      <c r="S335" s="424"/>
      <c r="T335" s="425"/>
      <c r="U335" s="425"/>
      <c r="V335" s="425"/>
      <c r="W335" s="425"/>
      <c r="X335" s="425"/>
      <c r="Y335" s="425"/>
      <c r="Z335" s="425"/>
      <c r="AA335" s="425"/>
      <c r="AB335" s="425"/>
      <c r="AD335" s="441"/>
      <c r="AF335" s="441"/>
      <c r="AG335" s="424"/>
      <c r="AH335" s="424"/>
      <c r="AI335" s="424"/>
      <c r="AJ335" s="425"/>
      <c r="AL335" s="441"/>
      <c r="AM335" s="424"/>
      <c r="AN335" s="424"/>
      <c r="AO335" s="424"/>
      <c r="AP335" s="425"/>
      <c r="AR335" s="441"/>
      <c r="AS335" s="424"/>
      <c r="AT335" s="424"/>
      <c r="AU335" s="424"/>
      <c r="AV335" s="425"/>
      <c r="AX335" s="441"/>
      <c r="AY335" s="424"/>
      <c r="AZ335" s="424"/>
      <c r="BA335" s="424"/>
      <c r="BB335" s="425"/>
      <c r="BD335" s="441"/>
      <c r="BE335" s="424"/>
      <c r="BF335" s="424"/>
      <c r="BG335" s="424"/>
      <c r="BH335" s="425"/>
      <c r="BJ335" s="441"/>
      <c r="BK335" s="424"/>
      <c r="BL335" s="424"/>
      <c r="BM335" s="424"/>
      <c r="BN335" s="425"/>
      <c r="BP335" s="441"/>
      <c r="BQ335" s="424"/>
      <c r="BR335" s="424"/>
      <c r="BS335" s="424"/>
      <c r="BT335" s="425"/>
      <c r="BV335" s="441"/>
      <c r="BW335" s="424"/>
      <c r="BX335" s="424"/>
      <c r="BY335" s="424"/>
      <c r="BZ335" s="425"/>
    </row>
    <row r="336" spans="2:86" ht="26.5" customHeight="1">
      <c r="B336" s="507" t="s">
        <v>428</v>
      </c>
      <c r="C336" s="667" t="s">
        <v>409</v>
      </c>
      <c r="D336" s="507" t="s">
        <v>410</v>
      </c>
      <c r="E336" s="470" t="s">
        <v>411</v>
      </c>
      <c r="F336" s="508" t="s">
        <v>412</v>
      </c>
      <c r="G336" s="984">
        <f>C346</f>
        <v>160</v>
      </c>
      <c r="H336" s="507" t="s">
        <v>429</v>
      </c>
      <c r="I336" s="667" t="s">
        <v>409</v>
      </c>
      <c r="J336" s="507" t="s">
        <v>410</v>
      </c>
      <c r="K336" s="470" t="s">
        <v>411</v>
      </c>
      <c r="L336" s="508" t="s">
        <v>412</v>
      </c>
      <c r="M336" s="984">
        <f>I346</f>
        <v>160</v>
      </c>
      <c r="AE336" s="463"/>
      <c r="AF336" s="463"/>
      <c r="AG336" s="463"/>
      <c r="AH336" s="464"/>
      <c r="AJ336" s="422"/>
      <c r="AK336" s="463"/>
      <c r="AL336" s="463"/>
      <c r="AM336" s="463"/>
      <c r="AN336" s="464"/>
      <c r="AP336" s="422"/>
      <c r="AQ336" s="463"/>
      <c r="AR336" s="463"/>
      <c r="AS336" s="463"/>
      <c r="AT336" s="464"/>
      <c r="AV336" s="422"/>
      <c r="AW336" s="463"/>
      <c r="AX336" s="463"/>
      <c r="AY336" s="463"/>
      <c r="AZ336" s="464"/>
      <c r="BB336" s="422"/>
      <c r="BC336" s="463"/>
      <c r="BD336" s="463"/>
      <c r="BE336" s="463"/>
      <c r="BF336" s="464"/>
      <c r="BH336" s="422"/>
      <c r="BI336" s="463"/>
      <c r="BJ336" s="463"/>
      <c r="BK336" s="463"/>
      <c r="BL336" s="464"/>
      <c r="BN336" s="422"/>
      <c r="BO336" s="463"/>
      <c r="BP336" s="463"/>
      <c r="BQ336" s="463"/>
      <c r="BR336" s="464"/>
      <c r="BT336" s="422"/>
      <c r="BU336" s="463"/>
      <c r="BV336" s="463"/>
      <c r="BW336" s="463"/>
      <c r="BX336" s="464"/>
      <c r="BZ336" s="422"/>
      <c r="CA336" s="463"/>
      <c r="CB336" s="464"/>
      <c r="CD336" s="422"/>
      <c r="CE336" s="463"/>
      <c r="CF336" s="463"/>
      <c r="CG336" s="424"/>
      <c r="CH336" s="464"/>
    </row>
    <row r="337" spans="2:86">
      <c r="B337" s="509" t="s">
        <v>414</v>
      </c>
      <c r="C337" s="470">
        <f>ID!J73</f>
        <v>160</v>
      </c>
      <c r="D337" s="470">
        <f>_xlfn.FORECAST.LINEAR($C$298,$C$270:$C$272,$B$270:$B$272)</f>
        <v>0.64</v>
      </c>
      <c r="E337" s="470">
        <f>C337+D337</f>
        <v>160.63999999999999</v>
      </c>
      <c r="F337" s="508">
        <f t="shared" ref="F337:F344" si="40">AQ408</f>
        <v>0</v>
      </c>
      <c r="G337" s="985">
        <f>IF($C$285&lt;=$B$271,$B$270,IF($C$285&lt;=$B$272,$B$271))</f>
        <v>150</v>
      </c>
      <c r="H337" s="509" t="s">
        <v>414</v>
      </c>
      <c r="I337" s="470">
        <f>ID!K73</f>
        <v>161.56</v>
      </c>
      <c r="J337" s="470">
        <f>_xlfn.FORECAST.LINEAR($C$298,$C$270:$C$272,$B$270:$B$272)</f>
        <v>0.64</v>
      </c>
      <c r="K337" s="470">
        <f>I337+J337</f>
        <v>162.19999999999999</v>
      </c>
      <c r="L337" s="508">
        <f t="shared" ref="L337:L344" si="41">AW408</f>
        <v>0</v>
      </c>
      <c r="M337" s="985">
        <f>IF($C$285&lt;=$B$271,$B$270,IF($C$285&lt;=$B$272,$B$271))</f>
        <v>150</v>
      </c>
      <c r="AE337" s="463"/>
      <c r="AF337" s="463"/>
      <c r="AG337" s="463"/>
      <c r="AH337" s="464"/>
      <c r="AJ337" s="422"/>
      <c r="AK337" s="463"/>
      <c r="AL337" s="463"/>
      <c r="AM337" s="463"/>
      <c r="AN337" s="464"/>
      <c r="AP337" s="422"/>
      <c r="AQ337" s="463"/>
      <c r="AR337" s="463"/>
      <c r="AS337" s="463"/>
      <c r="AT337" s="464"/>
      <c r="AV337" s="422"/>
      <c r="AW337" s="463"/>
      <c r="AX337" s="463"/>
      <c r="AY337" s="463"/>
      <c r="AZ337" s="464"/>
      <c r="BB337" s="422"/>
      <c r="BC337" s="463"/>
      <c r="BD337" s="463"/>
      <c r="BE337" s="463"/>
      <c r="BF337" s="464"/>
      <c r="BH337" s="422"/>
      <c r="BI337" s="463"/>
      <c r="BJ337" s="463"/>
      <c r="BK337" s="463"/>
      <c r="BL337" s="464"/>
      <c r="BN337" s="422"/>
      <c r="BO337" s="463"/>
      <c r="BP337" s="463"/>
      <c r="BQ337" s="463"/>
      <c r="BR337" s="464"/>
      <c r="BT337" s="422"/>
      <c r="BU337" s="463"/>
      <c r="BV337" s="463"/>
      <c r="BW337" s="463"/>
      <c r="BX337" s="464"/>
      <c r="BZ337" s="422"/>
      <c r="CA337" s="463"/>
      <c r="CB337" s="464"/>
      <c r="CD337" s="422"/>
      <c r="CE337" s="463"/>
      <c r="CF337" s="463"/>
      <c r="CG337" s="424"/>
      <c r="CH337" s="464"/>
    </row>
    <row r="338" spans="2:86">
      <c r="B338" s="509" t="s">
        <v>415</v>
      </c>
      <c r="C338" s="470">
        <f>ID!J74</f>
        <v>160</v>
      </c>
      <c r="D338" s="470">
        <f>_xlfn.FORECAST.LINEAR($C$299,$D$270:$D$272,$B$270:$B$272)</f>
        <v>0.71500000000000008</v>
      </c>
      <c r="E338" s="470">
        <f t="shared" ref="E338:E346" si="42">C338+D338</f>
        <v>160.715</v>
      </c>
      <c r="F338" s="508">
        <f t="shared" si="40"/>
        <v>0</v>
      </c>
      <c r="G338" s="437"/>
      <c r="H338" s="509" t="s">
        <v>415</v>
      </c>
      <c r="I338" s="470">
        <f>ID!K74</f>
        <v>161.56</v>
      </c>
      <c r="J338" s="470">
        <f>_xlfn.FORECAST.LINEAR($C$299,$D$270:$D$272,$B$270:$B$272)</f>
        <v>0.71500000000000008</v>
      </c>
      <c r="K338" s="470">
        <f t="shared" ref="K338:K346" si="43">I338+J338</f>
        <v>162.27500000000001</v>
      </c>
      <c r="L338" s="508">
        <f t="shared" si="41"/>
        <v>0</v>
      </c>
      <c r="M338" s="437"/>
      <c r="AE338" s="463"/>
      <c r="AF338" s="463"/>
      <c r="AG338" s="463"/>
      <c r="AH338" s="464"/>
      <c r="AJ338" s="422"/>
      <c r="AK338" s="463"/>
      <c r="AL338" s="463"/>
      <c r="AM338" s="463"/>
      <c r="AN338" s="464"/>
      <c r="AP338" s="422"/>
      <c r="AQ338" s="463"/>
      <c r="AR338" s="463"/>
      <c r="AS338" s="463"/>
      <c r="AT338" s="464"/>
      <c r="AV338" s="422"/>
      <c r="AW338" s="463"/>
      <c r="AX338" s="463"/>
      <c r="AY338" s="463"/>
      <c r="AZ338" s="464"/>
      <c r="BB338" s="422"/>
      <c r="BC338" s="463"/>
      <c r="BD338" s="463"/>
      <c r="BE338" s="463"/>
      <c r="BF338" s="464"/>
      <c r="BH338" s="422"/>
      <c r="BI338" s="463"/>
      <c r="BJ338" s="463"/>
      <c r="BK338" s="463"/>
      <c r="BL338" s="464"/>
      <c r="BN338" s="422"/>
      <c r="BO338" s="463"/>
      <c r="BP338" s="463"/>
      <c r="BQ338" s="463"/>
      <c r="BR338" s="464"/>
      <c r="BT338" s="422"/>
      <c r="BU338" s="463"/>
      <c r="BV338" s="463"/>
      <c r="BW338" s="463"/>
      <c r="BX338" s="464"/>
      <c r="BZ338" s="422"/>
      <c r="CA338" s="463"/>
      <c r="CB338" s="464"/>
      <c r="CD338" s="422"/>
      <c r="CE338" s="463"/>
      <c r="CF338" s="463"/>
      <c r="CG338" s="424"/>
      <c r="CH338" s="464"/>
    </row>
    <row r="339" spans="2:86">
      <c r="B339" s="509" t="s">
        <v>416</v>
      </c>
      <c r="C339" s="470">
        <f>ID!J75</f>
        <v>160</v>
      </c>
      <c r="D339" s="470">
        <f>_xlfn.FORECAST.LINEAR($C$300,$E$270:$E$272,$B$270:$B$272)</f>
        <v>0.65666666666666673</v>
      </c>
      <c r="E339" s="470">
        <f t="shared" si="42"/>
        <v>160.65666666666667</v>
      </c>
      <c r="F339" s="508">
        <f t="shared" si="40"/>
        <v>0</v>
      </c>
      <c r="G339" s="985">
        <f>IF($C$285&lt;=$B$270,$B$270,IF($C$285&lt;=$B$271,$B$271,IF($C$285&lt;=$B$272,$B$272,)))</f>
        <v>200</v>
      </c>
      <c r="H339" s="509" t="s">
        <v>416</v>
      </c>
      <c r="I339" s="470">
        <f>ID!K75</f>
        <v>161.56</v>
      </c>
      <c r="J339" s="470">
        <f>_xlfn.FORECAST.LINEAR($C$300,$E$270:$E$272,$B$270:$B$272)</f>
        <v>0.65666666666666673</v>
      </c>
      <c r="K339" s="470">
        <f t="shared" si="43"/>
        <v>162.21666666666667</v>
      </c>
      <c r="L339" s="508">
        <f t="shared" si="41"/>
        <v>0</v>
      </c>
      <c r="M339" s="985">
        <f>IF($C$285&lt;=$B$270,$B$270,IF($C$285&lt;=$B$271,$B$271,IF($C$285&lt;=$B$272,$B$272,)))</f>
        <v>200</v>
      </c>
      <c r="AE339" s="463"/>
      <c r="AF339" s="463"/>
      <c r="AG339" s="463"/>
      <c r="AH339" s="464"/>
      <c r="AJ339" s="422"/>
      <c r="AK339" s="463"/>
      <c r="AL339" s="463"/>
      <c r="AM339" s="463"/>
      <c r="AN339" s="464"/>
      <c r="AP339" s="422"/>
      <c r="AQ339" s="463"/>
      <c r="AR339" s="463"/>
      <c r="AS339" s="463"/>
      <c r="AT339" s="464"/>
      <c r="AV339" s="422"/>
      <c r="AW339" s="463"/>
      <c r="AX339" s="463"/>
      <c r="AY339" s="463"/>
      <c r="AZ339" s="464"/>
      <c r="BB339" s="422"/>
      <c r="BC339" s="463"/>
      <c r="BD339" s="463"/>
      <c r="BE339" s="463"/>
      <c r="BF339" s="464"/>
      <c r="BH339" s="422"/>
      <c r="BI339" s="463"/>
      <c r="BJ339" s="463"/>
      <c r="BK339" s="463"/>
      <c r="BL339" s="464"/>
      <c r="BN339" s="422"/>
      <c r="BO339" s="463"/>
      <c r="BP339" s="463"/>
      <c r="BQ339" s="463"/>
      <c r="BR339" s="464"/>
      <c r="BT339" s="422"/>
      <c r="BU339" s="463"/>
      <c r="BV339" s="463"/>
      <c r="BW339" s="463"/>
      <c r="BX339" s="464"/>
      <c r="BZ339" s="422"/>
      <c r="CA339" s="463"/>
      <c r="CB339" s="464"/>
      <c r="CD339" s="422"/>
      <c r="CE339" s="463"/>
      <c r="CF339" s="463"/>
      <c r="CG339" s="424"/>
      <c r="CH339" s="464"/>
    </row>
    <row r="340" spans="2:86">
      <c r="B340" s="509" t="s">
        <v>417</v>
      </c>
      <c r="C340" s="470">
        <f>ID!J76</f>
        <v>160</v>
      </c>
      <c r="D340" s="470">
        <f>_xlfn.FORECAST.LINEAR($C$301,$F$270:$F$272,$B$270:$B$272)</f>
        <v>0.72266666666666679</v>
      </c>
      <c r="E340" s="470">
        <f t="shared" si="42"/>
        <v>160.72266666666667</v>
      </c>
      <c r="F340" s="508">
        <f t="shared" si="40"/>
        <v>0</v>
      </c>
      <c r="G340" s="437"/>
      <c r="H340" s="509" t="s">
        <v>417</v>
      </c>
      <c r="I340" s="470">
        <f>ID!K76</f>
        <v>161.56</v>
      </c>
      <c r="J340" s="470">
        <f>_xlfn.FORECAST.LINEAR($C$301,$F$270:$F$272,$B$270:$B$272)</f>
        <v>0.72266666666666679</v>
      </c>
      <c r="K340" s="470">
        <f t="shared" si="43"/>
        <v>162.28266666666667</v>
      </c>
      <c r="L340" s="508">
        <f t="shared" si="41"/>
        <v>0</v>
      </c>
      <c r="M340" s="437"/>
      <c r="AE340" s="463"/>
      <c r="AF340" s="463"/>
      <c r="AG340" s="463"/>
      <c r="AH340" s="464"/>
      <c r="AJ340" s="422"/>
      <c r="AK340" s="463"/>
      <c r="AL340" s="463"/>
      <c r="AM340" s="463"/>
      <c r="AN340" s="464"/>
      <c r="AP340" s="422"/>
      <c r="AQ340" s="463"/>
      <c r="AR340" s="463"/>
      <c r="AS340" s="463"/>
      <c r="AT340" s="464"/>
      <c r="AV340" s="422"/>
      <c r="AW340" s="463"/>
      <c r="AX340" s="463"/>
      <c r="AY340" s="463"/>
      <c r="AZ340" s="464"/>
      <c r="BB340" s="422"/>
      <c r="BC340" s="463"/>
      <c r="BD340" s="463"/>
      <c r="BE340" s="463"/>
      <c r="BF340" s="464"/>
      <c r="BH340" s="422"/>
      <c r="BI340" s="463"/>
      <c r="BJ340" s="463"/>
      <c r="BK340" s="463"/>
      <c r="BL340" s="464"/>
      <c r="BN340" s="422"/>
      <c r="BO340" s="463"/>
      <c r="BP340" s="463"/>
      <c r="BQ340" s="463"/>
      <c r="BR340" s="464"/>
      <c r="BT340" s="422"/>
      <c r="BU340" s="463"/>
      <c r="BV340" s="463"/>
      <c r="BW340" s="463"/>
      <c r="BX340" s="464"/>
      <c r="BZ340" s="422"/>
      <c r="CA340" s="463"/>
      <c r="CB340" s="464"/>
      <c r="CD340" s="422"/>
      <c r="CE340" s="463"/>
      <c r="CF340" s="463"/>
      <c r="CG340" s="424"/>
      <c r="CH340" s="464"/>
    </row>
    <row r="341" spans="2:86">
      <c r="B341" s="509" t="s">
        <v>418</v>
      </c>
      <c r="C341" s="470">
        <f>ID!J77</f>
        <v>160</v>
      </c>
      <c r="D341" s="470">
        <f>_xlfn.FORECAST.LINEAR($C$302,$G$270:$G$272,$B$270:$B$272)</f>
        <v>0.72400000000000009</v>
      </c>
      <c r="E341" s="470">
        <f t="shared" si="42"/>
        <v>160.72399999999999</v>
      </c>
      <c r="F341" s="508">
        <f t="shared" si="40"/>
        <v>0</v>
      </c>
      <c r="G341" s="986">
        <f>VLOOKUP(G337,$B$270:$L$272,11)</f>
        <v>0.1</v>
      </c>
      <c r="H341" s="509" t="s">
        <v>418</v>
      </c>
      <c r="I341" s="470">
        <f>ID!K77</f>
        <v>161.56</v>
      </c>
      <c r="J341" s="470">
        <f>_xlfn.FORECAST.LINEAR($C$302,$G$270:$G$272,$B$270:$B$272)</f>
        <v>0.72400000000000009</v>
      </c>
      <c r="K341" s="470">
        <f t="shared" si="43"/>
        <v>162.28399999999999</v>
      </c>
      <c r="L341" s="508">
        <f t="shared" si="41"/>
        <v>0</v>
      </c>
      <c r="M341" s="986">
        <f>VLOOKUP(M337,$B$270:$L$272,11)</f>
        <v>0.1</v>
      </c>
      <c r="P341" s="422"/>
      <c r="Q341" s="463"/>
      <c r="R341" s="463"/>
      <c r="S341" s="463"/>
      <c r="T341" s="512"/>
      <c r="U341" s="512"/>
      <c r="V341" s="512"/>
      <c r="W341" s="512"/>
      <c r="X341" s="512"/>
      <c r="Y341" s="512"/>
      <c r="Z341" s="512"/>
      <c r="AA341" s="512"/>
      <c r="AB341" s="512"/>
      <c r="AD341" s="422"/>
      <c r="AH341" s="427"/>
      <c r="AJ341" s="427"/>
      <c r="AN341" s="427"/>
      <c r="AP341" s="427"/>
      <c r="AT341" s="427"/>
      <c r="AV341" s="427"/>
      <c r="AZ341" s="427"/>
      <c r="BB341" s="427"/>
      <c r="BF341" s="427"/>
      <c r="BH341" s="427"/>
      <c r="BL341" s="427"/>
      <c r="BN341" s="427"/>
      <c r="BR341" s="427"/>
      <c r="BT341" s="427"/>
      <c r="BX341" s="427"/>
      <c r="BZ341" s="427"/>
    </row>
    <row r="342" spans="2:86">
      <c r="B342" s="509" t="s">
        <v>419</v>
      </c>
      <c r="C342" s="470">
        <f>ID!J78</f>
        <v>160</v>
      </c>
      <c r="D342" s="470">
        <f>_xlfn.FORECAST.LINEAR($C$303,$H$270:$H$272,$B$270:$B$272)</f>
        <v>0.7283333333333335</v>
      </c>
      <c r="E342" s="470">
        <f t="shared" si="42"/>
        <v>160.72833333333332</v>
      </c>
      <c r="F342" s="508">
        <f t="shared" si="40"/>
        <v>0</v>
      </c>
      <c r="G342" s="437"/>
      <c r="H342" s="509" t="s">
        <v>419</v>
      </c>
      <c r="I342" s="470">
        <f>ID!K78</f>
        <v>161.56</v>
      </c>
      <c r="J342" s="470">
        <f>_xlfn.FORECAST.LINEAR($C$303,$H$270:$H$272,$B$270:$B$272)</f>
        <v>0.7283333333333335</v>
      </c>
      <c r="K342" s="470">
        <f t="shared" si="43"/>
        <v>162.28833333333333</v>
      </c>
      <c r="L342" s="508">
        <f t="shared" si="41"/>
        <v>0</v>
      </c>
      <c r="M342" s="437"/>
      <c r="P342" s="422"/>
      <c r="Q342" s="463"/>
      <c r="R342" s="463"/>
      <c r="S342" s="463"/>
      <c r="T342" s="512"/>
      <c r="U342" s="512"/>
      <c r="V342" s="512"/>
      <c r="W342" s="512"/>
      <c r="X342" s="512"/>
      <c r="Y342" s="512"/>
      <c r="Z342" s="512"/>
      <c r="AA342" s="512"/>
      <c r="AB342" s="512"/>
      <c r="AD342" s="422"/>
      <c r="AF342" s="422"/>
      <c r="AG342" s="463"/>
      <c r="AI342" s="463"/>
      <c r="AL342" s="422"/>
      <c r="AM342" s="463"/>
      <c r="AO342" s="463"/>
      <c r="AR342" s="422"/>
      <c r="AS342" s="463"/>
      <c r="AU342" s="463"/>
      <c r="AX342" s="422"/>
      <c r="AY342" s="463"/>
      <c r="BA342" s="463"/>
      <c r="BD342" s="422"/>
      <c r="BE342" s="463"/>
      <c r="BG342" s="463"/>
      <c r="BJ342" s="422"/>
      <c r="BK342" s="463"/>
      <c r="BM342" s="463"/>
      <c r="BP342" s="422"/>
      <c r="BQ342" s="463"/>
      <c r="BS342" s="463"/>
      <c r="BV342" s="422"/>
      <c r="BW342" s="463"/>
      <c r="BY342" s="463"/>
    </row>
    <row r="343" spans="2:86">
      <c r="B343" s="509" t="s">
        <v>420</v>
      </c>
      <c r="C343" s="470">
        <f>ID!J79</f>
        <v>160</v>
      </c>
      <c r="D343" s="470">
        <f>_xlfn.FORECAST.LINEAR($C$304,$I$270:$I$272,$B$270:$B$272)</f>
        <v>0.66433333333333333</v>
      </c>
      <c r="E343" s="470">
        <f t="shared" si="42"/>
        <v>160.66433333333333</v>
      </c>
      <c r="F343" s="508">
        <f t="shared" si="40"/>
        <v>0</v>
      </c>
      <c r="G343" s="986">
        <f>VLOOKUP(G339,$B$270:$L$272,11)</f>
        <v>0.1</v>
      </c>
      <c r="H343" s="509" t="s">
        <v>420</v>
      </c>
      <c r="I343" s="470">
        <f>ID!K79</f>
        <v>161.56</v>
      </c>
      <c r="J343" s="470">
        <f>_xlfn.FORECAST.LINEAR($C$304,$I$270:$I$272,$B$270:$B$272)</f>
        <v>0.66433333333333333</v>
      </c>
      <c r="K343" s="470">
        <f t="shared" si="43"/>
        <v>162.22433333333333</v>
      </c>
      <c r="L343" s="508">
        <f t="shared" si="41"/>
        <v>0</v>
      </c>
      <c r="M343" s="986">
        <f>VLOOKUP(M339,$B$270:$L$272,11)</f>
        <v>0.1</v>
      </c>
      <c r="P343" s="422"/>
      <c r="Q343" s="463"/>
      <c r="R343" s="463"/>
      <c r="S343" s="463"/>
      <c r="T343" s="512"/>
      <c r="U343" s="512"/>
      <c r="V343" s="512"/>
      <c r="W343" s="512"/>
      <c r="X343" s="512"/>
      <c r="Y343" s="512"/>
      <c r="Z343" s="512"/>
      <c r="AA343" s="512"/>
      <c r="AB343" s="512"/>
      <c r="AD343" s="422"/>
      <c r="AF343" s="422"/>
      <c r="AG343" s="463"/>
      <c r="AI343" s="463"/>
      <c r="AL343" s="422"/>
      <c r="AM343" s="463"/>
      <c r="AO343" s="463"/>
      <c r="AR343" s="422"/>
      <c r="AS343" s="463"/>
      <c r="AU343" s="463"/>
      <c r="AX343" s="422"/>
      <c r="AY343" s="463"/>
      <c r="BA343" s="463"/>
      <c r="BD343" s="422"/>
      <c r="BE343" s="463"/>
      <c r="BG343" s="463"/>
      <c r="BJ343" s="422"/>
      <c r="BK343" s="463"/>
      <c r="BM343" s="463"/>
      <c r="BP343" s="422"/>
      <c r="BQ343" s="463"/>
      <c r="BS343" s="463"/>
      <c r="BV343" s="422"/>
      <c r="BW343" s="463"/>
      <c r="BY343" s="463"/>
    </row>
    <row r="344" spans="2:86">
      <c r="B344" s="509" t="s">
        <v>421</v>
      </c>
      <c r="C344" s="470">
        <f>ID!J80</f>
        <v>160</v>
      </c>
      <c r="D344" s="470">
        <f>_xlfn.FORECAST.LINEAR($C$305,$J$270:$J$272,$B$270:$B$272)</f>
        <v>0.66233333333333344</v>
      </c>
      <c r="E344" s="470">
        <f t="shared" si="42"/>
        <v>160.66233333333332</v>
      </c>
      <c r="F344" s="508">
        <f t="shared" si="40"/>
        <v>0</v>
      </c>
      <c r="G344" s="987"/>
      <c r="H344" s="509" t="s">
        <v>421</v>
      </c>
      <c r="I344" s="470">
        <f>ID!K80</f>
        <v>161.56</v>
      </c>
      <c r="J344" s="470">
        <f>_xlfn.FORECAST.LINEAR($C$305,$J$270:$J$272,$B$270:$B$272)</f>
        <v>0.66233333333333344</v>
      </c>
      <c r="K344" s="470">
        <f t="shared" si="43"/>
        <v>162.22233333333332</v>
      </c>
      <c r="L344" s="508">
        <f t="shared" si="41"/>
        <v>0</v>
      </c>
      <c r="M344" s="987"/>
      <c r="P344" s="422"/>
      <c r="Q344" s="463"/>
      <c r="R344" s="463"/>
      <c r="S344" s="463"/>
      <c r="T344" s="512"/>
      <c r="U344" s="512"/>
      <c r="V344" s="512"/>
      <c r="W344" s="512"/>
      <c r="X344" s="512"/>
      <c r="Y344" s="512"/>
      <c r="Z344" s="512"/>
      <c r="AA344" s="512"/>
      <c r="AB344" s="512"/>
      <c r="AD344" s="422"/>
      <c r="AF344" s="422"/>
      <c r="AG344" s="463"/>
      <c r="AI344" s="463"/>
      <c r="AL344" s="422"/>
      <c r="AM344" s="463"/>
      <c r="AO344" s="463"/>
      <c r="AR344" s="422"/>
      <c r="AS344" s="463"/>
      <c r="AU344" s="463"/>
      <c r="AX344" s="422"/>
      <c r="AY344" s="463"/>
      <c r="BA344" s="463"/>
      <c r="BD344" s="422"/>
      <c r="BE344" s="463"/>
      <c r="BG344" s="463"/>
      <c r="BJ344" s="422"/>
      <c r="BK344" s="463"/>
      <c r="BM344" s="463"/>
      <c r="BP344" s="422"/>
      <c r="BQ344" s="463"/>
      <c r="BS344" s="463"/>
      <c r="BV344" s="422"/>
      <c r="BW344" s="463"/>
      <c r="BY344" s="463"/>
    </row>
    <row r="345" spans="2:86">
      <c r="B345" s="509" t="s">
        <v>422</v>
      </c>
      <c r="C345" s="470">
        <v>160</v>
      </c>
      <c r="D345" s="470">
        <f>_xlfn.FORECAST.LINEAR($C$306,$K$270:$K$272,$B$270:$B$272)</f>
        <v>0.66900000000000004</v>
      </c>
      <c r="E345" s="470">
        <f t="shared" si="42"/>
        <v>160.66900000000001</v>
      </c>
      <c r="F345" s="508">
        <f t="shared" ref="F345:F346" si="44">AQ416</f>
        <v>0</v>
      </c>
      <c r="G345" s="988">
        <f>(((G343-G341)/(G339-G337))*(G336-G337))+G341</f>
        <v>0.1</v>
      </c>
      <c r="H345" s="509" t="s">
        <v>422</v>
      </c>
      <c r="I345" s="470">
        <v>160</v>
      </c>
      <c r="J345" s="470">
        <f>_xlfn.FORECAST.LINEAR($C$306,$K$270:$K$272,$B$270:$B$272)</f>
        <v>0.66900000000000004</v>
      </c>
      <c r="K345" s="470">
        <f t="shared" si="43"/>
        <v>160.66900000000001</v>
      </c>
      <c r="L345" s="508">
        <f t="shared" ref="L345:L346" si="45">AW416</f>
        <v>0</v>
      </c>
      <c r="M345" s="988">
        <f>(((M343-M341)/(M339-M337))*(M336-M337))+M341</f>
        <v>0.1</v>
      </c>
      <c r="P345" s="422"/>
      <c r="Q345" s="463"/>
      <c r="R345" s="463"/>
      <c r="S345" s="463"/>
      <c r="T345" s="512"/>
      <c r="U345" s="512"/>
      <c r="V345" s="512"/>
      <c r="W345" s="512"/>
      <c r="X345" s="512"/>
      <c r="Y345" s="512"/>
      <c r="Z345" s="512"/>
      <c r="AA345" s="512"/>
      <c r="AB345" s="512"/>
      <c r="AD345" s="422"/>
      <c r="AF345" s="422"/>
      <c r="AG345" s="463"/>
      <c r="AI345" s="463"/>
      <c r="AL345" s="422"/>
      <c r="AM345" s="463"/>
      <c r="AO345" s="463"/>
      <c r="AR345" s="422"/>
      <c r="AS345" s="463"/>
      <c r="AU345" s="463"/>
      <c r="AX345" s="422"/>
      <c r="AY345" s="463"/>
      <c r="BA345" s="463"/>
      <c r="BD345" s="422"/>
      <c r="BE345" s="463"/>
      <c r="BG345" s="463"/>
      <c r="BJ345" s="422"/>
      <c r="BK345" s="463"/>
      <c r="BM345" s="463"/>
      <c r="BP345" s="422"/>
      <c r="BQ345" s="463"/>
      <c r="BS345" s="463"/>
      <c r="BV345" s="422"/>
      <c r="BW345" s="463"/>
      <c r="BY345" s="463"/>
    </row>
    <row r="346" spans="2:86">
      <c r="B346" s="509" t="s">
        <v>423</v>
      </c>
      <c r="C346" s="470">
        <v>160</v>
      </c>
      <c r="D346" s="474">
        <f>G345</f>
        <v>0.1</v>
      </c>
      <c r="E346" s="474">
        <f t="shared" si="42"/>
        <v>160.1</v>
      </c>
      <c r="F346" s="508">
        <f t="shared" si="44"/>
        <v>0</v>
      </c>
      <c r="G346" s="423"/>
      <c r="H346" s="509" t="s">
        <v>423</v>
      </c>
      <c r="I346" s="470">
        <v>160</v>
      </c>
      <c r="J346" s="474">
        <f>M345</f>
        <v>0.1</v>
      </c>
      <c r="K346" s="474">
        <f t="shared" si="43"/>
        <v>160.1</v>
      </c>
      <c r="L346" s="508">
        <f t="shared" si="45"/>
        <v>0</v>
      </c>
      <c r="M346" s="423"/>
      <c r="P346" s="422"/>
      <c r="Q346" s="463"/>
      <c r="R346" s="463"/>
      <c r="S346" s="463"/>
      <c r="T346" s="512"/>
      <c r="U346" s="512"/>
      <c r="V346" s="512"/>
      <c r="W346" s="512"/>
      <c r="X346" s="512"/>
      <c r="Y346" s="512"/>
      <c r="Z346" s="512"/>
      <c r="AA346" s="512"/>
      <c r="AB346" s="512"/>
      <c r="AD346" s="422"/>
      <c r="AF346" s="422"/>
      <c r="AG346" s="463"/>
      <c r="AI346" s="463"/>
      <c r="AL346" s="422"/>
      <c r="AM346" s="463"/>
      <c r="AO346" s="463"/>
      <c r="AR346" s="422"/>
      <c r="AS346" s="463"/>
      <c r="AU346" s="463"/>
      <c r="AX346" s="422"/>
      <c r="AY346" s="463"/>
      <c r="BA346" s="463"/>
      <c r="BD346" s="422"/>
      <c r="BE346" s="463"/>
      <c r="BG346" s="463"/>
      <c r="BJ346" s="422"/>
      <c r="BK346" s="463"/>
      <c r="BM346" s="463"/>
      <c r="BP346" s="422"/>
      <c r="BQ346" s="463"/>
      <c r="BS346" s="463"/>
      <c r="BV346" s="422"/>
      <c r="BW346" s="463"/>
      <c r="BY346" s="463"/>
    </row>
    <row r="347" spans="2:86" s="423" customFormat="1">
      <c r="P347" s="441"/>
      <c r="Q347" s="424"/>
      <c r="R347" s="424"/>
      <c r="S347" s="424"/>
      <c r="T347" s="425"/>
      <c r="U347" s="425"/>
      <c r="V347" s="425"/>
      <c r="W347" s="425"/>
      <c r="X347" s="425"/>
      <c r="Y347" s="425"/>
      <c r="Z347" s="425"/>
      <c r="AA347" s="425"/>
      <c r="AB347" s="425"/>
      <c r="AD347" s="441"/>
      <c r="AF347" s="441"/>
      <c r="AG347" s="424"/>
      <c r="AH347" s="424"/>
      <c r="AI347" s="424"/>
      <c r="AJ347" s="425"/>
      <c r="AL347" s="441"/>
      <c r="AM347" s="424"/>
      <c r="AN347" s="424"/>
      <c r="AO347" s="424"/>
      <c r="AP347" s="425"/>
      <c r="AR347" s="441"/>
      <c r="AS347" s="424"/>
      <c r="AT347" s="424"/>
      <c r="AU347" s="424"/>
      <c r="AV347" s="425"/>
      <c r="AX347" s="441"/>
      <c r="AY347" s="424"/>
      <c r="AZ347" s="424"/>
      <c r="BA347" s="424"/>
      <c r="BB347" s="425"/>
      <c r="BD347" s="441"/>
      <c r="BE347" s="424"/>
      <c r="BF347" s="424"/>
      <c r="BG347" s="424"/>
      <c r="BH347" s="425"/>
      <c r="BJ347" s="441"/>
      <c r="BK347" s="424"/>
      <c r="BL347" s="424"/>
      <c r="BM347" s="424"/>
      <c r="BN347" s="425"/>
      <c r="BP347" s="441"/>
      <c r="BQ347" s="424"/>
      <c r="BR347" s="424"/>
      <c r="BS347" s="424"/>
      <c r="BT347" s="425"/>
      <c r="BV347" s="441"/>
      <c r="BW347" s="424"/>
      <c r="BX347" s="424"/>
      <c r="BY347" s="424"/>
      <c r="BZ347" s="425"/>
    </row>
    <row r="348" spans="2:86" s="423" customFormat="1">
      <c r="P348" s="441"/>
      <c r="Q348" s="424"/>
      <c r="R348" s="424"/>
      <c r="S348" s="424"/>
      <c r="T348" s="425"/>
      <c r="U348" s="425"/>
      <c r="V348" s="425"/>
      <c r="W348" s="425"/>
      <c r="X348" s="425"/>
      <c r="Y348" s="425"/>
      <c r="Z348" s="425"/>
      <c r="AA348" s="425"/>
      <c r="AB348" s="425"/>
      <c r="AD348" s="441"/>
      <c r="AF348" s="441"/>
      <c r="AG348" s="424"/>
      <c r="AH348" s="424"/>
      <c r="AI348" s="424"/>
      <c r="AJ348" s="425"/>
      <c r="AL348" s="441"/>
      <c r="AM348" s="424"/>
      <c r="AN348" s="424"/>
      <c r="AO348" s="424"/>
      <c r="AP348" s="425"/>
      <c r="AR348" s="441"/>
      <c r="AS348" s="424"/>
      <c r="AT348" s="424"/>
      <c r="AU348" s="424"/>
      <c r="AV348" s="425"/>
      <c r="AX348" s="441"/>
      <c r="AY348" s="424"/>
      <c r="AZ348" s="424"/>
      <c r="BA348" s="424"/>
      <c r="BB348" s="425"/>
      <c r="BD348" s="441"/>
      <c r="BE348" s="424"/>
      <c r="BF348" s="424"/>
      <c r="BG348" s="424"/>
      <c r="BH348" s="425"/>
      <c r="BJ348" s="441"/>
      <c r="BK348" s="424"/>
      <c r="BL348" s="424"/>
      <c r="BM348" s="424"/>
      <c r="BN348" s="425"/>
      <c r="BP348" s="441"/>
      <c r="BQ348" s="424"/>
      <c r="BR348" s="424"/>
      <c r="BS348" s="424"/>
      <c r="BT348" s="425"/>
      <c r="BV348" s="441"/>
      <c r="BW348" s="424"/>
      <c r="BX348" s="424"/>
      <c r="BY348" s="424"/>
      <c r="BZ348" s="425"/>
    </row>
    <row r="349" spans="2:86" ht="26.5" customHeight="1">
      <c r="B349" s="507" t="s">
        <v>430</v>
      </c>
      <c r="C349" s="667" t="s">
        <v>409</v>
      </c>
      <c r="D349" s="507" t="s">
        <v>410</v>
      </c>
      <c r="E349" s="470" t="s">
        <v>411</v>
      </c>
      <c r="F349" s="508" t="s">
        <v>412</v>
      </c>
      <c r="G349" s="984">
        <f>C359</f>
        <v>160</v>
      </c>
      <c r="H349" s="507" t="s">
        <v>431</v>
      </c>
      <c r="I349" s="667" t="s">
        <v>409</v>
      </c>
      <c r="J349" s="507" t="s">
        <v>410</v>
      </c>
      <c r="K349" s="470" t="s">
        <v>411</v>
      </c>
      <c r="L349" s="508" t="s">
        <v>412</v>
      </c>
      <c r="M349" s="984">
        <f>I359</f>
        <v>160</v>
      </c>
      <c r="AE349" s="463"/>
      <c r="AF349" s="463"/>
      <c r="AG349" s="463"/>
      <c r="AH349" s="464"/>
      <c r="AJ349" s="422"/>
      <c r="AK349" s="463"/>
      <c r="AL349" s="463"/>
      <c r="AM349" s="463"/>
      <c r="AN349" s="464"/>
      <c r="AP349" s="422"/>
      <c r="AQ349" s="463"/>
      <c r="AR349" s="463"/>
      <c r="AS349" s="463"/>
      <c r="AT349" s="464"/>
      <c r="AV349" s="422"/>
      <c r="AW349" s="463"/>
      <c r="AX349" s="463"/>
      <c r="AY349" s="463"/>
      <c r="AZ349" s="464"/>
      <c r="BB349" s="422"/>
      <c r="BC349" s="463"/>
      <c r="BD349" s="463"/>
      <c r="BE349" s="463"/>
      <c r="BF349" s="464"/>
      <c r="BH349" s="422"/>
      <c r="BI349" s="463"/>
      <c r="BJ349" s="463"/>
      <c r="BK349" s="463"/>
      <c r="BL349" s="464"/>
      <c r="BN349" s="422"/>
      <c r="BO349" s="463"/>
      <c r="BP349" s="463"/>
      <c r="BQ349" s="463"/>
      <c r="BR349" s="464"/>
      <c r="BT349" s="422"/>
      <c r="BU349" s="463"/>
      <c r="BV349" s="463"/>
      <c r="BW349" s="463"/>
      <c r="BX349" s="464"/>
      <c r="BZ349" s="422"/>
      <c r="CA349" s="463"/>
      <c r="CB349" s="464"/>
      <c r="CD349" s="422"/>
      <c r="CE349" s="463"/>
      <c r="CF349" s="463"/>
      <c r="CG349" s="424"/>
      <c r="CH349" s="464"/>
    </row>
    <row r="350" spans="2:86">
      <c r="B350" s="509" t="s">
        <v>414</v>
      </c>
      <c r="C350" s="470">
        <f>ID!L73</f>
        <v>160</v>
      </c>
      <c r="D350" s="470">
        <f>_xlfn.FORECAST.LINEAR($C$298,$C$270:$C$272,$B$270:$B$272)</f>
        <v>0.64</v>
      </c>
      <c r="E350" s="470">
        <f>C350+D350</f>
        <v>160.63999999999999</v>
      </c>
      <c r="F350" s="508">
        <f t="shared" ref="F350:F357" si="46">AQ421</f>
        <v>0</v>
      </c>
      <c r="G350" s="985">
        <f>IF($C$285&lt;=$B$271,$B$270,IF($C$285&lt;=$B$272,$B$271))</f>
        <v>150</v>
      </c>
      <c r="H350" s="509" t="s">
        <v>414</v>
      </c>
      <c r="I350" s="470">
        <f>ID!M73</f>
        <v>161.56</v>
      </c>
      <c r="J350" s="470">
        <f>_xlfn.FORECAST.LINEAR($C$298,$C$270:$C$272,$B$270:$B$272)</f>
        <v>0.64</v>
      </c>
      <c r="K350" s="470">
        <f>I350+J350</f>
        <v>162.19999999999999</v>
      </c>
      <c r="L350" s="508">
        <f t="shared" ref="L350:L357" si="47">AW421</f>
        <v>0</v>
      </c>
      <c r="M350" s="985">
        <f>IF($C$285&lt;=$B$271,$B$270,IF($C$285&lt;=$B$272,$B$271))</f>
        <v>150</v>
      </c>
      <c r="AE350" s="463"/>
      <c r="AF350" s="463"/>
      <c r="AG350" s="463"/>
      <c r="AH350" s="464"/>
      <c r="AJ350" s="422"/>
      <c r="AK350" s="463"/>
      <c r="AL350" s="463"/>
      <c r="AM350" s="463"/>
      <c r="AN350" s="464"/>
      <c r="AP350" s="422"/>
      <c r="AQ350" s="463"/>
      <c r="AR350" s="463"/>
      <c r="AS350" s="463"/>
      <c r="AT350" s="464"/>
      <c r="AV350" s="422"/>
      <c r="AW350" s="463"/>
      <c r="AX350" s="463"/>
      <c r="AY350" s="463"/>
      <c r="AZ350" s="464"/>
      <c r="BB350" s="422"/>
      <c r="BC350" s="463"/>
      <c r="BD350" s="463"/>
      <c r="BE350" s="463"/>
      <c r="BF350" s="464"/>
      <c r="BH350" s="422"/>
      <c r="BI350" s="463"/>
      <c r="BJ350" s="463"/>
      <c r="BK350" s="463"/>
      <c r="BL350" s="464"/>
      <c r="BN350" s="422"/>
      <c r="BO350" s="463"/>
      <c r="BP350" s="463"/>
      <c r="BQ350" s="463"/>
      <c r="BR350" s="464"/>
      <c r="BT350" s="422"/>
      <c r="BU350" s="463"/>
      <c r="BV350" s="463"/>
      <c r="BW350" s="463"/>
      <c r="BX350" s="464"/>
      <c r="BZ350" s="422"/>
      <c r="CA350" s="463"/>
      <c r="CB350" s="464"/>
      <c r="CD350" s="422"/>
      <c r="CE350" s="463"/>
      <c r="CF350" s="463"/>
      <c r="CG350" s="424"/>
      <c r="CH350" s="464"/>
    </row>
    <row r="351" spans="2:86">
      <c r="B351" s="509" t="s">
        <v>415</v>
      </c>
      <c r="C351" s="470">
        <f>ID!L74</f>
        <v>160</v>
      </c>
      <c r="D351" s="470">
        <f>_xlfn.FORECAST.LINEAR($C$299,$D$270:$D$272,$B$270:$B$272)</f>
        <v>0.71500000000000008</v>
      </c>
      <c r="E351" s="470">
        <f t="shared" ref="E351:E359" si="48">C351+D351</f>
        <v>160.715</v>
      </c>
      <c r="F351" s="508">
        <f t="shared" si="46"/>
        <v>0</v>
      </c>
      <c r="G351" s="437"/>
      <c r="H351" s="509" t="s">
        <v>415</v>
      </c>
      <c r="I351" s="470">
        <f>ID!M74</f>
        <v>161.56</v>
      </c>
      <c r="J351" s="470">
        <f>_xlfn.FORECAST.LINEAR($C$299,$D$270:$D$272,$B$270:$B$272)</f>
        <v>0.71500000000000008</v>
      </c>
      <c r="K351" s="470">
        <f t="shared" ref="K351:K359" si="49">I351+J351</f>
        <v>162.27500000000001</v>
      </c>
      <c r="L351" s="508">
        <f t="shared" si="47"/>
        <v>0</v>
      </c>
      <c r="M351" s="437"/>
      <c r="AE351" s="463"/>
      <c r="AF351" s="463"/>
      <c r="AG351" s="463"/>
      <c r="AH351" s="464"/>
      <c r="AJ351" s="422"/>
      <c r="AK351" s="463"/>
      <c r="AL351" s="463"/>
      <c r="AM351" s="463"/>
      <c r="AN351" s="464"/>
      <c r="AP351" s="422"/>
      <c r="AQ351" s="463"/>
      <c r="AR351" s="463"/>
      <c r="AS351" s="463"/>
      <c r="AT351" s="464"/>
      <c r="AV351" s="422"/>
      <c r="AW351" s="463"/>
      <c r="AX351" s="463"/>
      <c r="AY351" s="463"/>
      <c r="AZ351" s="464"/>
      <c r="BB351" s="422"/>
      <c r="BC351" s="463"/>
      <c r="BD351" s="463"/>
      <c r="BE351" s="463"/>
      <c r="BF351" s="464"/>
      <c r="BH351" s="422"/>
      <c r="BI351" s="463"/>
      <c r="BJ351" s="463"/>
      <c r="BK351" s="463"/>
      <c r="BL351" s="464"/>
      <c r="BN351" s="422"/>
      <c r="BO351" s="463"/>
      <c r="BP351" s="463"/>
      <c r="BQ351" s="463"/>
      <c r="BR351" s="464"/>
      <c r="BT351" s="422"/>
      <c r="BU351" s="463"/>
      <c r="BV351" s="463"/>
      <c r="BW351" s="463"/>
      <c r="BX351" s="464"/>
      <c r="BZ351" s="422"/>
      <c r="CA351" s="463"/>
      <c r="CB351" s="464"/>
      <c r="CD351" s="422"/>
      <c r="CE351" s="463"/>
      <c r="CF351" s="463"/>
      <c r="CG351" s="424"/>
      <c r="CH351" s="464"/>
    </row>
    <row r="352" spans="2:86">
      <c r="B352" s="509" t="s">
        <v>416</v>
      </c>
      <c r="C352" s="470">
        <f>ID!L75</f>
        <v>160</v>
      </c>
      <c r="D352" s="470">
        <f>_xlfn.FORECAST.LINEAR($C$300,$E$270:$E$272,$B$270:$B$272)</f>
        <v>0.65666666666666673</v>
      </c>
      <c r="E352" s="470">
        <f t="shared" si="48"/>
        <v>160.65666666666667</v>
      </c>
      <c r="F352" s="508">
        <f t="shared" si="46"/>
        <v>0</v>
      </c>
      <c r="G352" s="985">
        <f>IF($C$285&lt;=$B$270,$B$270,IF($C$285&lt;=$B$271,$B$271,IF($C$285&lt;=$B$272,$B$272,)))</f>
        <v>200</v>
      </c>
      <c r="H352" s="509" t="s">
        <v>416</v>
      </c>
      <c r="I352" s="470">
        <f>ID!M75</f>
        <v>161.56</v>
      </c>
      <c r="J352" s="470">
        <f>_xlfn.FORECAST.LINEAR($C$300,$E$270:$E$272,$B$270:$B$272)</f>
        <v>0.65666666666666673</v>
      </c>
      <c r="K352" s="470">
        <f t="shared" si="49"/>
        <v>162.21666666666667</v>
      </c>
      <c r="L352" s="508">
        <f t="shared" si="47"/>
        <v>0</v>
      </c>
      <c r="M352" s="985">
        <f>IF($C$285&lt;=$B$270,$B$270,IF($C$285&lt;=$B$271,$B$271,IF($C$285&lt;=$B$272,$B$272,)))</f>
        <v>200</v>
      </c>
      <c r="AE352" s="463"/>
      <c r="AF352" s="463"/>
      <c r="AG352" s="463"/>
      <c r="AH352" s="464"/>
      <c r="AJ352" s="422"/>
      <c r="AK352" s="463"/>
      <c r="AL352" s="463"/>
      <c r="AM352" s="463"/>
      <c r="AN352" s="464"/>
      <c r="AP352" s="422"/>
      <c r="AQ352" s="463"/>
      <c r="AR352" s="463"/>
      <c r="AS352" s="463"/>
      <c r="AT352" s="464"/>
      <c r="AV352" s="422"/>
      <c r="AW352" s="463"/>
      <c r="AX352" s="463"/>
      <c r="AY352" s="463"/>
      <c r="AZ352" s="464"/>
      <c r="BB352" s="422"/>
      <c r="BC352" s="463"/>
      <c r="BD352" s="463"/>
      <c r="BE352" s="463"/>
      <c r="BF352" s="464"/>
      <c r="BH352" s="422"/>
      <c r="BI352" s="463"/>
      <c r="BJ352" s="463"/>
      <c r="BK352" s="463"/>
      <c r="BL352" s="464"/>
      <c r="BN352" s="422"/>
      <c r="BO352" s="463"/>
      <c r="BP352" s="463"/>
      <c r="BQ352" s="463"/>
      <c r="BR352" s="464"/>
      <c r="BT352" s="422"/>
      <c r="BU352" s="463"/>
      <c r="BV352" s="463"/>
      <c r="BW352" s="463"/>
      <c r="BX352" s="464"/>
      <c r="BZ352" s="422"/>
      <c r="CA352" s="463"/>
      <c r="CB352" s="464"/>
      <c r="CD352" s="422"/>
      <c r="CE352" s="463"/>
      <c r="CF352" s="463"/>
      <c r="CG352" s="424"/>
      <c r="CH352" s="464"/>
    </row>
    <row r="353" spans="2:86">
      <c r="B353" s="509" t="s">
        <v>417</v>
      </c>
      <c r="C353" s="470">
        <f>ID!L76</f>
        <v>160</v>
      </c>
      <c r="D353" s="470">
        <f>_xlfn.FORECAST.LINEAR($C$301,$F$270:$F$272,$B$270:$B$272)</f>
        <v>0.72266666666666679</v>
      </c>
      <c r="E353" s="470">
        <f t="shared" si="48"/>
        <v>160.72266666666667</v>
      </c>
      <c r="F353" s="508">
        <f t="shared" si="46"/>
        <v>0</v>
      </c>
      <c r="G353" s="437"/>
      <c r="H353" s="509" t="s">
        <v>417</v>
      </c>
      <c r="I353" s="470">
        <f>ID!M76</f>
        <v>161.56</v>
      </c>
      <c r="J353" s="470">
        <f>_xlfn.FORECAST.LINEAR($C$301,$F$270:$F$272,$B$270:$B$272)</f>
        <v>0.72266666666666679</v>
      </c>
      <c r="K353" s="470">
        <f t="shared" si="49"/>
        <v>162.28266666666667</v>
      </c>
      <c r="L353" s="508">
        <f t="shared" si="47"/>
        <v>0</v>
      </c>
      <c r="M353" s="437"/>
      <c r="AE353" s="463"/>
      <c r="AF353" s="463"/>
      <c r="AG353" s="463"/>
      <c r="AH353" s="464"/>
      <c r="AJ353" s="422"/>
      <c r="AK353" s="463"/>
      <c r="AL353" s="463"/>
      <c r="AM353" s="463"/>
      <c r="AN353" s="464"/>
      <c r="AP353" s="422"/>
      <c r="AQ353" s="463"/>
      <c r="AR353" s="463"/>
      <c r="AS353" s="463"/>
      <c r="AT353" s="464"/>
      <c r="AV353" s="422"/>
      <c r="AW353" s="463"/>
      <c r="AX353" s="463"/>
      <c r="AY353" s="463"/>
      <c r="AZ353" s="464"/>
      <c r="BB353" s="422"/>
      <c r="BC353" s="463"/>
      <c r="BD353" s="463"/>
      <c r="BE353" s="463"/>
      <c r="BF353" s="464"/>
      <c r="BH353" s="422"/>
      <c r="BI353" s="463"/>
      <c r="BJ353" s="463"/>
      <c r="BK353" s="463"/>
      <c r="BL353" s="464"/>
      <c r="BN353" s="422"/>
      <c r="BO353" s="463"/>
      <c r="BP353" s="463"/>
      <c r="BQ353" s="463"/>
      <c r="BR353" s="464"/>
      <c r="BT353" s="422"/>
      <c r="BU353" s="463"/>
      <c r="BV353" s="463"/>
      <c r="BW353" s="463"/>
      <c r="BX353" s="464"/>
      <c r="BZ353" s="422"/>
      <c r="CA353" s="463"/>
      <c r="CB353" s="464"/>
      <c r="CD353" s="422"/>
      <c r="CE353" s="463"/>
      <c r="CF353" s="463"/>
      <c r="CG353" s="424"/>
      <c r="CH353" s="464"/>
    </row>
    <row r="354" spans="2:86">
      <c r="B354" s="509" t="s">
        <v>418</v>
      </c>
      <c r="C354" s="470">
        <f>ID!L77</f>
        <v>160</v>
      </c>
      <c r="D354" s="470">
        <f>_xlfn.FORECAST.LINEAR($C$302,$G$270:$G$272,$B$270:$B$272)</f>
        <v>0.72400000000000009</v>
      </c>
      <c r="E354" s="470">
        <f t="shared" si="48"/>
        <v>160.72399999999999</v>
      </c>
      <c r="F354" s="508">
        <f t="shared" si="46"/>
        <v>0</v>
      </c>
      <c r="G354" s="986">
        <f>VLOOKUP(G350,$B$270:$L$272,11)</f>
        <v>0.1</v>
      </c>
      <c r="H354" s="509" t="s">
        <v>418</v>
      </c>
      <c r="I354" s="470">
        <f>ID!M77</f>
        <v>161.56</v>
      </c>
      <c r="J354" s="470">
        <f>_xlfn.FORECAST.LINEAR($C$302,$G$270:$G$272,$B$270:$B$272)</f>
        <v>0.72400000000000009</v>
      </c>
      <c r="K354" s="470">
        <f t="shared" si="49"/>
        <v>162.28399999999999</v>
      </c>
      <c r="L354" s="508">
        <f t="shared" si="47"/>
        <v>0</v>
      </c>
      <c r="M354" s="986">
        <f>VLOOKUP(M350,$B$270:$L$272,11)</f>
        <v>0.1</v>
      </c>
      <c r="P354" s="422"/>
      <c r="Q354" s="463"/>
      <c r="R354" s="463"/>
      <c r="S354" s="463"/>
      <c r="T354" s="512"/>
      <c r="U354" s="512"/>
      <c r="V354" s="512"/>
      <c r="W354" s="512"/>
      <c r="X354" s="512"/>
      <c r="Y354" s="512"/>
      <c r="Z354" s="512"/>
      <c r="AA354" s="512"/>
      <c r="AB354" s="512"/>
      <c r="AD354" s="422"/>
      <c r="AH354" s="427"/>
      <c r="AJ354" s="427"/>
      <c r="AN354" s="427"/>
      <c r="AP354" s="427"/>
      <c r="AT354" s="427"/>
      <c r="AV354" s="427"/>
      <c r="AZ354" s="427"/>
      <c r="BB354" s="427"/>
      <c r="BF354" s="427"/>
      <c r="BH354" s="427"/>
      <c r="BL354" s="427"/>
      <c r="BN354" s="427"/>
      <c r="BR354" s="427"/>
      <c r="BT354" s="427"/>
      <c r="BX354" s="427"/>
      <c r="BZ354" s="427"/>
    </row>
    <row r="355" spans="2:86">
      <c r="B355" s="509" t="s">
        <v>419</v>
      </c>
      <c r="C355" s="470">
        <f>ID!L78</f>
        <v>160</v>
      </c>
      <c r="D355" s="470">
        <f>_xlfn.FORECAST.LINEAR($C$303,$H$270:$H$272,$B$270:$B$272)</f>
        <v>0.7283333333333335</v>
      </c>
      <c r="E355" s="470">
        <f t="shared" si="48"/>
        <v>160.72833333333332</v>
      </c>
      <c r="F355" s="508">
        <f t="shared" si="46"/>
        <v>0</v>
      </c>
      <c r="G355" s="437"/>
      <c r="H355" s="509" t="s">
        <v>419</v>
      </c>
      <c r="I355" s="470">
        <f>ID!M78</f>
        <v>161.56</v>
      </c>
      <c r="J355" s="470">
        <f>_xlfn.FORECAST.LINEAR($C$303,$H$270:$H$272,$B$270:$B$272)</f>
        <v>0.7283333333333335</v>
      </c>
      <c r="K355" s="470">
        <f t="shared" si="49"/>
        <v>162.28833333333333</v>
      </c>
      <c r="L355" s="508">
        <f t="shared" si="47"/>
        <v>0</v>
      </c>
      <c r="M355" s="437"/>
      <c r="P355" s="422"/>
      <c r="Q355" s="463"/>
      <c r="R355" s="463"/>
      <c r="S355" s="463"/>
      <c r="T355" s="512"/>
      <c r="U355" s="512"/>
      <c r="V355" s="512"/>
      <c r="W355" s="512"/>
      <c r="X355" s="512"/>
      <c r="Y355" s="512"/>
      <c r="Z355" s="512"/>
      <c r="AA355" s="512"/>
      <c r="AB355" s="512"/>
      <c r="AD355" s="422"/>
      <c r="AF355" s="422"/>
      <c r="AG355" s="463"/>
      <c r="AI355" s="463"/>
      <c r="AL355" s="422"/>
      <c r="AM355" s="463"/>
      <c r="AO355" s="463"/>
      <c r="AR355" s="422"/>
      <c r="AS355" s="463"/>
      <c r="AU355" s="463"/>
      <c r="AX355" s="422"/>
      <c r="AY355" s="463"/>
      <c r="BA355" s="463"/>
      <c r="BD355" s="422"/>
      <c r="BE355" s="463"/>
      <c r="BG355" s="463"/>
      <c r="BJ355" s="422"/>
      <c r="BK355" s="463"/>
      <c r="BM355" s="463"/>
      <c r="BP355" s="422"/>
      <c r="BQ355" s="463"/>
      <c r="BS355" s="463"/>
      <c r="BV355" s="422"/>
      <c r="BW355" s="463"/>
      <c r="BY355" s="463"/>
    </row>
    <row r="356" spans="2:86">
      <c r="B356" s="509" t="s">
        <v>420</v>
      </c>
      <c r="C356" s="470">
        <f>ID!L79</f>
        <v>160</v>
      </c>
      <c r="D356" s="470">
        <f>_xlfn.FORECAST.LINEAR($C$304,$I$270:$I$272,$B$270:$B$272)</f>
        <v>0.66433333333333333</v>
      </c>
      <c r="E356" s="470">
        <f t="shared" si="48"/>
        <v>160.66433333333333</v>
      </c>
      <c r="F356" s="508">
        <f t="shared" si="46"/>
        <v>0</v>
      </c>
      <c r="G356" s="986">
        <f>VLOOKUP(G352,$B$270:$L$272,11)</f>
        <v>0.1</v>
      </c>
      <c r="H356" s="509" t="s">
        <v>420</v>
      </c>
      <c r="I356" s="470">
        <f>ID!M79</f>
        <v>161.56</v>
      </c>
      <c r="J356" s="470">
        <f>_xlfn.FORECAST.LINEAR($C$304,$I$270:$I$272,$B$270:$B$272)</f>
        <v>0.66433333333333333</v>
      </c>
      <c r="K356" s="470">
        <f t="shared" si="49"/>
        <v>162.22433333333333</v>
      </c>
      <c r="L356" s="508">
        <f t="shared" si="47"/>
        <v>0</v>
      </c>
      <c r="M356" s="986">
        <f>VLOOKUP(M352,$B$270:$L$272,11)</f>
        <v>0.1</v>
      </c>
      <c r="P356" s="422"/>
      <c r="Q356" s="463"/>
      <c r="R356" s="463"/>
      <c r="S356" s="463"/>
      <c r="T356" s="512"/>
      <c r="U356" s="512"/>
      <c r="V356" s="512"/>
      <c r="W356" s="512"/>
      <c r="X356" s="512"/>
      <c r="Y356" s="512"/>
      <c r="Z356" s="512"/>
      <c r="AA356" s="512"/>
      <c r="AB356" s="512"/>
      <c r="AD356" s="422"/>
      <c r="AF356" s="422"/>
      <c r="AG356" s="463"/>
      <c r="AI356" s="463"/>
      <c r="AL356" s="422"/>
      <c r="AM356" s="463"/>
      <c r="AO356" s="463"/>
      <c r="AR356" s="422"/>
      <c r="AS356" s="463"/>
      <c r="AU356" s="463"/>
      <c r="AX356" s="422"/>
      <c r="AY356" s="463"/>
      <c r="BA356" s="463"/>
      <c r="BD356" s="422"/>
      <c r="BE356" s="463"/>
      <c r="BG356" s="463"/>
      <c r="BJ356" s="422"/>
      <c r="BK356" s="463"/>
      <c r="BM356" s="463"/>
      <c r="BP356" s="422"/>
      <c r="BQ356" s="463"/>
      <c r="BS356" s="463"/>
      <c r="BV356" s="422"/>
      <c r="BW356" s="463"/>
      <c r="BY356" s="463"/>
    </row>
    <row r="357" spans="2:86">
      <c r="B357" s="509" t="s">
        <v>421</v>
      </c>
      <c r="C357" s="470">
        <f>ID!L80</f>
        <v>160</v>
      </c>
      <c r="D357" s="470">
        <f>_xlfn.FORECAST.LINEAR($C$305,$J$270:$J$272,$B$270:$B$272)</f>
        <v>0.66233333333333344</v>
      </c>
      <c r="E357" s="470">
        <f t="shared" si="48"/>
        <v>160.66233333333332</v>
      </c>
      <c r="F357" s="508">
        <f t="shared" si="46"/>
        <v>0</v>
      </c>
      <c r="G357" s="987"/>
      <c r="H357" s="509" t="s">
        <v>421</v>
      </c>
      <c r="I357" s="470">
        <f>ID!M80</f>
        <v>161.56</v>
      </c>
      <c r="J357" s="470">
        <f>_xlfn.FORECAST.LINEAR($C$305,$J$270:$J$272,$B$270:$B$272)</f>
        <v>0.66233333333333344</v>
      </c>
      <c r="K357" s="470">
        <f t="shared" si="49"/>
        <v>162.22233333333332</v>
      </c>
      <c r="L357" s="508">
        <f t="shared" si="47"/>
        <v>0</v>
      </c>
      <c r="M357" s="987"/>
      <c r="P357" s="422"/>
      <c r="Q357" s="463"/>
      <c r="R357" s="463"/>
      <c r="S357" s="463"/>
      <c r="T357" s="512"/>
      <c r="U357" s="512"/>
      <c r="V357" s="512"/>
      <c r="W357" s="512"/>
      <c r="X357" s="512"/>
      <c r="Y357" s="512"/>
      <c r="Z357" s="512"/>
      <c r="AA357" s="512"/>
      <c r="AB357" s="512"/>
      <c r="AD357" s="422"/>
      <c r="AF357" s="422"/>
      <c r="AG357" s="463"/>
      <c r="AI357" s="463"/>
      <c r="AL357" s="422"/>
      <c r="AM357" s="463"/>
      <c r="AO357" s="463"/>
      <c r="AR357" s="422"/>
      <c r="AS357" s="463"/>
      <c r="AU357" s="463"/>
      <c r="AX357" s="422"/>
      <c r="AY357" s="463"/>
      <c r="BA357" s="463"/>
      <c r="BD357" s="422"/>
      <c r="BE357" s="463"/>
      <c r="BG357" s="463"/>
      <c r="BJ357" s="422"/>
      <c r="BK357" s="463"/>
      <c r="BM357" s="463"/>
      <c r="BP357" s="422"/>
      <c r="BQ357" s="463"/>
      <c r="BS357" s="463"/>
      <c r="BV357" s="422"/>
      <c r="BW357" s="463"/>
      <c r="BY357" s="463"/>
    </row>
    <row r="358" spans="2:86">
      <c r="B358" s="509" t="s">
        <v>422</v>
      </c>
      <c r="C358" s="470">
        <v>160</v>
      </c>
      <c r="D358" s="470">
        <f>_xlfn.FORECAST.LINEAR($C$306,$K$270:$K$272,$B$270:$B$272)</f>
        <v>0.66900000000000004</v>
      </c>
      <c r="E358" s="470">
        <f t="shared" si="48"/>
        <v>160.66900000000001</v>
      </c>
      <c r="F358" s="508">
        <f t="shared" ref="F358:F359" si="50">AQ429</f>
        <v>0</v>
      </c>
      <c r="G358" s="988">
        <f>(((G356-G354)/(G352-G350))*(G349-G350))+G354</f>
        <v>0.1</v>
      </c>
      <c r="H358" s="509" t="s">
        <v>422</v>
      </c>
      <c r="I358" s="470">
        <v>160</v>
      </c>
      <c r="J358" s="470">
        <f>_xlfn.FORECAST.LINEAR($C$306,$K$270:$K$272,$B$270:$B$272)</f>
        <v>0.66900000000000004</v>
      </c>
      <c r="K358" s="470">
        <f t="shared" si="49"/>
        <v>160.66900000000001</v>
      </c>
      <c r="L358" s="508">
        <f t="shared" ref="L358:L359" si="51">AW429</f>
        <v>0</v>
      </c>
      <c r="M358" s="988">
        <f>(((M356-M354)/(M352-M350))*(M349-M350))+M354</f>
        <v>0.1</v>
      </c>
      <c r="P358" s="422"/>
      <c r="Q358" s="463"/>
      <c r="R358" s="463"/>
      <c r="S358" s="463"/>
      <c r="T358" s="512"/>
      <c r="U358" s="512"/>
      <c r="V358" s="512"/>
      <c r="W358" s="512"/>
      <c r="X358" s="512"/>
      <c r="Y358" s="512"/>
      <c r="Z358" s="512"/>
      <c r="AA358" s="512"/>
      <c r="AB358" s="512"/>
      <c r="AD358" s="422"/>
      <c r="AF358" s="422"/>
      <c r="AG358" s="463"/>
      <c r="AI358" s="463"/>
      <c r="AL358" s="422"/>
      <c r="AM358" s="463"/>
      <c r="AO358" s="463"/>
      <c r="AR358" s="422"/>
      <c r="AS358" s="463"/>
      <c r="AU358" s="463"/>
      <c r="AX358" s="422"/>
      <c r="AY358" s="463"/>
      <c r="BA358" s="463"/>
      <c r="BD358" s="422"/>
      <c r="BE358" s="463"/>
      <c r="BG358" s="463"/>
      <c r="BJ358" s="422"/>
      <c r="BK358" s="463"/>
      <c r="BM358" s="463"/>
      <c r="BP358" s="422"/>
      <c r="BQ358" s="463"/>
      <c r="BS358" s="463"/>
      <c r="BV358" s="422"/>
      <c r="BW358" s="463"/>
      <c r="BY358" s="463"/>
    </row>
    <row r="359" spans="2:86">
      <c r="B359" s="509" t="s">
        <v>423</v>
      </c>
      <c r="C359" s="470">
        <v>160</v>
      </c>
      <c r="D359" s="474">
        <f>G358</f>
        <v>0.1</v>
      </c>
      <c r="E359" s="474">
        <f t="shared" si="48"/>
        <v>160.1</v>
      </c>
      <c r="F359" s="508">
        <f t="shared" si="50"/>
        <v>0</v>
      </c>
      <c r="G359" s="423"/>
      <c r="H359" s="509" t="s">
        <v>423</v>
      </c>
      <c r="I359" s="470">
        <v>160</v>
      </c>
      <c r="J359" s="474">
        <f>M358</f>
        <v>0.1</v>
      </c>
      <c r="K359" s="474">
        <f t="shared" si="49"/>
        <v>160.1</v>
      </c>
      <c r="L359" s="513">
        <f t="shared" si="51"/>
        <v>0</v>
      </c>
      <c r="M359" s="423"/>
      <c r="P359" s="422"/>
      <c r="Q359" s="463"/>
      <c r="R359" s="463"/>
      <c r="S359" s="463"/>
      <c r="T359" s="512"/>
      <c r="U359" s="512"/>
      <c r="V359" s="512"/>
      <c r="W359" s="512"/>
      <c r="X359" s="512"/>
      <c r="Y359" s="512"/>
      <c r="Z359" s="512"/>
      <c r="AA359" s="512"/>
      <c r="AB359" s="512"/>
      <c r="AD359" s="422"/>
      <c r="AF359" s="422"/>
      <c r="AG359" s="463"/>
      <c r="AI359" s="463"/>
      <c r="AL359" s="422"/>
      <c r="AM359" s="463"/>
      <c r="AO359" s="463"/>
      <c r="AR359" s="422"/>
      <c r="AS359" s="463"/>
      <c r="AU359" s="463"/>
      <c r="AX359" s="422"/>
      <c r="AY359" s="463"/>
      <c r="BA359" s="463"/>
      <c r="BD359" s="422"/>
      <c r="BE359" s="463"/>
      <c r="BG359" s="463"/>
      <c r="BJ359" s="422"/>
      <c r="BK359" s="463"/>
      <c r="BM359" s="463"/>
      <c r="BP359" s="422"/>
      <c r="BQ359" s="463"/>
      <c r="BS359" s="463"/>
      <c r="BV359" s="422"/>
      <c r="BW359" s="463"/>
      <c r="BY359" s="463"/>
    </row>
    <row r="360" spans="2:86" s="423" customFormat="1">
      <c r="P360" s="441"/>
      <c r="Q360" s="424"/>
      <c r="R360" s="424"/>
      <c r="S360" s="424"/>
      <c r="T360" s="425"/>
      <c r="U360" s="425"/>
      <c r="V360" s="425"/>
      <c r="W360" s="425"/>
      <c r="X360" s="425"/>
      <c r="Y360" s="425"/>
      <c r="Z360" s="425"/>
      <c r="AA360" s="425"/>
      <c r="AB360" s="425"/>
      <c r="AD360" s="441"/>
      <c r="AF360" s="441"/>
      <c r="AG360" s="424"/>
      <c r="AH360" s="424"/>
      <c r="AI360" s="424"/>
      <c r="AJ360" s="425"/>
      <c r="AL360" s="441"/>
      <c r="AM360" s="424"/>
      <c r="AN360" s="424"/>
      <c r="AO360" s="424"/>
      <c r="AP360" s="425"/>
      <c r="AR360" s="441"/>
      <c r="AS360" s="424"/>
      <c r="AT360" s="424"/>
      <c r="AU360" s="424"/>
      <c r="AV360" s="425"/>
      <c r="AX360" s="441"/>
      <c r="AY360" s="424"/>
      <c r="AZ360" s="424"/>
      <c r="BA360" s="424"/>
      <c r="BB360" s="425"/>
      <c r="BD360" s="441"/>
      <c r="BE360" s="424"/>
      <c r="BF360" s="424"/>
      <c r="BG360" s="424"/>
      <c r="BH360" s="425"/>
      <c r="BJ360" s="441"/>
      <c r="BK360" s="424"/>
      <c r="BL360" s="424"/>
      <c r="BM360" s="424"/>
      <c r="BN360" s="425"/>
      <c r="BP360" s="441"/>
      <c r="BQ360" s="424"/>
      <c r="BR360" s="424"/>
      <c r="BS360" s="424"/>
      <c r="BT360" s="425"/>
      <c r="BV360" s="441"/>
      <c r="BW360" s="424"/>
      <c r="BX360" s="424"/>
      <c r="BY360" s="424"/>
      <c r="BZ360" s="425"/>
    </row>
    <row r="361" spans="2:86" s="423" customFormat="1">
      <c r="P361" s="441"/>
      <c r="Q361" s="424"/>
      <c r="R361" s="424"/>
      <c r="S361" s="424"/>
      <c r="T361" s="425"/>
      <c r="U361" s="425"/>
      <c r="V361" s="425"/>
      <c r="W361" s="425"/>
      <c r="X361" s="425"/>
      <c r="Y361" s="425"/>
      <c r="Z361" s="425"/>
      <c r="AA361" s="425"/>
      <c r="AB361" s="425"/>
      <c r="AD361" s="441"/>
      <c r="AF361" s="441"/>
      <c r="AG361" s="424"/>
      <c r="AH361" s="424"/>
      <c r="AI361" s="424"/>
      <c r="AJ361" s="425"/>
      <c r="AL361" s="441"/>
      <c r="AM361" s="424"/>
      <c r="AN361" s="424"/>
      <c r="AO361" s="424"/>
      <c r="AP361" s="425"/>
      <c r="AR361" s="441"/>
      <c r="AS361" s="424"/>
      <c r="AT361" s="424"/>
      <c r="AU361" s="424"/>
      <c r="AV361" s="425"/>
      <c r="AX361" s="441"/>
      <c r="AY361" s="424"/>
      <c r="AZ361" s="424"/>
      <c r="BA361" s="424"/>
      <c r="BB361" s="425"/>
      <c r="BD361" s="441"/>
      <c r="BE361" s="424"/>
      <c r="BF361" s="424"/>
      <c r="BG361" s="424"/>
      <c r="BH361" s="425"/>
      <c r="BJ361" s="441"/>
      <c r="BK361" s="424"/>
      <c r="BL361" s="424"/>
      <c r="BM361" s="424"/>
      <c r="BN361" s="425"/>
      <c r="BP361" s="441"/>
      <c r="BQ361" s="424"/>
      <c r="BR361" s="424"/>
      <c r="BS361" s="424"/>
      <c r="BT361" s="425"/>
      <c r="BV361" s="441"/>
      <c r="BW361" s="424"/>
      <c r="BX361" s="424"/>
      <c r="BY361" s="424"/>
      <c r="BZ361" s="425"/>
    </row>
    <row r="362" spans="2:86">
      <c r="P362" s="422"/>
      <c r="Q362" s="463"/>
      <c r="R362" s="463"/>
      <c r="S362" s="463"/>
      <c r="T362" s="512"/>
      <c r="U362" s="512"/>
      <c r="V362" s="512"/>
      <c r="W362" s="512"/>
      <c r="X362" s="512"/>
      <c r="Y362" s="512"/>
      <c r="Z362" s="512"/>
      <c r="AA362" s="512"/>
      <c r="AB362" s="512"/>
      <c r="AD362" s="422"/>
      <c r="AF362" s="422"/>
      <c r="AG362" s="463"/>
      <c r="AI362" s="463"/>
      <c r="AL362" s="422"/>
      <c r="AM362" s="463"/>
      <c r="AO362" s="463"/>
      <c r="AR362" s="422"/>
      <c r="AS362" s="463"/>
      <c r="AU362" s="463"/>
      <c r="AX362" s="422"/>
      <c r="AY362" s="463"/>
      <c r="BA362" s="463"/>
      <c r="BD362" s="422"/>
      <c r="BE362" s="463"/>
      <c r="BG362" s="463"/>
      <c r="BJ362" s="422"/>
      <c r="BK362" s="463"/>
      <c r="BM362" s="463"/>
      <c r="BP362" s="422"/>
      <c r="BQ362" s="463"/>
      <c r="BS362" s="463"/>
      <c r="BV362" s="422"/>
      <c r="BW362" s="463"/>
      <c r="BY362" s="463"/>
    </row>
    <row r="363" spans="2:86">
      <c r="P363" s="422"/>
      <c r="Q363" s="463"/>
      <c r="R363" s="463"/>
      <c r="S363" s="463"/>
      <c r="T363" s="512"/>
      <c r="U363" s="512"/>
      <c r="V363" s="512"/>
      <c r="W363" s="512"/>
      <c r="X363" s="512"/>
      <c r="Y363" s="512"/>
      <c r="Z363" s="512"/>
      <c r="AA363" s="512"/>
      <c r="AB363" s="512"/>
      <c r="AD363" s="422"/>
      <c r="AF363" s="422"/>
      <c r="AG363" s="463"/>
      <c r="AI363" s="463"/>
      <c r="AJ363" s="512"/>
      <c r="AL363" s="422"/>
      <c r="AM363" s="463"/>
      <c r="AO363" s="463"/>
      <c r="AP363" s="512"/>
      <c r="AR363" s="422"/>
      <c r="AS363" s="463"/>
      <c r="AU363" s="463"/>
      <c r="AV363" s="512"/>
      <c r="AX363" s="422"/>
      <c r="AY363" s="463"/>
      <c r="BA363" s="463"/>
      <c r="BB363" s="512"/>
      <c r="BD363" s="422"/>
      <c r="BE363" s="463"/>
      <c r="BG363" s="463"/>
      <c r="BH363" s="512"/>
      <c r="BJ363" s="422"/>
      <c r="BK363" s="463"/>
      <c r="BM363" s="463"/>
      <c r="BN363" s="512"/>
      <c r="BP363" s="422"/>
      <c r="BQ363" s="463"/>
      <c r="BS363" s="463"/>
      <c r="BT363" s="512"/>
      <c r="BV363" s="422"/>
      <c r="BW363" s="463"/>
      <c r="BY363" s="463"/>
      <c r="BZ363" s="512"/>
    </row>
    <row r="364" spans="2:86">
      <c r="P364" s="422"/>
      <c r="Q364" s="463"/>
      <c r="R364" s="463"/>
      <c r="S364" s="463"/>
      <c r="T364" s="512"/>
      <c r="U364" s="512"/>
      <c r="V364" s="512"/>
      <c r="W364" s="512"/>
      <c r="X364" s="512"/>
      <c r="Y364" s="512"/>
      <c r="Z364" s="512"/>
      <c r="AA364" s="512"/>
      <c r="AB364" s="512"/>
      <c r="AD364" s="422"/>
      <c r="AF364" s="422"/>
      <c r="AG364" s="463"/>
      <c r="AI364" s="463"/>
      <c r="AJ364" s="512"/>
      <c r="AL364" s="422"/>
      <c r="AM364" s="463"/>
      <c r="AO364" s="463"/>
      <c r="AP364" s="512"/>
      <c r="AR364" s="422"/>
      <c r="AS364" s="463"/>
      <c r="AU364" s="463"/>
      <c r="AV364" s="512"/>
      <c r="AX364" s="422"/>
      <c r="AY364" s="463"/>
      <c r="BA364" s="463"/>
      <c r="BB364" s="512"/>
      <c r="BD364" s="422"/>
      <c r="BE364" s="463"/>
      <c r="BG364" s="463"/>
      <c r="BH364" s="512"/>
      <c r="BJ364" s="422"/>
      <c r="BK364" s="463"/>
      <c r="BM364" s="463"/>
      <c r="BN364" s="512"/>
      <c r="BP364" s="422"/>
      <c r="BQ364" s="463"/>
      <c r="BS364" s="463"/>
      <c r="BT364" s="512"/>
      <c r="BV364" s="422"/>
      <c r="BW364" s="463"/>
      <c r="BY364" s="463"/>
      <c r="BZ364" s="512"/>
    </row>
    <row r="365" spans="2:86">
      <c r="P365" s="422"/>
      <c r="Q365" s="463"/>
      <c r="R365" s="463"/>
      <c r="S365" s="463"/>
      <c r="T365" s="512"/>
      <c r="U365" s="512"/>
      <c r="V365" s="512"/>
      <c r="W365" s="512"/>
      <c r="X365" s="512"/>
      <c r="Y365" s="512"/>
      <c r="Z365" s="512"/>
      <c r="AA365" s="512"/>
      <c r="AB365" s="512"/>
      <c r="AD365" s="422"/>
      <c r="AF365" s="422"/>
      <c r="AG365" s="463"/>
      <c r="AI365" s="463"/>
      <c r="AJ365" s="512"/>
      <c r="AL365" s="422"/>
      <c r="AM365" s="463"/>
      <c r="AO365" s="463"/>
      <c r="AP365" s="512"/>
      <c r="AR365" s="422"/>
      <c r="AS365" s="463"/>
      <c r="AU365" s="463"/>
      <c r="AV365" s="512"/>
      <c r="AX365" s="422"/>
      <c r="AY365" s="463"/>
      <c r="BA365" s="463"/>
      <c r="BB365" s="512"/>
      <c r="BD365" s="422"/>
      <c r="BE365" s="463"/>
      <c r="BG365" s="463"/>
      <c r="BH365" s="512"/>
      <c r="BJ365" s="422"/>
      <c r="BK365" s="463"/>
      <c r="BM365" s="463"/>
      <c r="BN365" s="512"/>
      <c r="BP365" s="422"/>
      <c r="BQ365" s="463"/>
      <c r="BS365" s="463"/>
      <c r="BT365" s="512"/>
      <c r="BV365" s="422"/>
      <c r="BW365" s="463"/>
      <c r="BY365" s="463"/>
      <c r="BZ365" s="512"/>
    </row>
    <row r="368" spans="2:86" ht="26.15" customHeight="1">
      <c r="Q368" s="514"/>
      <c r="R368" s="514"/>
      <c r="S368" s="514"/>
      <c r="T368" s="514"/>
      <c r="U368" s="514"/>
      <c r="V368" s="514"/>
      <c r="W368" s="514"/>
      <c r="X368" s="514"/>
      <c r="Y368" s="514"/>
      <c r="Z368" s="514"/>
      <c r="AA368" s="514"/>
      <c r="AB368" s="514"/>
      <c r="AC368" s="514"/>
      <c r="AD368" s="514"/>
      <c r="AE368" s="514"/>
      <c r="AF368" s="514"/>
      <c r="AG368" s="514"/>
      <c r="AH368" s="514"/>
      <c r="AI368" s="514"/>
      <c r="AJ368" s="514"/>
      <c r="AK368" s="514"/>
      <c r="AL368" s="514"/>
      <c r="AM368" s="514"/>
      <c r="AN368" s="514"/>
      <c r="AO368" s="514"/>
      <c r="AP368" s="514"/>
      <c r="AQ368" s="514"/>
      <c r="AR368" s="515"/>
      <c r="AS368" s="515"/>
      <c r="AT368" s="515"/>
      <c r="AU368" s="515"/>
      <c r="AV368" s="515"/>
      <c r="AX368" s="515"/>
      <c r="AY368" s="515"/>
      <c r="AZ368" s="515"/>
      <c r="BA368" s="515"/>
      <c r="BB368" s="515"/>
      <c r="BC368" s="516"/>
      <c r="BD368" s="515"/>
      <c r="BE368" s="515"/>
      <c r="BF368" s="515"/>
      <c r="BG368" s="515"/>
      <c r="BH368" s="515"/>
      <c r="BI368" s="516"/>
      <c r="BJ368" s="515"/>
      <c r="BK368" s="515"/>
      <c r="BL368" s="515"/>
      <c r="BM368" s="515"/>
      <c r="BN368" s="515"/>
      <c r="BO368" s="516"/>
      <c r="BP368" s="515"/>
      <c r="BQ368" s="515"/>
      <c r="BR368" s="515"/>
      <c r="BS368" s="515"/>
      <c r="BT368" s="515"/>
      <c r="BU368" s="516"/>
      <c r="BV368" s="515"/>
      <c r="BW368" s="515"/>
      <c r="BX368" s="515"/>
      <c r="BY368" s="515"/>
      <c r="BZ368" s="515"/>
      <c r="CA368" s="516"/>
      <c r="CB368" s="463"/>
    </row>
    <row r="369" spans="17:80" ht="26.15" customHeight="1">
      <c r="Q369" s="517"/>
      <c r="R369" s="464"/>
      <c r="S369" s="464"/>
      <c r="T369" s="464"/>
      <c r="U369" s="464"/>
      <c r="V369" s="464"/>
      <c r="W369" s="464"/>
      <c r="X369" s="464"/>
      <c r="Y369" s="464"/>
      <c r="Z369" s="464"/>
      <c r="AA369" s="464"/>
      <c r="AB369" s="464"/>
      <c r="AC369" s="464"/>
      <c r="AD369" s="464"/>
      <c r="AE369" s="464"/>
      <c r="AF369" s="464"/>
      <c r="AG369" s="517"/>
      <c r="AH369" s="464"/>
      <c r="AI369" s="464"/>
      <c r="AK369" s="464"/>
      <c r="AL369" s="464"/>
      <c r="AM369" s="517"/>
      <c r="AN369" s="464"/>
      <c r="AO369" s="464"/>
      <c r="AQ369" s="464"/>
      <c r="AR369" s="464"/>
      <c r="AS369" s="517"/>
      <c r="AT369" s="464"/>
      <c r="AU369" s="464"/>
      <c r="AX369" s="464"/>
      <c r="AY369" s="517"/>
      <c r="AZ369" s="464"/>
      <c r="BA369" s="464"/>
      <c r="BC369" s="516"/>
      <c r="BD369" s="464"/>
      <c r="BE369" s="517"/>
      <c r="BF369" s="464"/>
      <c r="BG369" s="464"/>
      <c r="BI369" s="516"/>
      <c r="BJ369" s="464"/>
      <c r="BK369" s="517"/>
      <c r="BL369" s="464"/>
      <c r="BM369" s="464"/>
      <c r="BO369" s="516"/>
      <c r="BP369" s="464"/>
      <c r="BQ369" s="517"/>
      <c r="BR369" s="464"/>
      <c r="BS369" s="464"/>
      <c r="BU369" s="516"/>
      <c r="BV369" s="464"/>
      <c r="BW369" s="517"/>
      <c r="BX369" s="464"/>
      <c r="BY369" s="464"/>
      <c r="CA369" s="516"/>
      <c r="CB369" s="463"/>
    </row>
    <row r="370" spans="17:80" ht="26.15" customHeight="1">
      <c r="Q370" s="517"/>
      <c r="R370" s="464"/>
      <c r="S370" s="464"/>
      <c r="T370" s="464"/>
      <c r="U370" s="464"/>
      <c r="V370" s="464"/>
      <c r="W370" s="464"/>
      <c r="X370" s="464"/>
      <c r="Y370" s="464"/>
      <c r="Z370" s="464"/>
      <c r="AA370" s="464"/>
      <c r="AB370" s="464"/>
      <c r="AC370" s="464"/>
      <c r="AD370" s="464"/>
      <c r="AE370" s="464"/>
      <c r="AF370" s="464"/>
      <c r="AG370" s="517"/>
      <c r="AH370" s="464"/>
      <c r="AI370" s="464"/>
      <c r="AK370" s="464"/>
      <c r="AL370" s="464"/>
      <c r="AM370" s="517"/>
      <c r="AN370" s="464"/>
      <c r="AO370" s="464"/>
      <c r="AQ370" s="464"/>
      <c r="AR370" s="464"/>
      <c r="AS370" s="517"/>
      <c r="AT370" s="464"/>
      <c r="AU370" s="464"/>
      <c r="AX370" s="464"/>
      <c r="AY370" s="517"/>
      <c r="AZ370" s="464"/>
      <c r="BA370" s="464"/>
      <c r="BC370" s="516"/>
      <c r="BD370" s="464"/>
      <c r="BE370" s="517"/>
      <c r="BF370" s="464"/>
      <c r="BG370" s="464"/>
      <c r="BI370" s="516"/>
      <c r="BJ370" s="464"/>
      <c r="BK370" s="517"/>
      <c r="BL370" s="464"/>
      <c r="BM370" s="464"/>
      <c r="BO370" s="516"/>
      <c r="BP370" s="464"/>
      <c r="BQ370" s="517"/>
      <c r="BR370" s="464"/>
      <c r="BS370" s="464"/>
      <c r="BU370" s="516"/>
      <c r="BV370" s="464"/>
      <c r="BW370" s="517"/>
      <c r="BX370" s="464"/>
      <c r="BY370" s="464"/>
      <c r="CA370" s="516"/>
      <c r="CB370" s="463"/>
    </row>
    <row r="371" spans="17:80" ht="26.15" customHeight="1">
      <c r="Q371" s="517"/>
      <c r="R371" s="464"/>
      <c r="S371" s="464"/>
      <c r="T371" s="464"/>
      <c r="U371" s="464"/>
      <c r="V371" s="464"/>
      <c r="W371" s="464"/>
      <c r="X371" s="464"/>
      <c r="Y371" s="464"/>
      <c r="Z371" s="464"/>
      <c r="AA371" s="464"/>
      <c r="AB371" s="464"/>
      <c r="AC371" s="464"/>
      <c r="AD371" s="464"/>
      <c r="AE371" s="464"/>
      <c r="AF371" s="464"/>
      <c r="AG371" s="517"/>
      <c r="AH371" s="464"/>
      <c r="AI371" s="464"/>
      <c r="AK371" s="464"/>
      <c r="AL371" s="464"/>
      <c r="AM371" s="517"/>
      <c r="AN371" s="464"/>
      <c r="AO371" s="464"/>
      <c r="AQ371" s="464"/>
      <c r="AR371" s="464"/>
      <c r="AS371" s="517"/>
      <c r="AT371" s="464"/>
      <c r="AU371" s="464"/>
      <c r="AX371" s="464"/>
      <c r="AY371" s="517"/>
      <c r="AZ371" s="464"/>
      <c r="BA371" s="464"/>
      <c r="BC371" s="516"/>
      <c r="BD371" s="464"/>
      <c r="BE371" s="517"/>
      <c r="BF371" s="464"/>
      <c r="BG371" s="464"/>
      <c r="BI371" s="516"/>
      <c r="BJ371" s="464"/>
      <c r="BK371" s="517"/>
      <c r="BL371" s="464"/>
      <c r="BM371" s="464"/>
      <c r="BO371" s="516"/>
      <c r="BP371" s="464"/>
      <c r="BQ371" s="517"/>
      <c r="BR371" s="464"/>
      <c r="BS371" s="464"/>
      <c r="BU371" s="516"/>
      <c r="BV371" s="464"/>
      <c r="BW371" s="517"/>
      <c r="BX371" s="464"/>
      <c r="BY371" s="464"/>
      <c r="CA371" s="516"/>
      <c r="CB371" s="463"/>
    </row>
    <row r="372" spans="17:80" ht="26.15" customHeight="1">
      <c r="Q372" s="517"/>
      <c r="R372" s="464"/>
      <c r="S372" s="464"/>
      <c r="T372" s="464"/>
      <c r="U372" s="464"/>
      <c r="V372" s="464"/>
      <c r="W372" s="464"/>
      <c r="X372" s="464"/>
      <c r="Y372" s="464"/>
      <c r="Z372" s="464"/>
      <c r="AA372" s="464"/>
      <c r="AB372" s="464"/>
      <c r="AC372" s="464"/>
      <c r="AD372" s="464"/>
      <c r="AE372" s="464"/>
      <c r="AF372" s="464"/>
      <c r="AG372" s="517"/>
      <c r="AH372" s="464"/>
      <c r="AI372" s="464"/>
      <c r="AK372" s="464"/>
      <c r="AL372" s="464"/>
      <c r="AM372" s="517"/>
      <c r="AN372" s="464"/>
      <c r="AO372" s="464"/>
      <c r="AQ372" s="464"/>
      <c r="AR372" s="464"/>
      <c r="AS372" s="517"/>
      <c r="AT372" s="464"/>
      <c r="AU372" s="464"/>
      <c r="AX372" s="464"/>
      <c r="AY372" s="517"/>
      <c r="AZ372" s="464"/>
      <c r="BA372" s="464"/>
      <c r="BC372" s="516"/>
      <c r="BD372" s="464"/>
      <c r="BE372" s="517"/>
      <c r="BF372" s="464"/>
      <c r="BG372" s="464"/>
      <c r="BI372" s="516"/>
      <c r="BJ372" s="464"/>
      <c r="BK372" s="517"/>
      <c r="BL372" s="464"/>
      <c r="BM372" s="464"/>
      <c r="BO372" s="516"/>
      <c r="BP372" s="464"/>
      <c r="BQ372" s="517"/>
      <c r="BR372" s="464"/>
      <c r="BS372" s="464"/>
      <c r="BU372" s="516"/>
      <c r="BV372" s="464"/>
      <c r="BW372" s="517"/>
      <c r="BX372" s="464"/>
      <c r="BY372" s="464"/>
      <c r="CA372" s="516"/>
      <c r="CB372" s="463"/>
    </row>
    <row r="373" spans="17:80" ht="26.15" customHeight="1">
      <c r="Q373" s="517"/>
      <c r="R373" s="464"/>
      <c r="S373" s="464"/>
      <c r="T373" s="464"/>
      <c r="U373" s="464"/>
      <c r="V373" s="464"/>
      <c r="W373" s="464"/>
      <c r="X373" s="464"/>
      <c r="Y373" s="464"/>
      <c r="Z373" s="464"/>
      <c r="AA373" s="464"/>
      <c r="AB373" s="464"/>
      <c r="AC373" s="464"/>
      <c r="AD373" s="464"/>
      <c r="AE373" s="464"/>
      <c r="AF373" s="464"/>
      <c r="AG373" s="517"/>
      <c r="AH373" s="464"/>
      <c r="AI373" s="464"/>
      <c r="AK373" s="464"/>
      <c r="AL373" s="464"/>
      <c r="AM373" s="517"/>
      <c r="AN373" s="464"/>
      <c r="AO373" s="464"/>
      <c r="AQ373" s="464"/>
      <c r="AR373" s="464"/>
      <c r="AS373" s="517"/>
      <c r="AT373" s="464"/>
      <c r="AU373" s="464"/>
      <c r="AX373" s="464"/>
      <c r="AY373" s="517"/>
      <c r="AZ373" s="464"/>
      <c r="BA373" s="464"/>
      <c r="BC373" s="516"/>
      <c r="BD373" s="464"/>
      <c r="BE373" s="517"/>
      <c r="BF373" s="464"/>
      <c r="BG373" s="464"/>
      <c r="BI373" s="516"/>
      <c r="BJ373" s="464"/>
      <c r="BK373" s="517"/>
      <c r="BL373" s="464"/>
      <c r="BM373" s="464"/>
      <c r="BO373" s="516"/>
      <c r="BP373" s="464"/>
      <c r="BQ373" s="517"/>
      <c r="BR373" s="464"/>
      <c r="BS373" s="464"/>
      <c r="BU373" s="516"/>
      <c r="BV373" s="464"/>
      <c r="BW373" s="517"/>
      <c r="BX373" s="464"/>
      <c r="BY373" s="464"/>
      <c r="CA373" s="516"/>
      <c r="CB373" s="463"/>
    </row>
    <row r="374" spans="17:80" ht="26.15" customHeight="1">
      <c r="Q374" s="517"/>
      <c r="R374" s="464"/>
      <c r="S374" s="464"/>
      <c r="T374" s="464"/>
      <c r="U374" s="464"/>
      <c r="V374" s="464"/>
      <c r="W374" s="464"/>
      <c r="X374" s="464"/>
      <c r="Y374" s="464"/>
      <c r="Z374" s="464"/>
      <c r="AA374" s="464"/>
      <c r="AB374" s="464"/>
      <c r="AC374" s="464"/>
      <c r="AD374" s="464"/>
      <c r="AE374" s="464"/>
      <c r="AF374" s="464"/>
      <c r="AG374" s="517"/>
      <c r="AH374" s="464"/>
      <c r="AI374" s="464"/>
      <c r="AK374" s="464"/>
      <c r="AL374" s="464"/>
      <c r="AM374" s="517"/>
      <c r="AN374" s="464"/>
      <c r="AO374" s="464"/>
      <c r="AQ374" s="464"/>
      <c r="AR374" s="464"/>
      <c r="AS374" s="517"/>
      <c r="AT374" s="464"/>
      <c r="AU374" s="464"/>
      <c r="AX374" s="464"/>
      <c r="AY374" s="517"/>
      <c r="AZ374" s="464"/>
      <c r="BA374" s="464"/>
      <c r="BC374" s="516"/>
      <c r="BD374" s="464"/>
      <c r="BE374" s="517"/>
      <c r="BF374" s="464"/>
      <c r="BG374" s="464"/>
      <c r="BI374" s="516"/>
      <c r="BJ374" s="464"/>
      <c r="BK374" s="517"/>
      <c r="BL374" s="464"/>
      <c r="BM374" s="464"/>
      <c r="BO374" s="516"/>
      <c r="BP374" s="464"/>
      <c r="BQ374" s="517"/>
      <c r="BR374" s="464"/>
      <c r="BS374" s="464"/>
      <c r="BU374" s="516"/>
      <c r="BV374" s="464"/>
      <c r="BW374" s="517"/>
      <c r="BX374" s="464"/>
      <c r="BY374" s="464"/>
      <c r="CA374" s="516"/>
      <c r="CB374" s="463"/>
    </row>
    <row r="375" spans="17:80" ht="26.15" customHeight="1">
      <c r="Q375" s="517"/>
      <c r="R375" s="464"/>
      <c r="S375" s="464"/>
      <c r="T375" s="464"/>
      <c r="U375" s="464"/>
      <c r="V375" s="464"/>
      <c r="W375" s="464"/>
      <c r="X375" s="464"/>
      <c r="Y375" s="464"/>
      <c r="Z375" s="464"/>
      <c r="AA375" s="464"/>
      <c r="AB375" s="464"/>
      <c r="AC375" s="464"/>
      <c r="AD375" s="464"/>
      <c r="AE375" s="464"/>
      <c r="AF375" s="464"/>
      <c r="AG375" s="517"/>
      <c r="AH375" s="464"/>
      <c r="AI375" s="464"/>
      <c r="AK375" s="464"/>
      <c r="AL375" s="464"/>
      <c r="AM375" s="517"/>
      <c r="AN375" s="464"/>
      <c r="AO375" s="464"/>
      <c r="AQ375" s="464"/>
      <c r="AR375" s="464"/>
      <c r="AS375" s="517"/>
      <c r="AT375" s="464"/>
      <c r="AU375" s="464"/>
      <c r="AX375" s="464"/>
      <c r="AY375" s="517"/>
      <c r="AZ375" s="464"/>
      <c r="BA375" s="464"/>
      <c r="BC375" s="516"/>
      <c r="BD375" s="464"/>
      <c r="BE375" s="517"/>
      <c r="BF375" s="464"/>
      <c r="BG375" s="464"/>
      <c r="BI375" s="516"/>
      <c r="BJ375" s="464"/>
      <c r="BK375" s="517"/>
      <c r="BL375" s="464"/>
      <c r="BM375" s="464"/>
      <c r="BO375" s="516"/>
      <c r="BP375" s="464"/>
      <c r="BQ375" s="517"/>
      <c r="BR375" s="464"/>
      <c r="BS375" s="464"/>
      <c r="BU375" s="516"/>
      <c r="BV375" s="464"/>
      <c r="BW375" s="517"/>
      <c r="BX375" s="464"/>
      <c r="BY375" s="464"/>
      <c r="CA375" s="516"/>
      <c r="CB375" s="463"/>
    </row>
    <row r="376" spans="17:80" ht="26.15" customHeight="1">
      <c r="Q376" s="517"/>
      <c r="R376" s="464"/>
      <c r="S376" s="464"/>
      <c r="T376" s="464"/>
      <c r="U376" s="464"/>
      <c r="V376" s="464"/>
      <c r="W376" s="464"/>
      <c r="X376" s="464"/>
      <c r="Y376" s="464"/>
      <c r="Z376" s="464"/>
      <c r="AA376" s="464"/>
      <c r="AB376" s="464"/>
      <c r="AC376" s="464"/>
      <c r="AD376" s="464"/>
      <c r="AE376" s="464"/>
      <c r="AF376" s="464"/>
      <c r="AG376" s="517"/>
      <c r="AH376" s="464"/>
      <c r="AI376" s="464"/>
      <c r="AK376" s="464"/>
      <c r="AL376" s="464"/>
      <c r="AM376" s="517"/>
      <c r="AN376" s="464"/>
      <c r="AO376" s="464"/>
      <c r="AQ376" s="464"/>
      <c r="AR376" s="464"/>
      <c r="AS376" s="517"/>
      <c r="AT376" s="464"/>
      <c r="AU376" s="464"/>
      <c r="AX376" s="464"/>
      <c r="AY376" s="517"/>
      <c r="AZ376" s="464"/>
      <c r="BA376" s="464"/>
      <c r="BC376" s="518"/>
      <c r="BD376" s="464"/>
      <c r="BE376" s="517"/>
      <c r="BF376" s="464"/>
      <c r="BG376" s="464"/>
      <c r="BI376" s="518"/>
      <c r="BJ376" s="464"/>
      <c r="BK376" s="517"/>
      <c r="BL376" s="464"/>
      <c r="BM376" s="464"/>
      <c r="BO376" s="518"/>
      <c r="BP376" s="464"/>
      <c r="BQ376" s="517"/>
      <c r="BR376" s="464"/>
      <c r="BS376" s="464"/>
      <c r="BU376" s="518"/>
      <c r="BV376" s="464"/>
      <c r="BW376" s="517"/>
      <c r="BX376" s="464"/>
      <c r="BY376" s="464"/>
      <c r="CA376" s="518"/>
    </row>
    <row r="377" spans="17:80" ht="26.15" customHeight="1">
      <c r="Q377" s="517"/>
      <c r="R377" s="464"/>
      <c r="S377" s="464"/>
      <c r="T377" s="464"/>
      <c r="U377" s="464"/>
      <c r="V377" s="464"/>
      <c r="W377" s="464"/>
      <c r="X377" s="464"/>
      <c r="Y377" s="464"/>
      <c r="Z377" s="464"/>
      <c r="AA377" s="464"/>
      <c r="AB377" s="464"/>
      <c r="AC377" s="464"/>
      <c r="AD377" s="464"/>
      <c r="AE377" s="464"/>
      <c r="AF377" s="464"/>
      <c r="AG377" s="517"/>
      <c r="AH377" s="464"/>
      <c r="AI377" s="464"/>
      <c r="AK377" s="464"/>
      <c r="AL377" s="464"/>
      <c r="AM377" s="517"/>
      <c r="AN377" s="464"/>
      <c r="AO377" s="464"/>
      <c r="AQ377" s="464"/>
      <c r="AR377" s="464"/>
      <c r="AS377" s="517"/>
      <c r="AT377" s="464"/>
      <c r="AU377" s="464"/>
      <c r="AX377" s="464"/>
      <c r="AY377" s="517"/>
      <c r="AZ377" s="464"/>
      <c r="BA377" s="464"/>
      <c r="BC377" s="518"/>
      <c r="BD377" s="464"/>
      <c r="BE377" s="517"/>
      <c r="BF377" s="464"/>
      <c r="BG377" s="464"/>
      <c r="BI377" s="518"/>
      <c r="BJ377" s="464"/>
      <c r="BK377" s="517"/>
      <c r="BL377" s="464"/>
      <c r="BM377" s="464"/>
      <c r="BO377" s="518"/>
      <c r="BP377" s="464"/>
      <c r="BQ377" s="517"/>
      <c r="BR377" s="464"/>
      <c r="BS377" s="464"/>
      <c r="BU377" s="518"/>
      <c r="BV377" s="464"/>
      <c r="BW377" s="517"/>
      <c r="BX377" s="464"/>
      <c r="BY377" s="464"/>
      <c r="CA377" s="518"/>
    </row>
    <row r="378" spans="17:80" ht="26.15" customHeight="1">
      <c r="Q378" s="517"/>
      <c r="R378" s="464"/>
      <c r="S378" s="464"/>
      <c r="T378" s="464"/>
      <c r="U378" s="464"/>
      <c r="V378" s="464"/>
      <c r="W378" s="464"/>
      <c r="X378" s="464"/>
      <c r="Y378" s="464"/>
      <c r="Z378" s="464"/>
      <c r="AA378" s="464"/>
      <c r="AB378" s="464"/>
      <c r="AC378" s="464"/>
      <c r="AD378" s="464"/>
      <c r="AE378" s="464"/>
      <c r="AF378" s="464"/>
      <c r="AG378" s="517"/>
      <c r="AH378" s="464"/>
      <c r="AI378" s="464"/>
      <c r="AK378" s="464"/>
      <c r="AL378" s="464"/>
      <c r="AM378" s="517"/>
      <c r="AN378" s="464"/>
      <c r="AO378" s="464"/>
      <c r="AQ378" s="464"/>
      <c r="AR378" s="464"/>
      <c r="AS378" s="517"/>
      <c r="AT378" s="464"/>
      <c r="AU378" s="464"/>
      <c r="AX378" s="464"/>
      <c r="AY378" s="517"/>
      <c r="AZ378" s="464"/>
      <c r="BA378" s="464"/>
      <c r="BD378" s="464"/>
      <c r="BE378" s="517"/>
      <c r="BF378" s="464"/>
      <c r="BG378" s="464"/>
      <c r="BJ378" s="464"/>
      <c r="BK378" s="517"/>
      <c r="BL378" s="464"/>
      <c r="BM378" s="464"/>
      <c r="BP378" s="464"/>
      <c r="BQ378" s="517"/>
      <c r="BR378" s="464"/>
      <c r="BS378" s="464"/>
      <c r="BV378" s="464"/>
      <c r="BW378" s="517"/>
      <c r="BX378" s="464"/>
      <c r="BY378" s="464"/>
    </row>
    <row r="379" spans="17:80" ht="26.15" customHeight="1">
      <c r="Q379" s="517"/>
      <c r="R379" s="464"/>
      <c r="S379" s="464"/>
      <c r="T379" s="464"/>
      <c r="U379" s="464"/>
      <c r="V379" s="464"/>
      <c r="W379" s="464"/>
      <c r="X379" s="464"/>
      <c r="Y379" s="464"/>
      <c r="Z379" s="464"/>
      <c r="AA379" s="464"/>
      <c r="AB379" s="464"/>
      <c r="AC379" s="464"/>
      <c r="AD379" s="464"/>
      <c r="AE379" s="464"/>
      <c r="AF379" s="464"/>
      <c r="AG379" s="517"/>
      <c r="AH379" s="464"/>
      <c r="AI379" s="464"/>
      <c r="AK379" s="464"/>
      <c r="AL379" s="464"/>
      <c r="AM379" s="517"/>
      <c r="AN379" s="464"/>
      <c r="AO379" s="464"/>
      <c r="AQ379" s="464"/>
      <c r="AR379" s="464"/>
      <c r="AS379" s="517"/>
      <c r="AT379" s="464"/>
      <c r="AU379" s="464"/>
      <c r="AX379" s="464"/>
      <c r="AY379" s="517"/>
      <c r="AZ379" s="464"/>
      <c r="BA379" s="464"/>
      <c r="BC379" s="501"/>
      <c r="BD379" s="464"/>
      <c r="BE379" s="517"/>
      <c r="BF379" s="464"/>
      <c r="BG379" s="464"/>
      <c r="BI379" s="501"/>
      <c r="BJ379" s="464"/>
      <c r="BK379" s="517"/>
      <c r="BL379" s="464"/>
      <c r="BM379" s="464"/>
      <c r="BO379" s="501"/>
      <c r="BP379" s="464"/>
      <c r="BQ379" s="517"/>
      <c r="BR379" s="464"/>
      <c r="BS379" s="464"/>
      <c r="BU379" s="501"/>
      <c r="BV379" s="464"/>
      <c r="BW379" s="517"/>
      <c r="BX379" s="464"/>
      <c r="BY379" s="464"/>
      <c r="CA379" s="501"/>
      <c r="CB379" s="501"/>
    </row>
    <row r="380" spans="17:80" ht="26.15" customHeight="1">
      <c r="Q380" s="517"/>
      <c r="R380" s="464"/>
      <c r="S380" s="464"/>
      <c r="T380" s="464"/>
      <c r="U380" s="464"/>
      <c r="V380" s="464"/>
      <c r="W380" s="464"/>
      <c r="X380" s="464"/>
      <c r="Y380" s="464"/>
      <c r="Z380" s="464"/>
      <c r="AA380" s="464"/>
      <c r="AB380" s="464"/>
      <c r="AC380" s="464"/>
      <c r="AD380" s="464"/>
      <c r="AE380" s="464"/>
      <c r="AF380" s="464"/>
      <c r="AG380" s="517"/>
      <c r="AH380" s="464"/>
      <c r="AI380" s="464"/>
      <c r="AK380" s="464"/>
      <c r="AL380" s="464"/>
      <c r="AM380" s="517"/>
      <c r="AN380" s="464"/>
      <c r="AO380" s="464"/>
      <c r="AQ380" s="464"/>
      <c r="AR380" s="464"/>
      <c r="AS380" s="517"/>
      <c r="AT380" s="464"/>
      <c r="AU380" s="464"/>
      <c r="AX380" s="464"/>
      <c r="AY380" s="517"/>
      <c r="AZ380" s="464"/>
      <c r="BA380" s="464"/>
      <c r="BC380" s="422"/>
      <c r="BD380" s="464"/>
      <c r="BE380" s="517"/>
      <c r="BF380" s="464"/>
      <c r="BG380" s="464"/>
      <c r="BI380" s="422"/>
      <c r="BJ380" s="464"/>
      <c r="BK380" s="517"/>
      <c r="BL380" s="464"/>
      <c r="BM380" s="464"/>
      <c r="BO380" s="422"/>
      <c r="BP380" s="464"/>
      <c r="BQ380" s="517"/>
      <c r="BR380" s="464"/>
      <c r="BS380" s="464"/>
      <c r="BU380" s="422"/>
      <c r="BV380" s="464"/>
      <c r="BW380" s="517"/>
      <c r="BX380" s="464"/>
      <c r="BY380" s="464"/>
      <c r="CA380" s="422"/>
      <c r="CB380" s="463"/>
    </row>
    <row r="381" spans="17:80" ht="26.15" customHeight="1">
      <c r="Q381" s="517"/>
      <c r="R381" s="464"/>
      <c r="S381" s="464"/>
      <c r="T381" s="464"/>
      <c r="U381" s="464"/>
      <c r="V381" s="464"/>
      <c r="W381" s="464"/>
      <c r="X381" s="464"/>
      <c r="Y381" s="464"/>
      <c r="Z381" s="464"/>
      <c r="AA381" s="464"/>
      <c r="AB381" s="464"/>
      <c r="AC381" s="464"/>
      <c r="AD381" s="464"/>
      <c r="AE381" s="464"/>
      <c r="AF381" s="464"/>
      <c r="AG381" s="517"/>
      <c r="AH381" s="464"/>
      <c r="AI381" s="464"/>
      <c r="AK381" s="464"/>
      <c r="AL381" s="464"/>
      <c r="AM381" s="517"/>
      <c r="AN381" s="464"/>
      <c r="AO381" s="464"/>
      <c r="AQ381" s="464"/>
      <c r="AR381" s="464"/>
      <c r="AS381" s="517"/>
      <c r="AT381" s="464"/>
      <c r="AU381" s="464"/>
      <c r="AX381" s="464"/>
      <c r="AY381" s="517"/>
      <c r="AZ381" s="464"/>
      <c r="BA381" s="464"/>
      <c r="BC381" s="422"/>
      <c r="BD381" s="464"/>
      <c r="BE381" s="517"/>
      <c r="BF381" s="464"/>
      <c r="BG381" s="464"/>
      <c r="BI381" s="422"/>
      <c r="BJ381" s="464"/>
      <c r="BK381" s="517"/>
      <c r="BL381" s="464"/>
      <c r="BM381" s="464"/>
      <c r="BO381" s="422"/>
      <c r="BP381" s="464"/>
      <c r="BQ381" s="517"/>
      <c r="BR381" s="464"/>
      <c r="BS381" s="464"/>
      <c r="BU381" s="422"/>
      <c r="BV381" s="464"/>
      <c r="BW381" s="517"/>
      <c r="BX381" s="464"/>
      <c r="BY381" s="464"/>
      <c r="CA381" s="422"/>
      <c r="CB381" s="463"/>
    </row>
    <row r="382" spans="17:80" ht="26.15" customHeight="1">
      <c r="Q382" s="517"/>
      <c r="R382" s="464"/>
      <c r="S382" s="464"/>
      <c r="T382" s="464"/>
      <c r="U382" s="464"/>
      <c r="V382" s="464"/>
      <c r="W382" s="464"/>
      <c r="X382" s="464"/>
      <c r="Y382" s="464"/>
      <c r="Z382" s="464"/>
      <c r="AA382" s="464"/>
      <c r="AB382" s="464"/>
      <c r="AC382" s="464"/>
      <c r="AD382" s="464"/>
      <c r="AE382" s="464"/>
      <c r="AF382" s="464"/>
      <c r="AG382" s="517"/>
      <c r="AH382" s="464"/>
      <c r="AI382" s="464"/>
      <c r="AK382" s="464"/>
      <c r="AL382" s="464"/>
      <c r="AM382" s="517"/>
      <c r="AN382" s="464"/>
      <c r="AO382" s="464"/>
      <c r="AQ382" s="464"/>
      <c r="AR382" s="464"/>
      <c r="AS382" s="517"/>
      <c r="AT382" s="464"/>
      <c r="AU382" s="464"/>
      <c r="AX382" s="464"/>
      <c r="AY382" s="517"/>
      <c r="AZ382" s="464"/>
      <c r="BA382" s="464"/>
      <c r="BC382" s="422"/>
      <c r="BD382" s="464"/>
      <c r="BE382" s="517"/>
      <c r="BF382" s="464"/>
      <c r="BG382" s="464"/>
      <c r="BI382" s="422"/>
      <c r="BJ382" s="464"/>
      <c r="BK382" s="517"/>
      <c r="BL382" s="464"/>
      <c r="BM382" s="464"/>
      <c r="BO382" s="422"/>
      <c r="BP382" s="464"/>
      <c r="BQ382" s="517"/>
      <c r="BR382" s="464"/>
      <c r="BS382" s="464"/>
      <c r="BU382" s="422"/>
      <c r="BV382" s="464"/>
      <c r="BW382" s="517"/>
      <c r="BX382" s="464"/>
      <c r="BY382" s="464"/>
      <c r="CA382" s="422"/>
      <c r="CB382" s="463"/>
    </row>
    <row r="383" spans="17:80" ht="26.15" customHeight="1">
      <c r="Q383" s="517"/>
      <c r="R383" s="464"/>
      <c r="S383" s="464"/>
      <c r="T383" s="464"/>
      <c r="U383" s="464"/>
      <c r="V383" s="464"/>
      <c r="W383" s="464"/>
      <c r="X383" s="464"/>
      <c r="Y383" s="464"/>
      <c r="Z383" s="464"/>
      <c r="AA383" s="464"/>
      <c r="AB383" s="464"/>
      <c r="AC383" s="464"/>
      <c r="AD383" s="464"/>
      <c r="AE383" s="464"/>
      <c r="AF383" s="464"/>
      <c r="AG383" s="517"/>
      <c r="AH383" s="464"/>
      <c r="AI383" s="464"/>
      <c r="AK383" s="464"/>
      <c r="AL383" s="464"/>
      <c r="AM383" s="517"/>
      <c r="AN383" s="464"/>
      <c r="AO383" s="464"/>
      <c r="AQ383" s="464"/>
      <c r="AR383" s="464"/>
      <c r="AS383" s="517"/>
      <c r="AT383" s="464"/>
      <c r="AU383" s="464"/>
      <c r="AX383" s="464"/>
      <c r="AY383" s="517"/>
      <c r="AZ383" s="464"/>
      <c r="BA383" s="464"/>
      <c r="BC383" s="422"/>
      <c r="BD383" s="464"/>
      <c r="BE383" s="517"/>
      <c r="BF383" s="464"/>
      <c r="BG383" s="464"/>
      <c r="BI383" s="422"/>
      <c r="BJ383" s="464"/>
      <c r="BK383" s="517"/>
      <c r="BL383" s="464"/>
      <c r="BM383" s="464"/>
      <c r="BO383" s="422"/>
      <c r="BP383" s="464"/>
      <c r="BQ383" s="517"/>
      <c r="BR383" s="464"/>
      <c r="BS383" s="464"/>
      <c r="BU383" s="422"/>
      <c r="BV383" s="464"/>
      <c r="BW383" s="517"/>
      <c r="BX383" s="464"/>
      <c r="BY383" s="464"/>
      <c r="CA383" s="422"/>
      <c r="CB383" s="463"/>
    </row>
    <row r="384" spans="17:80" ht="26.15" customHeight="1">
      <c r="Q384" s="517"/>
      <c r="R384" s="464"/>
      <c r="S384" s="464"/>
      <c r="T384" s="464"/>
      <c r="U384" s="464"/>
      <c r="V384" s="464"/>
      <c r="W384" s="464"/>
      <c r="X384" s="464"/>
      <c r="Y384" s="464"/>
      <c r="Z384" s="464"/>
      <c r="AA384" s="464"/>
      <c r="AB384" s="464"/>
      <c r="AC384" s="464"/>
      <c r="AD384" s="464"/>
      <c r="AE384" s="464"/>
      <c r="AF384" s="464"/>
      <c r="AG384" s="517"/>
      <c r="AH384" s="464"/>
      <c r="AI384" s="464"/>
      <c r="AK384" s="464"/>
      <c r="AL384" s="464"/>
      <c r="AM384" s="517"/>
      <c r="AN384" s="464"/>
      <c r="AO384" s="464"/>
      <c r="AQ384" s="464"/>
      <c r="AR384" s="464"/>
      <c r="AS384" s="517"/>
      <c r="AT384" s="464"/>
      <c r="AU384" s="464"/>
      <c r="AX384" s="464"/>
      <c r="AY384" s="517"/>
      <c r="AZ384" s="464"/>
      <c r="BA384" s="464"/>
      <c r="BC384" s="422"/>
      <c r="BD384" s="464"/>
      <c r="BE384" s="517"/>
      <c r="BF384" s="464"/>
      <c r="BG384" s="464"/>
      <c r="BI384" s="422"/>
      <c r="BJ384" s="464"/>
      <c r="BK384" s="517"/>
      <c r="BL384" s="464"/>
      <c r="BM384" s="464"/>
      <c r="BO384" s="422"/>
      <c r="BP384" s="464"/>
      <c r="BQ384" s="517"/>
      <c r="BR384" s="464"/>
      <c r="BS384" s="464"/>
      <c r="BU384" s="422"/>
      <c r="BV384" s="464"/>
      <c r="BW384" s="517"/>
      <c r="BX384" s="464"/>
      <c r="BY384" s="464"/>
      <c r="CA384" s="422"/>
      <c r="CB384" s="463"/>
    </row>
    <row r="385" spans="34:80">
      <c r="AH385" s="427"/>
      <c r="AN385" s="427"/>
      <c r="AT385" s="427"/>
      <c r="AZ385" s="427"/>
      <c r="BC385" s="422"/>
      <c r="BF385" s="427"/>
      <c r="BI385" s="422"/>
      <c r="BL385" s="427"/>
      <c r="BO385" s="422"/>
      <c r="BR385" s="427"/>
      <c r="BU385" s="422"/>
      <c r="BX385" s="427"/>
      <c r="CA385" s="422"/>
      <c r="CB385" s="463"/>
    </row>
    <row r="386" spans="34:80">
      <c r="AH386" s="427"/>
      <c r="AN386" s="427"/>
      <c r="AT386" s="427"/>
      <c r="AZ386" s="427"/>
      <c r="BC386" s="422"/>
      <c r="BF386" s="427"/>
      <c r="BI386" s="422"/>
      <c r="BL386" s="427"/>
      <c r="BO386" s="422"/>
      <c r="BR386" s="427"/>
      <c r="BU386" s="422"/>
      <c r="BX386" s="427"/>
      <c r="CA386" s="422"/>
      <c r="CB386" s="463"/>
    </row>
  </sheetData>
  <mergeCells count="4">
    <mergeCell ref="B154:R154"/>
    <mergeCell ref="T154:AJ154"/>
    <mergeCell ref="B257:L257"/>
    <mergeCell ref="B258:L258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5C7F-960F-45E1-A69A-EF493FC32D09}">
  <dimension ref="A1:CS169"/>
  <sheetViews>
    <sheetView topLeftCell="A156" zoomScale="80" zoomScaleNormal="80" workbookViewId="0">
      <selection activeCell="E171" sqref="E171"/>
    </sheetView>
  </sheetViews>
  <sheetFormatPr defaultRowHeight="12.5"/>
  <cols>
    <col min="2" max="2" width="8.36328125" bestFit="1" customWidth="1"/>
    <col min="3" max="4" width="13.453125" bestFit="1" customWidth="1"/>
    <col min="5" max="5" width="10.08984375" bestFit="1" customWidth="1"/>
    <col min="6" max="15" width="12.1796875" bestFit="1" customWidth="1"/>
    <col min="16" max="16" width="12.453125" bestFit="1" customWidth="1"/>
    <col min="17" max="18" width="13.1796875" bestFit="1" customWidth="1"/>
    <col min="25" max="25" width="10.36328125" bestFit="1" customWidth="1"/>
    <col min="28" max="43" width="11.08984375" customWidth="1"/>
    <col min="44" max="44" width="9.453125" bestFit="1" customWidth="1"/>
    <col min="48" max="48" width="7.6328125" bestFit="1" customWidth="1"/>
    <col min="49" max="49" width="10.36328125" customWidth="1"/>
    <col min="50" max="50" width="9.453125" bestFit="1" customWidth="1"/>
    <col min="55" max="55" width="10.36328125" bestFit="1" customWidth="1"/>
    <col min="61" max="61" width="10.36328125" bestFit="1" customWidth="1"/>
    <col min="63" max="78" width="12.1796875" customWidth="1"/>
  </cols>
  <sheetData>
    <row r="1" spans="1:97" s="423" customFormat="1" ht="27.65" customHeight="1">
      <c r="B1" s="1324" t="s">
        <v>380</v>
      </c>
      <c r="C1" s="1324"/>
      <c r="D1" s="1324"/>
      <c r="E1" s="1324"/>
      <c r="F1" s="1324"/>
      <c r="H1" s="1324" t="s">
        <v>380</v>
      </c>
      <c r="I1" s="1324"/>
      <c r="J1" s="1324"/>
      <c r="K1" s="1324"/>
      <c r="L1" s="1324"/>
      <c r="N1" s="1324" t="s">
        <v>380</v>
      </c>
      <c r="O1" s="1324"/>
      <c r="P1" s="1324"/>
      <c r="Q1" s="1324"/>
      <c r="R1" s="1324"/>
      <c r="T1" s="1324" t="s">
        <v>380</v>
      </c>
      <c r="U1" s="1324"/>
      <c r="V1" s="1324"/>
      <c r="W1" s="1324"/>
      <c r="X1" s="1324"/>
      <c r="Z1" s="1324" t="s">
        <v>380</v>
      </c>
      <c r="AA1" s="1324"/>
      <c r="AB1" s="1324"/>
      <c r="AC1" s="1324"/>
      <c r="AD1" s="1324"/>
      <c r="AF1" s="1324" t="s">
        <v>380</v>
      </c>
      <c r="AG1" s="1324"/>
      <c r="AH1" s="1324"/>
      <c r="AI1" s="1324"/>
      <c r="AJ1" s="1324"/>
      <c r="AL1" s="1324" t="s">
        <v>380</v>
      </c>
      <c r="AM1" s="1324"/>
      <c r="AN1" s="1324"/>
      <c r="AO1" s="1324"/>
      <c r="AP1" s="1324"/>
      <c r="AR1" s="1324" t="s">
        <v>380</v>
      </c>
      <c r="AS1" s="1324"/>
      <c r="AT1" s="1324"/>
      <c r="AU1" s="1324"/>
      <c r="AV1" s="1324"/>
      <c r="AX1" s="1324" t="s">
        <v>380</v>
      </c>
      <c r="AY1" s="1324"/>
      <c r="AZ1" s="1324"/>
      <c r="BA1" s="1324"/>
      <c r="BB1" s="1324"/>
      <c r="BD1" s="1324" t="s">
        <v>380</v>
      </c>
      <c r="BE1" s="1324"/>
      <c r="BF1" s="1324"/>
      <c r="BG1" s="1324"/>
      <c r="BH1" s="1324"/>
      <c r="BJ1" s="1324" t="s">
        <v>380</v>
      </c>
      <c r="BK1" s="1324"/>
      <c r="BL1" s="1324"/>
      <c r="BM1" s="1324"/>
      <c r="BN1" s="1324"/>
      <c r="BP1" s="1324" t="s">
        <v>380</v>
      </c>
      <c r="BQ1" s="1324"/>
      <c r="BR1" s="1324"/>
      <c r="BS1" s="1324"/>
      <c r="BT1" s="1324"/>
      <c r="BV1" s="1324" t="s">
        <v>380</v>
      </c>
      <c r="BW1" s="1324"/>
      <c r="BX1" s="1324"/>
      <c r="BY1" s="1324"/>
      <c r="BZ1" s="1324"/>
      <c r="CB1" s="1324" t="s">
        <v>380</v>
      </c>
      <c r="CC1" s="1324"/>
      <c r="CD1" s="1324"/>
      <c r="CE1" s="1324"/>
      <c r="CF1" s="1324"/>
      <c r="CH1" s="1324" t="s">
        <v>380</v>
      </c>
      <c r="CI1" s="1324"/>
      <c r="CJ1" s="1324"/>
      <c r="CK1" s="1324"/>
      <c r="CL1" s="1324"/>
      <c r="CN1" s="1324" t="s">
        <v>380</v>
      </c>
      <c r="CO1" s="1324"/>
      <c r="CP1" s="1324"/>
      <c r="CQ1" s="1324"/>
      <c r="CR1" s="1324"/>
    </row>
    <row r="2" spans="1:97" s="423" customFormat="1">
      <c r="P2" s="424"/>
      <c r="R2" s="425"/>
      <c r="V2" s="424"/>
      <c r="X2" s="425"/>
      <c r="AB2" s="424"/>
      <c r="AD2" s="425"/>
      <c r="AH2" s="424"/>
      <c r="AJ2" s="425"/>
      <c r="AN2" s="424"/>
      <c r="AP2" s="425"/>
      <c r="AT2" s="424"/>
      <c r="AV2" s="425"/>
      <c r="AZ2" s="424"/>
      <c r="BB2" s="425"/>
      <c r="BF2" s="424"/>
      <c r="BH2" s="425"/>
      <c r="BL2" s="424"/>
      <c r="BN2" s="425"/>
      <c r="BR2" s="424"/>
      <c r="BT2" s="425"/>
      <c r="BX2" s="424"/>
      <c r="BZ2" s="425"/>
      <c r="CD2" s="424"/>
      <c r="CF2" s="425"/>
      <c r="CJ2" s="424"/>
      <c r="CL2" s="425"/>
      <c r="CP2" s="424"/>
      <c r="CR2" s="425"/>
    </row>
    <row r="3" spans="1:97" s="427" customFormat="1" ht="46" customHeight="1">
      <c r="A3" s="423"/>
      <c r="B3" s="1317" t="s">
        <v>381</v>
      </c>
      <c r="C3" s="1315" t="s">
        <v>382</v>
      </c>
      <c r="D3" s="1315"/>
      <c r="E3" s="1315"/>
      <c r="F3" s="426" t="s">
        <v>383</v>
      </c>
      <c r="G3" s="984">
        <f>Drift!$B$165</f>
        <v>161.46416666666667</v>
      </c>
      <c r="H3" s="1317" t="s">
        <v>381</v>
      </c>
      <c r="I3" s="1315" t="s">
        <v>384</v>
      </c>
      <c r="J3" s="1315"/>
      <c r="K3" s="1315"/>
      <c r="L3" s="426" t="s">
        <v>383</v>
      </c>
      <c r="M3" s="984">
        <f>Drift!$B$165</f>
        <v>161.46416666666667</v>
      </c>
      <c r="N3" s="1317" t="s">
        <v>381</v>
      </c>
      <c r="O3" s="1315" t="s">
        <v>94</v>
      </c>
      <c r="P3" s="1316"/>
      <c r="Q3" s="1315"/>
      <c r="R3" s="426" t="s">
        <v>383</v>
      </c>
      <c r="S3" s="984">
        <f>Drift!$B$165</f>
        <v>161.46416666666667</v>
      </c>
      <c r="T3" s="1317" t="s">
        <v>381</v>
      </c>
      <c r="U3" s="1315" t="str">
        <f>'Data Standar'!F156</f>
        <v>Wireless Temperature Recorder : Merek : HIOKI, Model : LR 8510, SN : 200936000</v>
      </c>
      <c r="V3" s="1316"/>
      <c r="W3" s="1315"/>
      <c r="X3" s="426" t="s">
        <v>383</v>
      </c>
      <c r="Y3" s="984">
        <f>Drift!$B$165</f>
        <v>161.46416666666667</v>
      </c>
      <c r="Z3" s="1317" t="s">
        <v>381</v>
      </c>
      <c r="AA3" s="1315" t="str">
        <f>'Data Standar'!G156</f>
        <v>Wireless Temperature Recorder : Merek : HIOKI, Model : LR 8510, SN : 200936001</v>
      </c>
      <c r="AB3" s="1316"/>
      <c r="AC3" s="1315"/>
      <c r="AD3" s="426" t="s">
        <v>383</v>
      </c>
      <c r="AE3" s="984">
        <f>Drift!$B$165</f>
        <v>161.46416666666667</v>
      </c>
      <c r="AF3" s="1317" t="s">
        <v>381</v>
      </c>
      <c r="AG3" s="1315" t="str">
        <f>'Data Standar'!H156</f>
        <v>Wireless Temperature Recorder : Merek : HIOKI, Model : LR 8510, SN : 200821397</v>
      </c>
      <c r="AH3" s="1316"/>
      <c r="AI3" s="1315"/>
      <c r="AJ3" s="426" t="s">
        <v>383</v>
      </c>
      <c r="AK3" s="984">
        <f>Drift!$B$165</f>
        <v>161.46416666666667</v>
      </c>
      <c r="AL3" s="1317" t="s">
        <v>381</v>
      </c>
      <c r="AM3" s="1315" t="str">
        <f>'Data Standar'!I156</f>
        <v>Wireless Temperature Recorder : Merek : HIOKI, Model : LR 8510, SN : 210411983</v>
      </c>
      <c r="AN3" s="1316"/>
      <c r="AO3" s="1315"/>
      <c r="AP3" s="426" t="s">
        <v>383</v>
      </c>
      <c r="AQ3" s="984">
        <f>Drift!$B$165</f>
        <v>161.46416666666667</v>
      </c>
      <c r="AR3" s="1317" t="s">
        <v>381</v>
      </c>
      <c r="AS3" s="1315" t="str">
        <f>'Data Standar'!J156</f>
        <v>Wireless Temperature Recorder : Merek : HIOKI, Model : LR 8510, SN : 210411984</v>
      </c>
      <c r="AT3" s="1316"/>
      <c r="AU3" s="1315"/>
      <c r="AV3" s="426" t="s">
        <v>383</v>
      </c>
      <c r="AW3" s="984">
        <f>Drift!$B$165</f>
        <v>161.46416666666667</v>
      </c>
      <c r="AX3" s="1317" t="s">
        <v>381</v>
      </c>
      <c r="AY3" s="1315" t="str">
        <f>'Data Standar'!K156</f>
        <v>Wireless Temperature Recorder : Merek : HIOKI, Model : LR 8510, SN : 210411985</v>
      </c>
      <c r="AZ3" s="1316"/>
      <c r="BA3" s="1315"/>
      <c r="BB3" s="426" t="s">
        <v>383</v>
      </c>
      <c r="BC3" s="984">
        <f>Drift!$B$165</f>
        <v>161.46416666666667</v>
      </c>
      <c r="BD3" s="1317" t="s">
        <v>381</v>
      </c>
      <c r="BE3" s="1315" t="str">
        <f>'Data Standar'!L156</f>
        <v>Wireless Temperature Recorder : Merek : HIOKI, Model : LR 8510, SN : 210746054</v>
      </c>
      <c r="BF3" s="1316"/>
      <c r="BG3" s="1315"/>
      <c r="BH3" s="426" t="s">
        <v>383</v>
      </c>
      <c r="BI3" s="984">
        <f>Drift!$B$165</f>
        <v>161.46416666666667</v>
      </c>
      <c r="BJ3" s="1317" t="s">
        <v>381</v>
      </c>
      <c r="BK3" s="1315" t="str">
        <f>'Data Standar'!M156</f>
        <v>Wireless Temperature Recorder : Merek : HIOKI, Model : LR 8510, SN : 210746055</v>
      </c>
      <c r="BL3" s="1316"/>
      <c r="BM3" s="1315"/>
      <c r="BN3" s="426" t="s">
        <v>383</v>
      </c>
      <c r="BO3" s="984">
        <f>Drift!$B$165</f>
        <v>161.46416666666667</v>
      </c>
      <c r="BP3" s="1319" t="s">
        <v>381</v>
      </c>
      <c r="BQ3" s="1315" t="str">
        <f>'Data Standar'!N156</f>
        <v>Wireless Temperature Recorder : Merek : HIOKI, Model : LR 8510, SN : 210746056</v>
      </c>
      <c r="BR3" s="1316"/>
      <c r="BS3" s="1315"/>
      <c r="BT3" s="426" t="s">
        <v>383</v>
      </c>
      <c r="BU3" s="984">
        <f>Drift!$B$165</f>
        <v>161.46416666666667</v>
      </c>
      <c r="BV3" s="1317" t="s">
        <v>381</v>
      </c>
      <c r="BW3" s="1315" t="str">
        <f>'Data Standar'!O156</f>
        <v>Wireless Temperature Recorder : Merek : HIOKI, Model : LR 8510, SN : 200821396</v>
      </c>
      <c r="BX3" s="1316"/>
      <c r="BY3" s="1315"/>
      <c r="BZ3" s="426" t="s">
        <v>383</v>
      </c>
      <c r="CA3" s="984">
        <f>Drift!$B$165</f>
        <v>161.46416666666667</v>
      </c>
      <c r="CB3" s="1317" t="s">
        <v>381</v>
      </c>
      <c r="CC3" s="1315" t="str">
        <f>'Data Standar'!P156</f>
        <v>Reference Thermometer, Merek : APPA, Model : APPA51, SN : 03002948</v>
      </c>
      <c r="CD3" s="1316"/>
      <c r="CE3" s="1315"/>
      <c r="CF3" s="426" t="s">
        <v>383</v>
      </c>
      <c r="CG3" s="984">
        <f>Drift!$B$165</f>
        <v>161.46416666666667</v>
      </c>
      <c r="CH3" s="1317" t="s">
        <v>381</v>
      </c>
      <c r="CI3" s="1315" t="str">
        <f>'Data Standar'!Q156</f>
        <v>Reference Thermometer, Merek : FLUKE, Model : 1524, SN : 1803038</v>
      </c>
      <c r="CJ3" s="1316"/>
      <c r="CK3" s="1315"/>
      <c r="CL3" s="426" t="s">
        <v>383</v>
      </c>
      <c r="CM3" s="984">
        <f>Drift!$B$165</f>
        <v>161.46416666666667</v>
      </c>
      <c r="CN3" s="1317" t="s">
        <v>381</v>
      </c>
      <c r="CO3" s="1315" t="str">
        <f>'Data Standar'!R156</f>
        <v>Reference Thermometer, Merek : FLUKE, Model : 1524, SN : 1803037</v>
      </c>
      <c r="CP3" s="1316"/>
      <c r="CQ3" s="1315"/>
      <c r="CR3" s="426" t="s">
        <v>383</v>
      </c>
      <c r="CS3" s="984">
        <f>Drift!$B$165</f>
        <v>161.46416666666667</v>
      </c>
    </row>
    <row r="4" spans="1:97" s="427" customFormat="1" ht="12.75" customHeight="1">
      <c r="A4" s="423"/>
      <c r="B4" s="1318"/>
      <c r="C4" s="428">
        <v>2021</v>
      </c>
      <c r="D4" s="428">
        <f>'Data Standar'!C155</f>
        <v>2022</v>
      </c>
      <c r="E4" s="429" t="s">
        <v>385</v>
      </c>
      <c r="F4" s="430"/>
      <c r="G4" s="985">
        <f>IF(G3&lt;=B12,B11,IF(G3&lt;=B13,B12,IF(G3&lt;=B14,B13,IF(G3&lt;=B15,B14,IF(G3&lt;=B16,B15)))))</f>
        <v>150</v>
      </c>
      <c r="H4" s="1318"/>
      <c r="I4" s="431">
        <v>2021</v>
      </c>
      <c r="J4" s="432">
        <f>'Data Standar'!D155</f>
        <v>2022</v>
      </c>
      <c r="K4" s="429" t="s">
        <v>385</v>
      </c>
      <c r="L4" s="433"/>
      <c r="M4" s="985">
        <f>IF(M3&lt;=H12,H11,IF(M3&lt;=H13,H12,IF(M3&lt;=H14,H13,IF(M3&lt;=H15,H14,IF(M3&lt;=H16,H15)))))</f>
        <v>150</v>
      </c>
      <c r="N4" s="1318"/>
      <c r="O4" s="431">
        <v>2021</v>
      </c>
      <c r="P4" s="432">
        <v>2023</v>
      </c>
      <c r="Q4" s="429" t="s">
        <v>385</v>
      </c>
      <c r="R4" s="434"/>
      <c r="S4" s="985">
        <f>IF(S3&lt;=N12,N11,IF(S3&lt;=N13,N12,IF(S3&lt;=N14,N13,IF(S3&lt;=N15,N14,IF(S3&lt;=N16,N15)))))</f>
        <v>150</v>
      </c>
      <c r="T4" s="1318"/>
      <c r="U4" s="431">
        <f>'Data Standar'!F155</f>
        <v>2022</v>
      </c>
      <c r="V4" s="432"/>
      <c r="W4" s="429" t="s">
        <v>385</v>
      </c>
      <c r="X4" s="434"/>
      <c r="Y4" s="985">
        <f>IF(Y3&lt;=T12,T11,IF(Y3&lt;=T13,T12,IF(Y3&lt;=T14,T13,IF(Y3&lt;=T15,T14,IF(Y3&lt;=T16,T15)))))</f>
        <v>150</v>
      </c>
      <c r="Z4" s="1318"/>
      <c r="AA4" s="431">
        <v>2023</v>
      </c>
      <c r="AB4" s="432">
        <v>2021</v>
      </c>
      <c r="AC4" s="429" t="s">
        <v>385</v>
      </c>
      <c r="AD4" s="434"/>
      <c r="AE4" s="985">
        <f>IF(AE3&lt;=Z12,Z11,IF(AE3&lt;=Z13,Z12,IF(AE3&lt;=Z14,Z13,IF(AE3&lt;=Z15,Z14,IF(AE3&lt;=Z16,Z15)))))</f>
        <v>150</v>
      </c>
      <c r="AF4" s="1318"/>
      <c r="AG4" s="431">
        <v>2023</v>
      </c>
      <c r="AH4" s="432">
        <v>2021</v>
      </c>
      <c r="AI4" s="429" t="s">
        <v>385</v>
      </c>
      <c r="AJ4" s="434"/>
      <c r="AK4" s="985">
        <f>IF(AK3&lt;=AF12,AF11,IF(AK3&lt;=AF13,AF12,IF(AK3&lt;=AF14,AF13,IF(AK3&lt;=AF15,AF14,IF(AK3&lt;=AF16,AF15)))))</f>
        <v>150</v>
      </c>
      <c r="AL4" s="1318"/>
      <c r="AM4" s="431">
        <f>'Data Standar'!I155</f>
        <v>2023</v>
      </c>
      <c r="AN4" s="432"/>
      <c r="AO4" s="429" t="s">
        <v>385</v>
      </c>
      <c r="AP4" s="434"/>
      <c r="AQ4" s="985">
        <f>IF(AQ3&lt;=AL12,AL11,IF(AQ3&lt;=AL13,AL12,IF(AQ3&lt;=AL14,AL13,IF(AQ3&lt;=AL15,AL14,IF(AQ3&lt;=AL16,AL15)))))</f>
        <v>150</v>
      </c>
      <c r="AR4" s="1318"/>
      <c r="AS4" s="431">
        <f>'Data Standar'!J155</f>
        <v>2023</v>
      </c>
      <c r="AT4" s="432"/>
      <c r="AU4" s="429" t="s">
        <v>385</v>
      </c>
      <c r="AV4" s="434"/>
      <c r="AW4" s="985">
        <f>IF(AW3&lt;=AR12,AR11,IF(AW3&lt;=AR13,AR12,IF(AW3&lt;=AR14,AR13,IF(AW3&lt;=AR15,AR14,IF(AW3&lt;=AR16,AR15)))))</f>
        <v>150</v>
      </c>
      <c r="AX4" s="1318"/>
      <c r="AY4" s="431">
        <f>'Data Standar'!K155</f>
        <v>2021</v>
      </c>
      <c r="AZ4" s="432"/>
      <c r="BA4" s="429" t="s">
        <v>385</v>
      </c>
      <c r="BB4" s="434"/>
      <c r="BC4" s="985">
        <f>IF(BC3&lt;=AX12,AX11,IF(BC3&lt;=AX13,AX12,IF(BC3&lt;=AX14,AX13,IF(BC3&lt;=AX15,AX14,IF(BC3&lt;=AX16,AX15)))))</f>
        <v>150</v>
      </c>
      <c r="BD4" s="1318"/>
      <c r="BE4" s="431">
        <f>'Data Standar'!L155</f>
        <v>2022</v>
      </c>
      <c r="BF4" s="432"/>
      <c r="BG4" s="429" t="s">
        <v>385</v>
      </c>
      <c r="BH4" s="434"/>
      <c r="BI4" s="985">
        <f>IF(BI3&lt;=BD12,BD11,IF(BI3&lt;=BD13,BD12,IF(BI3&lt;=BD14,BD13,IF(BI3&lt;=BD15,BD14,IF(BI3&lt;=BD16,BD15)))))</f>
        <v>150</v>
      </c>
      <c r="BJ4" s="1318"/>
      <c r="BK4" s="431">
        <f>'Data Standar'!M155</f>
        <v>2021</v>
      </c>
      <c r="BL4" s="432"/>
      <c r="BM4" s="429" t="s">
        <v>385</v>
      </c>
      <c r="BN4" s="434"/>
      <c r="BO4" s="985">
        <f>IF(BO3&lt;=BJ12,BJ11,IF(BO3&lt;=BJ13,BJ12,IF(BO3&lt;=BJ14,BJ13,IF(BO3&lt;=BJ15,BJ14,IF(BO3&lt;=BJ16,BJ15)))))</f>
        <v>150</v>
      </c>
      <c r="BP4" s="1320"/>
      <c r="BQ4" s="431">
        <f>'Data Standar'!N155</f>
        <v>2022</v>
      </c>
      <c r="BR4" s="432"/>
      <c r="BS4" s="429" t="s">
        <v>385</v>
      </c>
      <c r="BT4" s="434"/>
      <c r="BU4" s="985">
        <f>IF(BU3&lt;=BP12,BP11,IF(BU3&lt;=BP13,BP12,IF(BU3&lt;=BP14,BP13,IF(BU3&lt;=BP15,BP14,IF(BU3&lt;=BP16,BP15)))))</f>
        <v>150</v>
      </c>
      <c r="BV4" s="1318"/>
      <c r="BW4" s="431">
        <f>'Data Standar'!O155</f>
        <v>2022</v>
      </c>
      <c r="BX4" s="432"/>
      <c r="BY4" s="429" t="s">
        <v>385</v>
      </c>
      <c r="BZ4" s="434"/>
      <c r="CA4" s="985">
        <f>IF(CA3&lt;=BV12,BV11,IF(CA3&lt;=BV13,BV12,IF(CA3&lt;=BV14,BV13,IF(CA3&lt;=BV15,BV14,IF(CA3&lt;=BV16,BV15)))))</f>
        <v>150</v>
      </c>
      <c r="CB4" s="1318"/>
      <c r="CC4" s="431">
        <f>'Data Standar'!P155</f>
        <v>2022</v>
      </c>
      <c r="CD4" s="432">
        <f t="shared" ref="CD4:CD16" si="0">CD19</f>
        <v>2020</v>
      </c>
      <c r="CE4" s="429" t="s">
        <v>385</v>
      </c>
      <c r="CF4" s="434"/>
      <c r="CG4" s="985">
        <f>IF(CG3&lt;=CB12,CB11,IF(CG3&lt;=CB13,CB12,IF(CG3&lt;=CB14,CB13,IF(CG3&lt;=CB15,CB14,IF(CG3&lt;=CB16,CB15)))))</f>
        <v>150</v>
      </c>
      <c r="CH4" s="1318"/>
      <c r="CI4" s="431">
        <f>'Data Standar'!Q155</f>
        <v>2021</v>
      </c>
      <c r="CJ4" s="432">
        <v>2019</v>
      </c>
      <c r="CK4" s="429" t="s">
        <v>385</v>
      </c>
      <c r="CL4" s="434"/>
      <c r="CM4" s="985">
        <f>IF(CM3&lt;=CH12,CH11,IF(CM3&lt;=CH13,CH12,IF(CM3&lt;=CH14,CH13,IF(CM3&lt;=CH15,CH14,IF(CM3&lt;=CH16,CH15)))))</f>
        <v>150</v>
      </c>
      <c r="CN4" s="1318"/>
      <c r="CO4" s="431">
        <f>'Data Standar'!R155</f>
        <v>2021</v>
      </c>
      <c r="CP4" s="432">
        <v>2020</v>
      </c>
      <c r="CQ4" s="429" t="s">
        <v>385</v>
      </c>
      <c r="CR4" s="434"/>
      <c r="CS4" s="985">
        <f>IF(CS3&lt;=CN12,CN11,IF(CS3&lt;=CN13,CN12,IF(CS3&lt;=CN14,CN13,IF(CS3&lt;=CN15,CN14,IF(CS3&lt;=CN16,CN15)))))</f>
        <v>150</v>
      </c>
    </row>
    <row r="5" spans="1:97" s="427" customFormat="1" ht="13">
      <c r="A5" s="423"/>
      <c r="B5" s="435">
        <v>-20</v>
      </c>
      <c r="C5" s="338">
        <v>-0.43</v>
      </c>
      <c r="D5" s="338">
        <f>'Data Standar'!C158</f>
        <v>-0.77</v>
      </c>
      <c r="E5" s="436">
        <f>IF(OR(C5=0,D5=0),'Data Standar'!$C$170/3,((MAX(C5:D5)-(MIN(C5:D5)))))</f>
        <v>0.34</v>
      </c>
      <c r="F5" s="437">
        <v>0.12</v>
      </c>
      <c r="G5" s="437"/>
      <c r="H5" s="435">
        <v>-20</v>
      </c>
      <c r="I5" s="338">
        <v>-0.69</v>
      </c>
      <c r="J5" s="338">
        <f>'Data Standar'!D158</f>
        <v>-0.62</v>
      </c>
      <c r="K5" s="436">
        <f>IF(OR(I5=0,J5=0),'Data Standar'!$D$170/3,((MAX(I5:J5)-(MIN(I5:J5)))))</f>
        <v>6.9999999999999951E-2</v>
      </c>
      <c r="L5" s="437">
        <v>0.12</v>
      </c>
      <c r="M5" s="437"/>
      <c r="N5" s="435">
        <v>-20</v>
      </c>
      <c r="O5" s="337">
        <v>-0.56000000000000005</v>
      </c>
      <c r="P5" s="338">
        <f>'Data Standar'!E158</f>
        <v>-0.57999999999999996</v>
      </c>
      <c r="Q5" s="436">
        <f>IF(OR(O5=0,P5=0),'Data Standar'!$E$170/3,((MAX(O5:P5)-(MIN(O5:P5)))))</f>
        <v>1.9999999999999907E-2</v>
      </c>
      <c r="R5" s="434">
        <v>9.9999999999999995E-7</v>
      </c>
      <c r="S5" s="437"/>
      <c r="T5" s="435">
        <v>-20</v>
      </c>
      <c r="U5" s="337">
        <f>'Data Standar'!F158</f>
        <v>-1.46</v>
      </c>
      <c r="V5" s="338"/>
      <c r="W5" s="436">
        <f>IF(OR(U5=0,V5=0),'Data Standar'!$F$170/3,((MAX(U5:V5)-(MIN(U5:V5)))))</f>
        <v>8.3333333333333329E-2</v>
      </c>
      <c r="X5" s="434">
        <v>9.9999999999999995E-7</v>
      </c>
      <c r="Y5" s="437"/>
      <c r="Z5" s="435">
        <v>-20</v>
      </c>
      <c r="AA5" s="337">
        <f>'Data Standar'!G158</f>
        <v>-0.03</v>
      </c>
      <c r="AB5" s="338">
        <v>-0.53</v>
      </c>
      <c r="AC5" s="436">
        <f>IF(OR(AA5=0,AB5=0),'Data Standar'!$G$170/3,((MAX(AA5:AB5)-(MIN(AA5:AB5)))))</f>
        <v>0.5</v>
      </c>
      <c r="AD5" s="434">
        <v>9.9999999999999995E-7</v>
      </c>
      <c r="AE5" s="437"/>
      <c r="AF5" s="435">
        <v>-20</v>
      </c>
      <c r="AG5" s="337">
        <f>'Data Standar'!H158</f>
        <v>-0.02</v>
      </c>
      <c r="AH5" s="338">
        <v>-0.05</v>
      </c>
      <c r="AI5" s="436">
        <f>IF(OR(AG5=0,AH5=0),'Data Standar'!$H$170/3,((MAX(AG5:AH5)-(MIN(AG5:AH5)))))</f>
        <v>3.0000000000000002E-2</v>
      </c>
      <c r="AJ5" s="434">
        <v>9.9999999999999995E-7</v>
      </c>
      <c r="AK5" s="437"/>
      <c r="AL5" s="435">
        <v>-20</v>
      </c>
      <c r="AM5" s="337">
        <f>'Data Standar'!I158</f>
        <v>0.4</v>
      </c>
      <c r="AN5" s="338"/>
      <c r="AO5" s="436">
        <f>IF(OR(AM5=0,AN5=0),'Data Standar'!$I$170/3,((MAX(AM5:AN5)-(MIN(AM5:AN5)))))</f>
        <v>8.3333333333333329E-2</v>
      </c>
      <c r="AP5" s="434">
        <v>9.9999999999999995E-7</v>
      </c>
      <c r="AQ5" s="437"/>
      <c r="AR5" s="435">
        <v>-20</v>
      </c>
      <c r="AS5" s="337">
        <f>'Data Standar'!J158</f>
        <v>0.33</v>
      </c>
      <c r="AT5" s="338"/>
      <c r="AU5" s="436">
        <f>IF(OR(AS5=0,AT5=0),'Data Standar'!$J$170/3,((MAX(AS5:AT5)-(MIN(AS5:AT5)))))</f>
        <v>0.08</v>
      </c>
      <c r="AV5" s="434">
        <v>9.9999999999999995E-7</v>
      </c>
      <c r="AW5" s="437"/>
      <c r="AX5" s="435">
        <v>-20</v>
      </c>
      <c r="AY5" s="337">
        <f>'Data Standar'!K158</f>
        <v>0.53</v>
      </c>
      <c r="AZ5" s="338"/>
      <c r="BA5" s="436">
        <f>IF(OR(AY5=0,AZ5=0),'Data Standar'!$K$170/3,((MAX(AY5:AZ5)-(MIN(AY5:AZ5)))))</f>
        <v>0.26333333333333336</v>
      </c>
      <c r="BB5" s="434">
        <v>9.9999999999999995E-7</v>
      </c>
      <c r="BC5" s="437"/>
      <c r="BD5" s="435">
        <v>-20</v>
      </c>
      <c r="BE5" s="337">
        <f>'Data Standar'!L158</f>
        <v>-1.02</v>
      </c>
      <c r="BF5" s="338"/>
      <c r="BG5" s="436">
        <f>IF(OR(BE5=0,BF5=0),'Data Standar'!$L$170/3,((MAX(BE5:BF5)-(MIN(BE5:BF5)))))</f>
        <v>9.0000000000000011E-2</v>
      </c>
      <c r="BH5" s="434">
        <v>9.9999999999999995E-7</v>
      </c>
      <c r="BI5" s="437"/>
      <c r="BJ5" s="435">
        <v>-20</v>
      </c>
      <c r="BK5" s="337">
        <f>'Data Standar'!M158</f>
        <v>0.53</v>
      </c>
      <c r="BL5" s="338"/>
      <c r="BM5" s="436">
        <f>IF(OR(BK5=0,BL5=0),'Data Standar'!$M$170/3,((MAX(BK5:BL5)-(MIN(BK5:BL5)))))</f>
        <v>0.26333333333333336</v>
      </c>
      <c r="BN5" s="434">
        <v>9.9999999999999995E-7</v>
      </c>
      <c r="BO5" s="437"/>
      <c r="BP5" s="435">
        <v>-20</v>
      </c>
      <c r="BQ5" s="337">
        <f>'Data Standar'!N158</f>
        <v>-1.4</v>
      </c>
      <c r="BR5" s="338"/>
      <c r="BS5" s="436">
        <f>IF(OR(BQ5=0,BR5=0),'Data Standar'!$N$170/3,((MAX(BQ5:BR5)-(MIN(BQ5:BR5)))))</f>
        <v>8.666666666666667E-2</v>
      </c>
      <c r="BT5" s="434">
        <v>9.9999999999999995E-7</v>
      </c>
      <c r="BU5" s="437"/>
      <c r="BV5" s="435">
        <v>-20</v>
      </c>
      <c r="BW5" s="337">
        <f>'Data Standar'!O158</f>
        <v>-1.5</v>
      </c>
      <c r="BX5" s="338"/>
      <c r="BY5" s="436">
        <f>IF(OR(BW5=0,BX5=0),'Data Standar'!$O$170/3,((MAX(BW5:BX5)-(MIN(BW5:BX5)))))</f>
        <v>9.0000000000000011E-2</v>
      </c>
      <c r="BZ5" s="434">
        <v>9.9999999999999995E-7</v>
      </c>
      <c r="CA5" s="437"/>
      <c r="CB5" s="435">
        <v>-20</v>
      </c>
      <c r="CC5" s="337">
        <f>'Data Standar'!P158</f>
        <v>-1.1000000000000001</v>
      </c>
      <c r="CD5" s="338">
        <f t="shared" si="0"/>
        <v>-0.7</v>
      </c>
      <c r="CE5" s="436">
        <f>IF(OR(CC5=0,CD5=0),'Data Standar'!$P$170/3,((MAX(CC5:CD5)-(MIN(CC5:CD5)))))</f>
        <v>0.40000000000000013</v>
      </c>
      <c r="CF5" s="434">
        <v>9.9999999999999995E-7</v>
      </c>
      <c r="CG5" s="437"/>
      <c r="CH5" s="435">
        <v>-20</v>
      </c>
      <c r="CI5" s="337">
        <f>'Data Standar'!Q158</f>
        <v>-0.15</v>
      </c>
      <c r="CJ5" s="338">
        <v>-0.32</v>
      </c>
      <c r="CK5" s="436">
        <f>IF(OR(CI5=0,CJ5=0),'Data Standar'!$Q$170/3,((MAX(CI5:CJ5)-(MIN(CI5:CJ5)))))</f>
        <v>0.17</v>
      </c>
      <c r="CL5" s="434">
        <v>9.9999999999999995E-7</v>
      </c>
      <c r="CM5" s="437"/>
      <c r="CN5" s="435">
        <v>-20</v>
      </c>
      <c r="CO5" s="337">
        <f>'Data Standar'!R158</f>
        <v>-1.8</v>
      </c>
      <c r="CP5" s="338">
        <v>-0.51</v>
      </c>
      <c r="CQ5" s="436">
        <f>IF(OR(CO5=0,CP5=0),'Data Standar'!$R$170/3,((MAX(CO5:CP5)-(MIN(CO5:CP5)))))</f>
        <v>1.29</v>
      </c>
      <c r="CR5" s="434">
        <v>9.9999999999999995E-7</v>
      </c>
      <c r="CS5" s="437"/>
    </row>
    <row r="6" spans="1:97" s="427" customFormat="1" ht="13">
      <c r="A6" s="423"/>
      <c r="B6" s="435">
        <v>-15</v>
      </c>
      <c r="C6" s="338">
        <v>-0.37</v>
      </c>
      <c r="D6" s="338">
        <f>'Data Standar'!C159</f>
        <v>-0.67</v>
      </c>
      <c r="E6" s="436">
        <f>IF(OR(C6=0,D6=0),'Data Standar'!$C$170/3,((MAX(C6:D6)-(MIN(C6:D6)))))</f>
        <v>0.30000000000000004</v>
      </c>
      <c r="F6" s="437">
        <f>(-0.69+1.31)/2</f>
        <v>0.31000000000000005</v>
      </c>
      <c r="G6" s="985">
        <f>IF(G3&lt;=B11,B11,IF(G3&lt;=B12,B12,IF(G3&lt;=B13,B13,IF(G3&lt;=B14,B14,IF(G3&lt;=B15,B15,IF(G3&lt;=B16,B16))))))</f>
        <v>200</v>
      </c>
      <c r="H6" s="435">
        <v>-15</v>
      </c>
      <c r="I6" s="338">
        <v>-0.56999999999999995</v>
      </c>
      <c r="J6" s="338">
        <f>'Data Standar'!D159</f>
        <v>0.52</v>
      </c>
      <c r="K6" s="436">
        <f>IF(OR(I6=0,J6=0),'Data Standar'!$D$170/3,((MAX(I6:J6)-(MIN(I6:J6)))))</f>
        <v>1.0899999999999999</v>
      </c>
      <c r="L6" s="437">
        <f t="shared" ref="L6:L11" si="1">(0+0.1)/2</f>
        <v>0.05</v>
      </c>
      <c r="M6" s="985">
        <f>IF(M3&lt;=H11,H11,IF(M3&lt;=H12,H12,IF(M3&lt;=H13,H13,IF(M3&lt;=H14,H14,IF(M3&lt;=H15,H15,IF(M3&lt;=H16,H16))))))</f>
        <v>200</v>
      </c>
      <c r="N6" s="435">
        <v>-15</v>
      </c>
      <c r="O6" s="337">
        <v>-0.45</v>
      </c>
      <c r="P6" s="338">
        <f>'Data Standar'!E159</f>
        <v>-0.48</v>
      </c>
      <c r="Q6" s="436">
        <f>IF(OR(O6=0,P6=0),'Data Standar'!$E$170/3,((MAX(O6:P6)-(MIN(O6:P6)))))</f>
        <v>2.9999999999999971E-2</v>
      </c>
      <c r="R6" s="434">
        <f>(0.03-0)/2</f>
        <v>1.4999999999999999E-2</v>
      </c>
      <c r="S6" s="985">
        <f>IF(S3&lt;=N11,N11,IF(S3&lt;=N12,N12,IF(S3&lt;=N13,N13,IF(S3&lt;=N14,N14,IF(S3&lt;=N15,N15,IF(S3&lt;=N16,N16))))))</f>
        <v>200</v>
      </c>
      <c r="T6" s="435">
        <v>-15</v>
      </c>
      <c r="U6" s="337">
        <f>'Data Standar'!F159</f>
        <v>-1.26</v>
      </c>
      <c r="V6" s="338"/>
      <c r="W6" s="436">
        <f>IF(OR(U6=0,V6=0),'Data Standar'!$F$170/3,((MAX(U6:V6)-(MIN(U6:V6)))))</f>
        <v>8.3333333333333329E-2</v>
      </c>
      <c r="X6" s="434">
        <f>(0.03-0)/2</f>
        <v>1.4999999999999999E-2</v>
      </c>
      <c r="Y6" s="985">
        <f>IF(Y3&lt;=T11,T11,IF(Y3&lt;=T12,T12,IF(Y3&lt;=T13,T13,IF(Y3&lt;=T14,T14,IF(Y3&lt;=T15,T15,IF(Y3&lt;=T16,T16))))))</f>
        <v>200</v>
      </c>
      <c r="Z6" s="435">
        <v>-15</v>
      </c>
      <c r="AA6" s="337">
        <f>'Data Standar'!G159</f>
        <v>0.02</v>
      </c>
      <c r="AB6" s="338">
        <v>9.9999999999999995E-7</v>
      </c>
      <c r="AC6" s="436">
        <f>IF(OR(AA6=0,AB6=0),'Data Standar'!$G$170/3,((MAX(AA6:AB6)-(MIN(AA6:AB6)))))</f>
        <v>1.9998999999999999E-2</v>
      </c>
      <c r="AD6" s="434">
        <f>(0.03-0)/2</f>
        <v>1.4999999999999999E-2</v>
      </c>
      <c r="AE6" s="985">
        <f>IF(AE3&lt;=Z11,Z11,IF(AE3&lt;=Z12,Z12,IF(AE3&lt;=Z13,Z13,IF(AE3&lt;=Z14,Z14,IF(AE3&lt;=Z15,Z15,IF(AE3&lt;=Z16,Z16))))))</f>
        <v>200</v>
      </c>
      <c r="AF6" s="435">
        <v>-15</v>
      </c>
      <c r="AG6" s="337">
        <f>'Data Standar'!H159</f>
        <v>0.01</v>
      </c>
      <c r="AH6" s="338">
        <v>9.9999999999999995E-7</v>
      </c>
      <c r="AI6" s="436">
        <f>IF(OR(AG6=0,AH6=0),'Data Standar'!$H$170/3,((MAX(AG6:AH6)-(MIN(AG6:AH6)))))</f>
        <v>9.9990000000000009E-3</v>
      </c>
      <c r="AJ6" s="434">
        <f>(0.03-0)/2</f>
        <v>1.4999999999999999E-2</v>
      </c>
      <c r="AK6" s="985">
        <f>IF(AK3&lt;=AF11,AF11,IF(AK3&lt;=AF12,AF12,IF(AK3&lt;=AF13,AF13,IF(AK3&lt;=AF14,AF14,IF(AK3&lt;=AF15,AF15,IF(AK3&lt;=AF16,AF16))))))</f>
        <v>200</v>
      </c>
      <c r="AL6" s="435">
        <v>-15</v>
      </c>
      <c r="AM6" s="337">
        <f>'Data Standar'!I159</f>
        <v>0.42</v>
      </c>
      <c r="AN6" s="338"/>
      <c r="AO6" s="436">
        <f>IF(OR(AM6=0,AN6=0),'Data Standar'!$I$170/3,((MAX(AM6:AN6)-(MIN(AM6:AN6)))))</f>
        <v>8.3333333333333329E-2</v>
      </c>
      <c r="AP6" s="434">
        <f>(0.03-0)/2</f>
        <v>1.4999999999999999E-2</v>
      </c>
      <c r="AQ6" s="985">
        <f>IF(AQ3&lt;=AL11,AL11,IF(AQ3&lt;=AL12,AL12,IF(AQ3&lt;=AL13,AL13,IF(AQ3&lt;=AL14,AL14,IF(AQ3&lt;=AL15,AL15,IF(AQ3&lt;=AL16,AL16))))))</f>
        <v>200</v>
      </c>
      <c r="AR6" s="435">
        <v>-15</v>
      </c>
      <c r="AS6" s="337">
        <f>'Data Standar'!J159</f>
        <v>0.35</v>
      </c>
      <c r="AT6" s="338"/>
      <c r="AU6" s="436">
        <f>IF(OR(AS6=0,AT6=0),'Data Standar'!$J$170/3,((MAX(AS6:AT6)-(MIN(AS6:AT6)))))</f>
        <v>0.08</v>
      </c>
      <c r="AV6" s="434">
        <f>(0.03-0)/2</f>
        <v>1.4999999999999999E-2</v>
      </c>
      <c r="AW6" s="985">
        <f>IF(AW3&lt;=AR11,AR11,IF(AW3&lt;=AR12,AR12,IF(AW3&lt;=AR13,AR13,IF(AW3&lt;=AR14,AR14,IF(AW3&lt;=AR15,AR15,IF(AW3&lt;=AR16,AR16))))))</f>
        <v>200</v>
      </c>
      <c r="AX6" s="435">
        <v>-15</v>
      </c>
      <c r="AY6" s="337">
        <f>'Data Standar'!K159</f>
        <v>9.9999999999999995E-7</v>
      </c>
      <c r="AZ6" s="338"/>
      <c r="BA6" s="436">
        <f>IF(OR(AY6=0,AZ6=0),'Data Standar'!$K$170/3,((MAX(AY6:AZ6)-(MIN(AY6:AZ6)))))</f>
        <v>0.26333333333333336</v>
      </c>
      <c r="BB6" s="434">
        <f>(0.03-0)/2</f>
        <v>1.4999999999999999E-2</v>
      </c>
      <c r="BC6" s="985">
        <f>IF(BC3&lt;=AX11,AX11,IF(BC3&lt;=AX12,AX12,IF(BC3&lt;=AX13,AX13,IF(BC3&lt;=AX14,AX14,IF(BC3&lt;=AX15,AX15,IF(BC3&lt;=AX16,AX16))))))</f>
        <v>200</v>
      </c>
      <c r="BD6" s="435">
        <v>-15</v>
      </c>
      <c r="BE6" s="337">
        <f>'Data Standar'!L159</f>
        <v>-0.76</v>
      </c>
      <c r="BF6" s="338"/>
      <c r="BG6" s="436">
        <f>IF(OR(BE6=0,BF6=0),'Data Standar'!$L$170/3,((MAX(BE6:BF6)-(MIN(BE6:BF6)))))</f>
        <v>9.0000000000000011E-2</v>
      </c>
      <c r="BH6" s="434">
        <f>(0.03-0)/2</f>
        <v>1.4999999999999999E-2</v>
      </c>
      <c r="BI6" s="985">
        <f>IF(BI3&lt;=BD11,BD11,IF(BI3&lt;=BD12,BD12,IF(BI3&lt;=BD13,BD13,IF(BI3&lt;=BD14,BD14,IF(BI3&lt;=BD15,BD15,IF(BI3&lt;=BD16,BD16))))))</f>
        <v>200</v>
      </c>
      <c r="BJ6" s="435">
        <v>-15</v>
      </c>
      <c r="BK6" s="337">
        <f>'Data Standar'!M159</f>
        <v>9.9999999999999995E-7</v>
      </c>
      <c r="BL6" s="338"/>
      <c r="BM6" s="436">
        <f>IF(OR(BK6=0,BL6=0),'Data Standar'!$M$170/3,((MAX(BK6:BL6)-(MIN(BK6:BL6)))))</f>
        <v>0.26333333333333336</v>
      </c>
      <c r="BN6" s="434">
        <f>(0.03-0)/2</f>
        <v>1.4999999999999999E-2</v>
      </c>
      <c r="BO6" s="985">
        <f>IF(BO3&lt;=BJ11,BJ11,IF(BO3&lt;=BJ12,BJ12,IF(BO3&lt;=BJ13,BJ13,IF(BO3&lt;=BJ14,BJ14,IF(BO3&lt;=BJ15,BJ15,IF(BO3&lt;=BJ16,BJ16))))))</f>
        <v>200</v>
      </c>
      <c r="BP6" s="435">
        <v>-15</v>
      </c>
      <c r="BQ6" s="337">
        <f>'Data Standar'!N159</f>
        <v>-1.1399999999999999</v>
      </c>
      <c r="BR6" s="338"/>
      <c r="BS6" s="436">
        <f>IF(OR(BQ6=0,BR6=0),'Data Standar'!$N$170/3,((MAX(BQ6:BR6)-(MIN(BQ6:BR6)))))</f>
        <v>8.666666666666667E-2</v>
      </c>
      <c r="BT6" s="434">
        <f>(0.03-0)/2</f>
        <v>1.4999999999999999E-2</v>
      </c>
      <c r="BU6" s="985">
        <f>IF(BU3&lt;=BP11,BP11,IF(BU3&lt;=BP12,BP12,IF(BU3&lt;=BP13,BP13,IF(BU3&lt;=BP14,BP14,IF(BU3&lt;=BP15,BP15,IF(BU3&lt;=BP16,BP16))))))</f>
        <v>200</v>
      </c>
      <c r="BV6" s="435">
        <v>-15</v>
      </c>
      <c r="BW6" s="337">
        <f>'Data Standar'!O159</f>
        <v>-1.24</v>
      </c>
      <c r="BX6" s="338"/>
      <c r="BY6" s="436">
        <f>IF(OR(BW6=0,BX6=0),'Data Standar'!$O$170/3,((MAX(BW6:BX6)-(MIN(BW6:BX6)))))</f>
        <v>9.0000000000000011E-2</v>
      </c>
      <c r="BZ6" s="434">
        <f>(0.03-0)/2</f>
        <v>1.4999999999999999E-2</v>
      </c>
      <c r="CA6" s="985">
        <f>IF(CA3&lt;=BV11,BV11,IF(CA3&lt;=BV12,BV12,IF(CA3&lt;=BV13,BV13,IF(CA3&lt;=BV14,BV14,IF(CA3&lt;=BV15,BV15,IF(CA3&lt;=BV16,BV16))))))</f>
        <v>200</v>
      </c>
      <c r="CB6" s="435">
        <v>-15</v>
      </c>
      <c r="CC6" s="337">
        <f>'Data Standar'!P159</f>
        <v>-1.1000000000000001</v>
      </c>
      <c r="CD6" s="338">
        <f t="shared" si="0"/>
        <v>-0.7</v>
      </c>
      <c r="CE6" s="436">
        <f>IF(OR(CC6=0,CD6=0),'Data Standar'!$P$170/3,((MAX(CC6:CD6)-(MIN(CC6:CD6)))))</f>
        <v>0.40000000000000013</v>
      </c>
      <c r="CF6" s="434">
        <f>(0.03-0)/2</f>
        <v>1.4999999999999999E-2</v>
      </c>
      <c r="CG6" s="985">
        <f>IF(CG3&lt;=CB11,CB11,IF(CG3&lt;=CB12,CB12,IF(CG3&lt;=CB13,CB13,IF(CG3&lt;=CB14,CB14,IF(CG3&lt;=CB15,CB15,IF(CG3&lt;=CB16,CB16))))))</f>
        <v>200</v>
      </c>
      <c r="CH6" s="435">
        <v>-15</v>
      </c>
      <c r="CI6" s="337">
        <f>'Data Standar'!Q159</f>
        <v>-0.1</v>
      </c>
      <c r="CJ6" s="338">
        <v>-0.24</v>
      </c>
      <c r="CK6" s="436">
        <f>IF(OR(CI6=0,CJ6=0),'Data Standar'!$Q$170/3,((MAX(CI6:CJ6)-(MIN(CI6:CJ6)))))</f>
        <v>0.13999999999999999</v>
      </c>
      <c r="CL6" s="434">
        <f>(0.03-0)/2</f>
        <v>1.4999999999999999E-2</v>
      </c>
      <c r="CM6" s="985">
        <f>IF(CM3&lt;=CH11,CH11,IF(CM3&lt;=CH12,CH12,IF(CM3&lt;=CH13,CH13,IF(CM3&lt;=CH14,CH14,IF(CM3&lt;=CH15,CH15,IF(CM3&lt;=CH16,CH16))))))</f>
        <v>200</v>
      </c>
      <c r="CN6" s="435">
        <v>-15</v>
      </c>
      <c r="CO6" s="337">
        <f>'Data Standar'!R159</f>
        <v>-1.52</v>
      </c>
      <c r="CP6" s="338">
        <v>-0.39</v>
      </c>
      <c r="CQ6" s="436">
        <f>IF(OR(CO6=0,CP6=0),'Data Standar'!$R$170/3,((MAX(CO6:CP6)-(MIN(CO6:CP6)))))</f>
        <v>1.1299999999999999</v>
      </c>
      <c r="CR6" s="434">
        <f>(0.03-0)/2</f>
        <v>1.4999999999999999E-2</v>
      </c>
      <c r="CS6" s="985">
        <f>IF(CS3&lt;=CN11,CN11,IF(CS3&lt;=CN12,CN12,IF(CS3&lt;=CN13,CN13,IF(CS3&lt;=CN14,CN14,IF(CS3&lt;=CN15,CN15,IF(CS3&lt;=CN16,CN16))))))</f>
        <v>200</v>
      </c>
    </row>
    <row r="7" spans="1:97" s="427" customFormat="1" ht="13">
      <c r="A7" s="423"/>
      <c r="B7" s="435">
        <v>-10</v>
      </c>
      <c r="C7" s="338">
        <v>-0.32</v>
      </c>
      <c r="D7" s="338">
        <f>'Data Standar'!C160</f>
        <v>-0.57999999999999996</v>
      </c>
      <c r="E7" s="436">
        <f>IF(OR(C7=0,D7=0),'Data Standar'!$C$170/3,((MAX(C7:D7)-(MIN(C7:D7)))))</f>
        <v>0.25999999999999995</v>
      </c>
      <c r="F7" s="437">
        <f>(-0.62+1.12)/2</f>
        <v>0.25000000000000006</v>
      </c>
      <c r="G7" s="437"/>
      <c r="H7" s="435">
        <v>-10</v>
      </c>
      <c r="I7" s="338">
        <v>9.9999999999999995E-7</v>
      </c>
      <c r="J7" s="338">
        <f>'Data Standar'!D160</f>
        <v>-0.43</v>
      </c>
      <c r="K7" s="436">
        <f>IF(OR(I7=0,J7=0),'Data Standar'!$D$170/3,((MAX(I7:J7)-(MIN(I7:J7)))))</f>
        <v>0.43000099999999997</v>
      </c>
      <c r="L7" s="437">
        <f t="shared" si="1"/>
        <v>0.05</v>
      </c>
      <c r="M7" s="437"/>
      <c r="N7" s="435">
        <v>-10</v>
      </c>
      <c r="O7" s="337">
        <v>-0.34</v>
      </c>
      <c r="P7" s="338">
        <f>'Data Standar'!E160</f>
        <v>-0.4</v>
      </c>
      <c r="Q7" s="436">
        <f>IF(OR(O7=0,P7=0),'Data Standar'!$E$170/3,((MAX(O7:P7)-(MIN(O7:P7)))))</f>
        <v>0.06</v>
      </c>
      <c r="R7" s="434">
        <f>(0.04-0)/2</f>
        <v>0.02</v>
      </c>
      <c r="S7" s="437"/>
      <c r="T7" s="435">
        <v>-10</v>
      </c>
      <c r="U7" s="337">
        <f>'Data Standar'!F160</f>
        <v>-1.04</v>
      </c>
      <c r="V7" s="338"/>
      <c r="W7" s="436">
        <f>IF(OR(U7=0,V7=0),'Data Standar'!$F$170/3,((MAX(U7:V7)-(MIN(U7:V7)))))</f>
        <v>8.3333333333333329E-2</v>
      </c>
      <c r="X7" s="434">
        <f>(0.04-0)/2</f>
        <v>0.02</v>
      </c>
      <c r="Y7" s="437"/>
      <c r="Z7" s="435">
        <v>-10</v>
      </c>
      <c r="AA7" s="337">
        <f>'Data Standar'!G160</f>
        <v>0.05</v>
      </c>
      <c r="AB7" s="338">
        <v>-0.25</v>
      </c>
      <c r="AC7" s="436">
        <f>IF(OR(AA7=0,AB7=0),'Data Standar'!$G$170/3,((MAX(AA7:AB7)-(MIN(AA7:AB7)))))</f>
        <v>0.3</v>
      </c>
      <c r="AD7" s="434">
        <f>(0.04-0)/2</f>
        <v>0.02</v>
      </c>
      <c r="AE7" s="437"/>
      <c r="AF7" s="435">
        <v>-10</v>
      </c>
      <c r="AG7" s="337">
        <f>'Data Standar'!H160</f>
        <v>0.04</v>
      </c>
      <c r="AH7" s="338">
        <v>0.17</v>
      </c>
      <c r="AI7" s="436">
        <f>IF(OR(AG7=0,AH7=0),'Data Standar'!$H$170/3,((MAX(AG7:AH7)-(MIN(AG7:AH7)))))</f>
        <v>0.13</v>
      </c>
      <c r="AJ7" s="434">
        <f>(0.04-0)/2</f>
        <v>0.02</v>
      </c>
      <c r="AK7" s="437"/>
      <c r="AL7" s="435">
        <v>-10</v>
      </c>
      <c r="AM7" s="337">
        <f>'Data Standar'!I160</f>
        <v>0.43</v>
      </c>
      <c r="AN7" s="338"/>
      <c r="AO7" s="436">
        <f>IF(OR(AM7=0,AN7=0),'Data Standar'!$I$170/3,((MAX(AM7:AN7)-(MIN(AM7:AN7)))))</f>
        <v>8.3333333333333329E-2</v>
      </c>
      <c r="AP7" s="434">
        <f>(0.04-0)/2</f>
        <v>0.02</v>
      </c>
      <c r="AQ7" s="437"/>
      <c r="AR7" s="435">
        <v>-10</v>
      </c>
      <c r="AS7" s="337">
        <f>'Data Standar'!J160</f>
        <v>0.36</v>
      </c>
      <c r="AT7" s="338"/>
      <c r="AU7" s="436">
        <f>IF(OR(AS7=0,AT7=0),'Data Standar'!$J$170/3,((MAX(AS7:AT7)-(MIN(AS7:AT7)))))</f>
        <v>0.08</v>
      </c>
      <c r="AV7" s="434">
        <f>(0.04-0)/2</f>
        <v>0.02</v>
      </c>
      <c r="AW7" s="437"/>
      <c r="AX7" s="435">
        <v>-10</v>
      </c>
      <c r="AY7" s="337">
        <f>'Data Standar'!K160</f>
        <v>0.5</v>
      </c>
      <c r="AZ7" s="338"/>
      <c r="BA7" s="436">
        <f>IF(OR(AY7=0,AZ7=0),'Data Standar'!$K$170/3,((MAX(AY7:AZ7)-(MIN(AY7:AZ7)))))</f>
        <v>0.26333333333333336</v>
      </c>
      <c r="BB7" s="434">
        <f>(0.04-0)/2</f>
        <v>0.02</v>
      </c>
      <c r="BC7" s="437"/>
      <c r="BD7" s="435">
        <v>-10</v>
      </c>
      <c r="BE7" s="337">
        <f>'Data Standar'!L160</f>
        <v>-0.56999999999999995</v>
      </c>
      <c r="BF7" s="338"/>
      <c r="BG7" s="436">
        <f>IF(OR(BE7=0,BF7=0),'Data Standar'!$L$170/3,((MAX(BE7:BF7)-(MIN(BE7:BF7)))))</f>
        <v>9.0000000000000011E-2</v>
      </c>
      <c r="BH7" s="434">
        <f>(0.04-0)/2</f>
        <v>0.02</v>
      </c>
      <c r="BI7" s="437"/>
      <c r="BJ7" s="435">
        <v>-10</v>
      </c>
      <c r="BK7" s="337">
        <f>'Data Standar'!M160</f>
        <v>0.5</v>
      </c>
      <c r="BL7" s="338"/>
      <c r="BM7" s="436">
        <f>IF(OR(BK7=0,BL7=0),'Data Standar'!$M$170/3,((MAX(BK7:BL7)-(MIN(BK7:BL7)))))</f>
        <v>0.26333333333333336</v>
      </c>
      <c r="BN7" s="434">
        <f>(0.04-0)/2</f>
        <v>0.02</v>
      </c>
      <c r="BO7" s="437"/>
      <c r="BP7" s="435">
        <v>-10</v>
      </c>
      <c r="BQ7" s="337">
        <f>'Data Standar'!N160</f>
        <v>-0.91</v>
      </c>
      <c r="BR7" s="338"/>
      <c r="BS7" s="436">
        <f>IF(OR(BQ7=0,BR7=0),'Data Standar'!$N$170/3,((MAX(BQ7:BR7)-(MIN(BQ7:BR7)))))</f>
        <v>8.666666666666667E-2</v>
      </c>
      <c r="BT7" s="434">
        <f>(0.04-0)/2</f>
        <v>0.02</v>
      </c>
      <c r="BU7" s="437"/>
      <c r="BV7" s="435">
        <v>-10</v>
      </c>
      <c r="BW7" s="337">
        <f>'Data Standar'!O160</f>
        <v>-1.01</v>
      </c>
      <c r="BX7" s="338"/>
      <c r="BY7" s="436">
        <f>IF(OR(BW7=0,BX7=0),'Data Standar'!$O$170/3,((MAX(BW7:BX7)-(MIN(BW7:BX7)))))</f>
        <v>9.0000000000000011E-2</v>
      </c>
      <c r="BZ7" s="434">
        <f>(0.04-0)/2</f>
        <v>0.02</v>
      </c>
      <c r="CA7" s="437"/>
      <c r="CB7" s="435">
        <v>-10</v>
      </c>
      <c r="CC7" s="337">
        <f>'Data Standar'!P160</f>
        <v>-1.2</v>
      </c>
      <c r="CD7" s="338">
        <f t="shared" si="0"/>
        <v>-0.7</v>
      </c>
      <c r="CE7" s="436">
        <f>IF(OR(CC7=0,CD7=0),'Data Standar'!$P$170/3,((MAX(CC7:CD7)-(MIN(CC7:CD7)))))</f>
        <v>0.5</v>
      </c>
      <c r="CF7" s="434">
        <f>(0.04-0)/2</f>
        <v>0.02</v>
      </c>
      <c r="CG7" s="437"/>
      <c r="CH7" s="435">
        <v>-10</v>
      </c>
      <c r="CI7" s="337">
        <f>'Data Standar'!Q160</f>
        <v>-0.05</v>
      </c>
      <c r="CJ7" s="338">
        <v>-0.18</v>
      </c>
      <c r="CK7" s="436">
        <f>IF(OR(CI7=0,CJ7=0),'Data Standar'!$Q$170/3,((MAX(CI7:CJ7)-(MIN(CI7:CJ7)))))</f>
        <v>0.13</v>
      </c>
      <c r="CL7" s="434">
        <f>(0.04-0)/2</f>
        <v>0.02</v>
      </c>
      <c r="CM7" s="437"/>
      <c r="CN7" s="435">
        <v>-10</v>
      </c>
      <c r="CO7" s="337">
        <f>'Data Standar'!R160</f>
        <v>-1.26</v>
      </c>
      <c r="CP7" s="338">
        <v>-0.28000000000000003</v>
      </c>
      <c r="CQ7" s="436">
        <f>IF(OR(CO7=0,CP7=0),'Data Standar'!$R$170/3,((MAX(CO7:CP7)-(MIN(CO7:CP7)))))</f>
        <v>0.98</v>
      </c>
      <c r="CR7" s="434">
        <f>(0.04-0)/2</f>
        <v>0.02</v>
      </c>
      <c r="CS7" s="437"/>
    </row>
    <row r="8" spans="1:97" s="427" customFormat="1" ht="13">
      <c r="A8" s="423"/>
      <c r="B8" s="435">
        <v>9.9999999999999995E-7</v>
      </c>
      <c r="C8" s="338">
        <v>-0.23</v>
      </c>
      <c r="D8" s="338">
        <f>'Data Standar'!C161</f>
        <v>-0.39</v>
      </c>
      <c r="E8" s="436">
        <f>IF(OR(C8=0,D8=0),'Data Standar'!$C$170/3,((MAX(C8:D8)-(MIN(C8:D8)))))</f>
        <v>0.16</v>
      </c>
      <c r="F8" s="437">
        <f>(-0.49+0.75)/2</f>
        <v>0.13</v>
      </c>
      <c r="G8" s="986">
        <f>VLOOKUP(G4,B11:F16,4)</f>
        <v>0.65</v>
      </c>
      <c r="H8" s="435">
        <v>9.9999999999999995E-7</v>
      </c>
      <c r="I8" s="338">
        <v>-0.28000000000000003</v>
      </c>
      <c r="J8" s="338">
        <f>'Data Standar'!D161</f>
        <v>-0.26</v>
      </c>
      <c r="K8" s="436">
        <f>IF(OR(I8=0,J8=0),'Data Standar'!$D$170/3,((MAX(I8:J8)-(MIN(I8:J8)))))</f>
        <v>2.0000000000000018E-2</v>
      </c>
      <c r="L8" s="437">
        <f t="shared" si="1"/>
        <v>0.05</v>
      </c>
      <c r="M8" s="986">
        <f>VLOOKUP(M4,H11:L16,4)</f>
        <v>0.69000000000000006</v>
      </c>
      <c r="N8" s="435">
        <v>9.9999999999999995E-7</v>
      </c>
      <c r="O8" s="337">
        <v>-0.35</v>
      </c>
      <c r="P8" s="338">
        <f>'Data Standar'!E161</f>
        <v>-0.26</v>
      </c>
      <c r="Q8" s="436">
        <f>IF(OR(O8=0,P8=0),'Data Standar'!$E$170/3,((MAX(O8:P8)-(MIN(O8:P8)))))</f>
        <v>8.9999999999999969E-2</v>
      </c>
      <c r="R8" s="434">
        <f>(0.06-0)/2</f>
        <v>0.03</v>
      </c>
      <c r="S8" s="986">
        <f>VLOOKUP(S4,N11:R16,4)</f>
        <v>0.12</v>
      </c>
      <c r="T8" s="435">
        <v>9.9999999999999995E-7</v>
      </c>
      <c r="U8" s="337">
        <f>'Data Standar'!F161</f>
        <v>-0.38</v>
      </c>
      <c r="V8" s="338"/>
      <c r="W8" s="436">
        <f>IF(OR(U8=0,V8=0),'Data Standar'!$F$170/3,((MAX(U8:V8)-(MIN(U8:V8)))))</f>
        <v>8.3333333333333329E-2</v>
      </c>
      <c r="X8" s="434">
        <f>(0.06-0)/2</f>
        <v>0.03</v>
      </c>
      <c r="Y8" s="986">
        <f>VLOOKUP(Y4,T11:X16,4)</f>
        <v>8.3333333333333329E-2</v>
      </c>
      <c r="Z8" s="435">
        <v>9.9999999999999995E-7</v>
      </c>
      <c r="AA8" s="337">
        <f>'Data Standar'!G161</f>
        <v>0.02</v>
      </c>
      <c r="AB8" s="338">
        <v>-0.01</v>
      </c>
      <c r="AC8" s="436">
        <f>IF(OR(AA8=0,AB8=0),'Data Standar'!$G$170/3,((MAX(AA8:AB8)-(MIN(AA8:AB8)))))</f>
        <v>0.03</v>
      </c>
      <c r="AD8" s="434">
        <f>(0.06-0)/2</f>
        <v>0.03</v>
      </c>
      <c r="AE8" s="986">
        <f>VLOOKUP(AE4,Z11:AD16,4)</f>
        <v>8.0000000000000016E-2</v>
      </c>
      <c r="AF8" s="435">
        <v>9.9999999999999995E-7</v>
      </c>
      <c r="AG8" s="337">
        <f>'Data Standar'!H161</f>
        <v>0.02</v>
      </c>
      <c r="AH8" s="338">
        <v>0.35</v>
      </c>
      <c r="AI8" s="436">
        <f>IF(OR(AG8=0,AH8=0),'Data Standar'!$H$170/3,((MAX(AG8:AH8)-(MIN(AG8:AH8)))))</f>
        <v>0.32999999999999996</v>
      </c>
      <c r="AJ8" s="434">
        <f>(0.06-0)/2</f>
        <v>0.03</v>
      </c>
      <c r="AK8" s="986">
        <f>VLOOKUP(AK4,AF11:AJ16,4)</f>
        <v>0.31</v>
      </c>
      <c r="AL8" s="435">
        <v>9.9999999999999995E-7</v>
      </c>
      <c r="AM8" s="337">
        <f>'Data Standar'!I161</f>
        <v>0.38</v>
      </c>
      <c r="AN8" s="338"/>
      <c r="AO8" s="436">
        <f>IF(OR(AM8=0,AN8=0),'Data Standar'!$I$170/3,((MAX(AM8:AN8)-(MIN(AM8:AN8)))))</f>
        <v>8.3333333333333329E-2</v>
      </c>
      <c r="AP8" s="434">
        <f>(0.06-0)/2</f>
        <v>0.03</v>
      </c>
      <c r="AQ8" s="986">
        <f>VLOOKUP(AQ4,AL11:AP16,4)</f>
        <v>8.3333333333333329E-2</v>
      </c>
      <c r="AR8" s="435">
        <v>9.9999999999999995E-7</v>
      </c>
      <c r="AS8" s="337">
        <f>'Data Standar'!J161</f>
        <v>0.34</v>
      </c>
      <c r="AT8" s="338"/>
      <c r="AU8" s="436">
        <f>IF(OR(AS8=0,AT8=0),'Data Standar'!$J$170/3,((MAX(AS8:AT8)-(MIN(AS8:AT8)))))</f>
        <v>0.08</v>
      </c>
      <c r="AV8" s="434">
        <f>(0.06-0)/2</f>
        <v>0.03</v>
      </c>
      <c r="AW8" s="986">
        <f>VLOOKUP(AW4,AR11:AV16,4)</f>
        <v>0.08</v>
      </c>
      <c r="AX8" s="435">
        <v>9.9999999999999995E-7</v>
      </c>
      <c r="AY8" s="337">
        <f>'Data Standar'!K161</f>
        <v>0.48</v>
      </c>
      <c r="AZ8" s="338"/>
      <c r="BA8" s="436">
        <f>IF(OR(AY8=0,AZ8=0),'Data Standar'!$K$170/3,((MAX(AY8:AZ8)-(MIN(AY8:AZ8)))))</f>
        <v>0.26333333333333336</v>
      </c>
      <c r="BB8" s="434">
        <f>(0.06-0)/2</f>
        <v>0.03</v>
      </c>
      <c r="BC8" s="986">
        <f>VLOOKUP(BC4,AX11:BB16,4)</f>
        <v>0.26333333333333336</v>
      </c>
      <c r="BD8" s="435">
        <v>9.9999999999999995E-7</v>
      </c>
      <c r="BE8" s="337">
        <f>'Data Standar'!L161</f>
        <v>-0.31</v>
      </c>
      <c r="BF8" s="338"/>
      <c r="BG8" s="436">
        <f>IF(OR(BE8=0,BF8=0),'Data Standar'!$L$170/3,((MAX(BE8:BF8)-(MIN(BE8:BF8)))))</f>
        <v>9.0000000000000011E-2</v>
      </c>
      <c r="BH8" s="434">
        <f>(0.06-0)/2</f>
        <v>0.03</v>
      </c>
      <c r="BI8" s="986">
        <f>VLOOKUP(BI4,BD11:BH16,5)</f>
        <v>0.105</v>
      </c>
      <c r="BJ8" s="435">
        <v>9.9999999999999995E-7</v>
      </c>
      <c r="BK8" s="337">
        <f>'Data Standar'!M161</f>
        <v>0.48</v>
      </c>
      <c r="BL8" s="338"/>
      <c r="BM8" s="436">
        <f>IF(OR(BK8=0,BL8=0),'Data Standar'!$M$170/3,((MAX(BK8:BL8)-(MIN(BK8:BL8)))))</f>
        <v>0.26333333333333336</v>
      </c>
      <c r="BN8" s="434">
        <f>(0.06-0)/2</f>
        <v>0.03</v>
      </c>
      <c r="BO8" s="986">
        <f>VLOOKUP(BO4,BJ11:BN16,5)</f>
        <v>0.105</v>
      </c>
      <c r="BP8" s="435">
        <v>9.9999999999999995E-7</v>
      </c>
      <c r="BQ8" s="337">
        <f>'Data Standar'!N161</f>
        <v>-0.63</v>
      </c>
      <c r="BR8" s="338"/>
      <c r="BS8" s="436">
        <f>IF(OR(BQ8=0,BR8=0),'Data Standar'!$N$170/3,((MAX(BQ8:BR8)-(MIN(BQ8:BR8)))))</f>
        <v>8.666666666666667E-2</v>
      </c>
      <c r="BT8" s="434">
        <f>(0.06-0)/2</f>
        <v>0.03</v>
      </c>
      <c r="BU8" s="986">
        <f>VLOOKUP(BU4,BP11:BT16,4)</f>
        <v>8.666666666666667E-2</v>
      </c>
      <c r="BV8" s="435">
        <v>9.9999999999999995E-7</v>
      </c>
      <c r="BW8" s="337">
        <f>'Data Standar'!O161</f>
        <v>-0.6</v>
      </c>
      <c r="BX8" s="338"/>
      <c r="BY8" s="436">
        <f>IF(OR(BW8=0,BX8=0),'Data Standar'!$O$170/3,((MAX(BW8:BX8)-(MIN(BW8:BX8)))))</f>
        <v>9.0000000000000011E-2</v>
      </c>
      <c r="BZ8" s="434">
        <f>(0.06-0)/2</f>
        <v>0.03</v>
      </c>
      <c r="CA8" s="986">
        <f>VLOOKUP(CA4,BV11:BZ16,4)</f>
        <v>9.0000000000000011E-2</v>
      </c>
      <c r="CB8" s="435">
        <v>9.9999999999999995E-7</v>
      </c>
      <c r="CC8" s="337">
        <f>'Data Standar'!P161</f>
        <v>-1.4</v>
      </c>
      <c r="CD8" s="338">
        <f t="shared" si="0"/>
        <v>-0.7</v>
      </c>
      <c r="CE8" s="436">
        <f>IF(OR(CC8=0,CD8=0),'Data Standar'!$P$170/3,((MAX(CC8:CD8)-(MIN(CC8:CD8)))))</f>
        <v>0.7</v>
      </c>
      <c r="CF8" s="434">
        <f>(0.06-0)/2</f>
        <v>0.03</v>
      </c>
      <c r="CG8" s="986">
        <f>VLOOKUP(CG4,CB11:CF16,4)</f>
        <v>1</v>
      </c>
      <c r="CH8" s="435">
        <v>9.9999999999999995E-7</v>
      </c>
      <c r="CI8" s="337">
        <f>'Data Standar'!Q161</f>
        <v>0.03</v>
      </c>
      <c r="CJ8" s="338">
        <v>-0.06</v>
      </c>
      <c r="CK8" s="436">
        <f>IF(OR(CI8=0,CJ8=0),'Data Standar'!$Q$170/3,((MAX(CI8:CJ8)-(MIN(CI8:CJ8)))))</f>
        <v>0.09</v>
      </c>
      <c r="CL8" s="434">
        <f>(0.06-0)/2</f>
        <v>0.03</v>
      </c>
      <c r="CM8" s="986">
        <f>VLOOKUP(CM4,CH11:CL16,4)</f>
        <v>7.9999999999999988E-2</v>
      </c>
      <c r="CN8" s="435">
        <v>9.9999999999999995E-7</v>
      </c>
      <c r="CO8" s="337">
        <f>'Data Standar'!R161</f>
        <v>-0.79</v>
      </c>
      <c r="CP8" s="338">
        <v>-0.08</v>
      </c>
      <c r="CQ8" s="436">
        <f>IF(OR(CO8=0,CP8=0),'Data Standar'!$R$170/3,((MAX(CO8:CP8)-(MIN(CO8:CP8)))))</f>
        <v>0.71000000000000008</v>
      </c>
      <c r="CR8" s="434">
        <f>(0.06-0)/2</f>
        <v>0.03</v>
      </c>
      <c r="CS8" s="986">
        <f>VLOOKUP(CS4,CN11:CR16,4)</f>
        <v>0.38</v>
      </c>
    </row>
    <row r="9" spans="1:97" s="427" customFormat="1" ht="13">
      <c r="A9" s="423"/>
      <c r="B9" s="435">
        <v>2</v>
      </c>
      <c r="C9" s="338">
        <v>-0.21</v>
      </c>
      <c r="D9" s="338">
        <f>'Data Standar'!C162</f>
        <v>-0.35</v>
      </c>
      <c r="E9" s="436">
        <f>IF(OR(C9=0,D9=0),'Data Standar'!$C$170/3,((MAX(C9:D9)-(MIN(C9:D9)))))</f>
        <v>0.13999999999999999</v>
      </c>
      <c r="F9" s="437">
        <f>(-0.46+0.69)/2</f>
        <v>0.11499999999999996</v>
      </c>
      <c r="G9" s="437"/>
      <c r="H9" s="435">
        <v>2</v>
      </c>
      <c r="I9" s="338">
        <v>-0.25</v>
      </c>
      <c r="J9" s="338">
        <f>'Data Standar'!D162</f>
        <v>-0.23</v>
      </c>
      <c r="K9" s="436">
        <f>IF(OR(I9=0,J9=0),'Data Standar'!$D$170/3,((MAX(I9:J9)-(MIN(I9:J9)))))</f>
        <v>1.999999999999999E-2</v>
      </c>
      <c r="L9" s="437">
        <f t="shared" si="1"/>
        <v>0.05</v>
      </c>
      <c r="M9" s="437"/>
      <c r="N9" s="435">
        <v>2</v>
      </c>
      <c r="O9" s="337">
        <v>-0.35</v>
      </c>
      <c r="P9" s="338">
        <f>'Data Standar'!E162</f>
        <v>-0.24</v>
      </c>
      <c r="Q9" s="436">
        <f>IF(OR(O9=0,P9=0),'Data Standar'!$E$170/3,((MAX(O9:P9)-(MIN(O9:P9)))))</f>
        <v>0.10999999999999999</v>
      </c>
      <c r="R9" s="434">
        <f>(0.07-0)/2</f>
        <v>3.5000000000000003E-2</v>
      </c>
      <c r="S9" s="437"/>
      <c r="T9" s="435">
        <v>2</v>
      </c>
      <c r="U9" s="337">
        <f>'Data Standar'!F162</f>
        <v>-0.59</v>
      </c>
      <c r="V9" s="338"/>
      <c r="W9" s="436">
        <f>IF(OR(U9=0,V9=0),'Data Standar'!$F$170/3,((MAX(U9:V9)-(MIN(U9:V9)))))</f>
        <v>8.3333333333333329E-2</v>
      </c>
      <c r="X9" s="434">
        <f>(0.07-0)/2</f>
        <v>3.5000000000000003E-2</v>
      </c>
      <c r="Y9" s="437"/>
      <c r="Z9" s="435">
        <v>2</v>
      </c>
      <c r="AA9" s="337">
        <f>'Data Standar'!G162</f>
        <v>0.05</v>
      </c>
      <c r="AB9" s="338">
        <v>0.03</v>
      </c>
      <c r="AC9" s="436">
        <f>IF(OR(AA9=0,AB9=0),'Data Standar'!$G$170/3,((MAX(AA9:AB9)-(MIN(AA9:AB9)))))</f>
        <v>2.0000000000000004E-2</v>
      </c>
      <c r="AD9" s="434">
        <f>(0.07-0)/2</f>
        <v>3.5000000000000003E-2</v>
      </c>
      <c r="AE9" s="437"/>
      <c r="AF9" s="435">
        <v>2</v>
      </c>
      <c r="AG9" s="337">
        <f>'Data Standar'!H162</f>
        <v>0.05</v>
      </c>
      <c r="AH9" s="338">
        <v>0.38</v>
      </c>
      <c r="AI9" s="436">
        <f>IF(OR(AG9=0,AH9=0),'Data Standar'!$H$170/3,((MAX(AG9:AH9)-(MIN(AG9:AH9)))))</f>
        <v>0.33</v>
      </c>
      <c r="AJ9" s="434">
        <f>(0.07-0)/2</f>
        <v>3.5000000000000003E-2</v>
      </c>
      <c r="AK9" s="437"/>
      <c r="AL9" s="435">
        <v>2</v>
      </c>
      <c r="AM9" s="337">
        <f>'Data Standar'!I162</f>
        <v>0.41</v>
      </c>
      <c r="AN9" s="338"/>
      <c r="AO9" s="436">
        <f>IF(OR(AM9=0,AN9=0),'Data Standar'!$I$170/3,((MAX(AM9:AN9)-(MIN(AM9:AN9)))))</f>
        <v>8.3333333333333329E-2</v>
      </c>
      <c r="AP9" s="434">
        <f>(0.07-0)/2</f>
        <v>3.5000000000000003E-2</v>
      </c>
      <c r="AQ9" s="437"/>
      <c r="AR9" s="435">
        <v>2</v>
      </c>
      <c r="AS9" s="337">
        <f>'Data Standar'!J162</f>
        <v>0.37</v>
      </c>
      <c r="AT9" s="338"/>
      <c r="AU9" s="436">
        <f>IF(OR(AS9=0,AT9=0),'Data Standar'!$J$170/3,((MAX(AS9:AT9)-(MIN(AS9:AT9)))))</f>
        <v>0.08</v>
      </c>
      <c r="AV9" s="434">
        <f>(0.07-0)/2</f>
        <v>3.5000000000000003E-2</v>
      </c>
      <c r="AW9" s="437"/>
      <c r="AX9" s="435">
        <v>2</v>
      </c>
      <c r="AY9" s="337">
        <f>'Data Standar'!K162</f>
        <v>0.48</v>
      </c>
      <c r="AZ9" s="338"/>
      <c r="BA9" s="436">
        <f>IF(OR(AY9=0,AZ9=0),'Data Standar'!$K$170/3,((MAX(AY9:AZ9)-(MIN(AY9:AZ9)))))</f>
        <v>0.26333333333333336</v>
      </c>
      <c r="BB9" s="434">
        <f>(0.07-0)/2</f>
        <v>3.5000000000000003E-2</v>
      </c>
      <c r="BC9" s="437"/>
      <c r="BD9" s="435">
        <v>2</v>
      </c>
      <c r="BE9" s="337">
        <f>'Data Standar'!L162</f>
        <v>-0.43</v>
      </c>
      <c r="BF9" s="338"/>
      <c r="BG9" s="436">
        <f>IF(OR(BE9=0,BF9=0),'Data Standar'!$L$170/3,((MAX(BE9:BF9)-(MIN(BE9:BF9)))))</f>
        <v>9.0000000000000011E-2</v>
      </c>
      <c r="BH9" s="434">
        <f>(0.07-0)/2</f>
        <v>3.5000000000000003E-2</v>
      </c>
      <c r="BI9" s="437"/>
      <c r="BJ9" s="435">
        <v>2</v>
      </c>
      <c r="BK9" s="337">
        <f>'Data Standar'!M162</f>
        <v>0.48</v>
      </c>
      <c r="BL9" s="338"/>
      <c r="BM9" s="436">
        <f>IF(OR(BK9=0,BL9=0),'Data Standar'!$M$170/3,((MAX(BK9:BL9)-(MIN(BK9:BL9)))))</f>
        <v>0.26333333333333336</v>
      </c>
      <c r="BN9" s="434">
        <f>(0.07-0)/2</f>
        <v>3.5000000000000003E-2</v>
      </c>
      <c r="BO9" s="437"/>
      <c r="BP9" s="435">
        <v>2</v>
      </c>
      <c r="BQ9" s="337">
        <f>'Data Standar'!N162</f>
        <v>-0.67</v>
      </c>
      <c r="BR9" s="338"/>
      <c r="BS9" s="436">
        <f>IF(OR(BQ9=0,BR9=0),'Data Standar'!$N$170/3,((MAX(BQ9:BR9)-(MIN(BQ9:BR9)))))</f>
        <v>8.666666666666667E-2</v>
      </c>
      <c r="BT9" s="434">
        <f>(0.07-0)/2</f>
        <v>3.5000000000000003E-2</v>
      </c>
      <c r="BU9" s="437"/>
      <c r="BV9" s="435">
        <v>2</v>
      </c>
      <c r="BW9" s="337">
        <f>'Data Standar'!O162</f>
        <v>-0.65</v>
      </c>
      <c r="BX9" s="338"/>
      <c r="BY9" s="436">
        <f>IF(OR(BW9=0,BX9=0),'Data Standar'!$O$170/3,((MAX(BW9:BX9)-(MIN(BW9:BX9)))))</f>
        <v>9.0000000000000011E-2</v>
      </c>
      <c r="BZ9" s="434">
        <f>(0.07-0)/2</f>
        <v>3.5000000000000003E-2</v>
      </c>
      <c r="CA9" s="437"/>
      <c r="CB9" s="435">
        <v>2</v>
      </c>
      <c r="CC9" s="337">
        <f>'Data Standar'!P162</f>
        <v>0</v>
      </c>
      <c r="CD9" s="338">
        <f t="shared" si="0"/>
        <v>-0.7</v>
      </c>
      <c r="CE9" s="436">
        <f>IF(OR(CC9=0,CD9=0),'Data Standar'!$P$170/3,((MAX(CC9:CD9)-(MIN(CC9:CD9)))))</f>
        <v>0.19999999999999998</v>
      </c>
      <c r="CF9" s="434">
        <f>(0.07-0)/2</f>
        <v>3.5000000000000003E-2</v>
      </c>
      <c r="CG9" s="437"/>
      <c r="CH9" s="435">
        <v>2</v>
      </c>
      <c r="CI9" s="337">
        <f>'Data Standar'!Q162</f>
        <v>0.04</v>
      </c>
      <c r="CJ9" s="338">
        <v>-0.04</v>
      </c>
      <c r="CK9" s="436">
        <f>IF(OR(CI9=0,CJ9=0),'Data Standar'!$Q$170/3,((MAX(CI9:CJ9)-(MIN(CI9:CJ9)))))</f>
        <v>0.08</v>
      </c>
      <c r="CL9" s="434">
        <f>(0.07-0)/2</f>
        <v>3.5000000000000003E-2</v>
      </c>
      <c r="CM9" s="437"/>
      <c r="CN9" s="435">
        <v>2</v>
      </c>
      <c r="CO9" s="337">
        <f>'Data Standar'!R162</f>
        <v>-0.7</v>
      </c>
      <c r="CP9" s="338">
        <v>-0.05</v>
      </c>
      <c r="CQ9" s="436">
        <f>IF(OR(CO9=0,CP9=0),'Data Standar'!$R$170/3,((MAX(CO9:CP9)-(MIN(CO9:CP9)))))</f>
        <v>0.64999999999999991</v>
      </c>
      <c r="CR9" s="434">
        <f>(0.07-0)/2</f>
        <v>3.5000000000000003E-2</v>
      </c>
      <c r="CS9" s="437"/>
    </row>
    <row r="10" spans="1:97" s="427" customFormat="1" ht="13">
      <c r="A10" s="423"/>
      <c r="B10" s="435">
        <v>8</v>
      </c>
      <c r="C10" s="338">
        <v>-0.16</v>
      </c>
      <c r="D10" s="338">
        <f>'Data Standar'!C163</f>
        <v>-0.25</v>
      </c>
      <c r="E10" s="436">
        <f>IF(OR(C10=0,D10=0),'Data Standar'!$C$170/3,((MAX(C10:D10)-(MIN(C10:D10)))))</f>
        <v>0.09</v>
      </c>
      <c r="F10" s="437">
        <f>(-0.4+0.49)/2</f>
        <v>4.4999999999999984E-2</v>
      </c>
      <c r="G10" s="986">
        <f>VLOOKUP(G6,B11:F16,4)</f>
        <v>1.999999999999999E-2</v>
      </c>
      <c r="H10" s="435">
        <v>8</v>
      </c>
      <c r="I10" s="338">
        <v>-0.17</v>
      </c>
      <c r="J10" s="338">
        <f>'Data Standar'!D163</f>
        <v>-0.13</v>
      </c>
      <c r="K10" s="436">
        <f>IF(OR(I10=0,J10=0),'Data Standar'!$D$170/3,((MAX(I10:J10)-(MIN(I10:J10)))))</f>
        <v>4.0000000000000008E-2</v>
      </c>
      <c r="L10" s="437">
        <f t="shared" si="1"/>
        <v>0.05</v>
      </c>
      <c r="M10" s="986">
        <f>VLOOKUP(M6,H11:L16,4)</f>
        <v>7.999999999999996E-2</v>
      </c>
      <c r="N10" s="435">
        <v>8</v>
      </c>
      <c r="O10" s="337">
        <v>-0.15</v>
      </c>
      <c r="P10" s="338">
        <f>'Data Standar'!E163</f>
        <v>-0.17</v>
      </c>
      <c r="Q10" s="436">
        <f>IF(OR(O10=0,P10=0),'Data Standar'!$E$170/3,((MAX(O10:P10)-(MIN(O10:P10)))))</f>
        <v>2.0000000000000018E-2</v>
      </c>
      <c r="R10" s="434">
        <f>(0.08-0)/2</f>
        <v>0.04</v>
      </c>
      <c r="S10" s="986">
        <f>VLOOKUP(S6,N11:R16,4)</f>
        <v>0.25</v>
      </c>
      <c r="T10" s="435">
        <v>8</v>
      </c>
      <c r="U10" s="337">
        <f>'Data Standar'!F163</f>
        <v>-0.33</v>
      </c>
      <c r="V10" s="338"/>
      <c r="W10" s="436">
        <f>IF(OR(U10=0,V10=0),'Data Standar'!$F$170/3,((MAX(U10:V10)-(MIN(U10:V10)))))</f>
        <v>8.3333333333333329E-2</v>
      </c>
      <c r="X10" s="434">
        <f>(0.08-0)/2</f>
        <v>0.04</v>
      </c>
      <c r="Y10" s="986">
        <f>VLOOKUP(Y6,T11:X16,4)</f>
        <v>8.3333333333333329E-2</v>
      </c>
      <c r="Z10" s="435">
        <v>8</v>
      </c>
      <c r="AA10" s="337">
        <f>'Data Standar'!G163</f>
        <v>0.05</v>
      </c>
      <c r="AB10" s="338">
        <v>0.15</v>
      </c>
      <c r="AC10" s="436">
        <f>IF(OR(AA10=0,AB10=0),'Data Standar'!$G$170/3,((MAX(AA10:AB10)-(MIN(AA10:AB10)))))</f>
        <v>9.9999999999999992E-2</v>
      </c>
      <c r="AD10" s="434">
        <f>(0.08-0)/2</f>
        <v>0.04</v>
      </c>
      <c r="AE10" s="986">
        <f>VLOOKUP(AE6,Z11:AD16,4)</f>
        <v>0.77</v>
      </c>
      <c r="AF10" s="435">
        <v>8</v>
      </c>
      <c r="AG10" s="337">
        <f>'Data Standar'!H163</f>
        <v>0.04</v>
      </c>
      <c r="AH10" s="338">
        <v>0.47</v>
      </c>
      <c r="AI10" s="436">
        <f>IF(OR(AG10=0,AH10=0),'Data Standar'!$H$170/3,((MAX(AG10:AH10)-(MIN(AG10:AH10)))))</f>
        <v>0.43</v>
      </c>
      <c r="AJ10" s="434">
        <f>(0.08-0)/2</f>
        <v>0.04</v>
      </c>
      <c r="AK10" s="986">
        <f>VLOOKUP(AK6,AF11:AJ16,4)</f>
        <v>1.04</v>
      </c>
      <c r="AL10" s="435">
        <v>8</v>
      </c>
      <c r="AM10" s="337">
        <f>'Data Standar'!I163</f>
        <v>0.41</v>
      </c>
      <c r="AN10" s="338"/>
      <c r="AO10" s="436">
        <f>IF(OR(AM10=0,AN10=0),'Data Standar'!$I$170/3,((MAX(AM10:AN10)-(MIN(AM10:AN10)))))</f>
        <v>8.3333333333333329E-2</v>
      </c>
      <c r="AP10" s="434">
        <f>(0.08-0)/2</f>
        <v>0.04</v>
      </c>
      <c r="AQ10" s="986">
        <f>VLOOKUP(AQ6,AL11:AP16,4)</f>
        <v>8.3333333333333329E-2</v>
      </c>
      <c r="AR10" s="435">
        <v>8</v>
      </c>
      <c r="AS10" s="337">
        <f>'Data Standar'!J163</f>
        <v>0.36</v>
      </c>
      <c r="AT10" s="338"/>
      <c r="AU10" s="436">
        <f>IF(OR(AS10=0,AT10=0),'Data Standar'!$J$170/3,((MAX(AS10:AT10)-(MIN(AS10:AT10)))))</f>
        <v>0.08</v>
      </c>
      <c r="AV10" s="434">
        <f>(0.08-0)/2</f>
        <v>0.04</v>
      </c>
      <c r="AW10" s="986">
        <f>VLOOKUP(AW6,AR11:AV16,4)</f>
        <v>0.08</v>
      </c>
      <c r="AX10" s="435">
        <v>8</v>
      </c>
      <c r="AY10" s="337">
        <f>'Data Standar'!K163</f>
        <v>0.46</v>
      </c>
      <c r="AZ10" s="338"/>
      <c r="BA10" s="436">
        <f>IF(OR(AY10=0,AZ10=0),'Data Standar'!$K$170/3,((MAX(AY10:AZ10)-(MIN(AY10:AZ10)))))</f>
        <v>0.26333333333333336</v>
      </c>
      <c r="BB10" s="434">
        <f>(0.08-0)/2</f>
        <v>0.04</v>
      </c>
      <c r="BC10" s="986">
        <f>VLOOKUP(BC6,AX11:BB16,4)</f>
        <v>0.26333333333333336</v>
      </c>
      <c r="BD10" s="435">
        <v>8</v>
      </c>
      <c r="BE10" s="337">
        <f>'Data Standar'!L163</f>
        <v>-0.16</v>
      </c>
      <c r="BF10" s="338"/>
      <c r="BG10" s="436">
        <f>IF(OR(BE10=0,BF10=0),'Data Standar'!$L$170/3,((MAX(BE10:BF10)-(MIN(BE10:BF10)))))</f>
        <v>9.0000000000000011E-2</v>
      </c>
      <c r="BH10" s="434">
        <f>(0.08-0)/2</f>
        <v>0.04</v>
      </c>
      <c r="BI10" s="986">
        <f>VLOOKUP(BI6,BD11:BH16,5)</f>
        <v>9.5000000000000001E-2</v>
      </c>
      <c r="BJ10" s="435">
        <v>8</v>
      </c>
      <c r="BK10" s="337">
        <f>'Data Standar'!M163</f>
        <v>0.46</v>
      </c>
      <c r="BL10" s="338"/>
      <c r="BM10" s="436">
        <f>IF(OR(BK10=0,BL10=0),'Data Standar'!$M$170/3,((MAX(BK10:BL10)-(MIN(BK10:BL10)))))</f>
        <v>0.26333333333333336</v>
      </c>
      <c r="BN10" s="434">
        <f>(0.08-0)/2</f>
        <v>0.04</v>
      </c>
      <c r="BO10" s="986">
        <f>VLOOKUP(BO6,BJ11:BN16,5)</f>
        <v>9.5000000000000001E-2</v>
      </c>
      <c r="BP10" s="435">
        <v>8</v>
      </c>
      <c r="BQ10" s="337">
        <f>'Data Standar'!N163</f>
        <v>-0.4</v>
      </c>
      <c r="BR10" s="338"/>
      <c r="BS10" s="436">
        <f>IF(OR(BQ10=0,BR10=0),'Data Standar'!$N$170/3,((MAX(BQ10:BR10)-(MIN(BQ10:BR10)))))</f>
        <v>8.666666666666667E-2</v>
      </c>
      <c r="BT10" s="434">
        <f>(0.08-0)/2</f>
        <v>0.04</v>
      </c>
      <c r="BU10" s="986">
        <f>VLOOKUP(BU6,BP11:BT16,4)</f>
        <v>8.666666666666667E-2</v>
      </c>
      <c r="BV10" s="435">
        <v>8</v>
      </c>
      <c r="BW10" s="337">
        <f>'Data Standar'!O163</f>
        <v>-0.38</v>
      </c>
      <c r="BX10" s="338"/>
      <c r="BY10" s="436">
        <f>IF(OR(BW10=0,BX10=0),'Data Standar'!$O$170/3,((MAX(BW10:BX10)-(MIN(BW10:BX10)))))</f>
        <v>9.0000000000000011E-2</v>
      </c>
      <c r="BZ10" s="434">
        <f>(0.08-0)/2</f>
        <v>0.04</v>
      </c>
      <c r="CA10" s="986">
        <f>VLOOKUP(CA6,BV11:BZ16,4)</f>
        <v>9.0000000000000011E-2</v>
      </c>
      <c r="CB10" s="435">
        <v>8</v>
      </c>
      <c r="CC10" s="337">
        <f>'Data Standar'!P163</f>
        <v>0</v>
      </c>
      <c r="CD10" s="338">
        <f t="shared" si="0"/>
        <v>-0.7</v>
      </c>
      <c r="CE10" s="436">
        <f>IF(OR(CC10=0,CD10=0),'Data Standar'!$P$170/3,((MAX(CC10:CD10)-(MIN(CC10:CD10)))))</f>
        <v>0.19999999999999998</v>
      </c>
      <c r="CF10" s="434">
        <f>(0.08-0)/2</f>
        <v>0.04</v>
      </c>
      <c r="CG10" s="986">
        <f>VLOOKUP(CG6,CB11:CF16,4)</f>
        <v>0.30000000000000004</v>
      </c>
      <c r="CH10" s="435">
        <v>8</v>
      </c>
      <c r="CI10" s="337">
        <f>'Data Standar'!Q163</f>
        <v>0.08</v>
      </c>
      <c r="CJ10" s="338">
        <v>0.01</v>
      </c>
      <c r="CK10" s="436">
        <f>IF(OR(CI10=0,CJ10=0),'Data Standar'!$Q$170/3,((MAX(CI10:CJ10)-(MIN(CI10:CJ10)))))</f>
        <v>7.0000000000000007E-2</v>
      </c>
      <c r="CL10" s="434">
        <f>(0.08-0)/2</f>
        <v>0.04</v>
      </c>
      <c r="CM10" s="986">
        <f>VLOOKUP(CM6,CH11:CL16,4)</f>
        <v>0.12999999999999995</v>
      </c>
      <c r="CN10" s="435">
        <v>8</v>
      </c>
      <c r="CO10" s="337">
        <f>'Data Standar'!R163</f>
        <v>-0.46</v>
      </c>
      <c r="CP10" s="338">
        <v>0.06</v>
      </c>
      <c r="CQ10" s="436">
        <f>IF(OR(CO10=0,CP10=0),'Data Standar'!$R$170/3,((MAX(CO10:CP10)-(MIN(CO10:CP10)))))</f>
        <v>0.52</v>
      </c>
      <c r="CR10" s="434">
        <f>(0.08-0)/2</f>
        <v>0.04</v>
      </c>
      <c r="CS10" s="986">
        <f>VLOOKUP(CS6,CN11:CR16,4)</f>
        <v>1.25</v>
      </c>
    </row>
    <row r="11" spans="1:97" s="427" customFormat="1" ht="13">
      <c r="A11" s="423"/>
      <c r="B11" s="435">
        <v>37</v>
      </c>
      <c r="C11" s="338">
        <v>9.9999999999999995E-7</v>
      </c>
      <c r="D11" s="338">
        <f>'Data Standar'!C164</f>
        <v>0.2</v>
      </c>
      <c r="E11" s="436">
        <f>IF(OR(C11=0,D11=0),'Data Standar'!$C$170/3,((MAX(C11:D11)-(MIN(C11:D11)))))</f>
        <v>0.19999900000000001</v>
      </c>
      <c r="F11" s="437">
        <f>(0.23+0.2)/2</f>
        <v>0.21500000000000002</v>
      </c>
      <c r="G11" s="987"/>
      <c r="H11" s="435">
        <v>37</v>
      </c>
      <c r="I11" s="338">
        <v>0.04</v>
      </c>
      <c r="J11" s="338">
        <f>'Data Standar'!D164</f>
        <v>0.21</v>
      </c>
      <c r="K11" s="436">
        <f>IF(OR(I11=0,J11=0),'Data Standar'!$D$170/3,((MAX(I11:J11)-(MIN(I11:J11)))))</f>
        <v>0.16999999999999998</v>
      </c>
      <c r="L11" s="437">
        <f t="shared" si="1"/>
        <v>0.05</v>
      </c>
      <c r="M11" s="987"/>
      <c r="N11" s="435">
        <v>37</v>
      </c>
      <c r="O11" s="337">
        <v>-0.15</v>
      </c>
      <c r="P11" s="338">
        <f>'Data Standar'!E164</f>
        <v>0</v>
      </c>
      <c r="Q11" s="436">
        <f>IF(OR(O11=0,P11=0),'Data Standar'!$E$170/3,((MAX(O11:P11)-(MIN(O11:P11)))))</f>
        <v>9.3333333333333338E-2</v>
      </c>
      <c r="R11" s="434">
        <f>(0.13-0)/2</f>
        <v>6.5000000000000002E-2</v>
      </c>
      <c r="S11" s="987"/>
      <c r="T11" s="435">
        <v>37</v>
      </c>
      <c r="U11" s="337">
        <f>'Data Standar'!F164</f>
        <v>0.5</v>
      </c>
      <c r="V11" s="338"/>
      <c r="W11" s="436">
        <f>IF(OR(U11=0,V11=0),'Data Standar'!$F$170/3,((MAX(U11:V11)-(MIN(U11:V11)))))</f>
        <v>8.3333333333333329E-2</v>
      </c>
      <c r="X11" s="434">
        <f>(0.13-0)/2</f>
        <v>6.5000000000000002E-2</v>
      </c>
      <c r="Y11" s="987"/>
      <c r="Z11" s="435">
        <v>37</v>
      </c>
      <c r="AA11" s="337">
        <f>'Data Standar'!G164</f>
        <v>0.05</v>
      </c>
      <c r="AB11" s="338">
        <v>0.56000000000000005</v>
      </c>
      <c r="AC11" s="436">
        <f>IF(OR(AA11=0,AB11=0),'Data Standar'!$G$170/3,((MAX(AA11:AB11)-(MIN(AA11:AB11)))))</f>
        <v>0.51</v>
      </c>
      <c r="AD11" s="434">
        <f>(0.13-0)/2</f>
        <v>6.5000000000000002E-2</v>
      </c>
      <c r="AE11" s="987"/>
      <c r="AF11" s="435">
        <v>37</v>
      </c>
      <c r="AG11" s="337">
        <f>'Data Standar'!H164</f>
        <v>0.05</v>
      </c>
      <c r="AH11" s="338">
        <v>0.72</v>
      </c>
      <c r="AI11" s="436">
        <f>IF(OR(AG11=0,AH11=0),'Data Standar'!$H$170/3,((MAX(AG11:AH11)-(MIN(AG11:AH11)))))</f>
        <v>0.66999999999999993</v>
      </c>
      <c r="AJ11" s="434">
        <f>(0.13-0)/2</f>
        <v>6.5000000000000002E-2</v>
      </c>
      <c r="AK11" s="987"/>
      <c r="AL11" s="435">
        <v>37</v>
      </c>
      <c r="AM11" s="337">
        <f>'Data Standar'!I164</f>
        <v>0.41</v>
      </c>
      <c r="AN11" s="338"/>
      <c r="AO11" s="436">
        <f>IF(OR(AM11=0,AN11=0),'Data Standar'!$I$170/3,((MAX(AM11:AN11)-(MIN(AM11:AN11)))))</f>
        <v>8.3333333333333329E-2</v>
      </c>
      <c r="AP11" s="434">
        <f>(0.13-0)/2</f>
        <v>6.5000000000000002E-2</v>
      </c>
      <c r="AQ11" s="987"/>
      <c r="AR11" s="435">
        <v>37</v>
      </c>
      <c r="AS11" s="337">
        <f>'Data Standar'!J164</f>
        <v>0.33</v>
      </c>
      <c r="AT11" s="338"/>
      <c r="AU11" s="436">
        <f>IF(OR(AS11=0,AT11=0),'Data Standar'!$J$170/3,((MAX(AS11:AT11)-(MIN(AS11:AT11)))))</f>
        <v>0.08</v>
      </c>
      <c r="AV11" s="434">
        <f>(0.13-0)/2</f>
        <v>6.5000000000000002E-2</v>
      </c>
      <c r="AW11" s="987"/>
      <c r="AX11" s="435">
        <v>37</v>
      </c>
      <c r="AY11" s="337">
        <f>'Data Standar'!K164</f>
        <v>0.38</v>
      </c>
      <c r="AZ11" s="338"/>
      <c r="BA11" s="436">
        <f>IF(OR(AY11=0,AZ11=0),'Data Standar'!$K$170/3,((MAX(AY11:AZ11)-(MIN(AY11:AZ11)))))</f>
        <v>0.26333333333333336</v>
      </c>
      <c r="BB11" s="434">
        <f>(0.13-0)/2</f>
        <v>6.5000000000000002E-2</v>
      </c>
      <c r="BC11" s="987"/>
      <c r="BD11" s="435">
        <v>37</v>
      </c>
      <c r="BE11" s="337">
        <f>'Data Standar'!L164</f>
        <v>0.65</v>
      </c>
      <c r="BF11" s="338"/>
      <c r="BG11" s="436">
        <f>IF(OR(BE11=0,BF11=0),'Data Standar'!$L$170/3,((MAX(BE11:BF11)-(MIN(BE11:BF11)))))</f>
        <v>9.0000000000000011E-2</v>
      </c>
      <c r="BH11" s="434">
        <f>(0.13-0)/2</f>
        <v>6.5000000000000002E-2</v>
      </c>
      <c r="BI11" s="987"/>
      <c r="BJ11" s="435">
        <v>37</v>
      </c>
      <c r="BK11" s="337">
        <f>'Data Standar'!M164</f>
        <v>0.38</v>
      </c>
      <c r="BL11" s="338"/>
      <c r="BM11" s="436">
        <f>IF(OR(BK11=0,BL11=0),'Data Standar'!$M$170/3,((MAX(BK11:BL11)-(MIN(BK11:BL11)))))</f>
        <v>0.26333333333333336</v>
      </c>
      <c r="BN11" s="434">
        <f>(0.13-0)/2</f>
        <v>6.5000000000000002E-2</v>
      </c>
      <c r="BO11" s="987"/>
      <c r="BP11" s="435">
        <v>37</v>
      </c>
      <c r="BQ11" s="337">
        <f>'Data Standar'!N164</f>
        <v>0.45</v>
      </c>
      <c r="BR11" s="338"/>
      <c r="BS11" s="436">
        <f>IF(OR(BQ11=0,BR11=0),'Data Standar'!$N$170/3,((MAX(BQ11:BR11)-(MIN(BQ11:BR11)))))</f>
        <v>8.666666666666667E-2</v>
      </c>
      <c r="BT11" s="434">
        <f>(0.13-0)/2</f>
        <v>6.5000000000000002E-2</v>
      </c>
      <c r="BU11" s="987"/>
      <c r="BV11" s="435">
        <v>37</v>
      </c>
      <c r="BW11" s="337">
        <f>'Data Standar'!O164</f>
        <v>0.52</v>
      </c>
      <c r="BX11" s="338"/>
      <c r="BY11" s="436">
        <f>IF(OR(BW11=0,BX11=0),'Data Standar'!$O$170/3,((MAX(BW11:BX11)-(MIN(BW11:BX11)))))</f>
        <v>9.0000000000000011E-2</v>
      </c>
      <c r="BZ11" s="434">
        <f>(0.13-0)/2</f>
        <v>6.5000000000000002E-2</v>
      </c>
      <c r="CA11" s="987"/>
      <c r="CB11" s="435">
        <v>37</v>
      </c>
      <c r="CC11" s="337">
        <f>'Data Standar'!P164</f>
        <v>0</v>
      </c>
      <c r="CD11" s="338">
        <f t="shared" si="0"/>
        <v>-0.6</v>
      </c>
      <c r="CE11" s="436">
        <f>IF(OR(CC11=0,CD11=0),'Data Standar'!$P$170/3,((MAX(CC11:CD11)-(MIN(CC11:CD11)))))</f>
        <v>0.19999999999999998</v>
      </c>
      <c r="CF11" s="434">
        <f>(0.13-0)/2</f>
        <v>6.5000000000000002E-2</v>
      </c>
      <c r="CG11" s="987"/>
      <c r="CH11" s="435">
        <v>37</v>
      </c>
      <c r="CI11" s="337">
        <f>'Data Standar'!Q164</f>
        <v>0.23</v>
      </c>
      <c r="CJ11" s="338">
        <v>0.19</v>
      </c>
      <c r="CK11" s="436">
        <f>IF(OR(CI11=0,CJ11=0),'Data Standar'!$Q$170/3,((MAX(CI11:CJ11)-(MIN(CI11:CJ11)))))</f>
        <v>4.0000000000000008E-2</v>
      </c>
      <c r="CL11" s="434">
        <f>(0.13-0)/2</f>
        <v>6.5000000000000002E-2</v>
      </c>
      <c r="CM11" s="987"/>
      <c r="CN11" s="435">
        <v>37</v>
      </c>
      <c r="CO11" s="337">
        <f>'Data Standar'!R164</f>
        <v>0.42</v>
      </c>
      <c r="CP11" s="338">
        <v>0.45</v>
      </c>
      <c r="CQ11" s="436">
        <f>IF(OR(CO11=0,CP11=0),'Data Standar'!$R$170/3,((MAX(CO11:CP11)-(MIN(CO11:CP11)))))</f>
        <v>3.0000000000000027E-2</v>
      </c>
      <c r="CR11" s="434">
        <f>(0.13-0)/2</f>
        <v>6.5000000000000002E-2</v>
      </c>
      <c r="CS11" s="987"/>
    </row>
    <row r="12" spans="1:97" s="427" customFormat="1" ht="13">
      <c r="A12" s="423"/>
      <c r="B12" s="435">
        <v>44</v>
      </c>
      <c r="C12" s="338">
        <v>0.02</v>
      </c>
      <c r="D12" s="338">
        <f>'Data Standar'!C165</f>
        <v>0.28999999999999998</v>
      </c>
      <c r="E12" s="436">
        <f>IF(OR(C12=0,D12=0),'Data Standar'!$C$170/3,((MAX(C12:D12)-(MIN(C12:D12)))))</f>
        <v>0.26999999999999996</v>
      </c>
      <c r="F12" s="437">
        <f>(0.36+0.17)/2</f>
        <v>0.26500000000000001</v>
      </c>
      <c r="G12" s="988">
        <f>(((G10-G8)/(G6-G4))*(G3-G4))+G8</f>
        <v>0.50555149999999993</v>
      </c>
      <c r="H12" s="435">
        <v>44</v>
      </c>
      <c r="I12" s="338">
        <v>0.06</v>
      </c>
      <c r="J12" s="338">
        <f>'Data Standar'!D165</f>
        <v>0.28000000000000003</v>
      </c>
      <c r="K12" s="436">
        <f>IF(OR(I12=0,J12=0),'Data Standar'!$D$170/3,((MAX(I12:J12)-(MIN(I12:J12)))))</f>
        <v>0.22000000000000003</v>
      </c>
      <c r="L12" s="437">
        <f>(0+0.09)/2</f>
        <v>4.4999999999999998E-2</v>
      </c>
      <c r="M12" s="988">
        <f>(((M10-M8)/(M6-M4))*(M3-M4))+M8</f>
        <v>0.55013716666666668</v>
      </c>
      <c r="N12" s="435">
        <v>44</v>
      </c>
      <c r="O12" s="337">
        <v>-0.18</v>
      </c>
      <c r="P12" s="338">
        <f>'Data Standar'!E165</f>
        <v>0.02</v>
      </c>
      <c r="Q12" s="436">
        <f>IF(OR(O12=0,P12=0),'Data Standar'!$E$170/3,((MAX(O12:P12)-(MIN(O12:P12)))))</f>
        <v>0.19999999999999998</v>
      </c>
      <c r="R12" s="434">
        <f>(0.14-0)/2</f>
        <v>7.0000000000000007E-2</v>
      </c>
      <c r="S12" s="988">
        <f>(((S10-S8)/(S6-S4))*(S3-S4))+S8</f>
        <v>0.14980683333333333</v>
      </c>
      <c r="T12" s="435">
        <v>44</v>
      </c>
      <c r="U12" s="337">
        <f>'Data Standar'!F165</f>
        <v>0.62</v>
      </c>
      <c r="V12" s="338"/>
      <c r="W12" s="436">
        <f>IF(OR(U12=0,V12=0),'Data Standar'!$F$170/3,((MAX(U12:V12)-(MIN(U12:V12)))))</f>
        <v>8.3333333333333329E-2</v>
      </c>
      <c r="X12" s="434">
        <f>(0.14-0)/2</f>
        <v>7.0000000000000007E-2</v>
      </c>
      <c r="Y12" s="988">
        <f>(((Y10-Y8)/(Y6-Y4))*(Y3-Y4))+Y8</f>
        <v>8.3333333333333329E-2</v>
      </c>
      <c r="Z12" s="435">
        <v>44</v>
      </c>
      <c r="AA12" s="337">
        <f>'Data Standar'!G165</f>
        <v>0.06</v>
      </c>
      <c r="AB12" s="338">
        <v>0.62</v>
      </c>
      <c r="AC12" s="436">
        <f>IF(OR(AA12=0,AB12=0),'Data Standar'!$G$170/3,((MAX(AA12:AB12)-(MIN(AA12:AB12)))))</f>
        <v>0.56000000000000005</v>
      </c>
      <c r="AD12" s="434">
        <f>(0.14-0)/2</f>
        <v>7.0000000000000007E-2</v>
      </c>
      <c r="AE12" s="988">
        <f>(((AE10-AE8)/(AE6-AE4))*(AE3-AE4))+AE8</f>
        <v>0.23820550000000007</v>
      </c>
      <c r="AF12" s="435">
        <v>44</v>
      </c>
      <c r="AG12" s="337">
        <f>'Data Standar'!H165</f>
        <v>0.06</v>
      </c>
      <c r="AH12" s="338">
        <v>0.75</v>
      </c>
      <c r="AI12" s="436">
        <f>IF(OR(AG12=0,AH12=0),'Data Standar'!$H$170/3,((MAX(AG12:AH12)-(MIN(AG12:AH12)))))</f>
        <v>0.69</v>
      </c>
      <c r="AJ12" s="434">
        <f>(0.14-0)/2</f>
        <v>7.0000000000000007E-2</v>
      </c>
      <c r="AK12" s="988">
        <f>(((AK10-AK8)/(AK6-AK4))*(AK3-AK4))+AK8</f>
        <v>0.47737683333333336</v>
      </c>
      <c r="AL12" s="435">
        <v>44</v>
      </c>
      <c r="AM12" s="337">
        <f>'Data Standar'!I165</f>
        <v>0.41</v>
      </c>
      <c r="AN12" s="338"/>
      <c r="AO12" s="436">
        <f>IF(OR(AM12=0,AN12=0),'Data Standar'!$I$170/3,((MAX(AM12:AN12)-(MIN(AM12:AN12)))))</f>
        <v>8.3333333333333329E-2</v>
      </c>
      <c r="AP12" s="434">
        <f>(0.14-0)/2</f>
        <v>7.0000000000000007E-2</v>
      </c>
      <c r="AQ12" s="988">
        <f>(((AQ10-AQ8)/(AQ6-AQ4))*(AQ3-AQ4))+AQ8</f>
        <v>8.3333333333333329E-2</v>
      </c>
      <c r="AR12" s="435">
        <v>44</v>
      </c>
      <c r="AS12" s="337">
        <f>'Data Standar'!J165</f>
        <v>0.33</v>
      </c>
      <c r="AT12" s="338"/>
      <c r="AU12" s="436">
        <f>IF(OR(AS12=0,AT12=0),'Data Standar'!$J$170/3,((MAX(AS12:AT12)-(MIN(AS12:AT12)))))</f>
        <v>0.08</v>
      </c>
      <c r="AV12" s="434">
        <f>(0.14-0)/2</f>
        <v>7.0000000000000007E-2</v>
      </c>
      <c r="AW12" s="988">
        <f>(((AW10-AW8)/(AW6-AW4))*(AW3-AW4))+AW8</f>
        <v>0.08</v>
      </c>
      <c r="AX12" s="435">
        <v>44</v>
      </c>
      <c r="AY12" s="337">
        <f>'Data Standar'!K165</f>
        <v>0.36</v>
      </c>
      <c r="AZ12" s="338"/>
      <c r="BA12" s="436">
        <f>IF(OR(AY12=0,AZ12=0),'Data Standar'!$K$170/3,((MAX(AY12:AZ12)-(MIN(AY12:AZ12)))))</f>
        <v>0.26333333333333336</v>
      </c>
      <c r="BB12" s="434">
        <f>(0.14-0)/2</f>
        <v>7.0000000000000007E-2</v>
      </c>
      <c r="BC12" s="988">
        <f>(((BC10-BC8)/(BC6-BC4))*(BC3-BC4))+BC8</f>
        <v>0.26333333333333336</v>
      </c>
      <c r="BD12" s="435">
        <v>44</v>
      </c>
      <c r="BE12" s="337">
        <f>'Data Standar'!L165</f>
        <v>0.75</v>
      </c>
      <c r="BF12" s="338"/>
      <c r="BG12" s="436">
        <f>IF(OR(BE12=0,BF12=0),'Data Standar'!$L$170/3,((MAX(BE12:BF12)-(MIN(BE12:BF12)))))</f>
        <v>9.0000000000000011E-2</v>
      </c>
      <c r="BH12" s="434">
        <f>(0.14-0)/2</f>
        <v>7.0000000000000007E-2</v>
      </c>
      <c r="BI12" s="988">
        <f>(((BI10-BI8)/(BI6-BI4))*(BI3-BI4))+BI8</f>
        <v>0.10270716666666667</v>
      </c>
      <c r="BJ12" s="435">
        <v>44</v>
      </c>
      <c r="BK12" s="337">
        <f>'Data Standar'!M165</f>
        <v>0.36</v>
      </c>
      <c r="BL12" s="338"/>
      <c r="BM12" s="436">
        <f>IF(OR(BK12=0,BL12=0),'Data Standar'!$M$170/3,((MAX(BK12:BL12)-(MIN(BK12:BL12)))))</f>
        <v>0.26333333333333336</v>
      </c>
      <c r="BN12" s="434">
        <f>(0.14-0)/2</f>
        <v>7.0000000000000007E-2</v>
      </c>
      <c r="BO12" s="988">
        <f>(((BO10-BO8)/(BO6-BO4))*(BO3-BO4))+BO8</f>
        <v>0.10270716666666667</v>
      </c>
      <c r="BP12" s="435">
        <v>44</v>
      </c>
      <c r="BQ12" s="337">
        <f>'Data Standar'!N165</f>
        <v>0.56000000000000005</v>
      </c>
      <c r="BR12" s="338"/>
      <c r="BS12" s="436">
        <f>IF(OR(BQ12=0,BR12=0),'Data Standar'!$N$170/3,((MAX(BQ12:BR12)-(MIN(BQ12:BR12)))))</f>
        <v>8.666666666666667E-2</v>
      </c>
      <c r="BT12" s="434">
        <f>(0.14-0)/2</f>
        <v>7.0000000000000007E-2</v>
      </c>
      <c r="BU12" s="988">
        <f>(((BU10-BU8)/(BU6-BU4))*(BU3-BU4))+BU8</f>
        <v>8.666666666666667E-2</v>
      </c>
      <c r="BV12" s="435">
        <v>44</v>
      </c>
      <c r="BW12" s="337">
        <f>'Data Standar'!O165</f>
        <v>0.65</v>
      </c>
      <c r="BX12" s="338"/>
      <c r="BY12" s="436">
        <f>IF(OR(BW12=0,BX12=0),'Data Standar'!$O$170/3,((MAX(BW12:BX12)-(MIN(BW12:BX12)))))</f>
        <v>9.0000000000000011E-2</v>
      </c>
      <c r="BZ12" s="434">
        <f>(0.14-0)/2</f>
        <v>7.0000000000000007E-2</v>
      </c>
      <c r="CA12" s="988">
        <f>(((CA10-CA8)/(CA6-CA4))*(CA3-CA4))+CA8</f>
        <v>9.0000000000000011E-2</v>
      </c>
      <c r="CB12" s="435">
        <v>44</v>
      </c>
      <c r="CC12" s="337">
        <f>'Data Standar'!P165</f>
        <v>0</v>
      </c>
      <c r="CD12" s="338">
        <f t="shared" si="0"/>
        <v>-0.7</v>
      </c>
      <c r="CE12" s="436">
        <f>IF(OR(CC12=0,CD12=0),'Data Standar'!$P$170/3,((MAX(CC12:CD12)-(MIN(CC12:CD12)))))</f>
        <v>0.19999999999999998</v>
      </c>
      <c r="CF12" s="434">
        <f>(0.14-0)/2</f>
        <v>7.0000000000000007E-2</v>
      </c>
      <c r="CG12" s="988">
        <f>(((CG10-CG8)/(CG6-CG4))*(CG3-CG4))+CG8</f>
        <v>0.83950166666666659</v>
      </c>
      <c r="CH12" s="435">
        <v>44</v>
      </c>
      <c r="CI12" s="337">
        <f>'Data Standar'!Q165</f>
        <v>0.25</v>
      </c>
      <c r="CJ12" s="338">
        <v>0.21</v>
      </c>
      <c r="CK12" s="436">
        <f>IF(OR(CI12=0,CJ12=0),'Data Standar'!$Q$170/3,((MAX(CI12:CJ12)-(MIN(CI12:CJ12)))))</f>
        <v>4.0000000000000008E-2</v>
      </c>
      <c r="CL12" s="434">
        <f>(0.14-0)/2</f>
        <v>7.0000000000000007E-2</v>
      </c>
      <c r="CM12" s="988">
        <f>(((CM10-CM8)/(CM6-CM4))*(CM3-CM4))+CM8</f>
        <v>9.1464166666666652E-2</v>
      </c>
      <c r="CN12" s="435">
        <v>44</v>
      </c>
      <c r="CO12" s="337">
        <f>'Data Standar'!R165</f>
        <v>0.56999999999999995</v>
      </c>
      <c r="CP12" s="338">
        <v>0.52</v>
      </c>
      <c r="CQ12" s="436">
        <f>IF(OR(CO12=0,CP12=0),'Data Standar'!$R$170/3,((MAX(CO12:CP12)-(MIN(CO12:CP12)))))</f>
        <v>4.9999999999999933E-2</v>
      </c>
      <c r="CR12" s="434">
        <f>(0.14-0)/2</f>
        <v>7.0000000000000007E-2</v>
      </c>
      <c r="CS12" s="988">
        <f>(((CS10-CS8)/(CS6-CS4))*(CS3-CS4))+CS8</f>
        <v>0.57947650000000006</v>
      </c>
    </row>
    <row r="13" spans="1:97" s="427" customFormat="1" ht="13">
      <c r="A13" s="423"/>
      <c r="B13" s="435">
        <v>50</v>
      </c>
      <c r="C13" s="338">
        <v>0.04</v>
      </c>
      <c r="D13" s="338">
        <f>'Data Standar'!C166</f>
        <v>0.37</v>
      </c>
      <c r="E13" s="436">
        <f>IF(OR(C13=0,D13=0),'Data Standar'!$C$170/3,((MAX(C13:D13)-(MIN(C13:D13)))))</f>
        <v>0.33</v>
      </c>
      <c r="F13" s="437">
        <f>(0.46+0.15)/2</f>
        <v>0.30499999999999999</v>
      </c>
      <c r="G13" s="438"/>
      <c r="H13" s="435">
        <v>50</v>
      </c>
      <c r="I13" s="338">
        <v>0.06</v>
      </c>
      <c r="J13" s="338">
        <f>'Data Standar'!D166</f>
        <v>0.33</v>
      </c>
      <c r="K13" s="436">
        <f>IF(OR(I13=0,J13=0),'Data Standar'!$D$170/3,((MAX(I13:J13)-(MIN(I13:J13)))))</f>
        <v>0.27</v>
      </c>
      <c r="L13" s="437">
        <f>(0+0.06)/2</f>
        <v>0.03</v>
      </c>
      <c r="M13" s="438"/>
      <c r="N13" s="435">
        <v>50</v>
      </c>
      <c r="O13" s="337">
        <v>0.36</v>
      </c>
      <c r="P13" s="338">
        <f>'Data Standar'!E166</f>
        <v>0.02</v>
      </c>
      <c r="Q13" s="436">
        <f>IF(OR(O13=0,P13=0),'Data Standar'!$E$170/3,((MAX(O13:P13)-(MIN(O13:P13)))))</f>
        <v>0.33999999999999997</v>
      </c>
      <c r="R13" s="434">
        <f>(0.15-0)/2</f>
        <v>7.4999999999999997E-2</v>
      </c>
      <c r="S13" s="423"/>
      <c r="T13" s="435">
        <v>50</v>
      </c>
      <c r="U13" s="337">
        <f>'Data Standar'!F166</f>
        <v>0.65</v>
      </c>
      <c r="V13" s="338"/>
      <c r="W13" s="436">
        <f>IF(OR(U13=0,V13=0),'Data Standar'!$F$170/3,((MAX(U13:V13)-(MIN(U13:V13)))))</f>
        <v>8.3333333333333329E-2</v>
      </c>
      <c r="X13" s="434">
        <f>(0.15-0)/2</f>
        <v>7.4999999999999997E-2</v>
      </c>
      <c r="Y13" s="423"/>
      <c r="Z13" s="435">
        <v>50</v>
      </c>
      <c r="AA13" s="337">
        <f>'Data Standar'!G166</f>
        <v>7.0000000000000007E-2</v>
      </c>
      <c r="AB13" s="338">
        <v>0.66</v>
      </c>
      <c r="AC13" s="436">
        <f>IF(OR(AA13=0,AB13=0),'Data Standar'!$G$170/3,((MAX(AA13:AB13)-(MIN(AA13:AB13)))))</f>
        <v>0.59000000000000008</v>
      </c>
      <c r="AD13" s="434">
        <f>(0.15-0)/2</f>
        <v>7.4999999999999997E-2</v>
      </c>
      <c r="AE13" s="423"/>
      <c r="AF13" s="435">
        <v>50</v>
      </c>
      <c r="AG13" s="337">
        <f>'Data Standar'!H166</f>
        <v>7.0000000000000007E-2</v>
      </c>
      <c r="AH13" s="338">
        <v>0.76</v>
      </c>
      <c r="AI13" s="436">
        <f>IF(OR(AG13=0,AH13=0),'Data Standar'!$H$170/3,((MAX(AG13:AH13)-(MIN(AG13:AH13)))))</f>
        <v>0.69</v>
      </c>
      <c r="AJ13" s="434">
        <f>(0.15-0)/2</f>
        <v>7.4999999999999997E-2</v>
      </c>
      <c r="AK13" s="423"/>
      <c r="AL13" s="435">
        <v>50</v>
      </c>
      <c r="AM13" s="337">
        <f>'Data Standar'!I166</f>
        <v>0.41</v>
      </c>
      <c r="AN13" s="338"/>
      <c r="AO13" s="436">
        <f>IF(OR(AM13=0,AN13=0),'Data Standar'!$I$170/3,((MAX(AM13:AN13)-(MIN(AM13:AN13)))))</f>
        <v>8.3333333333333329E-2</v>
      </c>
      <c r="AP13" s="434">
        <f>(0.15-0)/2</f>
        <v>7.4999999999999997E-2</v>
      </c>
      <c r="AQ13" s="423"/>
      <c r="AR13" s="435">
        <v>50</v>
      </c>
      <c r="AS13" s="337">
        <f>'Data Standar'!J166</f>
        <v>0.33</v>
      </c>
      <c r="AT13" s="338"/>
      <c r="AU13" s="436">
        <f>IF(OR(AS13=0,AT13=0),'Data Standar'!$J$170/3,((MAX(AS13:AT13)-(MIN(AS13:AT13)))))</f>
        <v>0.08</v>
      </c>
      <c r="AV13" s="434">
        <f>(0.15-0)/2</f>
        <v>7.4999999999999997E-2</v>
      </c>
      <c r="AW13" s="423"/>
      <c r="AX13" s="435">
        <v>50</v>
      </c>
      <c r="AY13" s="337">
        <f>'Data Standar'!K166</f>
        <v>0.34</v>
      </c>
      <c r="AZ13" s="338"/>
      <c r="BA13" s="436">
        <f>IF(OR(AY13=0,AZ13=0),'Data Standar'!$K$170/3,((MAX(AY13:AZ13)-(MIN(AY13:AZ13)))))</f>
        <v>0.26333333333333336</v>
      </c>
      <c r="BB13" s="434">
        <f>(0.15-0)/2</f>
        <v>7.4999999999999997E-2</v>
      </c>
      <c r="BC13" s="423"/>
      <c r="BD13" s="435">
        <v>50</v>
      </c>
      <c r="BE13" s="337">
        <f>'Data Standar'!L166</f>
        <v>0.8</v>
      </c>
      <c r="BF13" s="338"/>
      <c r="BG13" s="436">
        <f>IF(OR(BE13=0,BF13=0),'Data Standar'!$L$170/3,((MAX(BE13:BF13)-(MIN(BE13:BF13)))))</f>
        <v>9.0000000000000011E-2</v>
      </c>
      <c r="BH13" s="434">
        <f>(0.15-0)/2</f>
        <v>7.4999999999999997E-2</v>
      </c>
      <c r="BI13" s="423"/>
      <c r="BJ13" s="435">
        <v>50</v>
      </c>
      <c r="BK13" s="337">
        <f>'Data Standar'!M166</f>
        <v>0.34</v>
      </c>
      <c r="BL13" s="338"/>
      <c r="BM13" s="436">
        <f>IF(OR(BK13=0,BL13=0),'Data Standar'!$M$170/3,((MAX(BK13:BL13)-(MIN(BK13:BL13)))))</f>
        <v>0.26333333333333336</v>
      </c>
      <c r="BN13" s="434">
        <f>(0.15-0)/2</f>
        <v>7.4999999999999997E-2</v>
      </c>
      <c r="BO13" s="423"/>
      <c r="BP13" s="435">
        <v>50</v>
      </c>
      <c r="BQ13" s="337">
        <f>'Data Standar'!N166</f>
        <v>0.64</v>
      </c>
      <c r="BR13" s="338"/>
      <c r="BS13" s="436">
        <f>IF(OR(BQ13=0,BR13=0),'Data Standar'!$N$170/3,((MAX(BQ13:BR13)-(MIN(BQ13:BR13)))))</f>
        <v>8.666666666666667E-2</v>
      </c>
      <c r="BT13" s="434">
        <f>(0.15-0)/2</f>
        <v>7.4999999999999997E-2</v>
      </c>
      <c r="BU13" s="423"/>
      <c r="BV13" s="435">
        <v>50</v>
      </c>
      <c r="BW13" s="337">
        <f>'Data Standar'!O166</f>
        <v>0.74</v>
      </c>
      <c r="BX13" s="338"/>
      <c r="BY13" s="436">
        <f>IF(OR(BW13=0,BX13=0),'Data Standar'!$O$170/3,((MAX(BW13:BX13)-(MIN(BW13:BX13)))))</f>
        <v>9.0000000000000011E-2</v>
      </c>
      <c r="BZ13" s="434">
        <f>(0.15-0)/2</f>
        <v>7.4999999999999997E-2</v>
      </c>
      <c r="CA13" s="423"/>
      <c r="CB13" s="435">
        <v>50</v>
      </c>
      <c r="CC13" s="337">
        <f>'Data Standar'!P166</f>
        <v>-1</v>
      </c>
      <c r="CD13" s="338">
        <f t="shared" si="0"/>
        <v>-0.7</v>
      </c>
      <c r="CE13" s="436">
        <f>IF(OR(CC13=0,CD13=0),'Data Standar'!$P$170/3,((MAX(CC13:CD13)-(MIN(CC13:CD13)))))</f>
        <v>0.30000000000000004</v>
      </c>
      <c r="CF13" s="434">
        <f>(0.15-0)/2</f>
        <v>7.4999999999999997E-2</v>
      </c>
      <c r="CG13" s="423"/>
      <c r="CH13" s="435">
        <v>50</v>
      </c>
      <c r="CI13" s="337">
        <f>'Data Standar'!Q166</f>
        <v>0.27</v>
      </c>
      <c r="CJ13" s="338">
        <v>0.22</v>
      </c>
      <c r="CK13" s="436">
        <f>IF(OR(CI13=0,CJ13=0),'Data Standar'!$Q$170/3,((MAX(CI13:CJ13)-(MIN(CI13:CJ13)))))</f>
        <v>5.0000000000000017E-2</v>
      </c>
      <c r="CL13" s="434">
        <f>(0.15-0)/2</f>
        <v>7.4999999999999997E-2</v>
      </c>
      <c r="CM13" s="423"/>
      <c r="CN13" s="435">
        <v>50</v>
      </c>
      <c r="CO13" s="337">
        <f>'Data Standar'!R166</f>
        <v>0.67</v>
      </c>
      <c r="CP13" s="338">
        <v>0.56999999999999995</v>
      </c>
      <c r="CQ13" s="436">
        <f>IF(OR(CO13=0,CP13=0),'Data Standar'!$R$170/3,((MAX(CO13:CP13)-(MIN(CO13:CP13)))))</f>
        <v>0.10000000000000009</v>
      </c>
      <c r="CR13" s="434">
        <f>(0.15-0)/2</f>
        <v>7.4999999999999997E-2</v>
      </c>
      <c r="CS13" s="423"/>
    </row>
    <row r="14" spans="1:97" s="427" customFormat="1" ht="13">
      <c r="A14" s="423"/>
      <c r="B14" s="435">
        <v>100</v>
      </c>
      <c r="C14" s="338">
        <v>0.08</v>
      </c>
      <c r="D14" s="338">
        <f>'Data Standar'!C167</f>
        <v>0.76</v>
      </c>
      <c r="E14" s="436">
        <f>IF(OR(C14=0,D14=0),'Data Standar'!$C$170/3,((MAX(C14:D14)-(MIN(C14:D14)))))</f>
        <v>0.68</v>
      </c>
      <c r="F14" s="437">
        <f>(0.78+0.12)/2</f>
        <v>0.45</v>
      </c>
      <c r="G14" s="438"/>
      <c r="H14" s="435">
        <v>100</v>
      </c>
      <c r="I14" s="338">
        <v>-0.1</v>
      </c>
      <c r="J14" s="338">
        <f>'Data Standar'!D167</f>
        <v>0.55000000000000004</v>
      </c>
      <c r="K14" s="436">
        <f>IF(OR(I14=0,J14=0),'Data Standar'!$D$170/3,((MAX(I14:J14)-(MIN(I14:J14)))))</f>
        <v>0.65</v>
      </c>
      <c r="L14" s="437">
        <f>(0.06-0)/2</f>
        <v>0.03</v>
      </c>
      <c r="M14" s="438"/>
      <c r="N14" s="435">
        <v>100</v>
      </c>
      <c r="O14" s="337">
        <v>0.15</v>
      </c>
      <c r="P14" s="338">
        <f>'Data Standar'!E167</f>
        <v>-0.1</v>
      </c>
      <c r="Q14" s="436">
        <f>IF(OR(O14=0,P14=0),'Data Standar'!$E$170/3,((MAX(O14:P14)-(MIN(O14:P14)))))</f>
        <v>0.25</v>
      </c>
      <c r="R14" s="434">
        <f>(0.2-0)/2</f>
        <v>0.1</v>
      </c>
      <c r="S14" s="423"/>
      <c r="T14" s="435">
        <v>100</v>
      </c>
      <c r="U14" s="337">
        <f>'Data Standar'!F167</f>
        <v>0.65</v>
      </c>
      <c r="V14" s="338"/>
      <c r="W14" s="436">
        <f>IF(OR(U14=0,V14=0),'Data Standar'!$F$170/3,((MAX(U14:V14)-(MIN(U14:V14)))))</f>
        <v>8.3333333333333329E-2</v>
      </c>
      <c r="X14" s="434">
        <f>(0.2-0)/2</f>
        <v>0.1</v>
      </c>
      <c r="Y14" s="423"/>
      <c r="Z14" s="435">
        <v>100</v>
      </c>
      <c r="AA14" s="337">
        <f>'Data Standar'!G167</f>
        <v>0.18</v>
      </c>
      <c r="AB14" s="338">
        <v>0.66</v>
      </c>
      <c r="AC14" s="436">
        <f>IF(OR(AA14=0,AB14=0),'Data Standar'!$G$170/3,((MAX(AA14:AB14)-(MIN(AA14:AB14)))))</f>
        <v>0.48000000000000004</v>
      </c>
      <c r="AD14" s="434">
        <f>(0.2-0)/2</f>
        <v>0.1</v>
      </c>
      <c r="AE14" s="423"/>
      <c r="AF14" s="435">
        <v>100</v>
      </c>
      <c r="AG14" s="337">
        <f>'Data Standar'!H167</f>
        <v>0.19</v>
      </c>
      <c r="AH14" s="338">
        <v>0.56999999999999995</v>
      </c>
      <c r="AI14" s="436">
        <f>IF(OR(AG14=0,AH14=0),'Data Standar'!$H$170/3,((MAX(AG14:AH14)-(MIN(AG14:AH14)))))</f>
        <v>0.37999999999999995</v>
      </c>
      <c r="AJ14" s="434">
        <f>(0.2-0)/2</f>
        <v>0.1</v>
      </c>
      <c r="AK14" s="423"/>
      <c r="AL14" s="435">
        <v>100</v>
      </c>
      <c r="AM14" s="337">
        <f>'Data Standar'!I167</f>
        <v>0.49</v>
      </c>
      <c r="AN14" s="338"/>
      <c r="AO14" s="436">
        <f>IF(OR(AM14=0,AN14=0),'Data Standar'!$I$170/3,((MAX(AM14:AN14)-(MIN(AM14:AN14)))))</f>
        <v>8.3333333333333329E-2</v>
      </c>
      <c r="AP14" s="434">
        <f>(0.2-0)/2</f>
        <v>0.1</v>
      </c>
      <c r="AQ14" s="423"/>
      <c r="AR14" s="435">
        <v>100</v>
      </c>
      <c r="AS14" s="337">
        <f>'Data Standar'!J167</f>
        <v>0.41</v>
      </c>
      <c r="AT14" s="338"/>
      <c r="AU14" s="436">
        <f>IF(OR(AS14=0,AT14=0),'Data Standar'!$J$170/3,((MAX(AS14:AT14)-(MIN(AS14:AT14)))))</f>
        <v>0.08</v>
      </c>
      <c r="AV14" s="434">
        <f>(0.2-0)/2</f>
        <v>0.1</v>
      </c>
      <c r="AW14" s="423"/>
      <c r="AX14" s="435">
        <v>100</v>
      </c>
      <c r="AY14" s="337">
        <f>'Data Standar'!K167</f>
        <v>0.17</v>
      </c>
      <c r="AZ14" s="338"/>
      <c r="BA14" s="436">
        <f>IF(OR(AY14=0,AZ14=0),'Data Standar'!$K$170/3,((MAX(AY14:AZ14)-(MIN(AY14:AZ14)))))</f>
        <v>0.26333333333333336</v>
      </c>
      <c r="BB14" s="434">
        <f>(0.2-0)/2</f>
        <v>0.1</v>
      </c>
      <c r="BC14" s="423"/>
      <c r="BD14" s="435">
        <v>100</v>
      </c>
      <c r="BE14" s="337">
        <f>'Data Standar'!L167</f>
        <v>0.53</v>
      </c>
      <c r="BF14" s="338"/>
      <c r="BG14" s="436">
        <f>IF(OR(BE14=0,BF14=0),'Data Standar'!$L$170/3,((MAX(BE14:BF14)-(MIN(BE14:BF14)))))</f>
        <v>9.0000000000000011E-2</v>
      </c>
      <c r="BH14" s="434">
        <f>(0.2-0)/2</f>
        <v>0.1</v>
      </c>
      <c r="BI14" s="423"/>
      <c r="BJ14" s="435">
        <v>100</v>
      </c>
      <c r="BK14" s="337">
        <f>'Data Standar'!M167</f>
        <v>0.17</v>
      </c>
      <c r="BL14" s="338"/>
      <c r="BM14" s="436">
        <f>IF(OR(BK14=0,BL14=0),'Data Standar'!$M$170/3,((MAX(BK14:BL14)-(MIN(BK14:BL14)))))</f>
        <v>0.26333333333333336</v>
      </c>
      <c r="BN14" s="434">
        <f>(0.2-0)/2</f>
        <v>0.1</v>
      </c>
      <c r="BO14" s="423"/>
      <c r="BP14" s="435">
        <v>100</v>
      </c>
      <c r="BQ14" s="337">
        <f>'Data Standar'!N167</f>
        <v>0.56999999999999995</v>
      </c>
      <c r="BR14" s="338"/>
      <c r="BS14" s="436">
        <f>IF(OR(BQ14=0,BR14=0),'Data Standar'!$N$170/3,((MAX(BQ14:BR14)-(MIN(BQ14:BR14)))))</f>
        <v>8.666666666666667E-2</v>
      </c>
      <c r="BT14" s="434">
        <f>(0.2-0)/2</f>
        <v>0.1</v>
      </c>
      <c r="BU14" s="423"/>
      <c r="BV14" s="435">
        <v>100</v>
      </c>
      <c r="BW14" s="337">
        <f>'Data Standar'!O167</f>
        <v>0.71</v>
      </c>
      <c r="BX14" s="338"/>
      <c r="BY14" s="436">
        <f>IF(OR(BW14=0,BX14=0),'Data Standar'!$O$170/3,((MAX(BW14:BX14)-(MIN(BW14:BX14)))))</f>
        <v>9.0000000000000011E-2</v>
      </c>
      <c r="BZ14" s="434">
        <f>(0.2-0)/2</f>
        <v>0.1</v>
      </c>
      <c r="CA14" s="423"/>
      <c r="CB14" s="435">
        <v>100</v>
      </c>
      <c r="CC14" s="337">
        <f>'Data Standar'!P167</f>
        <v>-1.6</v>
      </c>
      <c r="CD14" s="338">
        <f t="shared" si="0"/>
        <v>-0.7</v>
      </c>
      <c r="CE14" s="436">
        <f>IF(OR(CC14=0,CD14=0),'Data Standar'!$P$170/3,((MAX(CC14:CD14)-(MIN(CC14:CD14)))))</f>
        <v>0.90000000000000013</v>
      </c>
      <c r="CF14" s="434">
        <f>(0.2-0)/2</f>
        <v>0.1</v>
      </c>
      <c r="CG14" s="423"/>
      <c r="CH14" s="435">
        <v>100</v>
      </c>
      <c r="CI14" s="337">
        <f>'Data Standar'!Q167</f>
        <v>0.31</v>
      </c>
      <c r="CJ14" s="338">
        <v>0.23</v>
      </c>
      <c r="CK14" s="436">
        <f>IF(OR(CI14=0,CJ14=0),'Data Standar'!$Q$170/3,((MAX(CI14:CJ14)-(MIN(CI14:CJ14)))))</f>
        <v>7.9999999999999988E-2</v>
      </c>
      <c r="CL14" s="434">
        <f>(0.2-0)/2</f>
        <v>0.1</v>
      </c>
      <c r="CM14" s="423"/>
      <c r="CN14" s="435">
        <v>100</v>
      </c>
      <c r="CO14" s="337">
        <f>'Data Standar'!R167</f>
        <v>0.95</v>
      </c>
      <c r="CP14" s="338">
        <v>0.81</v>
      </c>
      <c r="CQ14" s="436">
        <f>IF(OR(CO14=0,CP14=0),'Data Standar'!$R$170/3,((MAX(CO14:CP14)-(MIN(CO14:CP14)))))</f>
        <v>0.1399999999999999</v>
      </c>
      <c r="CR14" s="434">
        <f>(0.2-0)/2</f>
        <v>0.1</v>
      </c>
      <c r="CS14" s="423"/>
    </row>
    <row r="15" spans="1:97" s="427" customFormat="1" ht="13">
      <c r="A15" s="423"/>
      <c r="B15" s="435">
        <v>150</v>
      </c>
      <c r="C15" s="338">
        <v>0.08</v>
      </c>
      <c r="D15" s="338">
        <f>'Data Standar'!C168</f>
        <v>0.73</v>
      </c>
      <c r="E15" s="436">
        <f>IF(OR(C15=0,D15=0),'Data Standar'!$C$170/3,((MAX(C15:D15)-(MIN(C15:D15)))))</f>
        <v>0.65</v>
      </c>
      <c r="F15" s="437">
        <f>(0.36+0.1)/2</f>
        <v>0.22999999999999998</v>
      </c>
      <c r="G15" s="438"/>
      <c r="H15" s="435">
        <v>150</v>
      </c>
      <c r="I15" s="338">
        <v>-0.16</v>
      </c>
      <c r="J15" s="338">
        <f>'Data Standar'!D168</f>
        <v>0.53</v>
      </c>
      <c r="K15" s="436">
        <f>IF(OR(I15=0,J15=0),'Data Standar'!$D$170/3,((MAX(I15:J15)-(MIN(I15:J15)))))</f>
        <v>0.69000000000000006</v>
      </c>
      <c r="L15" s="437">
        <f>(0.25-0)/2</f>
        <v>0.125</v>
      </c>
      <c r="M15" s="438"/>
      <c r="N15" s="435">
        <v>150</v>
      </c>
      <c r="O15" s="337">
        <v>-0.1</v>
      </c>
      <c r="P15" s="338">
        <f>'Data Standar'!E168</f>
        <v>-0.22</v>
      </c>
      <c r="Q15" s="436">
        <f>IF(OR(O15=0,P15=0),'Data Standar'!$E$170/3,((MAX(O15:P15)-(MIN(O15:P15)))))</f>
        <v>0.12</v>
      </c>
      <c r="R15" s="434">
        <f>(0.21-0)/2</f>
        <v>0.105</v>
      </c>
      <c r="S15" s="423"/>
      <c r="T15" s="435">
        <v>150</v>
      </c>
      <c r="U15" s="337">
        <f>'Data Standar'!F168</f>
        <v>-7.0000000000000007E-2</v>
      </c>
      <c r="V15" s="338"/>
      <c r="W15" s="436">
        <f>IF(OR(U15=0,V15=0),'Data Standar'!$F$170/3,((MAX(U15:V15)-(MIN(U15:V15)))))</f>
        <v>8.3333333333333329E-2</v>
      </c>
      <c r="X15" s="434">
        <f>(0.21-0)/2</f>
        <v>0.105</v>
      </c>
      <c r="Y15" s="423"/>
      <c r="Z15" s="435">
        <v>150</v>
      </c>
      <c r="AA15" s="337">
        <f>'Data Standar'!G168</f>
        <v>0.37</v>
      </c>
      <c r="AB15" s="338">
        <v>0.28999999999999998</v>
      </c>
      <c r="AC15" s="436">
        <f>IF(OR(AA15=0,AB15=0),'Data Standar'!$G$170/3,((MAX(AA15:AB15)-(MIN(AA15:AB15)))))</f>
        <v>8.0000000000000016E-2</v>
      </c>
      <c r="AD15" s="434">
        <f>(0.21-0)/2</f>
        <v>0.105</v>
      </c>
      <c r="AE15" s="423"/>
      <c r="AF15" s="435">
        <v>150</v>
      </c>
      <c r="AG15" s="337">
        <f>'Data Standar'!H168</f>
        <v>0.39</v>
      </c>
      <c r="AH15" s="338">
        <v>0.08</v>
      </c>
      <c r="AI15" s="436">
        <f>IF(OR(AG15=0,AH15=0),'Data Standar'!$H$170/3,((MAX(AG15:AH15)-(MIN(AG15:AH15)))))</f>
        <v>0.31</v>
      </c>
      <c r="AJ15" s="434">
        <f>(0.21-0)/2</f>
        <v>0.105</v>
      </c>
      <c r="AK15" s="423"/>
      <c r="AL15" s="435">
        <v>150</v>
      </c>
      <c r="AM15" s="337">
        <f>'Data Standar'!I168</f>
        <v>0.65</v>
      </c>
      <c r="AN15" s="338"/>
      <c r="AO15" s="436">
        <f>IF(OR(AM15=0,AN15=0),'Data Standar'!$I$170/3,((MAX(AM15:AN15)-(MIN(AM15:AN15)))))</f>
        <v>8.3333333333333329E-2</v>
      </c>
      <c r="AP15" s="434">
        <f>(0.21-0)/2</f>
        <v>0.105</v>
      </c>
      <c r="AQ15" s="423"/>
      <c r="AR15" s="435">
        <v>150</v>
      </c>
      <c r="AS15" s="337">
        <f>'Data Standar'!J168</f>
        <v>0.57999999999999996</v>
      </c>
      <c r="AT15" s="338"/>
      <c r="AU15" s="436">
        <f>IF(OR(AS15=0,AT15=0),'Data Standar'!$J$170/3,((MAX(AS15:AT15)-(MIN(AS15:AT15)))))</f>
        <v>0.08</v>
      </c>
      <c r="AV15" s="434">
        <f>(0.21-0)/2</f>
        <v>0.105</v>
      </c>
      <c r="AW15" s="423"/>
      <c r="AX15" s="435">
        <v>150</v>
      </c>
      <c r="AY15" s="337">
        <f>'Data Standar'!K168</f>
        <v>-0.04</v>
      </c>
      <c r="AZ15" s="338"/>
      <c r="BA15" s="436">
        <f>IF(OR(AY15=0,AZ15=0),'Data Standar'!$K$170/3,((MAX(AY15:AZ15)-(MIN(AY15:AZ15)))))</f>
        <v>0.26333333333333336</v>
      </c>
      <c r="BB15" s="434">
        <f>(0.21-0)/2</f>
        <v>0.105</v>
      </c>
      <c r="BC15" s="423"/>
      <c r="BD15" s="435">
        <v>150</v>
      </c>
      <c r="BE15" s="337">
        <f>'Data Standar'!L168</f>
        <v>-0.15</v>
      </c>
      <c r="BF15" s="338"/>
      <c r="BG15" s="436">
        <f>IF(OR(BE15=0,BF15=0),'Data Standar'!$L$170/3,((MAX(BE15:BF15)-(MIN(BE15:BF15)))))</f>
        <v>9.0000000000000011E-2</v>
      </c>
      <c r="BH15" s="434">
        <f>(0.21-0)/2</f>
        <v>0.105</v>
      </c>
      <c r="BI15" s="423"/>
      <c r="BJ15" s="435">
        <v>150</v>
      </c>
      <c r="BK15" s="337">
        <f>'Data Standar'!M168</f>
        <v>-0.04</v>
      </c>
      <c r="BL15" s="338"/>
      <c r="BM15" s="436">
        <f>IF(OR(BK15=0,BL15=0),'Data Standar'!$M$170/3,((MAX(BK15:BL15)-(MIN(BK15:BL15)))))</f>
        <v>0.26333333333333336</v>
      </c>
      <c r="BN15" s="434">
        <f>(0.21-0)/2</f>
        <v>0.105</v>
      </c>
      <c r="BO15" s="423"/>
      <c r="BP15" s="435">
        <v>150</v>
      </c>
      <c r="BQ15" s="337">
        <f>'Data Standar'!N168</f>
        <v>-0.12</v>
      </c>
      <c r="BR15" s="338"/>
      <c r="BS15" s="436">
        <f>IF(OR(BQ15=0,BR15=0),'Data Standar'!$N$170/3,((MAX(BQ15:BR15)-(MIN(BQ15:BR15)))))</f>
        <v>8.666666666666667E-2</v>
      </c>
      <c r="BT15" s="434">
        <f>(0.21-0)/2</f>
        <v>0.105</v>
      </c>
      <c r="BU15" s="423"/>
      <c r="BV15" s="435">
        <v>150</v>
      </c>
      <c r="BW15" s="337">
        <f>'Data Standar'!O168</f>
        <v>-0.17</v>
      </c>
      <c r="BX15" s="338"/>
      <c r="BY15" s="436">
        <f>IF(OR(BW15=0,BX15=0),'Data Standar'!$O$170/3,((MAX(BW15:BX15)-(MIN(BW15:BX15)))))</f>
        <v>9.0000000000000011E-2</v>
      </c>
      <c r="BZ15" s="434">
        <f>(0.21-0)/2</f>
        <v>0.105</v>
      </c>
      <c r="CA15" s="423"/>
      <c r="CB15" s="435">
        <v>150</v>
      </c>
      <c r="CC15" s="337">
        <f>'Data Standar'!P168</f>
        <v>-1.7</v>
      </c>
      <c r="CD15" s="338">
        <f t="shared" si="0"/>
        <v>-0.7</v>
      </c>
      <c r="CE15" s="436">
        <f>IF(OR(CC15=0,CD15=0),'Data Standar'!$P$170/3,((MAX(CC15:CD15)-(MIN(CC15:CD15)))))</f>
        <v>1</v>
      </c>
      <c r="CF15" s="434">
        <f>(0.21-0)/2</f>
        <v>0.105</v>
      </c>
      <c r="CG15" s="423"/>
      <c r="CH15" s="435">
        <v>150</v>
      </c>
      <c r="CI15" s="337">
        <f>'Data Standar'!Q168</f>
        <v>0.3</v>
      </c>
      <c r="CJ15" s="338">
        <v>0.22</v>
      </c>
      <c r="CK15" s="436">
        <f>IF(OR(CI15=0,CJ15=0),'Data Standar'!$Q$170/3,((MAX(CI15:CJ15)-(MIN(CI15:CJ15)))))</f>
        <v>7.9999999999999988E-2</v>
      </c>
      <c r="CL15" s="434">
        <f>(0.21-0)/2</f>
        <v>0.105</v>
      </c>
      <c r="CM15" s="423"/>
      <c r="CN15" s="435">
        <v>150</v>
      </c>
      <c r="CO15" s="337">
        <f>'Data Standar'!R168</f>
        <v>0.49</v>
      </c>
      <c r="CP15" s="338">
        <v>0.87</v>
      </c>
      <c r="CQ15" s="436">
        <f>IF(OR(CO15=0,CP15=0),'Data Standar'!$R$170/3,((MAX(CO15:CP15)-(MIN(CO15:CP15)))))</f>
        <v>0.38</v>
      </c>
      <c r="CR15" s="434">
        <f>(0.21-0)/2</f>
        <v>0.105</v>
      </c>
      <c r="CS15" s="423"/>
    </row>
    <row r="16" spans="1:97" s="427" customFormat="1" ht="13">
      <c r="A16" s="423"/>
      <c r="B16" s="435">
        <v>200</v>
      </c>
      <c r="C16" s="338">
        <v>0.22</v>
      </c>
      <c r="D16" s="338">
        <f>'Data Standar'!C169</f>
        <v>0.2</v>
      </c>
      <c r="E16" s="436">
        <f>IF(OR(C16=0,D16=0),'Data Standar'!$C$170/3,((MAX(C16:D16)-(MIN(C16:D16)))))</f>
        <v>1.999999999999999E-2</v>
      </c>
      <c r="F16" s="437">
        <f>(0.19+0.65)/2</f>
        <v>0.42000000000000004</v>
      </c>
      <c r="G16" s="438"/>
      <c r="H16" s="435">
        <v>200</v>
      </c>
      <c r="I16" s="338">
        <v>0.47</v>
      </c>
      <c r="J16" s="338">
        <f>'Data Standar'!D169</f>
        <v>0.39</v>
      </c>
      <c r="K16" s="436">
        <f>IF(OR(I16=0,J16=0),'Data Standar'!$D$170/3,((MAX(I16:J16)-(MIN(I16:J16)))))</f>
        <v>7.999999999999996E-2</v>
      </c>
      <c r="L16" s="437">
        <f>(0.53-0)/2</f>
        <v>0.26500000000000001</v>
      </c>
      <c r="M16" s="438"/>
      <c r="N16" s="435">
        <v>200</v>
      </c>
      <c r="O16" s="337">
        <v>0.31</v>
      </c>
      <c r="P16" s="338">
        <f>'Data Standar'!E169</f>
        <v>0.06</v>
      </c>
      <c r="Q16" s="436">
        <f>IF(OR(O16=0,P16=0),'Data Standar'!$E$170/3,((MAX(O16:P16)-(MIN(O16:P16)))))</f>
        <v>0.25</v>
      </c>
      <c r="R16" s="434">
        <f>(0.19-0)/2</f>
        <v>9.5000000000000001E-2</v>
      </c>
      <c r="S16" s="423"/>
      <c r="T16" s="435">
        <v>200</v>
      </c>
      <c r="U16" s="337">
        <f>'Data Standar'!F169</f>
        <v>-0.7</v>
      </c>
      <c r="V16" s="338"/>
      <c r="W16" s="436">
        <f>IF(OR(U16=0,V16=0),'Data Standar'!$F$170/3,((MAX(U16:V16)-(MIN(U16:V16)))))</f>
        <v>8.3333333333333329E-2</v>
      </c>
      <c r="X16" s="434">
        <f>(0.19-0)/2</f>
        <v>9.5000000000000001E-2</v>
      </c>
      <c r="Y16" s="423"/>
      <c r="Z16" s="435">
        <v>200</v>
      </c>
      <c r="AA16" s="337">
        <f>'Data Standar'!G169</f>
        <v>0.61</v>
      </c>
      <c r="AB16" s="338">
        <v>-0.16</v>
      </c>
      <c r="AC16" s="436">
        <f>IF(OR(AA16=0,AB16=0),'Data Standar'!$G$170/3,((MAX(AA16:AB16)-(MIN(AA16:AB16)))))</f>
        <v>0.77</v>
      </c>
      <c r="AD16" s="434">
        <f>(0.19-0)/2</f>
        <v>9.5000000000000001E-2</v>
      </c>
      <c r="AE16" s="423"/>
      <c r="AF16" s="435">
        <v>200</v>
      </c>
      <c r="AG16" s="337">
        <f>'Data Standar'!H169</f>
        <v>0.66</v>
      </c>
      <c r="AH16" s="338">
        <v>-0.38</v>
      </c>
      <c r="AI16" s="436">
        <f>IF(OR(AG16=0,AH16=0),'Data Standar'!$H$170/3,((MAX(AG16:AH16)-(MIN(AG16:AH16)))))</f>
        <v>1.04</v>
      </c>
      <c r="AJ16" s="434">
        <f>(0.19-0)/2</f>
        <v>9.5000000000000001E-2</v>
      </c>
      <c r="AK16" s="423"/>
      <c r="AL16" s="435">
        <v>200</v>
      </c>
      <c r="AM16" s="337">
        <f>'Data Standar'!I169</f>
        <v>0.9</v>
      </c>
      <c r="AN16" s="338"/>
      <c r="AO16" s="436">
        <f>IF(OR(AM16=0,AN16=0),'Data Standar'!$I$170/3,((MAX(AM16:AN16)-(MIN(AM16:AN16)))))</f>
        <v>8.3333333333333329E-2</v>
      </c>
      <c r="AP16" s="434">
        <f>(0.19-0)/2</f>
        <v>9.5000000000000001E-2</v>
      </c>
      <c r="AQ16" s="423"/>
      <c r="AR16" s="435">
        <v>200</v>
      </c>
      <c r="AS16" s="337">
        <f>'Data Standar'!J169</f>
        <v>0.81</v>
      </c>
      <c r="AT16" s="338"/>
      <c r="AU16" s="436">
        <f>IF(OR(AS16=0,AT16=0),'Data Standar'!$J$170/3,((MAX(AS16:AT16)-(MIN(AS16:AT16)))))</f>
        <v>0.08</v>
      </c>
      <c r="AV16" s="434">
        <f>(0.19-0)/2</f>
        <v>9.5000000000000001E-2</v>
      </c>
      <c r="AW16" s="423"/>
      <c r="AX16" s="435">
        <v>200</v>
      </c>
      <c r="AY16" s="337">
        <f>'Data Standar'!K169</f>
        <v>-0.28000000000000003</v>
      </c>
      <c r="AZ16" s="338"/>
      <c r="BA16" s="436">
        <f>IF(OR(AY16=0,AZ16=0),'Data Standar'!$K$170/3,((MAX(AY16:AZ16)-(MIN(AY16:AZ16)))))</f>
        <v>0.26333333333333336</v>
      </c>
      <c r="BB16" s="434">
        <f>(0.19-0)/2</f>
        <v>9.5000000000000001E-2</v>
      </c>
      <c r="BC16" s="423"/>
      <c r="BD16" s="435">
        <v>200</v>
      </c>
      <c r="BE16" s="337">
        <f>'Data Standar'!L169</f>
        <v>-0.01</v>
      </c>
      <c r="BF16" s="338"/>
      <c r="BG16" s="436">
        <f>IF(OR(BE16=0,BF16=0),'Data Standar'!$L$170/3,((MAX(BE16:BF16)-(MIN(BE16:BF16)))))</f>
        <v>9.0000000000000011E-2</v>
      </c>
      <c r="BH16" s="434">
        <f>(0.19-0)/2</f>
        <v>9.5000000000000001E-2</v>
      </c>
      <c r="BI16" s="423"/>
      <c r="BJ16" s="435">
        <v>200</v>
      </c>
      <c r="BK16" s="337">
        <f>'Data Standar'!M169</f>
        <v>-0.28000000000000003</v>
      </c>
      <c r="BL16" s="338"/>
      <c r="BM16" s="436">
        <f>IF(OR(BK16=0,BL16=0),'Data Standar'!$M$170/3,((MAX(BK16:BL16)-(MIN(BK16:BL16)))))</f>
        <v>0.26333333333333336</v>
      </c>
      <c r="BN16" s="434">
        <f>(0.19-0)/2</f>
        <v>9.5000000000000001E-2</v>
      </c>
      <c r="BO16" s="423"/>
      <c r="BP16" s="435">
        <v>200</v>
      </c>
      <c r="BQ16" s="337">
        <f>'Data Standar'!N169</f>
        <v>-0.59</v>
      </c>
      <c r="BR16" s="338"/>
      <c r="BS16" s="436">
        <f>IF(OR(BQ16=0,BR16=0),'Data Standar'!$N$170/3,((MAX(BQ16:BR16)-(MIN(BQ16:BR16)))))</f>
        <v>8.666666666666667E-2</v>
      </c>
      <c r="BT16" s="434">
        <f>(0.19-0)/2</f>
        <v>9.5000000000000001E-2</v>
      </c>
      <c r="BU16" s="423"/>
      <c r="BV16" s="435">
        <v>200</v>
      </c>
      <c r="BW16" s="337">
        <f>'Data Standar'!O169</f>
        <v>-1.27</v>
      </c>
      <c r="BX16" s="338"/>
      <c r="BY16" s="436">
        <f>IF(OR(BW16=0,BX16=0),'Data Standar'!$O$170/3,((MAX(BW16:BX16)-(MIN(BW16:BX16)))))</f>
        <v>9.0000000000000011E-2</v>
      </c>
      <c r="BZ16" s="434">
        <f>(0.19-0)/2</f>
        <v>9.5000000000000001E-2</v>
      </c>
      <c r="CA16" s="423"/>
      <c r="CB16" s="435">
        <v>200</v>
      </c>
      <c r="CC16" s="337">
        <f>'Data Standar'!P169</f>
        <v>-0.9</v>
      </c>
      <c r="CD16" s="338">
        <f t="shared" si="0"/>
        <v>-0.6</v>
      </c>
      <c r="CE16" s="436">
        <f>IF(OR(CC16=0,CD16=0),'Data Standar'!$P$170/3,((MAX(CC16:CD16)-(MIN(CC16:CD16)))))</f>
        <v>0.30000000000000004</v>
      </c>
      <c r="CF16" s="434">
        <f>(0.19-0)/2</f>
        <v>9.5000000000000001E-2</v>
      </c>
      <c r="CG16" s="423"/>
      <c r="CH16" s="435">
        <v>200</v>
      </c>
      <c r="CI16" s="337">
        <f>'Data Standar'!Q169</f>
        <v>0.34</v>
      </c>
      <c r="CJ16" s="338">
        <v>0.47</v>
      </c>
      <c r="CK16" s="436">
        <f>IF(OR(CI16=0,CJ16=0),'Data Standar'!$Q$170/3,((MAX(CI16:CJ16)-(MIN(CI16:CJ16)))))</f>
        <v>0.12999999999999995</v>
      </c>
      <c r="CL16" s="434">
        <f>(0.19-0)/2</f>
        <v>9.5000000000000001E-2</v>
      </c>
      <c r="CM16" s="423"/>
      <c r="CN16" s="435">
        <v>200</v>
      </c>
      <c r="CO16" s="337">
        <f>'Data Standar'!R169</f>
        <v>-0.26</v>
      </c>
      <c r="CP16" s="338">
        <v>0.99</v>
      </c>
      <c r="CQ16" s="436">
        <f>IF(OR(CO16=0,CP16=0),'Data Standar'!$R$170/3,((MAX(CO16:CP16)-(MIN(CO16:CP16)))))</f>
        <v>1.25</v>
      </c>
      <c r="CR16" s="434">
        <f>(0.19-0)/2</f>
        <v>9.5000000000000001E-2</v>
      </c>
      <c r="CS16" s="423"/>
    </row>
    <row r="17" spans="1:97" s="423" customFormat="1" ht="13.5" thickBot="1">
      <c r="B17" s="440"/>
      <c r="C17" s="440"/>
      <c r="D17" s="421"/>
      <c r="E17" s="440"/>
      <c r="F17" s="438"/>
      <c r="G17" s="438"/>
      <c r="H17" s="440"/>
      <c r="I17" s="440"/>
      <c r="J17" s="440"/>
      <c r="K17" s="440"/>
      <c r="L17" s="425"/>
      <c r="M17" s="438"/>
      <c r="N17" s="440"/>
      <c r="O17" s="440"/>
      <c r="P17" s="440"/>
      <c r="Q17" s="440"/>
      <c r="R17" s="425"/>
      <c r="T17" s="440"/>
      <c r="U17" s="440"/>
      <c r="V17" s="440"/>
      <c r="W17" s="440"/>
      <c r="X17" s="425"/>
      <c r="Z17" s="440"/>
      <c r="AA17" s="440"/>
      <c r="AB17" s="440"/>
      <c r="AC17" s="440"/>
      <c r="AD17" s="425"/>
      <c r="AF17" s="440"/>
      <c r="AG17" s="440"/>
      <c r="AH17" s="440"/>
      <c r="AI17" s="440"/>
      <c r="AJ17" s="425"/>
      <c r="AL17" s="440"/>
      <c r="AM17" s="440"/>
      <c r="AN17" s="440"/>
      <c r="AO17" s="440"/>
      <c r="AP17" s="425"/>
      <c r="AR17" s="440"/>
      <c r="AS17" s="440"/>
      <c r="AT17" s="440"/>
      <c r="AU17" s="440"/>
      <c r="AV17" s="425"/>
      <c r="AX17" s="440"/>
      <c r="AY17" s="440"/>
      <c r="AZ17" s="440"/>
      <c r="BA17" s="440"/>
      <c r="BB17" s="425"/>
      <c r="BD17" s="440"/>
      <c r="BE17" s="440"/>
      <c r="BF17" s="440"/>
      <c r="BG17" s="440"/>
      <c r="BH17" s="425"/>
      <c r="BJ17" s="440"/>
      <c r="BK17" s="440"/>
      <c r="BL17" s="440"/>
      <c r="BM17" s="440"/>
      <c r="BN17" s="425"/>
      <c r="BP17" s="440"/>
      <c r="BQ17" s="440"/>
      <c r="BR17" s="440"/>
      <c r="BS17" s="440"/>
      <c r="BT17" s="425"/>
      <c r="BV17" s="440"/>
      <c r="BW17" s="440"/>
      <c r="BX17" s="440"/>
      <c r="BY17" s="440"/>
      <c r="BZ17" s="425"/>
      <c r="CB17" s="440"/>
      <c r="CC17" s="440"/>
      <c r="CD17" s="440"/>
      <c r="CE17" s="440"/>
      <c r="CF17" s="425"/>
      <c r="CH17" s="440"/>
      <c r="CI17" s="440"/>
      <c r="CJ17" s="440"/>
      <c r="CK17" s="440"/>
      <c r="CL17" s="425"/>
      <c r="CN17" s="440"/>
      <c r="CO17" s="440"/>
      <c r="CP17" s="440"/>
      <c r="CQ17" s="440"/>
      <c r="CR17" s="425"/>
    </row>
    <row r="18" spans="1:97" s="427" customFormat="1" ht="41" customHeight="1">
      <c r="A18" s="423"/>
      <c r="B18" s="1317" t="s">
        <v>386</v>
      </c>
      <c r="C18" s="1315" t="str">
        <f>C3</f>
        <v>Thermocouple Data Logger, Merek : MADGETECH, Model : OctTemp 2000, SN : P40270</v>
      </c>
      <c r="D18" s="1315"/>
      <c r="E18" s="1315"/>
      <c r="F18" s="426" t="s">
        <v>383</v>
      </c>
      <c r="G18" s="984">
        <f>Drift!$B$165</f>
        <v>161.46416666666667</v>
      </c>
      <c r="H18" s="1317" t="s">
        <v>386</v>
      </c>
      <c r="I18" s="1315" t="str">
        <f>I3</f>
        <v>Thermocouple Data Logger, Merek : MADGETECH, Model : OctTemp 2000, SN : P41878</v>
      </c>
      <c r="J18" s="1315"/>
      <c r="K18" s="1315"/>
      <c r="L18" s="426" t="s">
        <v>383</v>
      </c>
      <c r="M18" s="984">
        <f>Drift!$B$165</f>
        <v>161.46416666666667</v>
      </c>
      <c r="N18" s="1317" t="s">
        <v>386</v>
      </c>
      <c r="O18" s="1315" t="str">
        <f>O3</f>
        <v>Mobile Corder, Merek : Yokogawa, Model : GP 10, SN : S5T810599</v>
      </c>
      <c r="P18" s="1316"/>
      <c r="Q18" s="1315"/>
      <c r="R18" s="426" t="s">
        <v>383</v>
      </c>
      <c r="S18" s="984">
        <f>Drift!$B$165</f>
        <v>161.46416666666667</v>
      </c>
      <c r="T18" s="1317" t="s">
        <v>386</v>
      </c>
      <c r="U18" s="1315" t="str">
        <f>U3</f>
        <v>Wireless Temperature Recorder : Merek : HIOKI, Model : LR 8510, SN : 200936000</v>
      </c>
      <c r="V18" s="1316"/>
      <c r="W18" s="1315"/>
      <c r="X18" s="426" t="s">
        <v>383</v>
      </c>
      <c r="Y18" s="984">
        <f>Drift!$B$165</f>
        <v>161.46416666666667</v>
      </c>
      <c r="Z18" s="1317" t="s">
        <v>386</v>
      </c>
      <c r="AA18" s="1315" t="str">
        <f>AA3</f>
        <v>Wireless Temperature Recorder : Merek : HIOKI, Model : LR 8510, SN : 200936001</v>
      </c>
      <c r="AB18" s="1316"/>
      <c r="AC18" s="1315"/>
      <c r="AD18" s="426" t="s">
        <v>383</v>
      </c>
      <c r="AE18" s="984">
        <f>Drift!$B$165</f>
        <v>161.46416666666667</v>
      </c>
      <c r="AF18" s="1317" t="s">
        <v>386</v>
      </c>
      <c r="AG18" s="1315" t="str">
        <f>AG3</f>
        <v>Wireless Temperature Recorder : Merek : HIOKI, Model : LR 8510, SN : 200821397</v>
      </c>
      <c r="AH18" s="1316"/>
      <c r="AI18" s="1315"/>
      <c r="AJ18" s="426" t="s">
        <v>383</v>
      </c>
      <c r="AK18" s="984">
        <f>Drift!$B$165</f>
        <v>161.46416666666667</v>
      </c>
      <c r="AL18" s="1317" t="s">
        <v>386</v>
      </c>
      <c r="AM18" s="1315" t="str">
        <f>AM3</f>
        <v>Wireless Temperature Recorder : Merek : HIOKI, Model : LR 8510, SN : 210411983</v>
      </c>
      <c r="AN18" s="1316"/>
      <c r="AO18" s="1315"/>
      <c r="AP18" s="426" t="s">
        <v>383</v>
      </c>
      <c r="AQ18" s="984">
        <f>Drift!$B$165</f>
        <v>161.46416666666667</v>
      </c>
      <c r="AR18" s="1317" t="s">
        <v>386</v>
      </c>
      <c r="AS18" s="1315" t="str">
        <f>AS3</f>
        <v>Wireless Temperature Recorder : Merek : HIOKI, Model : LR 8510, SN : 210411984</v>
      </c>
      <c r="AT18" s="1316"/>
      <c r="AU18" s="1315"/>
      <c r="AV18" s="426" t="s">
        <v>383</v>
      </c>
      <c r="AW18" s="984">
        <f>Drift!$B$165</f>
        <v>161.46416666666667</v>
      </c>
      <c r="AX18" s="1317" t="s">
        <v>386</v>
      </c>
      <c r="AY18" s="1315" t="str">
        <f>AY3</f>
        <v>Wireless Temperature Recorder : Merek : HIOKI, Model : LR 8510, SN : 210411985</v>
      </c>
      <c r="AZ18" s="1316"/>
      <c r="BA18" s="1315"/>
      <c r="BB18" s="426" t="s">
        <v>383</v>
      </c>
      <c r="BC18" s="984">
        <f>Drift!$B$165</f>
        <v>161.46416666666667</v>
      </c>
      <c r="BD18" s="1317" t="s">
        <v>386</v>
      </c>
      <c r="BE18" s="1315" t="str">
        <f>BE3</f>
        <v>Wireless Temperature Recorder : Merek : HIOKI, Model : LR 8510, SN : 210746054</v>
      </c>
      <c r="BF18" s="1316"/>
      <c r="BG18" s="1315"/>
      <c r="BH18" s="426" t="s">
        <v>383</v>
      </c>
      <c r="BI18" s="984">
        <f>Drift!$B$165</f>
        <v>161.46416666666667</v>
      </c>
      <c r="BJ18" s="1317" t="s">
        <v>386</v>
      </c>
      <c r="BK18" s="1315" t="str">
        <f>BK3</f>
        <v>Wireless Temperature Recorder : Merek : HIOKI, Model : LR 8510, SN : 210746055</v>
      </c>
      <c r="BL18" s="1316"/>
      <c r="BM18" s="1315"/>
      <c r="BN18" s="426" t="s">
        <v>383</v>
      </c>
      <c r="BO18" s="984">
        <f>Drift!$B$165</f>
        <v>161.46416666666667</v>
      </c>
      <c r="BP18" s="1319" t="s">
        <v>386</v>
      </c>
      <c r="BQ18" s="1315" t="str">
        <f>BQ3</f>
        <v>Wireless Temperature Recorder : Merek : HIOKI, Model : LR 8510, SN : 210746056</v>
      </c>
      <c r="BR18" s="1316"/>
      <c r="BS18" s="1315"/>
      <c r="BT18" s="426" t="s">
        <v>383</v>
      </c>
      <c r="BU18" s="984">
        <f>Drift!$B$165</f>
        <v>161.46416666666667</v>
      </c>
      <c r="BV18" s="1317" t="s">
        <v>386</v>
      </c>
      <c r="BW18" s="1315" t="str">
        <f>BW3</f>
        <v>Wireless Temperature Recorder : Merek : HIOKI, Model : LR 8510, SN : 200821396</v>
      </c>
      <c r="BX18" s="1316"/>
      <c r="BY18" s="1315"/>
      <c r="BZ18" s="426" t="s">
        <v>383</v>
      </c>
      <c r="CA18" s="984">
        <f>Drift!$B$165</f>
        <v>161.46416666666667</v>
      </c>
      <c r="CB18" s="1317" t="s">
        <v>386</v>
      </c>
      <c r="CC18" s="1315" t="str">
        <f t="shared" ref="CC18:CC31" si="2">CC3</f>
        <v>Reference Thermometer, Merek : APPA, Model : APPA51, SN : 03002948</v>
      </c>
      <c r="CD18" s="1316"/>
      <c r="CE18" s="1315"/>
      <c r="CF18" s="426" t="s">
        <v>383</v>
      </c>
      <c r="CG18" s="423"/>
      <c r="CH18" s="1317" t="s">
        <v>386</v>
      </c>
      <c r="CI18" s="1315" t="str">
        <f t="shared" ref="CI18:CI31" si="3">CI3</f>
        <v>Reference Thermometer, Merek : FLUKE, Model : 1524, SN : 1803038</v>
      </c>
      <c r="CJ18" s="1316"/>
      <c r="CK18" s="1315"/>
      <c r="CL18" s="426" t="s">
        <v>383</v>
      </c>
      <c r="CM18" s="423"/>
      <c r="CN18" s="1317" t="s">
        <v>386</v>
      </c>
      <c r="CO18" s="1315" t="str">
        <f t="shared" ref="CO18:CO31" si="4">CO3</f>
        <v>Reference Thermometer, Merek : FLUKE, Model : 1524, SN : 1803037</v>
      </c>
      <c r="CP18" s="1316"/>
      <c r="CQ18" s="1315"/>
      <c r="CR18" s="426" t="s">
        <v>383</v>
      </c>
      <c r="CS18" s="423"/>
    </row>
    <row r="19" spans="1:97" s="427" customFormat="1" ht="13">
      <c r="A19" s="423"/>
      <c r="B19" s="1318"/>
      <c r="C19" s="428">
        <f>C4</f>
        <v>2021</v>
      </c>
      <c r="D19" s="428">
        <f>D4</f>
        <v>2022</v>
      </c>
      <c r="E19" s="429" t="s">
        <v>385</v>
      </c>
      <c r="F19" s="430"/>
      <c r="G19" s="985">
        <f>IF(G18&lt;=B27,B26,IF(G18&lt;=B28,B27,IF(G18&lt;=B29,B28,IF(G18&lt;=B30,B29,IF(G18&lt;=B31,B30)))))</f>
        <v>150</v>
      </c>
      <c r="H19" s="1318"/>
      <c r="I19" s="431">
        <f>I4</f>
        <v>2021</v>
      </c>
      <c r="J19" s="432">
        <f>J4</f>
        <v>2022</v>
      </c>
      <c r="K19" s="429" t="s">
        <v>385</v>
      </c>
      <c r="L19" s="433"/>
      <c r="M19" s="985">
        <f>IF(M18&lt;=H27,H26,IF(M18&lt;=H28,H27,IF(M18&lt;=H29,H28,IF(M18&lt;=H30,H29,IF(M18&lt;=H31,H30)))))</f>
        <v>150</v>
      </c>
      <c r="N19" s="1318"/>
      <c r="O19" s="431">
        <f>O4</f>
        <v>2021</v>
      </c>
      <c r="P19" s="432">
        <f>P4</f>
        <v>2023</v>
      </c>
      <c r="Q19" s="429" t="s">
        <v>385</v>
      </c>
      <c r="R19" s="434"/>
      <c r="S19" s="985">
        <f>IF(S18&lt;=N27,N26,IF(S18&lt;=N28,N27,IF(S18&lt;=N29,N28,IF(S18&lt;=N30,N29,IF(S18&lt;=N31,N30)))))</f>
        <v>150</v>
      </c>
      <c r="T19" s="1318"/>
      <c r="U19" s="431">
        <f>U4</f>
        <v>2022</v>
      </c>
      <c r="V19" s="432"/>
      <c r="W19" s="429" t="s">
        <v>385</v>
      </c>
      <c r="X19" s="434"/>
      <c r="Y19" s="985">
        <f>IF(Y18&lt;=T27,T26,IF(Y18&lt;=T28,T27,IF(Y18&lt;=T29,T28,IF(Y18&lt;=T30,T29,IF(Y18&lt;=T31,T30)))))</f>
        <v>150</v>
      </c>
      <c r="Z19" s="1318"/>
      <c r="AA19" s="431">
        <f>AA4</f>
        <v>2023</v>
      </c>
      <c r="AB19" s="432">
        <f>AB4</f>
        <v>2021</v>
      </c>
      <c r="AC19" s="429" t="s">
        <v>385</v>
      </c>
      <c r="AD19" s="434"/>
      <c r="AE19" s="985">
        <f>IF(AE18&lt;=Z27,Z26,IF(AE18&lt;=Z28,Z27,IF(AE18&lt;=Z29,Z28,IF(AE18&lt;=Z30,Z29,IF(AE18&lt;=Z31,Z30)))))</f>
        <v>150</v>
      </c>
      <c r="AF19" s="1318"/>
      <c r="AG19" s="431">
        <f>AG4</f>
        <v>2023</v>
      </c>
      <c r="AH19" s="431">
        <f>AH4</f>
        <v>2021</v>
      </c>
      <c r="AI19" s="429" t="s">
        <v>385</v>
      </c>
      <c r="AJ19" s="434"/>
      <c r="AK19" s="985">
        <f>IF(AK18&lt;=AF27,AF26,IF(AK18&lt;=AF28,AF27,IF(AK18&lt;=AF29,AF28,IF(AK18&lt;=AF30,AF29,IF(AK18&lt;=AF31,AF30)))))</f>
        <v>150</v>
      </c>
      <c r="AL19" s="1318"/>
      <c r="AM19" s="431">
        <f>AM4</f>
        <v>2023</v>
      </c>
      <c r="AN19" s="432"/>
      <c r="AO19" s="429" t="s">
        <v>385</v>
      </c>
      <c r="AP19" s="434"/>
      <c r="AQ19" s="985">
        <f>IF(AQ18&lt;=AL27,AL26,IF(AQ18&lt;=AL28,AL27,IF(AQ18&lt;=AL29,AL28,IF(AQ18&lt;=AL30,AL29,IF(AQ18&lt;=AL31,AL30)))))</f>
        <v>150</v>
      </c>
      <c r="AR19" s="1318"/>
      <c r="AS19" s="431">
        <f>AS4</f>
        <v>2023</v>
      </c>
      <c r="AT19" s="432"/>
      <c r="AU19" s="429" t="s">
        <v>385</v>
      </c>
      <c r="AV19" s="434"/>
      <c r="AW19" s="985">
        <f>IF(AW18&lt;=AR27,AR26,IF(AW18&lt;=AR28,AR27,IF(AW18&lt;=AR29,AR28,IF(AW18&lt;=AR30,AR29,IF(AW18&lt;=AR31,AR30)))))</f>
        <v>150</v>
      </c>
      <c r="AX19" s="1318"/>
      <c r="AY19" s="431">
        <f>AY4</f>
        <v>2021</v>
      </c>
      <c r="AZ19" s="432"/>
      <c r="BA19" s="429" t="s">
        <v>385</v>
      </c>
      <c r="BB19" s="434"/>
      <c r="BC19" s="985">
        <f>IF(BC18&lt;=AX27,AX26,IF(BC18&lt;=AX28,AX27,IF(BC18&lt;=AX29,AX28,IF(BC18&lt;=AX30,AX29,IF(BC18&lt;=AX31,AX30)))))</f>
        <v>150</v>
      </c>
      <c r="BD19" s="1318"/>
      <c r="BE19" s="431">
        <f>BE4</f>
        <v>2022</v>
      </c>
      <c r="BF19" s="432"/>
      <c r="BG19" s="429" t="s">
        <v>385</v>
      </c>
      <c r="BH19" s="434"/>
      <c r="BI19" s="985">
        <f>IF(BI18&lt;=BD27,BD26,IF(BI18&lt;=BD28,BD27,IF(BI18&lt;=BD29,BD28,IF(BI18&lt;=BD30,BD29,IF(BI18&lt;=BD31,BD30)))))</f>
        <v>150</v>
      </c>
      <c r="BJ19" s="1318"/>
      <c r="BK19" s="431">
        <f>BK4</f>
        <v>2021</v>
      </c>
      <c r="BL19" s="432"/>
      <c r="BM19" s="429" t="s">
        <v>385</v>
      </c>
      <c r="BN19" s="434"/>
      <c r="BO19" s="985">
        <f>IF(BO18&lt;=BJ27,BJ26,IF(BO18&lt;=BJ28,BJ27,IF(BO18&lt;=BJ29,BJ28,IF(BO18&lt;=BJ30,BJ29,IF(BO18&lt;=BJ31,BJ30)))))</f>
        <v>150</v>
      </c>
      <c r="BP19" s="1320"/>
      <c r="BQ19" s="431">
        <f>BQ4</f>
        <v>2022</v>
      </c>
      <c r="BR19" s="432"/>
      <c r="BS19" s="429" t="s">
        <v>385</v>
      </c>
      <c r="BT19" s="434"/>
      <c r="BU19" s="985">
        <f>IF(BU18&lt;=BP27,BP26,IF(BU18&lt;=BP28,BP27,IF(BU18&lt;=BP29,BP28,IF(BU18&lt;=BP30,BP29,IF(BU18&lt;=BP31,BP30)))))</f>
        <v>150</v>
      </c>
      <c r="BV19" s="1318"/>
      <c r="BW19" s="431">
        <f>BW4</f>
        <v>2022</v>
      </c>
      <c r="BX19" s="432"/>
      <c r="BY19" s="429" t="s">
        <v>385</v>
      </c>
      <c r="BZ19" s="434"/>
      <c r="CA19" s="985">
        <f>IF(CA18&lt;=BV27,BV26,IF(CA18&lt;=BV28,BV27,IF(CA18&lt;=BV29,BV28,IF(CA18&lt;=BV30,BV29,IF(CA18&lt;=BV31,BV30)))))</f>
        <v>150</v>
      </c>
      <c r="CB19" s="1318"/>
      <c r="CC19" s="431">
        <f t="shared" si="2"/>
        <v>2022</v>
      </c>
      <c r="CD19" s="432">
        <f t="shared" ref="CD19:CD31" si="5">CD34</f>
        <v>2020</v>
      </c>
      <c r="CE19" s="429" t="s">
        <v>385</v>
      </c>
      <c r="CF19" s="434"/>
      <c r="CG19" s="423"/>
      <c r="CH19" s="1318"/>
      <c r="CI19" s="431">
        <f t="shared" si="3"/>
        <v>2021</v>
      </c>
      <c r="CJ19" s="432">
        <f t="shared" ref="CJ19:CJ31" si="6">CJ4</f>
        <v>2019</v>
      </c>
      <c r="CK19" s="429" t="s">
        <v>385</v>
      </c>
      <c r="CL19" s="434"/>
      <c r="CM19" s="423"/>
      <c r="CN19" s="1318"/>
      <c r="CO19" s="431">
        <f t="shared" si="4"/>
        <v>2021</v>
      </c>
      <c r="CP19" s="432">
        <f t="shared" ref="CP19:CP31" si="7">CP4</f>
        <v>2020</v>
      </c>
      <c r="CQ19" s="429" t="s">
        <v>385</v>
      </c>
      <c r="CR19" s="434"/>
      <c r="CS19" s="423"/>
    </row>
    <row r="20" spans="1:97" s="427" customFormat="1" ht="12" customHeight="1">
      <c r="A20" s="423"/>
      <c r="B20" s="435">
        <v>-20</v>
      </c>
      <c r="C20" s="338">
        <v>-0.48</v>
      </c>
      <c r="D20" s="338">
        <f>'Data Standar'!U158</f>
        <v>-0.67</v>
      </c>
      <c r="E20" s="436">
        <f>IF(OR(C20=0,D20=0),'Data Standar'!$U$170/3,((MAX(C20:D20)-(MIN(C20:D20)))))</f>
        <v>0.19000000000000006</v>
      </c>
      <c r="F20" s="437">
        <v>0.12</v>
      </c>
      <c r="G20" s="437"/>
      <c r="H20" s="435">
        <v>-20</v>
      </c>
      <c r="I20" s="338">
        <v>-0.69</v>
      </c>
      <c r="J20" s="338">
        <f>'Data Standar'!V158</f>
        <v>-0.59</v>
      </c>
      <c r="K20" s="436">
        <f>IF(OR(I20=0,J20=0),'Data Standar'!$V$170/3,((MAX(I20:J20)-(MIN(I20:J20)))))</f>
        <v>9.9999999999999978E-2</v>
      </c>
      <c r="L20" s="437">
        <v>0.12</v>
      </c>
      <c r="M20" s="437"/>
      <c r="N20" s="435">
        <v>-20</v>
      </c>
      <c r="O20" s="338">
        <v>-0.53</v>
      </c>
      <c r="P20" s="338">
        <f>'Data Standar'!W158</f>
        <v>-0.5</v>
      </c>
      <c r="Q20" s="436">
        <f>IF(OR(O20=0,P20=0),'Data Standar'!$W$170/3,((MAX(O20:P20)-(MIN(O20:P20)))))</f>
        <v>3.0000000000000027E-2</v>
      </c>
      <c r="R20" s="434">
        <v>9.9999999999999995E-7</v>
      </c>
      <c r="S20" s="437"/>
      <c r="T20" s="435">
        <v>-20</v>
      </c>
      <c r="U20" s="338">
        <f>'Data Standar'!X158</f>
        <v>-1.45</v>
      </c>
      <c r="V20" s="338"/>
      <c r="W20" s="436">
        <f>IF(OR(U20=0,V20=0),'Data Standar'!$X$170/3,((MAX(U20:V20)-(MIN(U20:V20)))))</f>
        <v>9.0000000000000011E-2</v>
      </c>
      <c r="X20" s="434">
        <v>9.9999999999999995E-7</v>
      </c>
      <c r="Y20" s="437"/>
      <c r="Z20" s="435">
        <v>-20</v>
      </c>
      <c r="AA20" s="338">
        <f>'Data Standar'!Y158</f>
        <v>0.01</v>
      </c>
      <c r="AB20" s="338">
        <v>-0.54</v>
      </c>
      <c r="AC20" s="436">
        <f>IF(OR(AA20=0,AB20=0),'Data Standar'!$Y$170/3,((MAX(AA20:AB20)-(MIN(AA20:AB20)))))</f>
        <v>0.55000000000000004</v>
      </c>
      <c r="AD20" s="434">
        <v>9.9999999999999995E-7</v>
      </c>
      <c r="AE20" s="437"/>
      <c r="AF20" s="435">
        <v>-20</v>
      </c>
      <c r="AG20" s="338">
        <f>'Data Standar'!Z158</f>
        <v>0.02</v>
      </c>
      <c r="AH20" s="338">
        <v>-0.14000000000000001</v>
      </c>
      <c r="AI20" s="436">
        <f>IF(OR(AG20=0,AH20=0),'Data Standar'!$Z$170/3,((MAX(AG20:AH20)-(MIN(AG20:AH20)))))</f>
        <v>0.16</v>
      </c>
      <c r="AJ20" s="434">
        <v>9.9999999999999995E-7</v>
      </c>
      <c r="AK20" s="437"/>
      <c r="AL20" s="435">
        <v>-20</v>
      </c>
      <c r="AM20" s="338">
        <f>'Data Standar'!AA158</f>
        <v>0.42</v>
      </c>
      <c r="AN20" s="338"/>
      <c r="AO20" s="436">
        <f>IF(OR(AM20=0,AN20=0),'Data Standar'!$AA$170/3,((MAX(AM20:AN20)-(MIN(AM20:AN20)))))</f>
        <v>8.3333333333333329E-2</v>
      </c>
      <c r="AP20" s="434">
        <v>9.9999999999999995E-7</v>
      </c>
      <c r="AQ20" s="437"/>
      <c r="AR20" s="435">
        <v>-20</v>
      </c>
      <c r="AS20" s="338">
        <f>'Data Standar'!AB158</f>
        <v>0.3</v>
      </c>
      <c r="AT20" s="338"/>
      <c r="AU20" s="436">
        <f>IF(OR(AS20=0,AT20=0),'Data Standar'!$AB$170/3,((MAX(AS20:AT20)-(MIN(AS20:AT20)))))</f>
        <v>0.08</v>
      </c>
      <c r="AV20" s="434">
        <v>9.9999999999999995E-7</v>
      </c>
      <c r="AW20" s="437"/>
      <c r="AX20" s="435">
        <v>-20</v>
      </c>
      <c r="AY20" s="338">
        <f>'Data Standar'!AC158</f>
        <v>0.62</v>
      </c>
      <c r="AZ20" s="338"/>
      <c r="BA20" s="436">
        <f>IF(OR(AY20=0,AZ20=0),'Data Standar'!$AC$170/3,((MAX(AY20:AZ20)-(MIN(AY20:AZ20)))))</f>
        <v>0.26333333333333336</v>
      </c>
      <c r="BB20" s="434">
        <v>9.9999999999999995E-7</v>
      </c>
      <c r="BC20" s="437"/>
      <c r="BD20" s="435">
        <v>-20</v>
      </c>
      <c r="BE20" s="338">
        <f>'Data Standar'!AD158</f>
        <v>-0.97</v>
      </c>
      <c r="BF20" s="338"/>
      <c r="BG20" s="436">
        <f>IF(OR(BE20=0,BF20=0),'Data Standar'!$AD$170/3,((MAX(BE20:BF20)-(MIN(BE20:BF20)))))</f>
        <v>9.3333333333333338E-2</v>
      </c>
      <c r="BH20" s="434">
        <v>9.9999999999999995E-7</v>
      </c>
      <c r="BI20" s="437"/>
      <c r="BJ20" s="435">
        <v>-20</v>
      </c>
      <c r="BK20" s="338">
        <f>'Data Standar'!AE158</f>
        <v>0.62</v>
      </c>
      <c r="BL20" s="338"/>
      <c r="BM20" s="436">
        <f>IF(OR(BK20=0,BL20=0),'Data Standar'!$AE$170/3,((MAX(BK20:BL20)-(MIN(BK20:BL20)))))</f>
        <v>0.26333333333333336</v>
      </c>
      <c r="BN20" s="434">
        <v>9.9999999999999995E-7</v>
      </c>
      <c r="BO20" s="437"/>
      <c r="BP20" s="435">
        <v>-20</v>
      </c>
      <c r="BQ20" s="338">
        <f>'Data Standar'!AF158</f>
        <v>-1.29</v>
      </c>
      <c r="BR20" s="338"/>
      <c r="BS20" s="436">
        <f>IF(OR(BQ20=0,BR20=0),'Data Standar'!$AF$170/3,((MAX(BQ20:BR20)-(MIN(BQ20:BR20)))))</f>
        <v>8.3333333333333329E-2</v>
      </c>
      <c r="BT20" s="434">
        <v>9.9999999999999995E-7</v>
      </c>
      <c r="BU20" s="437"/>
      <c r="BV20" s="435">
        <v>-20</v>
      </c>
      <c r="BW20" s="338">
        <f>'Data Standar'!AG158</f>
        <v>-1.45</v>
      </c>
      <c r="BX20" s="338"/>
      <c r="BY20" s="436">
        <f>IF(OR(BW20=0,BX20=0),'Data Standar'!$AG$170/3,((MAX(BW20:BX20)-(MIN(BW20:BX20)))))</f>
        <v>9.0000000000000011E-2</v>
      </c>
      <c r="BZ20" s="434">
        <v>9.9999999999999995E-7</v>
      </c>
      <c r="CA20" s="437"/>
      <c r="CB20" s="435">
        <v>-20</v>
      </c>
      <c r="CC20" s="338">
        <f t="shared" si="2"/>
        <v>-1.1000000000000001</v>
      </c>
      <c r="CD20" s="338">
        <f t="shared" si="5"/>
        <v>-0.7</v>
      </c>
      <c r="CE20" s="436">
        <f t="shared" ref="CE20:CE31" si="8">CE5</f>
        <v>0.40000000000000013</v>
      </c>
      <c r="CF20" s="434">
        <v>9.9999999999999995E-7</v>
      </c>
      <c r="CG20" s="423"/>
      <c r="CH20" s="435">
        <v>-20</v>
      </c>
      <c r="CI20" s="338">
        <f t="shared" si="3"/>
        <v>-0.15</v>
      </c>
      <c r="CJ20" s="338">
        <f t="shared" si="6"/>
        <v>-0.32</v>
      </c>
      <c r="CK20" s="436">
        <f t="shared" ref="CK20:CK31" si="9">CK5</f>
        <v>0.17</v>
      </c>
      <c r="CL20" s="434">
        <v>9.9999999999999995E-7</v>
      </c>
      <c r="CM20" s="423"/>
      <c r="CN20" s="435">
        <v>-20</v>
      </c>
      <c r="CO20" s="338">
        <f t="shared" si="4"/>
        <v>-1.8</v>
      </c>
      <c r="CP20" s="338">
        <f t="shared" si="7"/>
        <v>-0.51</v>
      </c>
      <c r="CQ20" s="436">
        <f t="shared" ref="CQ20:CQ31" si="10">CQ5</f>
        <v>1.29</v>
      </c>
      <c r="CR20" s="434">
        <v>9.9999999999999995E-7</v>
      </c>
      <c r="CS20" s="423"/>
    </row>
    <row r="21" spans="1:97" s="427" customFormat="1" ht="12" customHeight="1">
      <c r="A21" s="423"/>
      <c r="B21" s="435">
        <v>-15</v>
      </c>
      <c r="C21" s="338">
        <v>-0.4</v>
      </c>
      <c r="D21" s="338">
        <f>'Data Standar'!U159</f>
        <v>-0.57999999999999996</v>
      </c>
      <c r="E21" s="436">
        <f>IF(OR(C21=0,D21=0),'Data Standar'!$U$170/3,((MAX(C21:D21)-(MIN(C21:D21)))))</f>
        <v>0.17999999999999994</v>
      </c>
      <c r="F21" s="437">
        <f>(-0.45+1.66)/2</f>
        <v>0.60499999999999998</v>
      </c>
      <c r="G21" s="985">
        <f>IF(G18&lt;=B26,B26,IF(G18&lt;=B27,B27,IF(G18&lt;=B28,B28,IF(G18&lt;=B29,B29,IF(G18&lt;=B30,B30,IF(G18&lt;=B31,B31))))))</f>
        <v>200</v>
      </c>
      <c r="H21" s="435">
        <v>-15</v>
      </c>
      <c r="I21" s="338">
        <v>-0.56000000000000005</v>
      </c>
      <c r="J21" s="338">
        <f>'Data Standar'!V159</f>
        <v>-0.51</v>
      </c>
      <c r="K21" s="436">
        <f>IF(OR(I21=0,J21=0),'Data Standar'!$V$170/3,((MAX(I21:J21)-(MIN(I21:J21)))))</f>
        <v>5.0000000000000044E-2</v>
      </c>
      <c r="L21" s="437">
        <f t="shared" ref="L21:L26" si="11">(0+0.1)/2</f>
        <v>0.05</v>
      </c>
      <c r="M21" s="985">
        <f>IF(M18&lt;=H26,H26,IF(M18&lt;=H27,H27,IF(M18&lt;=H28,H28,IF(M18&lt;=H29,H29,IF(M18&lt;=H30,H30,IF(M18&lt;=H31,H31))))))</f>
        <v>200</v>
      </c>
      <c r="N21" s="435">
        <v>-15</v>
      </c>
      <c r="O21" s="338">
        <v>-0.44</v>
      </c>
      <c r="P21" s="338">
        <f>'Data Standar'!W159</f>
        <v>-0.41</v>
      </c>
      <c r="Q21" s="436">
        <f>IF(OR(O21=0,P21=0),'Data Standar'!$W$170/3,((MAX(O21:P21)-(MIN(O21:P21)))))</f>
        <v>3.0000000000000027E-2</v>
      </c>
      <c r="R21" s="434">
        <f>(0.05-0)/2</f>
        <v>2.5000000000000001E-2</v>
      </c>
      <c r="S21" s="985">
        <f>IF(S18&lt;=N26,N26,IF(S18&lt;=N27,N27,IF(S18&lt;=N28,N28,IF(S18&lt;=N29,N29,IF(S18&lt;=N30,N30,IF(S18&lt;=N31,N31))))))</f>
        <v>200</v>
      </c>
      <c r="T21" s="435">
        <v>-15</v>
      </c>
      <c r="U21" s="338">
        <f>'Data Standar'!X159</f>
        <v>-1.23</v>
      </c>
      <c r="V21" s="338"/>
      <c r="W21" s="436">
        <f>IF(OR(U21=0,V21=0),'Data Standar'!$X$170/3,((MAX(U21:V21)-(MIN(U21:V21)))))</f>
        <v>9.0000000000000011E-2</v>
      </c>
      <c r="X21" s="434">
        <f>(0.05-0)/2</f>
        <v>2.5000000000000001E-2</v>
      </c>
      <c r="Y21" s="985">
        <f>IF(Y18&lt;=T26,T26,IF(Y18&lt;=T27,T27,IF(Y18&lt;=T28,T28,IF(Y18&lt;=T29,T29,IF(Y18&lt;=T30,T30,IF(Y18&lt;=T31,T31))))))</f>
        <v>200</v>
      </c>
      <c r="Z21" s="435">
        <v>-15</v>
      </c>
      <c r="AA21" s="338">
        <f>'Data Standar'!Y159</f>
        <v>0.05</v>
      </c>
      <c r="AB21" s="338">
        <v>9.9999999999999995E-7</v>
      </c>
      <c r="AC21" s="436">
        <f>IF(OR(AA21=0,AB21=0),'Data Standar'!$Y$170/3,((MAX(AA21:AB21)-(MIN(AA21:AB21)))))</f>
        <v>4.9999000000000002E-2</v>
      </c>
      <c r="AD21" s="434">
        <f>(0.05-0)/2</f>
        <v>2.5000000000000001E-2</v>
      </c>
      <c r="AE21" s="985">
        <f>IF(AE18&lt;=Z26,Z26,IF(AE18&lt;=Z27,Z27,IF(AE18&lt;=Z28,Z28,IF(AE18&lt;=Z29,Z29,IF(AE18&lt;=Z30,Z30,IF(AE18&lt;=Z31,Z31))))))</f>
        <v>200</v>
      </c>
      <c r="AF21" s="435">
        <v>-15</v>
      </c>
      <c r="AG21" s="338">
        <f>'Data Standar'!Z159</f>
        <v>0.05</v>
      </c>
      <c r="AH21" s="338">
        <v>9.9999999999999995E-7</v>
      </c>
      <c r="AI21" s="436">
        <f>IF(OR(AG21=0,AH21=0),'Data Standar'!$Z$170/3,((MAX(AG21:AH21)-(MIN(AG21:AH21)))))</f>
        <v>4.9999000000000002E-2</v>
      </c>
      <c r="AJ21" s="434">
        <f>(0.05-0)/2</f>
        <v>2.5000000000000001E-2</v>
      </c>
      <c r="AK21" s="985">
        <f>IF(AK18&lt;=AF26,AF26,IF(AK18&lt;=AF27,AF27,IF(AK18&lt;=AF28,AF28,IF(AK18&lt;=AF29,AF29,IF(AK18&lt;=AF30,AF30,IF(AK18&lt;=AF31,AF31))))))</f>
        <v>200</v>
      </c>
      <c r="AL21" s="435">
        <v>-15</v>
      </c>
      <c r="AM21" s="338">
        <f>'Data Standar'!AA159</f>
        <v>0.44</v>
      </c>
      <c r="AN21" s="338"/>
      <c r="AO21" s="436">
        <f>IF(OR(AM21=0,AN21=0),'Data Standar'!$AA$170/3,((MAX(AM21:AN21)-(MIN(AM21:AN21)))))</f>
        <v>8.3333333333333329E-2</v>
      </c>
      <c r="AP21" s="434">
        <f>(0.05-0)/2</f>
        <v>2.5000000000000001E-2</v>
      </c>
      <c r="AQ21" s="985">
        <f>IF(AQ18&lt;=AL26,AL26,IF(AQ18&lt;=AL27,AL27,IF(AQ18&lt;=AL28,AL28,IF(AQ18&lt;=AL29,AL29,IF(AQ18&lt;=AL30,AL30,IF(AQ18&lt;=AL31,AL31))))))</f>
        <v>200</v>
      </c>
      <c r="AR21" s="435">
        <v>-15</v>
      </c>
      <c r="AS21" s="338">
        <f>'Data Standar'!AB159</f>
        <v>0.33</v>
      </c>
      <c r="AT21" s="338"/>
      <c r="AU21" s="436">
        <f>IF(OR(AS21=0,AT21=0),'Data Standar'!$AB$170/3,((MAX(AS21:AT21)-(MIN(AS21:AT21)))))</f>
        <v>0.08</v>
      </c>
      <c r="AV21" s="434">
        <f>(0.05-0)/2</f>
        <v>2.5000000000000001E-2</v>
      </c>
      <c r="AW21" s="985">
        <f>IF(AW18&lt;=AR26,AR26,IF(AW18&lt;=AR27,AR27,IF(AW18&lt;=AR28,AR28,IF(AW18&lt;=AR29,AR29,IF(AW18&lt;=AR30,AR30,IF(AW18&lt;=AR31,AR31))))))</f>
        <v>200</v>
      </c>
      <c r="AX21" s="435">
        <v>-15</v>
      </c>
      <c r="AY21" s="338">
        <f>'Data Standar'!AC159</f>
        <v>9.9999999999999995E-7</v>
      </c>
      <c r="AZ21" s="338"/>
      <c r="BA21" s="436">
        <f>IF(OR(AY21=0,AZ21=0),'Data Standar'!$AC$170/3,((MAX(AY21:AZ21)-(MIN(AY21:AZ21)))))</f>
        <v>0.26333333333333336</v>
      </c>
      <c r="BB21" s="434">
        <f>(0.05-0)/2</f>
        <v>2.5000000000000001E-2</v>
      </c>
      <c r="BC21" s="985">
        <f>IF(BC18&lt;=AX26,AX26,IF(BC18&lt;=AX27,AX27,IF(BC18&lt;=AX28,AX28,IF(BC18&lt;=AX29,AX29,IF(BC18&lt;=AX30,AX30,IF(BC18&lt;=AX31,AX31))))))</f>
        <v>200</v>
      </c>
      <c r="BD21" s="435">
        <v>-15</v>
      </c>
      <c r="BE21" s="338">
        <f>'Data Standar'!AD159</f>
        <v>-0.72</v>
      </c>
      <c r="BF21" s="338"/>
      <c r="BG21" s="436">
        <f>IF(OR(BE21=0,BF21=0),'Data Standar'!$AD$170/3,((MAX(BE21:BF21)-(MIN(BE21:BF21)))))</f>
        <v>9.3333333333333338E-2</v>
      </c>
      <c r="BH21" s="434">
        <f>(0.05-0)/2</f>
        <v>2.5000000000000001E-2</v>
      </c>
      <c r="BI21" s="985">
        <f>IF(BI18&lt;=BD26,BD26,IF(BI18&lt;=BD27,BD27,IF(BI18&lt;=BD28,BD28,IF(BI18&lt;=BD29,BD29,IF(BI18&lt;=BD30,BD30,IF(BI18&lt;=BD31,BD31))))))</f>
        <v>200</v>
      </c>
      <c r="BJ21" s="435">
        <v>-15</v>
      </c>
      <c r="BK21" s="338">
        <f>'Data Standar'!AE159</f>
        <v>9.9999999999999995E-7</v>
      </c>
      <c r="BL21" s="338"/>
      <c r="BM21" s="436">
        <f>IF(OR(BK21=0,BL21=0),'Data Standar'!$AE$170/3,((MAX(BK21:BL21)-(MIN(BK21:BL21)))))</f>
        <v>0.26333333333333336</v>
      </c>
      <c r="BN21" s="434">
        <f>(0.05-0)/2</f>
        <v>2.5000000000000001E-2</v>
      </c>
      <c r="BO21" s="985">
        <f>IF(BO18&lt;=BJ26,BJ26,IF(BO18&lt;=BJ27,BJ27,IF(BO18&lt;=BJ28,BJ28,IF(BO18&lt;=BJ29,BJ29,IF(BO18&lt;=BJ30,BJ30,IF(BO18&lt;=BJ31,BJ31))))))</f>
        <v>200</v>
      </c>
      <c r="BP21" s="435">
        <v>-15</v>
      </c>
      <c r="BQ21" s="338">
        <f>'Data Standar'!AF159</f>
        <v>-1.04</v>
      </c>
      <c r="BR21" s="338"/>
      <c r="BS21" s="436">
        <f>IF(OR(BQ21=0,BR21=0),'Data Standar'!$AF$170/3,((MAX(BQ21:BR21)-(MIN(BQ21:BR21)))))</f>
        <v>8.3333333333333329E-2</v>
      </c>
      <c r="BT21" s="434">
        <f>(0.05-0)/2</f>
        <v>2.5000000000000001E-2</v>
      </c>
      <c r="BU21" s="985">
        <f>IF(BU18&lt;=BP26,BP26,IF(BU18&lt;=BP27,BP27,IF(BU18&lt;=BP28,BP28,IF(BU18&lt;=BP29,BP29,IF(BU18&lt;=BP30,BP30,IF(BU18&lt;=BP31,BP31))))))</f>
        <v>200</v>
      </c>
      <c r="BV21" s="435">
        <v>-15</v>
      </c>
      <c r="BW21" s="338">
        <f>'Data Standar'!AG159</f>
        <v>-1.18</v>
      </c>
      <c r="BX21" s="338"/>
      <c r="BY21" s="436">
        <f>IF(OR(BW21=0,BX21=0),'Data Standar'!$AG$170/3,((MAX(BW21:BX21)-(MIN(BW21:BX21)))))</f>
        <v>9.0000000000000011E-2</v>
      </c>
      <c r="BZ21" s="434">
        <f>(0.05-0)/2</f>
        <v>2.5000000000000001E-2</v>
      </c>
      <c r="CA21" s="985">
        <f>IF(CA18&lt;=BV26,BV26,IF(CA18&lt;=BV27,BV27,IF(CA18&lt;=BV28,BV28,IF(CA18&lt;=BV29,BV29,IF(CA18&lt;=BV30,BV30,IF(CA18&lt;=BV31,BV31))))))</f>
        <v>200</v>
      </c>
      <c r="CB21" s="435">
        <v>-15</v>
      </c>
      <c r="CC21" s="338">
        <f t="shared" si="2"/>
        <v>-1.1000000000000001</v>
      </c>
      <c r="CD21" s="338">
        <f t="shared" si="5"/>
        <v>-0.7</v>
      </c>
      <c r="CE21" s="436">
        <f t="shared" si="8"/>
        <v>0.40000000000000013</v>
      </c>
      <c r="CF21" s="434">
        <f>(0.05-0)/2</f>
        <v>2.5000000000000001E-2</v>
      </c>
      <c r="CG21" s="423"/>
      <c r="CH21" s="435">
        <v>-15</v>
      </c>
      <c r="CI21" s="338">
        <f t="shared" si="3"/>
        <v>-0.1</v>
      </c>
      <c r="CJ21" s="338">
        <f t="shared" si="6"/>
        <v>-0.24</v>
      </c>
      <c r="CK21" s="436">
        <f t="shared" si="9"/>
        <v>0.13999999999999999</v>
      </c>
      <c r="CL21" s="434">
        <f>(0.05-0)/2</f>
        <v>2.5000000000000001E-2</v>
      </c>
      <c r="CM21" s="423"/>
      <c r="CN21" s="435">
        <v>-15</v>
      </c>
      <c r="CO21" s="338">
        <f t="shared" si="4"/>
        <v>-1.52</v>
      </c>
      <c r="CP21" s="338">
        <f t="shared" si="7"/>
        <v>-0.39</v>
      </c>
      <c r="CQ21" s="436">
        <f t="shared" si="10"/>
        <v>1.1299999999999999</v>
      </c>
      <c r="CR21" s="434">
        <f>(0.05-0)/2</f>
        <v>2.5000000000000001E-2</v>
      </c>
      <c r="CS21" s="423"/>
    </row>
    <row r="22" spans="1:97" s="427" customFormat="1" ht="12" customHeight="1">
      <c r="A22" s="423"/>
      <c r="B22" s="435">
        <v>-10</v>
      </c>
      <c r="C22" s="338">
        <v>-0.33</v>
      </c>
      <c r="D22" s="338">
        <f>'Data Standar'!U160</f>
        <v>-0.5</v>
      </c>
      <c r="E22" s="436">
        <f>IF(OR(C22=0,D22=0),'Data Standar'!$U$170/3,((MAX(C22:D22)-(MIN(C22:D22)))))</f>
        <v>0.16999999999999998</v>
      </c>
      <c r="F22" s="437">
        <f>(-0.4+1.37)/2</f>
        <v>0.48500000000000004</v>
      </c>
      <c r="G22" s="437"/>
      <c r="H22" s="435">
        <v>-10</v>
      </c>
      <c r="I22" s="338">
        <v>0</v>
      </c>
      <c r="J22" s="338">
        <f>'Data Standar'!V160</f>
        <v>-0.42</v>
      </c>
      <c r="K22" s="436">
        <f>IF(OR(I22=0,J22=0),'Data Standar'!$V$170/3,((MAX(I22:J22)-(MIN(I22:J22)))))</f>
        <v>0.18666666666666668</v>
      </c>
      <c r="L22" s="437">
        <f t="shared" si="11"/>
        <v>0.05</v>
      </c>
      <c r="M22" s="437"/>
      <c r="N22" s="435">
        <v>-10</v>
      </c>
      <c r="O22" s="338">
        <v>-0.34</v>
      </c>
      <c r="P22" s="338">
        <f>'Data Standar'!W160</f>
        <v>-0.34</v>
      </c>
      <c r="Q22" s="436">
        <f>IF(OR(O22=0,P22=0),'Data Standar'!$W$170/3,((MAX(O22:P22)-(MIN(O22:P22)))))</f>
        <v>0</v>
      </c>
      <c r="R22" s="434">
        <f>(0.06-0)/2</f>
        <v>0.03</v>
      </c>
      <c r="S22" s="437"/>
      <c r="T22" s="435">
        <v>-10</v>
      </c>
      <c r="U22" s="338">
        <f>'Data Standar'!X160</f>
        <v>-0.99</v>
      </c>
      <c r="V22" s="338"/>
      <c r="W22" s="436">
        <f>IF(OR(U22=0,V22=0),'Data Standar'!$X$170/3,((MAX(U22:V22)-(MIN(U22:V22)))))</f>
        <v>9.0000000000000011E-2</v>
      </c>
      <c r="X22" s="434">
        <f>(0.06-0)/2</f>
        <v>0.03</v>
      </c>
      <c r="Y22" s="437"/>
      <c r="Z22" s="435">
        <v>-10</v>
      </c>
      <c r="AA22" s="338">
        <f>'Data Standar'!Y160</f>
        <v>0.08</v>
      </c>
      <c r="AB22" s="338">
        <v>-0.28000000000000003</v>
      </c>
      <c r="AC22" s="436">
        <f>IF(OR(AA22=0,AB22=0),'Data Standar'!$Y$170/3,((MAX(AA22:AB22)-(MIN(AA22:AB22)))))</f>
        <v>0.36000000000000004</v>
      </c>
      <c r="AD22" s="434">
        <f>(0.06-0)/2</f>
        <v>0.03</v>
      </c>
      <c r="AE22" s="437"/>
      <c r="AF22" s="435">
        <v>-10</v>
      </c>
      <c r="AG22" s="338">
        <f>'Data Standar'!Z160</f>
        <v>0.08</v>
      </c>
      <c r="AH22" s="338">
        <v>0.1</v>
      </c>
      <c r="AI22" s="436">
        <f>IF(OR(AG22=0,AH22=0),'Data Standar'!$Z$170/3,((MAX(AG22:AH22)-(MIN(AG22:AH22)))))</f>
        <v>2.0000000000000004E-2</v>
      </c>
      <c r="AJ22" s="434">
        <f>(0.06-0)/2</f>
        <v>0.03</v>
      </c>
      <c r="AK22" s="437"/>
      <c r="AL22" s="435">
        <v>-10</v>
      </c>
      <c r="AM22" s="338">
        <f>'Data Standar'!AA160</f>
        <v>0.44</v>
      </c>
      <c r="AN22" s="338"/>
      <c r="AO22" s="436">
        <f>IF(OR(AM22=0,AN22=0),'Data Standar'!$AA$170/3,((MAX(AM22:AN22)-(MIN(AM22:AN22)))))</f>
        <v>8.3333333333333329E-2</v>
      </c>
      <c r="AP22" s="434">
        <f>(0.06-0)/2</f>
        <v>0.03</v>
      </c>
      <c r="AQ22" s="437"/>
      <c r="AR22" s="435">
        <v>-10</v>
      </c>
      <c r="AS22" s="338">
        <f>'Data Standar'!AB160</f>
        <v>0.35</v>
      </c>
      <c r="AT22" s="338"/>
      <c r="AU22" s="436">
        <f>IF(OR(AS22=0,AT22=0),'Data Standar'!$AB$170/3,((MAX(AS22:AT22)-(MIN(AS22:AT22)))))</f>
        <v>0.08</v>
      </c>
      <c r="AV22" s="434">
        <f>(0.06-0)/2</f>
        <v>0.03</v>
      </c>
      <c r="AW22" s="437"/>
      <c r="AX22" s="435">
        <v>-10</v>
      </c>
      <c r="AY22" s="338">
        <f>'Data Standar'!AC160</f>
        <v>0.59</v>
      </c>
      <c r="AZ22" s="338"/>
      <c r="BA22" s="436">
        <f>IF(OR(AY22=0,AZ22=0),'Data Standar'!$AC$170/3,((MAX(AY22:AZ22)-(MIN(AY22:AZ22)))))</f>
        <v>0.26333333333333336</v>
      </c>
      <c r="BB22" s="434">
        <f>(0.06-0)/2</f>
        <v>0.03</v>
      </c>
      <c r="BC22" s="437"/>
      <c r="BD22" s="435">
        <v>-10</v>
      </c>
      <c r="BE22" s="338">
        <f>'Data Standar'!AD160</f>
        <v>-0.52</v>
      </c>
      <c r="BF22" s="338"/>
      <c r="BG22" s="436">
        <f>IF(OR(BE22=0,BF22=0),'Data Standar'!$AD$170/3,((MAX(BE22:BF22)-(MIN(BE22:BF22)))))</f>
        <v>9.3333333333333338E-2</v>
      </c>
      <c r="BH22" s="434">
        <f>(0.06-0)/2</f>
        <v>0.03</v>
      </c>
      <c r="BI22" s="437"/>
      <c r="BJ22" s="435">
        <v>-10</v>
      </c>
      <c r="BK22" s="338">
        <f>'Data Standar'!AE160</f>
        <v>0.59</v>
      </c>
      <c r="BL22" s="338"/>
      <c r="BM22" s="436">
        <f>IF(OR(BK22=0,BL22=0),'Data Standar'!$AE$170/3,((MAX(BK22:BL22)-(MIN(BK22:BL22)))))</f>
        <v>0.26333333333333336</v>
      </c>
      <c r="BN22" s="434">
        <f>(0.06-0)/2</f>
        <v>0.03</v>
      </c>
      <c r="BO22" s="437"/>
      <c r="BP22" s="435">
        <v>-10</v>
      </c>
      <c r="BQ22" s="338">
        <f>'Data Standar'!AF160</f>
        <v>-0.83</v>
      </c>
      <c r="BR22" s="338"/>
      <c r="BS22" s="436">
        <f>IF(OR(BQ22=0,BR22=0),'Data Standar'!$AF$170/3,((MAX(BQ22:BR22)-(MIN(BQ22:BR22)))))</f>
        <v>8.3333333333333329E-2</v>
      </c>
      <c r="BT22" s="434">
        <f>(0.06-0)/2</f>
        <v>0.03</v>
      </c>
      <c r="BU22" s="437"/>
      <c r="BV22" s="435">
        <v>-10</v>
      </c>
      <c r="BW22" s="338">
        <f>'Data Standar'!AG160</f>
        <v>-0.94</v>
      </c>
      <c r="BX22" s="338"/>
      <c r="BY22" s="436">
        <f>IF(OR(BW22=0,BX22=0),'Data Standar'!$AG$170/3,((MAX(BW22:BX22)-(MIN(BW22:BX22)))))</f>
        <v>9.0000000000000011E-2</v>
      </c>
      <c r="BZ22" s="434">
        <f>(0.06-0)/2</f>
        <v>0.03</v>
      </c>
      <c r="CA22" s="437"/>
      <c r="CB22" s="435">
        <v>-10</v>
      </c>
      <c r="CC22" s="338">
        <f t="shared" si="2"/>
        <v>-1.2</v>
      </c>
      <c r="CD22" s="338">
        <f t="shared" si="5"/>
        <v>-0.7</v>
      </c>
      <c r="CE22" s="436">
        <f t="shared" si="8"/>
        <v>0.5</v>
      </c>
      <c r="CF22" s="434">
        <f>(0.06-0)/2</f>
        <v>0.03</v>
      </c>
      <c r="CG22" s="423"/>
      <c r="CH22" s="435">
        <v>-10</v>
      </c>
      <c r="CI22" s="338">
        <f t="shared" si="3"/>
        <v>-0.05</v>
      </c>
      <c r="CJ22" s="338">
        <f t="shared" si="6"/>
        <v>-0.18</v>
      </c>
      <c r="CK22" s="436">
        <f t="shared" si="9"/>
        <v>0.13</v>
      </c>
      <c r="CL22" s="434">
        <f>(0.06-0)/2</f>
        <v>0.03</v>
      </c>
      <c r="CM22" s="423"/>
      <c r="CN22" s="435">
        <v>-10</v>
      </c>
      <c r="CO22" s="338">
        <f t="shared" si="4"/>
        <v>-1.26</v>
      </c>
      <c r="CP22" s="338">
        <f t="shared" si="7"/>
        <v>-0.28000000000000003</v>
      </c>
      <c r="CQ22" s="436">
        <f t="shared" si="10"/>
        <v>0.98</v>
      </c>
      <c r="CR22" s="434">
        <f>(0.06-0)/2</f>
        <v>0.03</v>
      </c>
      <c r="CS22" s="423"/>
    </row>
    <row r="23" spans="1:97" s="427" customFormat="1" ht="13">
      <c r="A23" s="423"/>
      <c r="B23" s="435">
        <v>9.9999999999999995E-7</v>
      </c>
      <c r="C23" s="338">
        <v>-0.2</v>
      </c>
      <c r="D23" s="338">
        <f>'Data Standar'!U161</f>
        <v>-0.34</v>
      </c>
      <c r="E23" s="436">
        <f>IF(OR(C23=0,D23=0),'Data Standar'!$U$170/3,((MAX(C23:D23)-(MIN(C23:D23)))))</f>
        <v>0.14000000000000001</v>
      </c>
      <c r="F23" s="437">
        <f>(-0.31+0.86)/2</f>
        <v>0.27500000000000002</v>
      </c>
      <c r="G23" s="986">
        <f>VLOOKUP(G19,B26:F31,4)</f>
        <v>0.42999999999999994</v>
      </c>
      <c r="H23" s="435">
        <v>9.9999999999999995E-7</v>
      </c>
      <c r="I23" s="338">
        <v>-0.25</v>
      </c>
      <c r="J23" s="338">
        <f>'Data Standar'!V161</f>
        <v>-0.26</v>
      </c>
      <c r="K23" s="436">
        <f>IF(OR(I23=0,J23=0),'Data Standar'!$V$170/3,((MAX(I23:J23)-(MIN(I23:J23)))))</f>
        <v>1.0000000000000009E-2</v>
      </c>
      <c r="L23" s="437">
        <f t="shared" si="11"/>
        <v>0.05</v>
      </c>
      <c r="M23" s="986">
        <f>VLOOKUP(M19,H26:L31,4)</f>
        <v>0.62000000000000011</v>
      </c>
      <c r="N23" s="435">
        <v>9.9999999999999995E-7</v>
      </c>
      <c r="O23" s="338">
        <v>-0.32</v>
      </c>
      <c r="P23" s="338">
        <f>'Data Standar'!W161</f>
        <v>-0.21</v>
      </c>
      <c r="Q23" s="436">
        <f>IF(OR(O23=0,P23=0),'Data Standar'!$W$170/3,((MAX(O23:P23)-(MIN(O23:P23)))))</f>
        <v>0.11000000000000001</v>
      </c>
      <c r="R23" s="434">
        <f>(0.08-0)/2</f>
        <v>0.04</v>
      </c>
      <c r="S23" s="986">
        <f>VLOOKUP(S19,N26:R31,4)</f>
        <v>0.16999999999999998</v>
      </c>
      <c r="T23" s="435">
        <v>9.9999999999999995E-7</v>
      </c>
      <c r="U23" s="338">
        <f>'Data Standar'!X161</f>
        <v>-0.34</v>
      </c>
      <c r="V23" s="338"/>
      <c r="W23" s="436">
        <f>IF(OR(U23=0,V23=0),'Data Standar'!$X$170/3,((MAX(U23:V23)-(MIN(U23:V23)))))</f>
        <v>9.0000000000000011E-2</v>
      </c>
      <c r="X23" s="434">
        <f>(0.08-0)/2</f>
        <v>0.04</v>
      </c>
      <c r="Y23" s="986">
        <f>VLOOKUP(Y19,T26:X31,4)</f>
        <v>9.0000000000000011E-2</v>
      </c>
      <c r="Z23" s="435">
        <v>9.9999999999999995E-7</v>
      </c>
      <c r="AA23" s="338">
        <f>'Data Standar'!Y161</f>
        <v>0.05</v>
      </c>
      <c r="AB23" s="338">
        <v>-0.06</v>
      </c>
      <c r="AC23" s="436">
        <f>IF(OR(AA23=0,AB23=0),'Data Standar'!$Y$170/3,((MAX(AA23:AB23)-(MIN(AA23:AB23)))))</f>
        <v>0.11</v>
      </c>
      <c r="AD23" s="434">
        <f>(0.08-0)/2</f>
        <v>0.04</v>
      </c>
      <c r="AE23" s="986">
        <f>VLOOKUP(AE19,Z26:AD31,4)</f>
        <v>0.22000000000000003</v>
      </c>
      <c r="AF23" s="435">
        <v>9.9999999999999995E-7</v>
      </c>
      <c r="AG23" s="338">
        <f>'Data Standar'!Z161</f>
        <v>0.06</v>
      </c>
      <c r="AH23" s="338">
        <v>0.28999999999999998</v>
      </c>
      <c r="AI23" s="436">
        <f>IF(OR(AG23=0,AH23=0),'Data Standar'!$Z$170/3,((MAX(AG23:AH23)-(MIN(AG23:AH23)))))</f>
        <v>0.22999999999999998</v>
      </c>
      <c r="AJ23" s="434">
        <f>(0.08-0)/2</f>
        <v>0.04</v>
      </c>
      <c r="AK23" s="986">
        <f>VLOOKUP(AK19,AF26:AJ31,4)</f>
        <v>0.41999900000000001</v>
      </c>
      <c r="AL23" s="435">
        <v>9.9999999999999995E-7</v>
      </c>
      <c r="AM23" s="338">
        <f>'Data Standar'!AA161</f>
        <v>0.38</v>
      </c>
      <c r="AN23" s="338"/>
      <c r="AO23" s="436">
        <f>IF(OR(AM23=0,AN23=0),'Data Standar'!$AA$170/3,((MAX(AM23:AN23)-(MIN(AM23:AN23)))))</f>
        <v>8.3333333333333329E-2</v>
      </c>
      <c r="AP23" s="434">
        <f>(0.08-0)/2</f>
        <v>0.04</v>
      </c>
      <c r="AQ23" s="986">
        <f>VLOOKUP(AQ19,AL26:AP31,4)</f>
        <v>8.3333333333333329E-2</v>
      </c>
      <c r="AR23" s="435">
        <v>9.9999999999999995E-7</v>
      </c>
      <c r="AS23" s="338">
        <f>'Data Standar'!AB161</f>
        <v>0.35</v>
      </c>
      <c r="AT23" s="338"/>
      <c r="AU23" s="436">
        <f>IF(OR(AS23=0,AT23=0),'Data Standar'!$AB$170/3,((MAX(AS23:AT23)-(MIN(AS23:AT23)))))</f>
        <v>0.08</v>
      </c>
      <c r="AV23" s="434">
        <f>(0.08-0)/2</f>
        <v>0.04</v>
      </c>
      <c r="AW23" s="986">
        <f>VLOOKUP(AW19,AR26:AV31,4)</f>
        <v>0.08</v>
      </c>
      <c r="AX23" s="435">
        <v>9.9999999999999995E-7</v>
      </c>
      <c r="AY23" s="338">
        <f>'Data Standar'!AC161</f>
        <v>0.56000000000000005</v>
      </c>
      <c r="AZ23" s="338"/>
      <c r="BA23" s="436">
        <f>IF(OR(AY23=0,AZ23=0),'Data Standar'!$AC$170/3,((MAX(AY23:AZ23)-(MIN(AY23:AZ23)))))</f>
        <v>0.26333333333333336</v>
      </c>
      <c r="BB23" s="434">
        <f>(0.08-0)/2</f>
        <v>0.04</v>
      </c>
      <c r="BC23" s="986">
        <f>VLOOKUP(BC19,AX26:BB31,4)</f>
        <v>0.26333333333333336</v>
      </c>
      <c r="BD23" s="435">
        <v>9.9999999999999995E-7</v>
      </c>
      <c r="BE23" s="338">
        <f>'Data Standar'!AD161</f>
        <v>-0.28000000000000003</v>
      </c>
      <c r="BF23" s="338"/>
      <c r="BG23" s="436">
        <f>IF(OR(BE23=0,BF23=0),'Data Standar'!$AD$170/3,((MAX(BE23:BF23)-(MIN(BE23:BF23)))))</f>
        <v>9.3333333333333338E-2</v>
      </c>
      <c r="BH23" s="434">
        <f>(0.08-0)/2</f>
        <v>0.04</v>
      </c>
      <c r="BI23" s="986">
        <f>VLOOKUP(BI19,BD26:BH31,4)</f>
        <v>9.3333333333333338E-2</v>
      </c>
      <c r="BJ23" s="435">
        <v>9.9999999999999995E-7</v>
      </c>
      <c r="BK23" s="338">
        <f>'Data Standar'!AE161</f>
        <v>0.56000000000000005</v>
      </c>
      <c r="BL23" s="338"/>
      <c r="BM23" s="436">
        <f>IF(OR(BK23=0,BL23=0),'Data Standar'!$AE$170/3,((MAX(BK23:BL23)-(MIN(BK23:BL23)))))</f>
        <v>0.26333333333333336</v>
      </c>
      <c r="BN23" s="434">
        <f>(0.08-0)/2</f>
        <v>0.04</v>
      </c>
      <c r="BO23" s="986">
        <f>VLOOKUP(BO19,BJ26:BN31,4)</f>
        <v>0.26333333333333336</v>
      </c>
      <c r="BP23" s="435">
        <v>9.9999999999999995E-7</v>
      </c>
      <c r="BQ23" s="338">
        <f>'Data Standar'!AF161</f>
        <v>-0.56999999999999995</v>
      </c>
      <c r="BR23" s="338"/>
      <c r="BS23" s="436">
        <f>IF(OR(BQ23=0,BR23=0),'Data Standar'!$AF$170/3,((MAX(BQ23:BR23)-(MIN(BQ23:BR23)))))</f>
        <v>8.3333333333333329E-2</v>
      </c>
      <c r="BT23" s="434">
        <f>(0.08-0)/2</f>
        <v>0.04</v>
      </c>
      <c r="BU23" s="986">
        <f>VLOOKUP(BU19,BP26:BT31,4)</f>
        <v>8.3333333333333329E-2</v>
      </c>
      <c r="BV23" s="435">
        <v>9.9999999999999995E-7</v>
      </c>
      <c r="BW23" s="338">
        <f>'Data Standar'!AG161</f>
        <v>-0.56000000000000005</v>
      </c>
      <c r="BX23" s="338"/>
      <c r="BY23" s="436">
        <f>IF(OR(BW23=0,BX23=0),'Data Standar'!$AG$170/3,((MAX(BW23:BX23)-(MIN(BW23:BX23)))))</f>
        <v>9.0000000000000011E-2</v>
      </c>
      <c r="BZ23" s="434">
        <f>(0.08-0)/2</f>
        <v>0.04</v>
      </c>
      <c r="CA23" s="986">
        <f>VLOOKUP(CA19,BV26:BZ31,4)</f>
        <v>9.0000000000000011E-2</v>
      </c>
      <c r="CB23" s="435">
        <v>9.9999999999999995E-7</v>
      </c>
      <c r="CC23" s="338">
        <f t="shared" si="2"/>
        <v>-1.4</v>
      </c>
      <c r="CD23" s="338">
        <f t="shared" si="5"/>
        <v>-0.7</v>
      </c>
      <c r="CE23" s="436">
        <f t="shared" si="8"/>
        <v>0.7</v>
      </c>
      <c r="CF23" s="434">
        <f>(0.08-0)/2</f>
        <v>0.04</v>
      </c>
      <c r="CG23" s="423"/>
      <c r="CH23" s="435">
        <v>9.9999999999999995E-7</v>
      </c>
      <c r="CI23" s="338">
        <f t="shared" si="3"/>
        <v>0.03</v>
      </c>
      <c r="CJ23" s="338">
        <f t="shared" si="6"/>
        <v>-0.06</v>
      </c>
      <c r="CK23" s="436">
        <f t="shared" si="9"/>
        <v>0.09</v>
      </c>
      <c r="CL23" s="434">
        <f>(0.08-0)/2</f>
        <v>0.04</v>
      </c>
      <c r="CM23" s="423"/>
      <c r="CN23" s="435">
        <v>9.9999999999999995E-7</v>
      </c>
      <c r="CO23" s="338">
        <f t="shared" si="4"/>
        <v>-0.79</v>
      </c>
      <c r="CP23" s="338">
        <f t="shared" si="7"/>
        <v>-0.08</v>
      </c>
      <c r="CQ23" s="436">
        <f t="shared" si="10"/>
        <v>0.71000000000000008</v>
      </c>
      <c r="CR23" s="434">
        <f>(0.08-0)/2</f>
        <v>0.04</v>
      </c>
      <c r="CS23" s="423"/>
    </row>
    <row r="24" spans="1:97" s="427" customFormat="1" ht="13">
      <c r="A24" s="423"/>
      <c r="B24" s="435">
        <v>2</v>
      </c>
      <c r="C24" s="338">
        <v>-0.18</v>
      </c>
      <c r="D24" s="338">
        <f>'Data Standar'!U162</f>
        <v>-0.31</v>
      </c>
      <c r="E24" s="436">
        <f>IF(OR(C24=0,D24=0),'Data Standar'!$U$170/3,((MAX(C24:D24)-(MIN(C24:D24)))))</f>
        <v>0.13</v>
      </c>
      <c r="F24" s="437">
        <f>(-0.3+0.77)/2</f>
        <v>0.23500000000000001</v>
      </c>
      <c r="G24" s="437"/>
      <c r="H24" s="435">
        <v>2</v>
      </c>
      <c r="I24" s="338">
        <v>-0.22</v>
      </c>
      <c r="J24" s="338">
        <f>'Data Standar'!V162</f>
        <v>-0.23</v>
      </c>
      <c r="K24" s="436">
        <f>IF(OR(I24=0,J24=0),'Data Standar'!$V$170/3,((MAX(I24:J24)-(MIN(I24:J24)))))</f>
        <v>1.0000000000000009E-2</v>
      </c>
      <c r="L24" s="437">
        <f t="shared" si="11"/>
        <v>0.05</v>
      </c>
      <c r="M24" s="437"/>
      <c r="N24" s="435">
        <v>2</v>
      </c>
      <c r="O24" s="338">
        <v>-0.32</v>
      </c>
      <c r="P24" s="338">
        <f>'Data Standar'!W162</f>
        <v>-0.19</v>
      </c>
      <c r="Q24" s="436">
        <f>IF(OR(O24=0,P24=0),'Data Standar'!$W$170/3,((MAX(O24:P24)-(MIN(O24:P24)))))</f>
        <v>0.13</v>
      </c>
      <c r="R24" s="434">
        <f>(0.08-0)/2</f>
        <v>0.04</v>
      </c>
      <c r="S24" s="437"/>
      <c r="T24" s="435">
        <v>2</v>
      </c>
      <c r="U24" s="338">
        <f>'Data Standar'!X162</f>
        <v>-0.62</v>
      </c>
      <c r="V24" s="338"/>
      <c r="W24" s="436">
        <f>IF(OR(U24=0,V24=0),'Data Standar'!$X$170/3,((MAX(U24:V24)-(MIN(U24:V24)))))</f>
        <v>9.0000000000000011E-2</v>
      </c>
      <c r="X24" s="434">
        <f>(0.08-0)/2</f>
        <v>0.04</v>
      </c>
      <c r="Y24" s="437"/>
      <c r="Z24" s="435">
        <v>2</v>
      </c>
      <c r="AA24" s="338">
        <f>'Data Standar'!Y162</f>
        <v>7.0000000000000007E-2</v>
      </c>
      <c r="AB24" s="338">
        <v>-0.02</v>
      </c>
      <c r="AC24" s="436">
        <f>IF(OR(AA24=0,AB24=0),'Data Standar'!$Y$170/3,((MAX(AA24:AB24)-(MIN(AA24:AB24)))))</f>
        <v>9.0000000000000011E-2</v>
      </c>
      <c r="AD24" s="434">
        <f>(0.08-0)/2</f>
        <v>0.04</v>
      </c>
      <c r="AE24" s="437"/>
      <c r="AF24" s="435">
        <v>2</v>
      </c>
      <c r="AG24" s="338">
        <f>'Data Standar'!Z162</f>
        <v>0.08</v>
      </c>
      <c r="AH24" s="338">
        <v>0.33</v>
      </c>
      <c r="AI24" s="436">
        <f>IF(OR(AG24=0,AH24=0),'Data Standar'!$Z$170/3,((MAX(AG24:AH24)-(MIN(AG24:AH24)))))</f>
        <v>0.25</v>
      </c>
      <c r="AJ24" s="434">
        <f>(0.08-0)/2</f>
        <v>0.04</v>
      </c>
      <c r="AK24" s="437"/>
      <c r="AL24" s="435">
        <v>2</v>
      </c>
      <c r="AM24" s="338">
        <f>'Data Standar'!AA162</f>
        <v>0.41</v>
      </c>
      <c r="AN24" s="338"/>
      <c r="AO24" s="436">
        <f>IF(OR(AM24=0,AN24=0),'Data Standar'!$AA$170/3,((MAX(AM24:AN24)-(MIN(AM24:AN24)))))</f>
        <v>8.3333333333333329E-2</v>
      </c>
      <c r="AP24" s="434">
        <f>(0.08-0)/2</f>
        <v>0.04</v>
      </c>
      <c r="AQ24" s="437"/>
      <c r="AR24" s="435">
        <v>2</v>
      </c>
      <c r="AS24" s="338">
        <f>'Data Standar'!AB162</f>
        <v>0.36</v>
      </c>
      <c r="AT24" s="338"/>
      <c r="AU24" s="436">
        <f>IF(OR(AS24=0,AT24=0),'Data Standar'!$AB$170/3,((MAX(AS24:AT24)-(MIN(AS24:AT24)))))</f>
        <v>0.08</v>
      </c>
      <c r="AV24" s="434">
        <f>(0.08-0)/2</f>
        <v>0.04</v>
      </c>
      <c r="AW24" s="437"/>
      <c r="AX24" s="435">
        <v>2</v>
      </c>
      <c r="AY24" s="338">
        <f>'Data Standar'!AC162</f>
        <v>0.55000000000000004</v>
      </c>
      <c r="AZ24" s="338"/>
      <c r="BA24" s="436">
        <f>IF(OR(AY24=0,AZ24=0),'Data Standar'!$AC$170/3,((MAX(AY24:AZ24)-(MIN(AY24:AZ24)))))</f>
        <v>0.26333333333333336</v>
      </c>
      <c r="BB24" s="434">
        <f>(0.08-0)/2</f>
        <v>0.04</v>
      </c>
      <c r="BC24" s="437"/>
      <c r="BD24" s="435">
        <v>2</v>
      </c>
      <c r="BE24" s="338">
        <f>'Data Standar'!AD162</f>
        <v>-0.41</v>
      </c>
      <c r="BF24" s="338"/>
      <c r="BG24" s="436">
        <f>IF(OR(BE24=0,BF24=0),'Data Standar'!$AD$170/3,((MAX(BE24:BF24)-(MIN(BE24:BF24)))))</f>
        <v>9.3333333333333338E-2</v>
      </c>
      <c r="BH24" s="434">
        <f>(0.08-0)/2</f>
        <v>0.04</v>
      </c>
      <c r="BI24" s="437"/>
      <c r="BJ24" s="435">
        <v>2</v>
      </c>
      <c r="BK24" s="338">
        <f>'Data Standar'!AE162</f>
        <v>0.55000000000000004</v>
      </c>
      <c r="BL24" s="338"/>
      <c r="BM24" s="436">
        <f>IF(OR(BK24=0,BL24=0),'Data Standar'!$AE$170/3,((MAX(BK24:BL24)-(MIN(BK24:BL24)))))</f>
        <v>0.26333333333333336</v>
      </c>
      <c r="BN24" s="434">
        <f>(0.08-0)/2</f>
        <v>0.04</v>
      </c>
      <c r="BO24" s="437"/>
      <c r="BP24" s="435">
        <v>2</v>
      </c>
      <c r="BQ24" s="338">
        <f>'Data Standar'!AF162</f>
        <v>-0.57999999999999996</v>
      </c>
      <c r="BR24" s="338"/>
      <c r="BS24" s="436">
        <f>IF(OR(BQ24=0,BR24=0),'Data Standar'!$AF$170/3,((MAX(BQ24:BR24)-(MIN(BQ24:BR24)))))</f>
        <v>8.3333333333333329E-2</v>
      </c>
      <c r="BT24" s="434">
        <f>(0.08-0)/2</f>
        <v>0.04</v>
      </c>
      <c r="BU24" s="437"/>
      <c r="BV24" s="435">
        <v>2</v>
      </c>
      <c r="BW24" s="338">
        <f>'Data Standar'!AG162</f>
        <v>-0.64</v>
      </c>
      <c r="BX24" s="338"/>
      <c r="BY24" s="436">
        <f>IF(OR(BW24=0,BX24=0),'Data Standar'!$AG$170/3,((MAX(BW24:BX24)-(MIN(BW24:BX24)))))</f>
        <v>9.0000000000000011E-2</v>
      </c>
      <c r="BZ24" s="434">
        <f>(0.08-0)/2</f>
        <v>0.04</v>
      </c>
      <c r="CA24" s="437"/>
      <c r="CB24" s="435">
        <v>2</v>
      </c>
      <c r="CC24" s="338">
        <f t="shared" si="2"/>
        <v>0</v>
      </c>
      <c r="CD24" s="338">
        <f t="shared" si="5"/>
        <v>-0.7</v>
      </c>
      <c r="CE24" s="436">
        <f t="shared" si="8"/>
        <v>0.19999999999999998</v>
      </c>
      <c r="CF24" s="434">
        <f>(0.08-0)/2</f>
        <v>0.04</v>
      </c>
      <c r="CG24" s="423"/>
      <c r="CH24" s="435">
        <v>2</v>
      </c>
      <c r="CI24" s="338">
        <f t="shared" si="3"/>
        <v>0.04</v>
      </c>
      <c r="CJ24" s="338">
        <f t="shared" si="6"/>
        <v>-0.04</v>
      </c>
      <c r="CK24" s="436">
        <f t="shared" si="9"/>
        <v>0.08</v>
      </c>
      <c r="CL24" s="434">
        <f>(0.08-0)/2</f>
        <v>0.04</v>
      </c>
      <c r="CM24" s="423"/>
      <c r="CN24" s="435">
        <v>2</v>
      </c>
      <c r="CO24" s="338">
        <f t="shared" si="4"/>
        <v>-0.7</v>
      </c>
      <c r="CP24" s="338">
        <f t="shared" si="7"/>
        <v>-0.05</v>
      </c>
      <c r="CQ24" s="436">
        <f t="shared" si="10"/>
        <v>0.64999999999999991</v>
      </c>
      <c r="CR24" s="434">
        <f>(0.08-0)/2</f>
        <v>0.04</v>
      </c>
      <c r="CS24" s="423"/>
    </row>
    <row r="25" spans="1:97" s="427" customFormat="1" ht="13">
      <c r="A25" s="423"/>
      <c r="B25" s="435">
        <v>8</v>
      </c>
      <c r="C25" s="338">
        <v>-0.11</v>
      </c>
      <c r="D25" s="338">
        <f>'Data Standar'!U163</f>
        <v>-0.22</v>
      </c>
      <c r="E25" s="436">
        <f>IF(OR(C25=0,D25=0),'Data Standar'!$U$170/3,((MAX(C25:D25)-(MIN(C25:D25)))))</f>
        <v>0.11</v>
      </c>
      <c r="F25" s="437">
        <f>(-0.26+0.51)/2</f>
        <v>0.125</v>
      </c>
      <c r="G25" s="986">
        <f>VLOOKUP(G21,B26:F31,4)</f>
        <v>0.43000000000000005</v>
      </c>
      <c r="H25" s="435">
        <v>8</v>
      </c>
      <c r="I25" s="338">
        <v>-0.13</v>
      </c>
      <c r="J25" s="338">
        <f>'Data Standar'!V163</f>
        <v>-0.14000000000000001</v>
      </c>
      <c r="K25" s="436">
        <f>IF(OR(I25=0,J25=0),'Data Standar'!$V$170/3,((MAX(I25:J25)-(MIN(I25:J25)))))</f>
        <v>1.0000000000000009E-2</v>
      </c>
      <c r="L25" s="437">
        <f t="shared" si="11"/>
        <v>0.05</v>
      </c>
      <c r="M25" s="986">
        <f>VLOOKUP(M21,H26:L31,4)</f>
        <v>0.16999999999999998</v>
      </c>
      <c r="N25" s="435">
        <v>8</v>
      </c>
      <c r="O25" s="338">
        <v>-0.18</v>
      </c>
      <c r="P25" s="338">
        <f>'Data Standar'!W163</f>
        <v>-0.13</v>
      </c>
      <c r="Q25" s="436">
        <f>IF(OR(O25=0,P25=0),'Data Standar'!$W$170/3,((MAX(O25:P25)-(MIN(O25:P25)))))</f>
        <v>4.9999999999999989E-2</v>
      </c>
      <c r="R25" s="434">
        <f>(0.09-0)/2</f>
        <v>4.4999999999999998E-2</v>
      </c>
      <c r="S25" s="986">
        <f>VLOOKUP(S21,N26:R31,4)</f>
        <v>0.15000000000000002</v>
      </c>
      <c r="T25" s="435">
        <v>8</v>
      </c>
      <c r="U25" s="338">
        <f>'Data Standar'!X163</f>
        <v>-0.37</v>
      </c>
      <c r="V25" s="338"/>
      <c r="W25" s="436">
        <f>IF(OR(U25=0,V25=0),'Data Standar'!$X$170/3,((MAX(U25:V25)-(MIN(U25:V25)))))</f>
        <v>9.0000000000000011E-2</v>
      </c>
      <c r="X25" s="434">
        <f>(0.09-0)/2</f>
        <v>4.4999999999999998E-2</v>
      </c>
      <c r="Y25" s="986">
        <f>VLOOKUP(Y21,T26:X31,4)</f>
        <v>9.0000000000000011E-2</v>
      </c>
      <c r="Z25" s="435">
        <v>8</v>
      </c>
      <c r="AA25" s="338">
        <f>'Data Standar'!Y163</f>
        <v>7.0000000000000007E-2</v>
      </c>
      <c r="AB25" s="338">
        <v>0.09</v>
      </c>
      <c r="AC25" s="436">
        <f>IF(OR(AA25=0,AB25=0),'Data Standar'!$Y$170/3,((MAX(AA25:AB25)-(MIN(AA25:AB25)))))</f>
        <v>1.999999999999999E-2</v>
      </c>
      <c r="AD25" s="434">
        <f>(0.09-0)/2</f>
        <v>4.4999999999999998E-2</v>
      </c>
      <c r="AE25" s="986">
        <f>VLOOKUP(AE21,Z26:AD31,4)</f>
        <v>0.89</v>
      </c>
      <c r="AF25" s="435">
        <v>8</v>
      </c>
      <c r="AG25" s="338">
        <f>'Data Standar'!Z163</f>
        <v>0.08</v>
      </c>
      <c r="AH25" s="338">
        <v>0.42</v>
      </c>
      <c r="AI25" s="436">
        <f>IF(OR(AG25=0,AH25=0),'Data Standar'!$Z$170/3,((MAX(AG25:AH25)-(MIN(AG25:AH25)))))</f>
        <v>0.33999999999999997</v>
      </c>
      <c r="AJ25" s="434">
        <f>(0.09-0)/2</f>
        <v>4.4999999999999998E-2</v>
      </c>
      <c r="AK25" s="986">
        <f>VLOOKUP(AK21,AF26:AJ31,4)</f>
        <v>1.1299999999999999</v>
      </c>
      <c r="AL25" s="435">
        <v>8</v>
      </c>
      <c r="AM25" s="338">
        <f>'Data Standar'!AA163</f>
        <v>0.41</v>
      </c>
      <c r="AN25" s="338"/>
      <c r="AO25" s="436">
        <f>IF(OR(AM25=0,AN25=0),'Data Standar'!$AA$170/3,((MAX(AM25:AN25)-(MIN(AM25:AN25)))))</f>
        <v>8.3333333333333329E-2</v>
      </c>
      <c r="AP25" s="434">
        <f>(0.09-0)/2</f>
        <v>4.4999999999999998E-2</v>
      </c>
      <c r="AQ25" s="986">
        <f>VLOOKUP(AQ21,AL26:AP31,4)</f>
        <v>8.3333333333333329E-2</v>
      </c>
      <c r="AR25" s="435">
        <v>8</v>
      </c>
      <c r="AS25" s="338">
        <f>'Data Standar'!AB163</f>
        <v>0.35</v>
      </c>
      <c r="AT25" s="338"/>
      <c r="AU25" s="436">
        <f>IF(OR(AS25=0,AT25=0),'Data Standar'!$AB$170/3,((MAX(AS25:AT25)-(MIN(AS25:AT25)))))</f>
        <v>0.08</v>
      </c>
      <c r="AV25" s="434">
        <f>(0.09-0)/2</f>
        <v>4.4999999999999998E-2</v>
      </c>
      <c r="AW25" s="986">
        <f>VLOOKUP(AW21,AR26:AV31,4)</f>
        <v>0.08</v>
      </c>
      <c r="AX25" s="435">
        <v>8</v>
      </c>
      <c r="AY25" s="338">
        <f>'Data Standar'!AC163</f>
        <v>0.53</v>
      </c>
      <c r="AZ25" s="338"/>
      <c r="BA25" s="436">
        <f>IF(OR(AY25=0,AZ25=0),'Data Standar'!$AC$170/3,((MAX(AY25:AZ25)-(MIN(AY25:AZ25)))))</f>
        <v>0.26333333333333336</v>
      </c>
      <c r="BB25" s="434">
        <f>(0.09-0)/2</f>
        <v>4.4999999999999998E-2</v>
      </c>
      <c r="BC25" s="986">
        <f>VLOOKUP(BC21,AX26:BB31,4)</f>
        <v>0.26333333333333336</v>
      </c>
      <c r="BD25" s="435">
        <v>8</v>
      </c>
      <c r="BE25" s="338">
        <f>'Data Standar'!AD163</f>
        <v>-0.13</v>
      </c>
      <c r="BF25" s="338"/>
      <c r="BG25" s="436">
        <f>IF(OR(BE25=0,BF25=0),'Data Standar'!$AD$170/3,((MAX(BE25:BF25)-(MIN(BE25:BF25)))))</f>
        <v>9.3333333333333338E-2</v>
      </c>
      <c r="BH25" s="434">
        <f>(0.09-0)/2</f>
        <v>4.4999999999999998E-2</v>
      </c>
      <c r="BI25" s="986">
        <f>VLOOKUP(BI21,BD26:BH31,4)</f>
        <v>9.3333333333333338E-2</v>
      </c>
      <c r="BJ25" s="435">
        <v>8</v>
      </c>
      <c r="BK25" s="338">
        <f>'Data Standar'!AE163</f>
        <v>0.53</v>
      </c>
      <c r="BL25" s="338"/>
      <c r="BM25" s="436">
        <f>IF(OR(BK25=0,BL25=0),'Data Standar'!$AE$170/3,((MAX(BK25:BL25)-(MIN(BK25:BL25)))))</f>
        <v>0.26333333333333336</v>
      </c>
      <c r="BN25" s="434">
        <f>(0.09-0)/2</f>
        <v>4.4999999999999998E-2</v>
      </c>
      <c r="BO25" s="986">
        <f>VLOOKUP(BO21,BJ26:BN31,4)</f>
        <v>0.26333333333333336</v>
      </c>
      <c r="BP25" s="435">
        <v>8</v>
      </c>
      <c r="BQ25" s="338">
        <f>'Data Standar'!AF163</f>
        <v>-0.34</v>
      </c>
      <c r="BR25" s="338"/>
      <c r="BS25" s="436">
        <f>IF(OR(BQ25=0,BR25=0),'Data Standar'!$AF$170/3,((MAX(BQ25:BR25)-(MIN(BQ25:BR25)))))</f>
        <v>8.3333333333333329E-2</v>
      </c>
      <c r="BT25" s="434">
        <f>(0.09-0)/2</f>
        <v>4.4999999999999998E-2</v>
      </c>
      <c r="BU25" s="986">
        <f>VLOOKUP(BU21,BP26:BT31,4)</f>
        <v>8.3333333333333329E-2</v>
      </c>
      <c r="BV25" s="435">
        <v>8</v>
      </c>
      <c r="BW25" s="338">
        <f>'Data Standar'!AG163</f>
        <v>-0.37</v>
      </c>
      <c r="BX25" s="338"/>
      <c r="BY25" s="436">
        <f>IF(OR(BW25=0,BX25=0),'Data Standar'!$AG$170/3,((MAX(BW25:BX25)-(MIN(BW25:BX25)))))</f>
        <v>9.0000000000000011E-2</v>
      </c>
      <c r="BZ25" s="434">
        <f>(0.09-0)/2</f>
        <v>4.4999999999999998E-2</v>
      </c>
      <c r="CA25" s="986">
        <f>VLOOKUP(CA21,BV26:BZ31,4)</f>
        <v>9.0000000000000011E-2</v>
      </c>
      <c r="CB25" s="435">
        <v>8</v>
      </c>
      <c r="CC25" s="338">
        <f t="shared" si="2"/>
        <v>0</v>
      </c>
      <c r="CD25" s="338">
        <f t="shared" si="5"/>
        <v>-0.7</v>
      </c>
      <c r="CE25" s="436">
        <f t="shared" si="8"/>
        <v>0.19999999999999998</v>
      </c>
      <c r="CF25" s="434">
        <f>(0.09-0)/2</f>
        <v>4.4999999999999998E-2</v>
      </c>
      <c r="CG25" s="423"/>
      <c r="CH25" s="435">
        <v>8</v>
      </c>
      <c r="CI25" s="338">
        <f t="shared" si="3"/>
        <v>0.08</v>
      </c>
      <c r="CJ25" s="338">
        <f t="shared" si="6"/>
        <v>0.01</v>
      </c>
      <c r="CK25" s="436">
        <f t="shared" si="9"/>
        <v>7.0000000000000007E-2</v>
      </c>
      <c r="CL25" s="434">
        <f>(0.09-0)/2</f>
        <v>4.4999999999999998E-2</v>
      </c>
      <c r="CM25" s="423"/>
      <c r="CN25" s="435">
        <v>8</v>
      </c>
      <c r="CO25" s="338">
        <f t="shared" si="4"/>
        <v>-0.46</v>
      </c>
      <c r="CP25" s="338">
        <f t="shared" si="7"/>
        <v>0.06</v>
      </c>
      <c r="CQ25" s="436">
        <f t="shared" si="10"/>
        <v>0.52</v>
      </c>
      <c r="CR25" s="434">
        <f>(0.09-0)/2</f>
        <v>4.4999999999999998E-2</v>
      </c>
      <c r="CS25" s="423"/>
    </row>
    <row r="26" spans="1:97" s="427" customFormat="1" ht="13">
      <c r="A26" s="423"/>
      <c r="B26" s="435">
        <v>37</v>
      </c>
      <c r="C26" s="338">
        <v>0.11</v>
      </c>
      <c r="D26" s="338">
        <f>'Data Standar'!U164</f>
        <v>0.19</v>
      </c>
      <c r="E26" s="436">
        <f>IF(OR(C26=0,D26=0),'Data Standar'!$U$170/3,((MAX(C26:D26)-(MIN(C26:D26)))))</f>
        <v>0.08</v>
      </c>
      <c r="F26" s="437">
        <f>(0.42+0.17)/2</f>
        <v>0.29499999999999998</v>
      </c>
      <c r="G26" s="987"/>
      <c r="H26" s="435">
        <v>37</v>
      </c>
      <c r="I26" s="338">
        <v>0.12</v>
      </c>
      <c r="J26" s="338">
        <f>'Data Standar'!V164</f>
        <v>0.21</v>
      </c>
      <c r="K26" s="436">
        <f>IF(OR(I26=0,J26=0),'Data Standar'!$V$170/3,((MAX(I26:J26)-(MIN(I26:J26)))))</f>
        <v>0.09</v>
      </c>
      <c r="L26" s="437">
        <f t="shared" si="11"/>
        <v>0.05</v>
      </c>
      <c r="M26" s="987"/>
      <c r="N26" s="435">
        <v>37</v>
      </c>
      <c r="O26" s="338">
        <v>-0.17</v>
      </c>
      <c r="P26" s="338">
        <f>'Data Standar'!W164</f>
        <v>0.01</v>
      </c>
      <c r="Q26" s="436">
        <f>IF(OR(O26=0,P26=0),'Data Standar'!$W$170/3,((MAX(O26:P26)-(MIN(O26:P26)))))</f>
        <v>0.18000000000000002</v>
      </c>
      <c r="R26" s="434">
        <f>(0.14-0)/2</f>
        <v>7.0000000000000007E-2</v>
      </c>
      <c r="S26" s="987"/>
      <c r="T26" s="435">
        <v>37</v>
      </c>
      <c r="U26" s="338">
        <f>'Data Standar'!X164</f>
        <v>0.49</v>
      </c>
      <c r="V26" s="338"/>
      <c r="W26" s="436">
        <f>IF(OR(U26=0,V26=0),'Data Standar'!$X$170/3,((MAX(U26:V26)-(MIN(U26:V26)))))</f>
        <v>9.0000000000000011E-2</v>
      </c>
      <c r="X26" s="434">
        <f>(0.14-0)/2</f>
        <v>7.0000000000000007E-2</v>
      </c>
      <c r="Y26" s="987"/>
      <c r="Z26" s="435">
        <v>37</v>
      </c>
      <c r="AA26" s="338">
        <f>'Data Standar'!Y164</f>
        <v>0.08</v>
      </c>
      <c r="AB26" s="338">
        <v>0.47</v>
      </c>
      <c r="AC26" s="436">
        <f>IF(OR(AA26=0,AB26=0),'Data Standar'!$Y$170/3,((MAX(AA26:AB26)-(MIN(AA26:AB26)))))</f>
        <v>0.38999999999999996</v>
      </c>
      <c r="AD26" s="434">
        <f>(0.14-0)/2</f>
        <v>7.0000000000000007E-2</v>
      </c>
      <c r="AE26" s="987"/>
      <c r="AF26" s="435">
        <v>37</v>
      </c>
      <c r="AG26" s="338">
        <f>'Data Standar'!Z164</f>
        <v>0.09</v>
      </c>
      <c r="AH26" s="338">
        <v>0.69</v>
      </c>
      <c r="AI26" s="436">
        <f>IF(OR(AG26=0,AH26=0),'Data Standar'!$Z$170/3,((MAX(AG26:AH26)-(MIN(AG26:AH26)))))</f>
        <v>0.6</v>
      </c>
      <c r="AJ26" s="434">
        <f>(0.14-0)/2</f>
        <v>7.0000000000000007E-2</v>
      </c>
      <c r="AK26" s="987"/>
      <c r="AL26" s="435">
        <v>37</v>
      </c>
      <c r="AM26" s="338">
        <f>'Data Standar'!AA164</f>
        <v>0.42</v>
      </c>
      <c r="AN26" s="338"/>
      <c r="AO26" s="436">
        <f>IF(OR(AM26=0,AN26=0),'Data Standar'!$AA$170/3,((MAX(AM26:AN26)-(MIN(AM26:AN26)))))</f>
        <v>8.3333333333333329E-2</v>
      </c>
      <c r="AP26" s="434">
        <f>(0.14-0)/2</f>
        <v>7.0000000000000007E-2</v>
      </c>
      <c r="AQ26" s="987"/>
      <c r="AR26" s="435">
        <v>37</v>
      </c>
      <c r="AS26" s="338">
        <f>'Data Standar'!AB164</f>
        <v>0.33</v>
      </c>
      <c r="AT26" s="338"/>
      <c r="AU26" s="436">
        <f>IF(OR(AS26=0,AT26=0),'Data Standar'!$AB$170/3,((MAX(AS26:AT26)-(MIN(AS26:AT26)))))</f>
        <v>0.08</v>
      </c>
      <c r="AV26" s="434">
        <f>(0.14-0)/2</f>
        <v>7.0000000000000007E-2</v>
      </c>
      <c r="AW26" s="987"/>
      <c r="AX26" s="435">
        <v>37</v>
      </c>
      <c r="AY26" s="338">
        <f>'Data Standar'!AC164</f>
        <v>0.43</v>
      </c>
      <c r="AZ26" s="338"/>
      <c r="BA26" s="436">
        <f>IF(OR(AY26=0,AZ26=0),'Data Standar'!$AC$170/3,((MAX(AY26:AZ26)-(MIN(AY26:AZ26)))))</f>
        <v>0.26333333333333336</v>
      </c>
      <c r="BB26" s="434">
        <f>(0.14-0)/2</f>
        <v>7.0000000000000007E-2</v>
      </c>
      <c r="BC26" s="987"/>
      <c r="BD26" s="435">
        <v>37</v>
      </c>
      <c r="BE26" s="338">
        <f>'Data Standar'!AD164</f>
        <v>0.65</v>
      </c>
      <c r="BF26" s="338"/>
      <c r="BG26" s="436">
        <f>IF(OR(BE26=0,BF26=0),'Data Standar'!$AD$170/3,((MAX(BE26:BF26)-(MIN(BE26:BF26)))))</f>
        <v>9.3333333333333338E-2</v>
      </c>
      <c r="BH26" s="434">
        <f>(0.14-0)/2</f>
        <v>7.0000000000000007E-2</v>
      </c>
      <c r="BI26" s="987"/>
      <c r="BJ26" s="435">
        <v>37</v>
      </c>
      <c r="BK26" s="338">
        <f>'Data Standar'!AE164</f>
        <v>0.43</v>
      </c>
      <c r="BL26" s="338"/>
      <c r="BM26" s="436">
        <f>IF(OR(BK26=0,BL26=0),'Data Standar'!$AE$170/3,((MAX(BK26:BL26)-(MIN(BK26:BL26)))))</f>
        <v>0.26333333333333336</v>
      </c>
      <c r="BN26" s="434">
        <f>(0.14-0)/2</f>
        <v>7.0000000000000007E-2</v>
      </c>
      <c r="BO26" s="987"/>
      <c r="BP26" s="435">
        <v>37</v>
      </c>
      <c r="BQ26" s="338">
        <f>'Data Standar'!AF164</f>
        <v>0.41</v>
      </c>
      <c r="BR26" s="338"/>
      <c r="BS26" s="436">
        <f>IF(OR(BQ26=0,BR26=0),'Data Standar'!$AF$170/3,((MAX(BQ26:BR26)-(MIN(BQ26:BR26)))))</f>
        <v>8.3333333333333329E-2</v>
      </c>
      <c r="BT26" s="434">
        <f>(0.14-0)/2</f>
        <v>7.0000000000000007E-2</v>
      </c>
      <c r="BU26" s="987"/>
      <c r="BV26" s="435">
        <v>37</v>
      </c>
      <c r="BW26" s="338">
        <f>'Data Standar'!AG164</f>
        <v>0.51</v>
      </c>
      <c r="BX26" s="338"/>
      <c r="BY26" s="436">
        <f>IF(OR(BW26=0,BX26=0),'Data Standar'!$AG$170/3,((MAX(BW26:BX26)-(MIN(BW26:BX26)))))</f>
        <v>9.0000000000000011E-2</v>
      </c>
      <c r="BZ26" s="434">
        <f>(0.14-0)/2</f>
        <v>7.0000000000000007E-2</v>
      </c>
      <c r="CA26" s="987"/>
      <c r="CB26" s="435">
        <v>37</v>
      </c>
      <c r="CC26" s="338">
        <f t="shared" si="2"/>
        <v>0</v>
      </c>
      <c r="CD26" s="338">
        <f t="shared" si="5"/>
        <v>-0.6</v>
      </c>
      <c r="CE26" s="436">
        <f t="shared" si="8"/>
        <v>0.19999999999999998</v>
      </c>
      <c r="CF26" s="434">
        <f>(0.14-0)/2</f>
        <v>7.0000000000000007E-2</v>
      </c>
      <c r="CG26" s="423"/>
      <c r="CH26" s="435">
        <v>37</v>
      </c>
      <c r="CI26" s="338">
        <f t="shared" si="3"/>
        <v>0.23</v>
      </c>
      <c r="CJ26" s="338">
        <f t="shared" si="6"/>
        <v>0.19</v>
      </c>
      <c r="CK26" s="436">
        <f t="shared" si="9"/>
        <v>4.0000000000000008E-2</v>
      </c>
      <c r="CL26" s="434">
        <f>(0.14-0)/2</f>
        <v>7.0000000000000007E-2</v>
      </c>
      <c r="CM26" s="423"/>
      <c r="CN26" s="435">
        <v>37</v>
      </c>
      <c r="CO26" s="338">
        <f t="shared" si="4"/>
        <v>0.42</v>
      </c>
      <c r="CP26" s="338">
        <f t="shared" si="7"/>
        <v>0.45</v>
      </c>
      <c r="CQ26" s="436">
        <f t="shared" si="10"/>
        <v>3.0000000000000027E-2</v>
      </c>
      <c r="CR26" s="434">
        <f>(0.14-0)/2</f>
        <v>7.0000000000000007E-2</v>
      </c>
      <c r="CS26" s="423"/>
    </row>
    <row r="27" spans="1:97" s="427" customFormat="1" ht="13">
      <c r="A27" s="423"/>
      <c r="B27" s="435">
        <v>44</v>
      </c>
      <c r="C27" s="338">
        <v>0.14000000000000001</v>
      </c>
      <c r="D27" s="338">
        <f>'Data Standar'!U165</f>
        <v>0.28000000000000003</v>
      </c>
      <c r="E27" s="436">
        <f>IF(OR(C27=0,D27=0),'Data Standar'!$U$170/3,((MAX(C27:D27)-(MIN(C27:D27)))))</f>
        <v>0.14000000000000001</v>
      </c>
      <c r="F27" s="437">
        <f>(0.56+0.17)/2</f>
        <v>0.36500000000000005</v>
      </c>
      <c r="G27" s="988">
        <f>(((G25-G23)/(G21-G19))*(G18-G19))+G23</f>
        <v>0.42999999999999994</v>
      </c>
      <c r="H27" s="435">
        <v>44</v>
      </c>
      <c r="I27" s="338">
        <v>0.15</v>
      </c>
      <c r="J27" s="338">
        <f>'Data Standar'!V165</f>
        <v>0.27</v>
      </c>
      <c r="K27" s="436">
        <f>IF(OR(I27=0,J27=0),'Data Standar'!$V$170/3,((MAX(I27:J27)-(MIN(I27:J27)))))</f>
        <v>0.12000000000000002</v>
      </c>
      <c r="L27" s="437">
        <f>(0+0.07)/2</f>
        <v>3.5000000000000003E-2</v>
      </c>
      <c r="M27" s="988">
        <f>(((M25-M23)/(M21-M19))*(M18-M19))+M23</f>
        <v>0.51682250000000007</v>
      </c>
      <c r="N27" s="435">
        <v>44</v>
      </c>
      <c r="O27" s="338">
        <v>-0.2</v>
      </c>
      <c r="P27" s="338">
        <f>'Data Standar'!W165</f>
        <v>0.02</v>
      </c>
      <c r="Q27" s="436">
        <f>IF(OR(O27=0,P27=0),'Data Standar'!$W$170/3,((MAX(O27:P27)-(MIN(O27:P27)))))</f>
        <v>0.22</v>
      </c>
      <c r="R27" s="434">
        <f>(0.15-0)/2</f>
        <v>7.4999999999999997E-2</v>
      </c>
      <c r="S27" s="988">
        <f>(((S25-S23)/(S21-S19))*(S18-S19))+S23</f>
        <v>0.16541433333333333</v>
      </c>
      <c r="T27" s="435">
        <v>44</v>
      </c>
      <c r="U27" s="338">
        <f>'Data Standar'!X165</f>
        <v>0.61</v>
      </c>
      <c r="V27" s="338"/>
      <c r="W27" s="436">
        <f>IF(OR(U27=0,V27=0),'Data Standar'!$X$170/3,((MAX(U27:V27)-(MIN(U27:V27)))))</f>
        <v>9.0000000000000011E-2</v>
      </c>
      <c r="X27" s="434">
        <f>(0.15-0)/2</f>
        <v>7.4999999999999997E-2</v>
      </c>
      <c r="Y27" s="988">
        <f>(((Y25-Y23)/(Y21-Y19))*(Y18-Y19))+Y23</f>
        <v>9.0000000000000011E-2</v>
      </c>
      <c r="Z27" s="435">
        <v>44</v>
      </c>
      <c r="AA27" s="338">
        <f>'Data Standar'!Y165</f>
        <v>0.08</v>
      </c>
      <c r="AB27" s="338">
        <v>0.52</v>
      </c>
      <c r="AC27" s="436">
        <f>IF(OR(AA27=0,AB27=0),'Data Standar'!$Y$170/3,((MAX(AA27:AB27)-(MIN(AA27:AB27)))))</f>
        <v>0.44</v>
      </c>
      <c r="AD27" s="434">
        <f>(0.15-0)/2</f>
        <v>7.4999999999999997E-2</v>
      </c>
      <c r="AE27" s="988">
        <f>(((AE25-AE23)/(AE21-AE19))*(AE18-AE19))+AE23</f>
        <v>0.37361983333333337</v>
      </c>
      <c r="AF27" s="435">
        <v>44</v>
      </c>
      <c r="AG27" s="338">
        <f>'Data Standar'!Z165</f>
        <v>0.1</v>
      </c>
      <c r="AH27" s="338">
        <v>0.72</v>
      </c>
      <c r="AI27" s="436">
        <f>IF(OR(AG27=0,AH27=0),'Data Standar'!$Z$170/3,((MAX(AG27:AH27)-(MIN(AG27:AH27)))))</f>
        <v>0.62</v>
      </c>
      <c r="AJ27" s="434">
        <f>(0.15-0)/2</f>
        <v>7.4999999999999997E-2</v>
      </c>
      <c r="AK27" s="988">
        <f>(((AK25-AK23)/(AK21-AK19))*(AK18-AK19))+AK23</f>
        <v>0.58279039595000004</v>
      </c>
      <c r="AL27" s="435">
        <v>44</v>
      </c>
      <c r="AM27" s="338">
        <f>'Data Standar'!AA165</f>
        <v>0.42</v>
      </c>
      <c r="AN27" s="338"/>
      <c r="AO27" s="436">
        <f>IF(OR(AM27=0,AN27=0),'Data Standar'!$AA$170/3,((MAX(AM27:AN27)-(MIN(AM27:AN27)))))</f>
        <v>8.3333333333333329E-2</v>
      </c>
      <c r="AP27" s="434">
        <f>(0.15-0)/2</f>
        <v>7.4999999999999997E-2</v>
      </c>
      <c r="AQ27" s="988">
        <f>(((AQ25-AQ23)/(AQ21-AQ19))*(AQ18-AQ19))+AQ23</f>
        <v>8.3333333333333329E-2</v>
      </c>
      <c r="AR27" s="435">
        <v>44</v>
      </c>
      <c r="AS27" s="338">
        <f>'Data Standar'!AB165</f>
        <v>0.33</v>
      </c>
      <c r="AT27" s="338"/>
      <c r="AU27" s="436">
        <f>IF(OR(AS27=0,AT27=0),'Data Standar'!$AB$170/3,((MAX(AS27:AT27)-(MIN(AS27:AT27)))))</f>
        <v>0.08</v>
      </c>
      <c r="AV27" s="434">
        <f>(0.15-0)/2</f>
        <v>7.4999999999999997E-2</v>
      </c>
      <c r="AW27" s="988">
        <f>(((AW25-AW23)/(AW21-AW19))*(AW18-AW19))+AW23</f>
        <v>0.08</v>
      </c>
      <c r="AX27" s="435">
        <v>44</v>
      </c>
      <c r="AY27" s="338">
        <f>'Data Standar'!AC165</f>
        <v>0.41</v>
      </c>
      <c r="AZ27" s="338"/>
      <c r="BA27" s="436">
        <f>IF(OR(AY27=0,AZ27=0),'Data Standar'!$AC$170/3,((MAX(AY27:AZ27)-(MIN(AY27:AZ27)))))</f>
        <v>0.26333333333333336</v>
      </c>
      <c r="BB27" s="434">
        <f>(0.15-0)/2</f>
        <v>7.4999999999999997E-2</v>
      </c>
      <c r="BC27" s="988">
        <f>(((BC25-BC23)/(BC21-BC19))*(BC18-BC19))+BC23</f>
        <v>0.26333333333333336</v>
      </c>
      <c r="BD27" s="435">
        <v>44</v>
      </c>
      <c r="BE27" s="338">
        <f>'Data Standar'!AD165</f>
        <v>0.72</v>
      </c>
      <c r="BF27" s="338"/>
      <c r="BG27" s="436">
        <f>IF(OR(BE27=0,BF27=0),'Data Standar'!$AD$170/3,((MAX(BE27:BF27)-(MIN(BE27:BF27)))))</f>
        <v>9.3333333333333338E-2</v>
      </c>
      <c r="BH27" s="434">
        <f>(0.15-0)/2</f>
        <v>7.4999999999999997E-2</v>
      </c>
      <c r="BI27" s="988">
        <f>(((BI25-BI23)/(BI21-BI19))*(BI18-BI19))+BI23</f>
        <v>9.3333333333333338E-2</v>
      </c>
      <c r="BJ27" s="435">
        <v>44</v>
      </c>
      <c r="BK27" s="338">
        <f>'Data Standar'!AE165</f>
        <v>0.41</v>
      </c>
      <c r="BL27" s="338"/>
      <c r="BM27" s="436">
        <f>IF(OR(BK27=0,BL27=0),'Data Standar'!$AE$170/3,((MAX(BK27:BL27)-(MIN(BK27:BL27)))))</f>
        <v>0.26333333333333336</v>
      </c>
      <c r="BN27" s="434">
        <f>(0.15-0)/2</f>
        <v>7.4999999999999997E-2</v>
      </c>
      <c r="BO27" s="988">
        <f>(((BO25-BO23)/(BO21-BO19))*(BO18-BO19))+BO23</f>
        <v>0.26333333333333336</v>
      </c>
      <c r="BP27" s="435">
        <v>44</v>
      </c>
      <c r="BQ27" s="338">
        <f>'Data Standar'!AF165</f>
        <v>0.51</v>
      </c>
      <c r="BR27" s="338"/>
      <c r="BS27" s="436">
        <f>IF(OR(BQ27=0,BR27=0),'Data Standar'!$AF$170/3,((MAX(BQ27:BR27)-(MIN(BQ27:BR27)))))</f>
        <v>8.3333333333333329E-2</v>
      </c>
      <c r="BT27" s="434">
        <f>(0.15-0)/2</f>
        <v>7.4999999999999997E-2</v>
      </c>
      <c r="BU27" s="988">
        <f>(((BU25-BU23)/(BU21-BU19))*(BU18-BU19))+BU23</f>
        <v>8.3333333333333329E-2</v>
      </c>
      <c r="BV27" s="435">
        <v>44</v>
      </c>
      <c r="BW27" s="338">
        <f>'Data Standar'!AG165</f>
        <v>0.63</v>
      </c>
      <c r="BX27" s="338"/>
      <c r="BY27" s="436">
        <f>IF(OR(BW27=0,BX27=0),'Data Standar'!$AG$170/3,((MAX(BW27:BX27)-(MIN(BW27:BX27)))))</f>
        <v>9.0000000000000011E-2</v>
      </c>
      <c r="BZ27" s="434">
        <f>(0.15-0)/2</f>
        <v>7.4999999999999997E-2</v>
      </c>
      <c r="CA27" s="988">
        <f>(((CA25-CA23)/(CA21-CA19))*(CA18-CA19))+CA23</f>
        <v>9.0000000000000011E-2</v>
      </c>
      <c r="CB27" s="435">
        <v>44</v>
      </c>
      <c r="CC27" s="338">
        <f t="shared" si="2"/>
        <v>0</v>
      </c>
      <c r="CD27" s="338">
        <f t="shared" si="5"/>
        <v>-0.7</v>
      </c>
      <c r="CE27" s="436">
        <f t="shared" si="8"/>
        <v>0.19999999999999998</v>
      </c>
      <c r="CF27" s="434">
        <f>(0.15-0)/2</f>
        <v>7.4999999999999997E-2</v>
      </c>
      <c r="CG27" s="423"/>
      <c r="CH27" s="435">
        <v>44</v>
      </c>
      <c r="CI27" s="338">
        <f t="shared" si="3"/>
        <v>0.25</v>
      </c>
      <c r="CJ27" s="338">
        <f t="shared" si="6"/>
        <v>0.21</v>
      </c>
      <c r="CK27" s="436">
        <f t="shared" si="9"/>
        <v>4.0000000000000008E-2</v>
      </c>
      <c r="CL27" s="434">
        <f>(0.15-0)/2</f>
        <v>7.4999999999999997E-2</v>
      </c>
      <c r="CM27" s="423"/>
      <c r="CN27" s="435">
        <v>44</v>
      </c>
      <c r="CO27" s="338">
        <f t="shared" si="4"/>
        <v>0.56999999999999995</v>
      </c>
      <c r="CP27" s="338">
        <f t="shared" si="7"/>
        <v>0.52</v>
      </c>
      <c r="CQ27" s="436">
        <f t="shared" si="10"/>
        <v>4.9999999999999933E-2</v>
      </c>
      <c r="CR27" s="434">
        <f>(0.15-0)/2</f>
        <v>7.4999999999999997E-2</v>
      </c>
      <c r="CS27" s="423"/>
    </row>
    <row r="28" spans="1:97" s="427" customFormat="1" ht="13">
      <c r="A28" s="423"/>
      <c r="B28" s="435">
        <v>50</v>
      </c>
      <c r="C28" s="338">
        <v>0.16</v>
      </c>
      <c r="D28" s="338">
        <f>'Data Standar'!U166</f>
        <v>0.35</v>
      </c>
      <c r="E28" s="436">
        <f>IF(OR(C28=0,D28=0),'Data Standar'!$U$170/3,((MAX(C28:D28)-(MIN(C28:D28)))))</f>
        <v>0.18999999999999997</v>
      </c>
      <c r="F28" s="437">
        <f>(0.67+0.17)/2</f>
        <v>0.42000000000000004</v>
      </c>
      <c r="G28" s="438"/>
      <c r="H28" s="435">
        <v>50</v>
      </c>
      <c r="I28" s="338">
        <v>0.16</v>
      </c>
      <c r="J28" s="338">
        <f>'Data Standar'!V166</f>
        <v>0.33</v>
      </c>
      <c r="K28" s="436">
        <f>IF(OR(I28=0,J28=0),'Data Standar'!$V$170/3,((MAX(I28:J28)-(MIN(I28:J28)))))</f>
        <v>0.17</v>
      </c>
      <c r="L28" s="437">
        <f>(0+0.05)/2</f>
        <v>2.5000000000000001E-2</v>
      </c>
      <c r="M28" s="438"/>
      <c r="N28" s="435">
        <v>50</v>
      </c>
      <c r="O28" s="338">
        <v>0.16</v>
      </c>
      <c r="P28" s="338">
        <f>'Data Standar'!W166</f>
        <v>0.01</v>
      </c>
      <c r="Q28" s="436">
        <f>IF(OR(O28=0,P28=0),'Data Standar'!$W$170/3,((MAX(O28:P28)-(MIN(O28:P28)))))</f>
        <v>0.15</v>
      </c>
      <c r="R28" s="434">
        <f>(0.16-0)/2</f>
        <v>0.08</v>
      </c>
      <c r="S28" s="423"/>
      <c r="T28" s="435">
        <v>50</v>
      </c>
      <c r="U28" s="338">
        <f>'Data Standar'!X166</f>
        <v>0.69</v>
      </c>
      <c r="V28" s="338"/>
      <c r="W28" s="436">
        <f>IF(OR(U28=0,V28=0),'Data Standar'!$X$170/3,((MAX(U28:V28)-(MIN(U28:V28)))))</f>
        <v>9.0000000000000011E-2</v>
      </c>
      <c r="X28" s="434">
        <f>(0.16-0)/2</f>
        <v>0.08</v>
      </c>
      <c r="Y28" s="423"/>
      <c r="Z28" s="435">
        <v>50</v>
      </c>
      <c r="AA28" s="338">
        <f>'Data Standar'!Y166</f>
        <v>0.09</v>
      </c>
      <c r="AB28" s="338">
        <v>0.55000000000000004</v>
      </c>
      <c r="AC28" s="436">
        <f>IF(OR(AA28=0,AB28=0),'Data Standar'!$Y$170/3,((MAX(AA28:AB28)-(MIN(AA28:AB28)))))</f>
        <v>0.46000000000000008</v>
      </c>
      <c r="AD28" s="434">
        <f>(0.16-0)/2</f>
        <v>0.08</v>
      </c>
      <c r="AE28" s="423"/>
      <c r="AF28" s="435">
        <v>50</v>
      </c>
      <c r="AG28" s="338">
        <f>'Data Standar'!Z166</f>
        <v>0.11</v>
      </c>
      <c r="AH28" s="338">
        <v>0.73</v>
      </c>
      <c r="AI28" s="436">
        <f>IF(OR(AG28=0,AH28=0),'Data Standar'!$Z$170/3,((MAX(AG28:AH28)-(MIN(AG28:AH28)))))</f>
        <v>0.62</v>
      </c>
      <c r="AJ28" s="434">
        <f>(0.16-0)/2</f>
        <v>0.08</v>
      </c>
      <c r="AK28" s="423"/>
      <c r="AL28" s="435">
        <v>50</v>
      </c>
      <c r="AM28" s="338">
        <f>'Data Standar'!AA166</f>
        <v>0.43</v>
      </c>
      <c r="AN28" s="338"/>
      <c r="AO28" s="436">
        <f>IF(OR(AM28=0,AN28=0),'Data Standar'!$AA$170/3,((MAX(AM28:AN28)-(MIN(AM28:AN28)))))</f>
        <v>8.3333333333333329E-2</v>
      </c>
      <c r="AP28" s="434">
        <f>(0.16-0)/2</f>
        <v>0.08</v>
      </c>
      <c r="AQ28" s="423"/>
      <c r="AR28" s="435">
        <v>50</v>
      </c>
      <c r="AS28" s="338">
        <f>'Data Standar'!AB166</f>
        <v>0.34</v>
      </c>
      <c r="AT28" s="338"/>
      <c r="AU28" s="436">
        <f>IF(OR(AS28=0,AT28=0),'Data Standar'!$AB$170/3,((MAX(AS28:AT28)-(MIN(AS28:AT28)))))</f>
        <v>0.08</v>
      </c>
      <c r="AV28" s="434">
        <f>(0.16-0)/2</f>
        <v>0.08</v>
      </c>
      <c r="AW28" s="423"/>
      <c r="AX28" s="435">
        <v>50</v>
      </c>
      <c r="AY28" s="338">
        <f>'Data Standar'!AC166</f>
        <v>0.39</v>
      </c>
      <c r="AZ28" s="338"/>
      <c r="BA28" s="436">
        <f>IF(OR(AY28=0,AZ28=0),'Data Standar'!$AC$170/3,((MAX(AY28:AZ28)-(MIN(AY28:AZ28)))))</f>
        <v>0.26333333333333336</v>
      </c>
      <c r="BB28" s="434">
        <f>(0.16-0)/2</f>
        <v>0.08</v>
      </c>
      <c r="BC28" s="423"/>
      <c r="BD28" s="435">
        <v>50</v>
      </c>
      <c r="BE28" s="338">
        <f>'Data Standar'!AD166</f>
        <v>0.76</v>
      </c>
      <c r="BF28" s="338"/>
      <c r="BG28" s="436">
        <f>IF(OR(BE28=0,BF28=0),'Data Standar'!$AD$170/3,((MAX(BE28:BF28)-(MIN(BE28:BF28)))))</f>
        <v>9.3333333333333338E-2</v>
      </c>
      <c r="BH28" s="434">
        <f>(0.16-0)/2</f>
        <v>0.08</v>
      </c>
      <c r="BI28" s="423"/>
      <c r="BJ28" s="435">
        <v>50</v>
      </c>
      <c r="BK28" s="338">
        <f>'Data Standar'!AE166</f>
        <v>0.39</v>
      </c>
      <c r="BL28" s="338"/>
      <c r="BM28" s="436">
        <f>IF(OR(BK28=0,BL28=0),'Data Standar'!$AE$170/3,((MAX(BK28:BL28)-(MIN(BK28:BL28)))))</f>
        <v>0.26333333333333336</v>
      </c>
      <c r="BN28" s="434">
        <f>(0.16-0)/2</f>
        <v>0.08</v>
      </c>
      <c r="BO28" s="423"/>
      <c r="BP28" s="435">
        <v>50</v>
      </c>
      <c r="BQ28" s="338">
        <f>'Data Standar'!AF166</f>
        <v>0.56999999999999995</v>
      </c>
      <c r="BR28" s="338"/>
      <c r="BS28" s="436">
        <f>IF(OR(BQ28=0,BR28=0),'Data Standar'!$AF$170/3,((MAX(BQ28:BR28)-(MIN(BQ28:BR28)))))</f>
        <v>8.3333333333333329E-2</v>
      </c>
      <c r="BT28" s="434">
        <f>(0.16-0)/2</f>
        <v>0.08</v>
      </c>
      <c r="BU28" s="423"/>
      <c r="BV28" s="435">
        <v>50</v>
      </c>
      <c r="BW28" s="338">
        <f>'Data Standar'!AG166</f>
        <v>0.71</v>
      </c>
      <c r="BX28" s="338"/>
      <c r="BY28" s="436">
        <f>IF(OR(BW28=0,BX28=0),'Data Standar'!$AG$170/3,((MAX(BW28:BX28)-(MIN(BW28:BX28)))))</f>
        <v>9.0000000000000011E-2</v>
      </c>
      <c r="BZ28" s="434">
        <f>(0.16-0)/2</f>
        <v>0.08</v>
      </c>
      <c r="CA28" s="423"/>
      <c r="CB28" s="435">
        <v>50</v>
      </c>
      <c r="CC28" s="338">
        <f t="shared" si="2"/>
        <v>-1</v>
      </c>
      <c r="CD28" s="338">
        <f t="shared" si="5"/>
        <v>-0.7</v>
      </c>
      <c r="CE28" s="436">
        <f t="shared" si="8"/>
        <v>0.30000000000000004</v>
      </c>
      <c r="CF28" s="434">
        <f>(0.16-0)/2</f>
        <v>0.08</v>
      </c>
      <c r="CG28" s="423"/>
      <c r="CH28" s="435">
        <v>50</v>
      </c>
      <c r="CI28" s="338">
        <f t="shared" si="3"/>
        <v>0.27</v>
      </c>
      <c r="CJ28" s="338">
        <f t="shared" si="6"/>
        <v>0.22</v>
      </c>
      <c r="CK28" s="436">
        <f t="shared" si="9"/>
        <v>5.0000000000000017E-2</v>
      </c>
      <c r="CL28" s="434">
        <f>(0.16-0)/2</f>
        <v>0.08</v>
      </c>
      <c r="CM28" s="423"/>
      <c r="CN28" s="435">
        <v>50</v>
      </c>
      <c r="CO28" s="338">
        <f t="shared" si="4"/>
        <v>0.67</v>
      </c>
      <c r="CP28" s="338">
        <f t="shared" si="7"/>
        <v>0.56999999999999995</v>
      </c>
      <c r="CQ28" s="436">
        <f t="shared" si="10"/>
        <v>0.10000000000000009</v>
      </c>
      <c r="CR28" s="434">
        <f>(0.16-0)/2</f>
        <v>0.08</v>
      </c>
      <c r="CS28" s="423"/>
    </row>
    <row r="29" spans="1:97" s="427" customFormat="1" ht="13">
      <c r="A29" s="423"/>
      <c r="B29" s="435">
        <v>100</v>
      </c>
      <c r="C29" s="338">
        <v>0.23</v>
      </c>
      <c r="D29" s="338">
        <f>'Data Standar'!U167</f>
        <v>0.74</v>
      </c>
      <c r="E29" s="436">
        <f>IF(OR(C29=0,D29=0),'Data Standar'!$U$170/3,((MAX(C29:D29)-(MIN(C29:D29)))))</f>
        <v>0.51</v>
      </c>
      <c r="F29" s="437">
        <f>(0.85+0.27)/2</f>
        <v>0.56000000000000005</v>
      </c>
      <c r="G29" s="438"/>
      <c r="H29" s="435">
        <v>100</v>
      </c>
      <c r="I29" s="338">
        <v>0.03</v>
      </c>
      <c r="J29" s="338">
        <f>'Data Standar'!V167</f>
        <v>0.59</v>
      </c>
      <c r="K29" s="436">
        <f>IF(OR(I29=0,J29=0),'Data Standar'!$V$170/3,((MAX(I29:J29)-(MIN(I29:J29)))))</f>
        <v>0.55999999999999994</v>
      </c>
      <c r="L29" s="437">
        <f>(0.04-0)/2</f>
        <v>0.02</v>
      </c>
      <c r="M29" s="438"/>
      <c r="N29" s="435">
        <v>100</v>
      </c>
      <c r="O29" s="338">
        <v>-0.11</v>
      </c>
      <c r="P29" s="338">
        <f>'Data Standar'!W167</f>
        <v>-0.14000000000000001</v>
      </c>
      <c r="Q29" s="436">
        <f>IF(OR(O29=0,P29=0),'Data Standar'!$W$170/3,((MAX(O29:P29)-(MIN(O29:P29)))))</f>
        <v>3.0000000000000013E-2</v>
      </c>
      <c r="R29" s="434">
        <f>(0.2-0)/2</f>
        <v>0.1</v>
      </c>
      <c r="S29" s="423"/>
      <c r="T29" s="435">
        <v>100</v>
      </c>
      <c r="U29" s="338">
        <f>'Data Standar'!X167</f>
        <v>0.67</v>
      </c>
      <c r="V29" s="338"/>
      <c r="W29" s="436">
        <f>IF(OR(U29=0,V29=0),'Data Standar'!$X$170/3,((MAX(U29:V29)-(MIN(U29:V29)))))</f>
        <v>9.0000000000000011E-2</v>
      </c>
      <c r="X29" s="434">
        <f>(0.2-0)/2</f>
        <v>0.1</v>
      </c>
      <c r="Y29" s="423"/>
      <c r="Z29" s="435">
        <v>100</v>
      </c>
      <c r="AA29" s="338">
        <f>'Data Standar'!Y167</f>
        <v>0.21</v>
      </c>
      <c r="AB29" s="338">
        <v>0.54</v>
      </c>
      <c r="AC29" s="436">
        <f>IF(OR(AA29=0,AB29=0),'Data Standar'!$Y$170/3,((MAX(AA29:AB29)-(MIN(AA29:AB29)))))</f>
        <v>0.33000000000000007</v>
      </c>
      <c r="AD29" s="434">
        <f>(0.2-0)/2</f>
        <v>0.1</v>
      </c>
      <c r="AE29" s="423"/>
      <c r="AF29" s="435">
        <v>100</v>
      </c>
      <c r="AG29" s="338">
        <f>'Data Standar'!Z167</f>
        <v>0.22</v>
      </c>
      <c r="AH29" s="338">
        <v>0.52</v>
      </c>
      <c r="AI29" s="436">
        <f>IF(OR(AG29=0,AH29=0),'Data Standar'!$Z$170/3,((MAX(AG29:AH29)-(MIN(AG29:AH29)))))</f>
        <v>0.30000000000000004</v>
      </c>
      <c r="AJ29" s="434">
        <f>(0.2-0)/2</f>
        <v>0.1</v>
      </c>
      <c r="AK29" s="423"/>
      <c r="AL29" s="435">
        <v>100</v>
      </c>
      <c r="AM29" s="338">
        <f>'Data Standar'!AA167</f>
        <v>0.54</v>
      </c>
      <c r="AN29" s="338"/>
      <c r="AO29" s="436">
        <f>IF(OR(AM29=0,AN29=0),'Data Standar'!$AA$170/3,((MAX(AM29:AN29)-(MIN(AM29:AN29)))))</f>
        <v>8.3333333333333329E-2</v>
      </c>
      <c r="AP29" s="434">
        <f>(0.2-0)/2</f>
        <v>0.1</v>
      </c>
      <c r="AQ29" s="423"/>
      <c r="AR29" s="435">
        <v>100</v>
      </c>
      <c r="AS29" s="338">
        <f>'Data Standar'!AB167</f>
        <v>0.45</v>
      </c>
      <c r="AT29" s="338"/>
      <c r="AU29" s="436">
        <f>IF(OR(AS29=0,AT29=0),'Data Standar'!$AB$170/3,((MAX(AS29:AT29)-(MIN(AS29:AT29)))))</f>
        <v>0.08</v>
      </c>
      <c r="AV29" s="434">
        <f>(0.2-0)/2</f>
        <v>0.1</v>
      </c>
      <c r="AW29" s="423"/>
      <c r="AX29" s="435">
        <v>100</v>
      </c>
      <c r="AY29" s="338">
        <f>'Data Standar'!AC167</f>
        <v>0.19</v>
      </c>
      <c r="AZ29" s="338"/>
      <c r="BA29" s="436">
        <f>IF(OR(AY29=0,AZ29=0),'Data Standar'!$AC$170/3,((MAX(AY29:AZ29)-(MIN(AY29:AZ29)))))</f>
        <v>0.26333333333333336</v>
      </c>
      <c r="BB29" s="434">
        <f>(0.2-0)/2</f>
        <v>0.1</v>
      </c>
      <c r="BC29" s="423"/>
      <c r="BD29" s="435">
        <v>100</v>
      </c>
      <c r="BE29" s="338">
        <f>'Data Standar'!AD167</f>
        <v>0.26</v>
      </c>
      <c r="BF29" s="338"/>
      <c r="BG29" s="436">
        <f>IF(OR(BE29=0,BF29=0),'Data Standar'!$AD$170/3,((MAX(BE29:BF29)-(MIN(BE29:BF29)))))</f>
        <v>9.3333333333333338E-2</v>
      </c>
      <c r="BH29" s="434">
        <f>(0.2-0)/2</f>
        <v>0.1</v>
      </c>
      <c r="BI29" s="423"/>
      <c r="BJ29" s="435">
        <v>100</v>
      </c>
      <c r="BK29" s="338">
        <f>'Data Standar'!AE167</f>
        <v>0.19</v>
      </c>
      <c r="BL29" s="338"/>
      <c r="BM29" s="436">
        <f>IF(OR(BK29=0,BL29=0),'Data Standar'!$AE$170/3,((MAX(BK29:BL29)-(MIN(BK29:BL29)))))</f>
        <v>0.26333333333333336</v>
      </c>
      <c r="BN29" s="434">
        <f>(0.2-0)/2</f>
        <v>0.1</v>
      </c>
      <c r="BO29" s="423"/>
      <c r="BP29" s="435">
        <v>100</v>
      </c>
      <c r="BQ29" s="338">
        <f>'Data Standar'!AF167</f>
        <v>0.39</v>
      </c>
      <c r="BR29" s="338"/>
      <c r="BS29" s="436">
        <f>IF(OR(BQ29=0,BR29=0),'Data Standar'!$AF$170/3,((MAX(BQ29:BR29)-(MIN(BQ29:BR29)))))</f>
        <v>8.3333333333333329E-2</v>
      </c>
      <c r="BT29" s="434">
        <f>(0.2-0)/2</f>
        <v>0.1</v>
      </c>
      <c r="BU29" s="423"/>
      <c r="BV29" s="435">
        <v>100</v>
      </c>
      <c r="BW29" s="338">
        <f>'Data Standar'!AG167</f>
        <v>0.64</v>
      </c>
      <c r="BX29" s="338"/>
      <c r="BY29" s="436">
        <f>IF(OR(BW29=0,BX29=0),'Data Standar'!$AG$170/3,((MAX(BW29:BX29)-(MIN(BW29:BX29)))))</f>
        <v>9.0000000000000011E-2</v>
      </c>
      <c r="BZ29" s="434">
        <f>(0.2-0)/2</f>
        <v>0.1</v>
      </c>
      <c r="CA29" s="423"/>
      <c r="CB29" s="435">
        <v>100</v>
      </c>
      <c r="CC29" s="338">
        <f t="shared" si="2"/>
        <v>-1.6</v>
      </c>
      <c r="CD29" s="338">
        <f t="shared" si="5"/>
        <v>-0.7</v>
      </c>
      <c r="CE29" s="436">
        <f t="shared" si="8"/>
        <v>0.90000000000000013</v>
      </c>
      <c r="CF29" s="434">
        <f>(0.2-0)/2</f>
        <v>0.1</v>
      </c>
      <c r="CG29" s="423"/>
      <c r="CH29" s="435">
        <v>100</v>
      </c>
      <c r="CI29" s="338">
        <f t="shared" si="3"/>
        <v>0.31</v>
      </c>
      <c r="CJ29" s="338">
        <f t="shared" si="6"/>
        <v>0.23</v>
      </c>
      <c r="CK29" s="436">
        <f t="shared" si="9"/>
        <v>7.9999999999999988E-2</v>
      </c>
      <c r="CL29" s="434">
        <f>(0.2-0)/2</f>
        <v>0.1</v>
      </c>
      <c r="CM29" s="423"/>
      <c r="CN29" s="435">
        <v>100</v>
      </c>
      <c r="CO29" s="338">
        <f t="shared" si="4"/>
        <v>0.95</v>
      </c>
      <c r="CP29" s="338">
        <f t="shared" si="7"/>
        <v>0.81</v>
      </c>
      <c r="CQ29" s="436">
        <f t="shared" si="10"/>
        <v>0.1399999999999999</v>
      </c>
      <c r="CR29" s="434">
        <f>(0.2-0)/2</f>
        <v>0.1</v>
      </c>
      <c r="CS29" s="423"/>
    </row>
    <row r="30" spans="1:97" s="427" customFormat="1" ht="13">
      <c r="A30" s="423"/>
      <c r="B30" s="435">
        <v>150</v>
      </c>
      <c r="C30" s="338">
        <v>0.28000000000000003</v>
      </c>
      <c r="D30" s="338">
        <f>'Data Standar'!U168</f>
        <v>0.71</v>
      </c>
      <c r="E30" s="436">
        <f>IF(OR(C30=0,D30=0),'Data Standar'!$U$170/3,((MAX(C30:D30)-(MIN(C30:D30)))))</f>
        <v>0.42999999999999994</v>
      </c>
      <c r="F30" s="437">
        <f>(0.2+0.35)/2</f>
        <v>0.27500000000000002</v>
      </c>
      <c r="G30" s="438"/>
      <c r="H30" s="435">
        <v>150</v>
      </c>
      <c r="I30" s="338">
        <v>-0.06</v>
      </c>
      <c r="J30" s="338">
        <f>'Data Standar'!V168</f>
        <v>0.56000000000000005</v>
      </c>
      <c r="K30" s="436">
        <f>IF(OR(I30=0,J30=0),'Data Standar'!$V$170/3,((MAX(I30:J30)-(MIN(I30:J30)))))</f>
        <v>0.62000000000000011</v>
      </c>
      <c r="L30" s="437">
        <f>(0.17-0)/2</f>
        <v>8.5000000000000006E-2</v>
      </c>
      <c r="M30" s="438"/>
      <c r="N30" s="435">
        <v>150</v>
      </c>
      <c r="O30" s="338">
        <v>-0.44</v>
      </c>
      <c r="P30" s="338">
        <f>'Data Standar'!W168</f>
        <v>-0.27</v>
      </c>
      <c r="Q30" s="436">
        <f>IF(OR(O30=0,P30=0),'Data Standar'!$W$170/3,((MAX(O30:P30)-(MIN(O30:P30)))))</f>
        <v>0.16999999999999998</v>
      </c>
      <c r="R30" s="434">
        <f>(0.21-0)/2</f>
        <v>0.105</v>
      </c>
      <c r="S30" s="423"/>
      <c r="T30" s="435">
        <v>150</v>
      </c>
      <c r="U30" s="338">
        <f>'Data Standar'!X168</f>
        <v>-0.12</v>
      </c>
      <c r="V30" s="338"/>
      <c r="W30" s="436">
        <f>IF(OR(U30=0,V30=0),'Data Standar'!$X$170/3,((MAX(U30:V30)-(MIN(U30:V30)))))</f>
        <v>9.0000000000000011E-2</v>
      </c>
      <c r="X30" s="434">
        <f>(0.21-0)/2</f>
        <v>0.105</v>
      </c>
      <c r="Y30" s="423"/>
      <c r="Z30" s="435">
        <v>150</v>
      </c>
      <c r="AA30" s="338">
        <f>'Data Standar'!Y168</f>
        <v>0.4</v>
      </c>
      <c r="AB30" s="338">
        <v>0.18</v>
      </c>
      <c r="AC30" s="436">
        <f>IF(OR(AA30=0,AB30=0),'Data Standar'!$Y$170/3,((MAX(AA30:AB30)-(MIN(AA30:AB30)))))</f>
        <v>0.22000000000000003</v>
      </c>
      <c r="AD30" s="434">
        <f>(0.21-0)/2</f>
        <v>0.105</v>
      </c>
      <c r="AE30" s="423"/>
      <c r="AF30" s="435">
        <v>150</v>
      </c>
      <c r="AG30" s="338">
        <f>'Data Standar'!Z168</f>
        <v>0.42</v>
      </c>
      <c r="AH30" s="338">
        <v>9.9999999999999995E-7</v>
      </c>
      <c r="AI30" s="436">
        <f>IF(OR(AG30=0,AH30=0),'Data Standar'!$Z$170/3,((MAX(AG30:AH30)-(MIN(AG30:AH30)))))</f>
        <v>0.41999900000000001</v>
      </c>
      <c r="AJ30" s="434">
        <f>(0.21-0)/2</f>
        <v>0.105</v>
      </c>
      <c r="AK30" s="423"/>
      <c r="AL30" s="435">
        <v>150</v>
      </c>
      <c r="AM30" s="338">
        <f>'Data Standar'!AA168</f>
        <v>0.72</v>
      </c>
      <c r="AN30" s="338"/>
      <c r="AO30" s="436">
        <f>IF(OR(AM30=0,AN30=0),'Data Standar'!$AA$170/3,((MAX(AM30:AN30)-(MIN(AM30:AN30)))))</f>
        <v>8.3333333333333329E-2</v>
      </c>
      <c r="AP30" s="434">
        <f>(0.21-0)/2</f>
        <v>0.105</v>
      </c>
      <c r="AQ30" s="423"/>
      <c r="AR30" s="435">
        <v>150</v>
      </c>
      <c r="AS30" s="338">
        <f>'Data Standar'!AB168</f>
        <v>0.66</v>
      </c>
      <c r="AT30" s="338"/>
      <c r="AU30" s="436">
        <f>IF(OR(AS30=0,AT30=0),'Data Standar'!$AB$170/3,((MAX(AS30:AT30)-(MIN(AS30:AT30)))))</f>
        <v>0.08</v>
      </c>
      <c r="AV30" s="434">
        <f>(0.21-0)/2</f>
        <v>0.105</v>
      </c>
      <c r="AW30" s="423"/>
      <c r="AX30" s="435">
        <v>150</v>
      </c>
      <c r="AY30" s="338">
        <f>'Data Standar'!AC168</f>
        <v>-0.03</v>
      </c>
      <c r="AZ30" s="338"/>
      <c r="BA30" s="436">
        <f>IF(OR(AY30=0,AZ30=0),'Data Standar'!$AC$170/3,((MAX(AY30:AZ30)-(MIN(AY30:AZ30)))))</f>
        <v>0.26333333333333336</v>
      </c>
      <c r="BB30" s="434">
        <f>(0.21-0)/2</f>
        <v>0.105</v>
      </c>
      <c r="BC30" s="423"/>
      <c r="BD30" s="435">
        <v>150</v>
      </c>
      <c r="BE30" s="338">
        <f>'Data Standar'!AD168</f>
        <v>-0.57999999999999996</v>
      </c>
      <c r="BF30" s="338"/>
      <c r="BG30" s="436">
        <f>IF(OR(BE30=0,BF30=0),'Data Standar'!$AD$170/3,((MAX(BE30:BF30)-(MIN(BE30:BF30)))))</f>
        <v>9.3333333333333338E-2</v>
      </c>
      <c r="BH30" s="434">
        <f>(0.21-0)/2</f>
        <v>0.105</v>
      </c>
      <c r="BI30" s="423"/>
      <c r="BJ30" s="435">
        <v>150</v>
      </c>
      <c r="BK30" s="338">
        <f>'Data Standar'!AE168</f>
        <v>-0.03</v>
      </c>
      <c r="BL30" s="338"/>
      <c r="BM30" s="436">
        <f>IF(OR(BK30=0,BL30=0),'Data Standar'!$AE$170/3,((MAX(BK30:BL30)-(MIN(BK30:BL30)))))</f>
        <v>0.26333333333333336</v>
      </c>
      <c r="BN30" s="434">
        <f>(0.21-0)/2</f>
        <v>0.105</v>
      </c>
      <c r="BO30" s="423"/>
      <c r="BP30" s="435">
        <v>150</v>
      </c>
      <c r="BQ30" s="338">
        <f>'Data Standar'!AF168</f>
        <v>-0.36</v>
      </c>
      <c r="BR30" s="338"/>
      <c r="BS30" s="436">
        <f>IF(OR(BQ30=0,BR30=0),'Data Standar'!$AF$170/3,((MAX(BQ30:BR30)-(MIN(BQ30:BR30)))))</f>
        <v>8.3333333333333329E-2</v>
      </c>
      <c r="BT30" s="434">
        <f>(0.21-0)/2</f>
        <v>0.105</v>
      </c>
      <c r="BU30" s="423"/>
      <c r="BV30" s="435">
        <v>150</v>
      </c>
      <c r="BW30" s="338">
        <f>'Data Standar'!AG168</f>
        <v>-0.28000000000000003</v>
      </c>
      <c r="BX30" s="338"/>
      <c r="BY30" s="436">
        <f>IF(OR(BW30=0,BX30=0),'Data Standar'!$AG$170/3,((MAX(BW30:BX30)-(MIN(BW30:BX30)))))</f>
        <v>9.0000000000000011E-2</v>
      </c>
      <c r="BZ30" s="434">
        <f>(0.21-0)/2</f>
        <v>0.105</v>
      </c>
      <c r="CA30" s="423"/>
      <c r="CB30" s="435">
        <v>150</v>
      </c>
      <c r="CC30" s="338">
        <f t="shared" si="2"/>
        <v>-1.7</v>
      </c>
      <c r="CD30" s="338">
        <f t="shared" si="5"/>
        <v>-0.7</v>
      </c>
      <c r="CE30" s="436">
        <f t="shared" si="8"/>
        <v>1</v>
      </c>
      <c r="CF30" s="434">
        <f>(0.21-0)/2</f>
        <v>0.105</v>
      </c>
      <c r="CG30" s="423"/>
      <c r="CH30" s="435">
        <v>150</v>
      </c>
      <c r="CI30" s="338">
        <f t="shared" si="3"/>
        <v>0.3</v>
      </c>
      <c r="CJ30" s="338">
        <f t="shared" si="6"/>
        <v>0.22</v>
      </c>
      <c r="CK30" s="436">
        <f t="shared" si="9"/>
        <v>7.9999999999999988E-2</v>
      </c>
      <c r="CL30" s="434">
        <f>(0.21-0)/2</f>
        <v>0.105</v>
      </c>
      <c r="CM30" s="423"/>
      <c r="CN30" s="435">
        <v>150</v>
      </c>
      <c r="CO30" s="338">
        <f t="shared" si="4"/>
        <v>0.49</v>
      </c>
      <c r="CP30" s="338">
        <f t="shared" si="7"/>
        <v>0.87</v>
      </c>
      <c r="CQ30" s="436">
        <f t="shared" si="10"/>
        <v>0.38</v>
      </c>
      <c r="CR30" s="434">
        <f>(0.21-0)/2</f>
        <v>0.105</v>
      </c>
      <c r="CS30" s="423"/>
    </row>
    <row r="31" spans="1:97" s="427" customFormat="1" ht="13">
      <c r="A31" s="423"/>
      <c r="B31" s="435">
        <v>200</v>
      </c>
      <c r="C31" s="338">
        <v>0.56000000000000005</v>
      </c>
      <c r="D31" s="338">
        <f>'Data Standar'!U169</f>
        <v>0.13</v>
      </c>
      <c r="E31" s="436">
        <f>IF(OR(C31=0,D31=0),'Data Standar'!$U$170/3,((MAX(C31:D31)-(MIN(C31:D31)))))</f>
        <v>0.43000000000000005</v>
      </c>
      <c r="F31" s="437">
        <f>(-0.13+0.76)/2</f>
        <v>0.315</v>
      </c>
      <c r="G31" s="438"/>
      <c r="H31" s="435">
        <v>200</v>
      </c>
      <c r="I31" s="338">
        <v>0.45</v>
      </c>
      <c r="J31" s="338">
        <f>'Data Standar'!V169</f>
        <v>0.28000000000000003</v>
      </c>
      <c r="K31" s="436">
        <f>IF(OR(I31=0,J31=0),'Data Standar'!$V$170/3,((MAX(I31:J31)-(MIN(I31:J31)))))</f>
        <v>0.16999999999999998</v>
      </c>
      <c r="L31" s="437">
        <f>(0.32-0)/2</f>
        <v>0.16</v>
      </c>
      <c r="M31" s="438"/>
      <c r="N31" s="435">
        <v>200</v>
      </c>
      <c r="O31" s="338">
        <v>-0.1</v>
      </c>
      <c r="P31" s="338">
        <f>'Data Standar'!W169</f>
        <v>0.05</v>
      </c>
      <c r="Q31" s="436">
        <f>IF(OR(O31=0,P31=0),'Data Standar'!$W$170/3,((MAX(O31:P31)-(MIN(O31:P31)))))</f>
        <v>0.15000000000000002</v>
      </c>
      <c r="R31" s="434">
        <f>(0.18-0)/2</f>
        <v>0.09</v>
      </c>
      <c r="S31" s="423"/>
      <c r="T31" s="435">
        <v>200</v>
      </c>
      <c r="U31" s="338">
        <f>'Data Standar'!X169</f>
        <v>-1.01</v>
      </c>
      <c r="V31" s="338"/>
      <c r="W31" s="436">
        <f>IF(OR(U31=0,V31=0),'Data Standar'!$X$170/3,((MAX(U31:V31)-(MIN(U31:V31)))))</f>
        <v>9.0000000000000011E-2</v>
      </c>
      <c r="X31" s="434">
        <f>(0.18-0)/2</f>
        <v>0.09</v>
      </c>
      <c r="Y31" s="423"/>
      <c r="Z31" s="435">
        <v>200</v>
      </c>
      <c r="AA31" s="338">
        <f>'Data Standar'!Y169</f>
        <v>0.64</v>
      </c>
      <c r="AB31" s="338">
        <v>-0.25</v>
      </c>
      <c r="AC31" s="436">
        <f>IF(OR(AA31=0,AB31=0),'Data Standar'!$Y$170/3,((MAX(AA31:AB31)-(MIN(AA31:AB31)))))</f>
        <v>0.89</v>
      </c>
      <c r="AD31" s="434">
        <f>(0.18-0)/2</f>
        <v>0.09</v>
      </c>
      <c r="AE31" s="423"/>
      <c r="AF31" s="435">
        <v>200</v>
      </c>
      <c r="AG31" s="338">
        <f>'Data Standar'!Z169</f>
        <v>0.66</v>
      </c>
      <c r="AH31" s="338">
        <v>-0.47</v>
      </c>
      <c r="AI31" s="436">
        <f>IF(OR(AG31=0,AH31=0),'Data Standar'!$Z$170/3,((MAX(AG31:AH31)-(MIN(AG31:AH31)))))</f>
        <v>1.1299999999999999</v>
      </c>
      <c r="AJ31" s="434">
        <f>(0.18-0)/2</f>
        <v>0.09</v>
      </c>
      <c r="AK31" s="423"/>
      <c r="AL31" s="435">
        <v>200</v>
      </c>
      <c r="AM31" s="338">
        <f>'Data Standar'!AA169</f>
        <v>0.96</v>
      </c>
      <c r="AN31" s="338"/>
      <c r="AO31" s="436">
        <f>IF(OR(AM31=0,AN31=0),'Data Standar'!$AA$170/3,((MAX(AM31:AN31)-(MIN(AM31:AN31)))))</f>
        <v>8.3333333333333329E-2</v>
      </c>
      <c r="AP31" s="434">
        <f>(0.18-0)/2</f>
        <v>0.09</v>
      </c>
      <c r="AQ31" s="423"/>
      <c r="AR31" s="435">
        <v>200</v>
      </c>
      <c r="AS31" s="338">
        <f>'Data Standar'!AB169</f>
        <v>0.9</v>
      </c>
      <c r="AT31" s="338"/>
      <c r="AU31" s="436">
        <f>IF(OR(AS31=0,AT31=0),'Data Standar'!$AB$170/3,((MAX(AS31:AT31)-(MIN(AS31:AT31)))))</f>
        <v>0.08</v>
      </c>
      <c r="AV31" s="434">
        <f>(0.18-0)/2</f>
        <v>0.09</v>
      </c>
      <c r="AW31" s="423"/>
      <c r="AX31" s="435">
        <v>200</v>
      </c>
      <c r="AY31" s="338">
        <f>'Data Standar'!AC169</f>
        <v>-0.28000000000000003</v>
      </c>
      <c r="AZ31" s="338"/>
      <c r="BA31" s="436">
        <f>IF(OR(AY31=0,AZ31=0),'Data Standar'!$AC$170/3,((MAX(AY31:AZ31)-(MIN(AY31:AZ31)))))</f>
        <v>0.26333333333333336</v>
      </c>
      <c r="BB31" s="434">
        <f>(0.18-0)/2</f>
        <v>0.09</v>
      </c>
      <c r="BC31" s="423"/>
      <c r="BD31" s="435">
        <v>200</v>
      </c>
      <c r="BE31" s="338">
        <f>'Data Standar'!AD169</f>
        <v>-0.38</v>
      </c>
      <c r="BF31" s="338"/>
      <c r="BG31" s="436">
        <f>IF(OR(BE31=0,BF31=0),'Data Standar'!$AD$170/3,((MAX(BE31:BF31)-(MIN(BE31:BF31)))))</f>
        <v>9.3333333333333338E-2</v>
      </c>
      <c r="BH31" s="434">
        <f>(0.18-0)/2</f>
        <v>0.09</v>
      </c>
      <c r="BI31" s="423"/>
      <c r="BJ31" s="435">
        <v>200</v>
      </c>
      <c r="BK31" s="338">
        <f>'Data Standar'!AE169</f>
        <v>-0.28000000000000003</v>
      </c>
      <c r="BL31" s="338"/>
      <c r="BM31" s="436">
        <f>IF(OR(BK31=0,BL31=0),'Data Standar'!$AE$170/3,((MAX(BK31:BL31)-(MIN(BK31:BL31)))))</f>
        <v>0.26333333333333336</v>
      </c>
      <c r="BN31" s="434">
        <f>(0.18-0)/2</f>
        <v>0.09</v>
      </c>
      <c r="BO31" s="423"/>
      <c r="BP31" s="435">
        <v>200</v>
      </c>
      <c r="BQ31" s="338">
        <f>'Data Standar'!AF169</f>
        <v>-0.85</v>
      </c>
      <c r="BR31" s="338"/>
      <c r="BS31" s="436">
        <f>IF(OR(BQ31=0,BR31=0),'Data Standar'!$AF$170/3,((MAX(BQ31:BR31)-(MIN(BQ31:BR31)))))</f>
        <v>8.3333333333333329E-2</v>
      </c>
      <c r="BT31" s="434">
        <f>(0.18-0)/2</f>
        <v>0.09</v>
      </c>
      <c r="BU31" s="423"/>
      <c r="BV31" s="435">
        <v>200</v>
      </c>
      <c r="BW31" s="338">
        <f>'Data Standar'!AG169</f>
        <v>-1.34</v>
      </c>
      <c r="BX31" s="338"/>
      <c r="BY31" s="436">
        <f>IF(OR(BW31=0,BX31=0),'Data Standar'!$AG$170/3,((MAX(BW31:BX31)-(MIN(BW31:BX31)))))</f>
        <v>9.0000000000000011E-2</v>
      </c>
      <c r="BZ31" s="434">
        <f>(0.18-0)/2</f>
        <v>0.09</v>
      </c>
      <c r="CA31" s="423"/>
      <c r="CB31" s="435">
        <v>200</v>
      </c>
      <c r="CC31" s="338">
        <f t="shared" si="2"/>
        <v>-0.9</v>
      </c>
      <c r="CD31" s="338">
        <f t="shared" si="5"/>
        <v>-0.6</v>
      </c>
      <c r="CE31" s="436">
        <f t="shared" si="8"/>
        <v>0.30000000000000004</v>
      </c>
      <c r="CF31" s="434">
        <f>(0.18-0)/2</f>
        <v>0.09</v>
      </c>
      <c r="CG31" s="423"/>
      <c r="CH31" s="435">
        <v>200</v>
      </c>
      <c r="CI31" s="338">
        <f t="shared" si="3"/>
        <v>0.34</v>
      </c>
      <c r="CJ31" s="338">
        <f t="shared" si="6"/>
        <v>0.47</v>
      </c>
      <c r="CK31" s="436">
        <f t="shared" si="9"/>
        <v>0.12999999999999995</v>
      </c>
      <c r="CL31" s="434">
        <f>(0.18-0)/2</f>
        <v>0.09</v>
      </c>
      <c r="CM31" s="423"/>
      <c r="CN31" s="435">
        <v>200</v>
      </c>
      <c r="CO31" s="338">
        <f t="shared" si="4"/>
        <v>-0.26</v>
      </c>
      <c r="CP31" s="338">
        <f t="shared" si="7"/>
        <v>0.99</v>
      </c>
      <c r="CQ31" s="436">
        <f t="shared" si="10"/>
        <v>1.25</v>
      </c>
      <c r="CR31" s="434">
        <f>(0.18-0)/2</f>
        <v>0.09</v>
      </c>
      <c r="CS31" s="423"/>
    </row>
    <row r="32" spans="1:97" s="423" customFormat="1" ht="13">
      <c r="B32" s="442"/>
      <c r="C32" s="424"/>
      <c r="D32" s="424"/>
      <c r="E32" s="440"/>
      <c r="F32" s="438"/>
      <c r="G32" s="438"/>
      <c r="H32" s="442"/>
      <c r="I32" s="424"/>
      <c r="J32" s="424"/>
      <c r="K32" s="440"/>
      <c r="L32" s="425"/>
      <c r="M32" s="438"/>
      <c r="N32" s="442"/>
      <c r="O32" s="424"/>
      <c r="P32" s="424"/>
      <c r="Q32" s="440"/>
      <c r="R32" s="425"/>
      <c r="T32" s="442"/>
      <c r="U32" s="424"/>
      <c r="V32" s="424"/>
      <c r="W32" s="440"/>
      <c r="X32" s="425"/>
      <c r="Z32" s="442"/>
      <c r="AA32" s="424"/>
      <c r="AB32" s="424"/>
      <c r="AC32" s="440"/>
      <c r="AD32" s="425"/>
      <c r="AF32" s="442"/>
      <c r="AG32" s="424"/>
      <c r="AH32" s="424"/>
      <c r="AI32" s="440"/>
      <c r="AJ32" s="425"/>
      <c r="AL32" s="442"/>
      <c r="AM32" s="424"/>
      <c r="AN32" s="424"/>
      <c r="AO32" s="440"/>
      <c r="AP32" s="425"/>
      <c r="AR32" s="442"/>
      <c r="AS32" s="424"/>
      <c r="AT32" s="424"/>
      <c r="AU32" s="440"/>
      <c r="AV32" s="425"/>
      <c r="AX32" s="442"/>
      <c r="AY32" s="424"/>
      <c r="AZ32" s="424"/>
      <c r="BA32" s="440"/>
      <c r="BB32" s="425"/>
      <c r="BD32" s="442"/>
      <c r="BE32" s="424"/>
      <c r="BF32" s="424"/>
      <c r="BG32" s="440"/>
      <c r="BH32" s="425"/>
      <c r="BJ32" s="442"/>
      <c r="BK32" s="424"/>
      <c r="BL32" s="424"/>
      <c r="BM32" s="440"/>
      <c r="BN32" s="425"/>
      <c r="BP32" s="442"/>
      <c r="BQ32" s="424"/>
      <c r="BR32" s="424"/>
      <c r="BS32" s="440"/>
      <c r="BT32" s="425"/>
      <c r="BV32" s="442"/>
      <c r="BW32" s="424"/>
      <c r="BX32" s="424"/>
      <c r="BY32" s="440"/>
      <c r="BZ32" s="425"/>
      <c r="CB32" s="442"/>
      <c r="CC32" s="424"/>
      <c r="CD32" s="424"/>
      <c r="CE32" s="440"/>
      <c r="CF32" s="425"/>
      <c r="CH32" s="442"/>
      <c r="CI32" s="424"/>
      <c r="CJ32" s="424"/>
      <c r="CK32" s="440"/>
      <c r="CL32" s="425"/>
      <c r="CN32" s="442"/>
      <c r="CO32" s="424"/>
      <c r="CP32" s="424"/>
      <c r="CQ32" s="440"/>
      <c r="CR32" s="425"/>
    </row>
    <row r="33" spans="1:97" s="427" customFormat="1" ht="45.5" customHeight="1">
      <c r="A33" s="423"/>
      <c r="B33" s="1317" t="s">
        <v>387</v>
      </c>
      <c r="C33" s="1315" t="str">
        <f>C18</f>
        <v>Thermocouple Data Logger, Merek : MADGETECH, Model : OctTemp 2000, SN : P40270</v>
      </c>
      <c r="D33" s="1315"/>
      <c r="E33" s="1315"/>
      <c r="F33" s="426" t="s">
        <v>383</v>
      </c>
      <c r="G33" s="984">
        <f>Drift!$B$165</f>
        <v>161.46416666666667</v>
      </c>
      <c r="H33" s="1317" t="s">
        <v>387</v>
      </c>
      <c r="I33" s="1315" t="str">
        <f>I18</f>
        <v>Thermocouple Data Logger, Merek : MADGETECH, Model : OctTemp 2000, SN : P41878</v>
      </c>
      <c r="J33" s="1315"/>
      <c r="K33" s="1315"/>
      <c r="L33" s="426" t="s">
        <v>383</v>
      </c>
      <c r="M33" s="984">
        <f>Drift!$B$165</f>
        <v>161.46416666666667</v>
      </c>
      <c r="N33" s="1317" t="s">
        <v>387</v>
      </c>
      <c r="O33" s="1315" t="str">
        <f>O18</f>
        <v>Mobile Corder, Merek : Yokogawa, Model : GP 10, SN : S5T810599</v>
      </c>
      <c r="P33" s="1316"/>
      <c r="Q33" s="1315"/>
      <c r="R33" s="426" t="s">
        <v>383</v>
      </c>
      <c r="S33" s="984">
        <f>Drift!$B$165</f>
        <v>161.46416666666667</v>
      </c>
      <c r="T33" s="1317" t="s">
        <v>387</v>
      </c>
      <c r="U33" s="1315" t="str">
        <f>U18</f>
        <v>Wireless Temperature Recorder : Merek : HIOKI, Model : LR 8510, SN : 200936000</v>
      </c>
      <c r="V33" s="1316"/>
      <c r="W33" s="1315"/>
      <c r="X33" s="426" t="s">
        <v>383</v>
      </c>
      <c r="Y33" s="984">
        <f>Drift!$B$165</f>
        <v>161.46416666666667</v>
      </c>
      <c r="Z33" s="1317" t="s">
        <v>387</v>
      </c>
      <c r="AA33" s="1315" t="str">
        <f>AA18</f>
        <v>Wireless Temperature Recorder : Merek : HIOKI, Model : LR 8510, SN : 200936001</v>
      </c>
      <c r="AB33" s="1316"/>
      <c r="AC33" s="1315"/>
      <c r="AD33" s="426" t="s">
        <v>383</v>
      </c>
      <c r="AE33" s="984">
        <f>Drift!$B$165</f>
        <v>161.46416666666667</v>
      </c>
      <c r="AF33" s="1317" t="s">
        <v>387</v>
      </c>
      <c r="AG33" s="1315" t="str">
        <f>AG18</f>
        <v>Wireless Temperature Recorder : Merek : HIOKI, Model : LR 8510, SN : 200821397</v>
      </c>
      <c r="AH33" s="1316"/>
      <c r="AI33" s="1315"/>
      <c r="AJ33" s="426" t="s">
        <v>383</v>
      </c>
      <c r="AK33" s="984">
        <f>Drift!$B$165</f>
        <v>161.46416666666667</v>
      </c>
      <c r="AL33" s="1317" t="s">
        <v>387</v>
      </c>
      <c r="AM33" s="1315" t="str">
        <f>AM18</f>
        <v>Wireless Temperature Recorder : Merek : HIOKI, Model : LR 8510, SN : 210411983</v>
      </c>
      <c r="AN33" s="1316"/>
      <c r="AO33" s="1315"/>
      <c r="AP33" s="426" t="s">
        <v>383</v>
      </c>
      <c r="AQ33" s="984">
        <f>Drift!$B$165</f>
        <v>161.46416666666667</v>
      </c>
      <c r="AR33" s="1317" t="s">
        <v>387</v>
      </c>
      <c r="AS33" s="1315" t="str">
        <f>AS18</f>
        <v>Wireless Temperature Recorder : Merek : HIOKI, Model : LR 8510, SN : 210411984</v>
      </c>
      <c r="AT33" s="1316"/>
      <c r="AU33" s="1315"/>
      <c r="AV33" s="426" t="s">
        <v>383</v>
      </c>
      <c r="AW33" s="984">
        <f>Drift!$B$165</f>
        <v>161.46416666666667</v>
      </c>
      <c r="AX33" s="1317" t="s">
        <v>387</v>
      </c>
      <c r="AY33" s="1315" t="str">
        <f>AY18</f>
        <v>Wireless Temperature Recorder : Merek : HIOKI, Model : LR 8510, SN : 210411985</v>
      </c>
      <c r="AZ33" s="1316"/>
      <c r="BA33" s="1315"/>
      <c r="BB33" s="426" t="s">
        <v>383</v>
      </c>
      <c r="BC33" s="984">
        <f>Drift!$B$165</f>
        <v>161.46416666666667</v>
      </c>
      <c r="BD33" s="1317" t="s">
        <v>387</v>
      </c>
      <c r="BE33" s="1315" t="str">
        <f>BE18</f>
        <v>Wireless Temperature Recorder : Merek : HIOKI, Model : LR 8510, SN : 210746054</v>
      </c>
      <c r="BF33" s="1316"/>
      <c r="BG33" s="1315"/>
      <c r="BH33" s="426" t="s">
        <v>383</v>
      </c>
      <c r="BI33" s="984">
        <f>Drift!$B$165</f>
        <v>161.46416666666667</v>
      </c>
      <c r="BJ33" s="1317" t="s">
        <v>387</v>
      </c>
      <c r="BK33" s="1315" t="str">
        <f>BK18</f>
        <v>Wireless Temperature Recorder : Merek : HIOKI, Model : LR 8510, SN : 210746055</v>
      </c>
      <c r="BL33" s="1316"/>
      <c r="BM33" s="1315"/>
      <c r="BN33" s="426" t="s">
        <v>383</v>
      </c>
      <c r="BO33" s="984">
        <f>Drift!$B$165</f>
        <v>161.46416666666667</v>
      </c>
      <c r="BP33" s="1319" t="s">
        <v>387</v>
      </c>
      <c r="BQ33" s="1315" t="str">
        <f>BQ18</f>
        <v>Wireless Temperature Recorder : Merek : HIOKI, Model : LR 8510, SN : 210746056</v>
      </c>
      <c r="BR33" s="1316"/>
      <c r="BS33" s="1315"/>
      <c r="BT33" s="426" t="s">
        <v>383</v>
      </c>
      <c r="BU33" s="984">
        <f>Drift!$B$165</f>
        <v>161.46416666666667</v>
      </c>
      <c r="BV33" s="1317" t="s">
        <v>387</v>
      </c>
      <c r="BW33" s="1315" t="str">
        <f>BW18</f>
        <v>Wireless Temperature Recorder : Merek : HIOKI, Model : LR 8510, SN : 200821396</v>
      </c>
      <c r="BX33" s="1316"/>
      <c r="BY33" s="1315"/>
      <c r="BZ33" s="426" t="s">
        <v>383</v>
      </c>
      <c r="CA33" s="984">
        <f>Drift!$B$165</f>
        <v>161.46416666666667</v>
      </c>
      <c r="CB33" s="1317" t="s">
        <v>387</v>
      </c>
      <c r="CC33" s="1315" t="str">
        <f>CC18</f>
        <v>Reference Thermometer, Merek : APPA, Model : APPA51, SN : 03002948</v>
      </c>
      <c r="CD33" s="1316"/>
      <c r="CE33" s="1315"/>
      <c r="CF33" s="426" t="s">
        <v>383</v>
      </c>
      <c r="CG33" s="423"/>
      <c r="CH33" s="1317" t="s">
        <v>387</v>
      </c>
      <c r="CI33" s="1315" t="str">
        <f t="shared" ref="CI33:CI46" si="12">CI18</f>
        <v>Reference Thermometer, Merek : FLUKE, Model : 1524, SN : 1803038</v>
      </c>
      <c r="CJ33" s="1316"/>
      <c r="CK33" s="1315"/>
      <c r="CL33" s="426" t="s">
        <v>383</v>
      </c>
      <c r="CM33" s="423"/>
      <c r="CN33" s="1317" t="s">
        <v>387</v>
      </c>
      <c r="CO33" s="1315" t="str">
        <f t="shared" ref="CO33:CO46" si="13">CO18</f>
        <v>Reference Thermometer, Merek : FLUKE, Model : 1524, SN : 1803037</v>
      </c>
      <c r="CP33" s="1316"/>
      <c r="CQ33" s="1315"/>
      <c r="CR33" s="426" t="s">
        <v>383</v>
      </c>
      <c r="CS33" s="423"/>
    </row>
    <row r="34" spans="1:97" s="427" customFormat="1" ht="13">
      <c r="A34" s="423"/>
      <c r="B34" s="1318"/>
      <c r="C34" s="432">
        <f>C19</f>
        <v>2021</v>
      </c>
      <c r="D34" s="432">
        <f>D19</f>
        <v>2022</v>
      </c>
      <c r="E34" s="429" t="s">
        <v>385</v>
      </c>
      <c r="F34" s="430"/>
      <c r="G34" s="985">
        <f>IF(G33&lt;=B42,B41,IF(G33&lt;=B43,B42,IF(G33&lt;=B44,B43,IF(G33&lt;=B45,B44,IF(G33&lt;=B46,B45)))))</f>
        <v>150</v>
      </c>
      <c r="H34" s="1318"/>
      <c r="I34" s="431">
        <f>I19</f>
        <v>2021</v>
      </c>
      <c r="J34" s="432">
        <f>J19</f>
        <v>2022</v>
      </c>
      <c r="K34" s="429" t="s">
        <v>385</v>
      </c>
      <c r="L34" s="433"/>
      <c r="M34" s="985">
        <f>IF(M33&lt;=H42,H41,IF(M33&lt;=H43,H42,IF(M33&lt;=H44,H43,IF(M33&lt;=H45,H44,IF(M33&lt;=H46,H45)))))</f>
        <v>150</v>
      </c>
      <c r="N34" s="1318"/>
      <c r="O34" s="431">
        <f>O4</f>
        <v>2021</v>
      </c>
      <c r="P34" s="432">
        <f>P4</f>
        <v>2023</v>
      </c>
      <c r="Q34" s="429" t="s">
        <v>385</v>
      </c>
      <c r="R34" s="434"/>
      <c r="S34" s="985">
        <f>IF(S33&lt;=N42,N41,IF(S33&lt;=N43,N42,IF(S33&lt;=N44,N43,IF(S33&lt;=N45,N44,IF(S33&lt;=N46,N45)))))</f>
        <v>150</v>
      </c>
      <c r="T34" s="1318"/>
      <c r="U34" s="431">
        <f>U19</f>
        <v>2022</v>
      </c>
      <c r="V34" s="432"/>
      <c r="W34" s="429" t="s">
        <v>385</v>
      </c>
      <c r="X34" s="434"/>
      <c r="Y34" s="985">
        <f>IF(Y33&lt;=T42,T41,IF(Y33&lt;=T43,T42,IF(Y33&lt;=T44,T43,IF(Y33&lt;=T45,T44,IF(Y33&lt;=T46,T45)))))</f>
        <v>150</v>
      </c>
      <c r="Z34" s="1318"/>
      <c r="AA34" s="431">
        <f>AA19</f>
        <v>2023</v>
      </c>
      <c r="AB34" s="432">
        <f>AB19</f>
        <v>2021</v>
      </c>
      <c r="AC34" s="429" t="s">
        <v>385</v>
      </c>
      <c r="AD34" s="434"/>
      <c r="AE34" s="985">
        <f>IF(AE33&lt;=Z42,Z41,IF(AE33&lt;=Z43,Z42,IF(AE33&lt;=Z44,Z43,IF(AE33&lt;=Z45,Z44,IF(AE33&lt;=Z46,Z45)))))</f>
        <v>150</v>
      </c>
      <c r="AF34" s="1318"/>
      <c r="AG34" s="431">
        <f>AG19</f>
        <v>2023</v>
      </c>
      <c r="AH34" s="431">
        <f>AH19</f>
        <v>2021</v>
      </c>
      <c r="AI34" s="429" t="s">
        <v>385</v>
      </c>
      <c r="AJ34" s="434"/>
      <c r="AK34" s="985">
        <f>IF(AK33&lt;=AF42,AF41,IF(AK33&lt;=AF43,AF42,IF(AK33&lt;=AF44,AF43,IF(AK33&lt;=AF45,AF44,IF(AK33&lt;=AF46,AF45)))))</f>
        <v>150</v>
      </c>
      <c r="AL34" s="1318"/>
      <c r="AM34" s="431">
        <f>AM19</f>
        <v>2023</v>
      </c>
      <c r="AN34" s="432"/>
      <c r="AO34" s="429" t="s">
        <v>385</v>
      </c>
      <c r="AP34" s="434"/>
      <c r="AQ34" s="985">
        <f>IF(AQ33&lt;=AL42,AL41,IF(AQ33&lt;=AL43,AL42,IF(AQ33&lt;=AL44,AL43,IF(AQ33&lt;=AL45,AL44,IF(AQ33&lt;=AL46,AL45)))))</f>
        <v>150</v>
      </c>
      <c r="AR34" s="1318"/>
      <c r="AS34" s="431">
        <f>AS19</f>
        <v>2023</v>
      </c>
      <c r="AT34" s="432"/>
      <c r="AU34" s="429" t="s">
        <v>385</v>
      </c>
      <c r="AV34" s="434"/>
      <c r="AW34" s="985">
        <f>IF(AW33&lt;=AR42,AR41,IF(AW33&lt;=AR43,AR42,IF(AW33&lt;=AR44,AR43,IF(AW33&lt;=AR45,AR44,IF(AW33&lt;=AR46,AR45)))))</f>
        <v>150</v>
      </c>
      <c r="AX34" s="1318"/>
      <c r="AY34" s="431">
        <f>AY19</f>
        <v>2021</v>
      </c>
      <c r="AZ34" s="432"/>
      <c r="BA34" s="429" t="s">
        <v>385</v>
      </c>
      <c r="BB34" s="434"/>
      <c r="BC34" s="985">
        <f>IF(BC33&lt;=AX42,AX41,IF(BC33&lt;=AX43,AX42,IF(BC33&lt;=AX44,AX43,IF(BC33&lt;=AX45,AX44,IF(BC33&lt;=AX46,AX45)))))</f>
        <v>150</v>
      </c>
      <c r="BD34" s="1318"/>
      <c r="BE34" s="431">
        <f>BE19</f>
        <v>2022</v>
      </c>
      <c r="BF34" s="432"/>
      <c r="BG34" s="429" t="s">
        <v>385</v>
      </c>
      <c r="BH34" s="434"/>
      <c r="BI34" s="985">
        <f>IF(BI33&lt;=BD42,BD41,IF(BI33&lt;=BD43,BD42,IF(BI33&lt;=BD44,BD43,IF(BI33&lt;=BD45,BD44,IF(BI33&lt;=BD46,BD45)))))</f>
        <v>150</v>
      </c>
      <c r="BJ34" s="1318"/>
      <c r="BK34" s="431">
        <f>BK19</f>
        <v>2021</v>
      </c>
      <c r="BL34" s="432"/>
      <c r="BM34" s="429" t="s">
        <v>385</v>
      </c>
      <c r="BN34" s="434"/>
      <c r="BO34" s="985">
        <f>IF(BO33&lt;=BJ42,BJ41,IF(BO33&lt;=BJ43,BJ42,IF(BO33&lt;=BJ44,BJ43,IF(BO33&lt;=BJ45,BJ44,IF(BO33&lt;=BJ46,BJ45)))))</f>
        <v>150</v>
      </c>
      <c r="BP34" s="1320"/>
      <c r="BQ34" s="431">
        <f>BQ19</f>
        <v>2022</v>
      </c>
      <c r="BR34" s="432"/>
      <c r="BS34" s="429" t="s">
        <v>385</v>
      </c>
      <c r="BT34" s="434"/>
      <c r="BU34" s="985">
        <f>IF(BU33&lt;=BP42,BP41,IF(BU33&lt;=BP43,BP42,IF(BU33&lt;=BP44,BP43,IF(BU33&lt;=BP45,BP44,IF(BU33&lt;=BP46,BP45)))))</f>
        <v>150</v>
      </c>
      <c r="BV34" s="1318"/>
      <c r="BW34" s="431">
        <f>BW19</f>
        <v>2022</v>
      </c>
      <c r="BX34" s="432"/>
      <c r="BY34" s="429" t="s">
        <v>385</v>
      </c>
      <c r="BZ34" s="434"/>
      <c r="CA34" s="985">
        <f>IF(CA33&lt;=BV42,BV41,IF(CA33&lt;=BV43,BV42,IF(CA33&lt;=BV44,BV43,IF(CA33&lt;=BV45,BV44,IF(CA33&lt;=BV46,BV45)))))</f>
        <v>150</v>
      </c>
      <c r="CB34" s="1318"/>
      <c r="CC34" s="431">
        <f>CC19</f>
        <v>2022</v>
      </c>
      <c r="CD34" s="432">
        <f t="shared" ref="CD34:CD46" si="14">CD49</f>
        <v>2020</v>
      </c>
      <c r="CE34" s="429" t="s">
        <v>385</v>
      </c>
      <c r="CF34" s="434"/>
      <c r="CG34" s="423"/>
      <c r="CH34" s="1318"/>
      <c r="CI34" s="431">
        <f t="shared" si="12"/>
        <v>2021</v>
      </c>
      <c r="CJ34" s="432">
        <f t="shared" ref="CJ34:CJ46" si="15">CJ19</f>
        <v>2019</v>
      </c>
      <c r="CK34" s="429" t="s">
        <v>385</v>
      </c>
      <c r="CL34" s="434"/>
      <c r="CM34" s="423"/>
      <c r="CN34" s="1318"/>
      <c r="CO34" s="431">
        <f t="shared" si="13"/>
        <v>2021</v>
      </c>
      <c r="CP34" s="432">
        <f t="shared" ref="CP34:CP46" si="16">CP19</f>
        <v>2020</v>
      </c>
      <c r="CQ34" s="429" t="s">
        <v>385</v>
      </c>
      <c r="CR34" s="434"/>
      <c r="CS34" s="423"/>
    </row>
    <row r="35" spans="1:97" s="427" customFormat="1" ht="13">
      <c r="A35" s="423"/>
      <c r="B35" s="435">
        <v>-20</v>
      </c>
      <c r="C35" s="338">
        <v>-0.43</v>
      </c>
      <c r="D35" s="338">
        <f>'Data Standar'!C175</f>
        <v>-0.6</v>
      </c>
      <c r="E35" s="436">
        <f>IF(OR(C35=0,D35=0),'Data Standar'!$C$187/3,((MAX(C35:D35)-(MIN(C35:D35)))))</f>
        <v>0.16999999999999998</v>
      </c>
      <c r="F35" s="437">
        <v>0.12</v>
      </c>
      <c r="G35" s="437"/>
      <c r="H35" s="435">
        <v>-20</v>
      </c>
      <c r="I35" s="338">
        <v>-0.77</v>
      </c>
      <c r="J35" s="338">
        <f>'Data Standar'!D175</f>
        <v>-0.48</v>
      </c>
      <c r="K35" s="436">
        <f>IF(OR(I35=0,J35=0),'Data Standar'!$D$187/3,((MAX(I35:J35)-(MIN(I35:J35)))))</f>
        <v>0.29000000000000004</v>
      </c>
      <c r="L35" s="437">
        <v>0.11</v>
      </c>
      <c r="M35" s="437"/>
      <c r="N35" s="435">
        <v>-20</v>
      </c>
      <c r="O35" s="338">
        <v>-0.7</v>
      </c>
      <c r="P35" s="338">
        <f>'Data Standar'!E175</f>
        <v>-0.47</v>
      </c>
      <c r="Q35" s="436">
        <f>IF(OR(O35=0,P35=0),'Data Standar'!$E$187/3,((MAX(O35:P35)-(MIN(O35:P35)))))</f>
        <v>0.22999999999999998</v>
      </c>
      <c r="R35" s="434">
        <v>9.9999999999999995E-7</v>
      </c>
      <c r="S35" s="437"/>
      <c r="T35" s="435">
        <v>-20</v>
      </c>
      <c r="U35" s="338">
        <f>'Data Standar'!F175</f>
        <v>-1.45</v>
      </c>
      <c r="V35" s="338"/>
      <c r="W35" s="436">
        <f>IF(OR(U35=0,V35=0),'Data Standar'!$F$187/3,((MAX(U35:V35)-(MIN(U35:V35)))))</f>
        <v>8.3333333333333329E-2</v>
      </c>
      <c r="X35" s="434">
        <v>9.9999999999999995E-7</v>
      </c>
      <c r="Y35" s="437"/>
      <c r="Z35" s="435">
        <v>-20</v>
      </c>
      <c r="AA35" s="338">
        <f>'Data Standar'!G175</f>
        <v>0.05</v>
      </c>
      <c r="AB35" s="338">
        <v>-0.39</v>
      </c>
      <c r="AC35" s="436">
        <f>IF(OR(AA35=0,AB35=0),'Data Standar'!$G$187/3,((MAX(AA35:AB35)-(MIN(AA35:AB35)))))</f>
        <v>0.44</v>
      </c>
      <c r="AD35" s="434">
        <v>9.9999999999999995E-7</v>
      </c>
      <c r="AE35" s="437"/>
      <c r="AF35" s="435">
        <v>-20</v>
      </c>
      <c r="AG35" s="338">
        <f>'Data Standar'!H175</f>
        <v>0.05</v>
      </c>
      <c r="AH35" s="338">
        <v>0.01</v>
      </c>
      <c r="AI35" s="436">
        <f>IF(OR(AG35=0,AH35=0),'Data Standar'!$H$187/3,((MAX(AG35:AH35)-(MIN(AG35:AH35)))))</f>
        <v>0.04</v>
      </c>
      <c r="AJ35" s="434">
        <v>9.9999999999999995E-7</v>
      </c>
      <c r="AK35" s="437"/>
      <c r="AL35" s="435">
        <v>-20</v>
      </c>
      <c r="AM35" s="338">
        <f>'Data Standar'!I175</f>
        <v>0.43</v>
      </c>
      <c r="AN35" s="338"/>
      <c r="AO35" s="436">
        <f>IF(OR(AM35=0,AN35=0),'Data Standar'!$I$187/3,((MAX(AM35:AN35)-(MIN(AM35:AN35)))))</f>
        <v>0.08</v>
      </c>
      <c r="AP35" s="434">
        <v>9.9999999999999995E-7</v>
      </c>
      <c r="AQ35" s="437"/>
      <c r="AR35" s="435">
        <v>-20</v>
      </c>
      <c r="AS35" s="338">
        <f>'Data Standar'!J175</f>
        <v>0.33</v>
      </c>
      <c r="AT35" s="338"/>
      <c r="AU35" s="436">
        <f>IF(OR(AS35=0,AT35=0),'Data Standar'!$J$187/3,((MAX(AS35:AT35)-(MIN(AS35:AT35)))))</f>
        <v>0.08</v>
      </c>
      <c r="AV35" s="434">
        <v>9.9999999999999995E-7</v>
      </c>
      <c r="AW35" s="437"/>
      <c r="AX35" s="435">
        <v>-20</v>
      </c>
      <c r="AY35" s="338">
        <f>'Data Standar'!K175</f>
        <v>0.57999999999999996</v>
      </c>
      <c r="AZ35" s="338"/>
      <c r="BA35" s="436">
        <f>IF(OR(AY35=0,AZ35=0),'Data Standar'!$K$187/3,((MAX(AY35:AZ35)-(MIN(AY35:AZ35)))))</f>
        <v>0.26333333333333336</v>
      </c>
      <c r="BB35" s="434">
        <v>9.9999999999999995E-7</v>
      </c>
      <c r="BC35" s="437"/>
      <c r="BD35" s="435">
        <v>-20</v>
      </c>
      <c r="BE35" s="338">
        <f>'Data Standar'!L175</f>
        <v>-0.93</v>
      </c>
      <c r="BF35" s="338"/>
      <c r="BG35" s="436">
        <f>IF(OR(BE35=0,BF35=0),'Data Standar'!$L$187/3,((MAX(BE35:BF35)-(MIN(BE35:BF35)))))</f>
        <v>9.0000000000000011E-2</v>
      </c>
      <c r="BH35" s="434">
        <v>9.9999999999999995E-7</v>
      </c>
      <c r="BI35" s="437"/>
      <c r="BJ35" s="435">
        <v>-20</v>
      </c>
      <c r="BK35" s="338">
        <f>'Data Standar'!M175</f>
        <v>0.57999999999999996</v>
      </c>
      <c r="BL35" s="338"/>
      <c r="BM35" s="436">
        <f>IF(OR(BK35=0,BL35=0),'Data Standar'!$M$187/3,((MAX(BK35:BL35)-(MIN(BK35:BL35)))))</f>
        <v>0.26333333333333336</v>
      </c>
      <c r="BN35" s="434">
        <v>9.9999999999999995E-7</v>
      </c>
      <c r="BO35" s="437"/>
      <c r="BP35" s="435">
        <v>-20</v>
      </c>
      <c r="BQ35" s="338">
        <f>'Data Standar'!N175</f>
        <v>-1.33</v>
      </c>
      <c r="BR35" s="338"/>
      <c r="BS35" s="436">
        <f>IF(OR(BQ35=0,BR35=0),'Data Standar'!$N$187/3,((MAX(BQ35:BR35)-(MIN(BQ35:BR35)))))</f>
        <v>8.3333333333333329E-2</v>
      </c>
      <c r="BT35" s="434">
        <v>9.9999999999999995E-7</v>
      </c>
      <c r="BU35" s="437"/>
      <c r="BV35" s="435">
        <v>-20</v>
      </c>
      <c r="BW35" s="338">
        <f>'Data Standar'!O175</f>
        <v>-1.47</v>
      </c>
      <c r="BX35" s="338"/>
      <c r="BY35" s="436">
        <f>IF(OR(BW35=0,BX35=0),'Data Standar'!$O$187/3,((MAX(BW35:BX35)-(MIN(BW35:BX35)))))</f>
        <v>9.0000000000000011E-2</v>
      </c>
      <c r="BZ35" s="434">
        <v>9.9999999999999995E-7</v>
      </c>
      <c r="CA35" s="437"/>
      <c r="CB35" s="435">
        <v>-20</v>
      </c>
      <c r="CC35" s="338">
        <f t="shared" ref="CC35:CC46" si="17">CC5</f>
        <v>-1.1000000000000001</v>
      </c>
      <c r="CD35" s="338">
        <f t="shared" si="14"/>
        <v>-0.7</v>
      </c>
      <c r="CE35" s="436">
        <f t="shared" ref="CE35:CE46" si="18">CE20</f>
        <v>0.40000000000000013</v>
      </c>
      <c r="CF35" s="434">
        <v>9.9999999999999995E-7</v>
      </c>
      <c r="CG35" s="423"/>
      <c r="CH35" s="435">
        <v>-20</v>
      </c>
      <c r="CI35" s="338">
        <f t="shared" si="12"/>
        <v>-0.15</v>
      </c>
      <c r="CJ35" s="338">
        <f t="shared" si="15"/>
        <v>-0.32</v>
      </c>
      <c r="CK35" s="436">
        <f t="shared" ref="CK35:CK46" si="19">CK20</f>
        <v>0.17</v>
      </c>
      <c r="CL35" s="434">
        <v>9.9999999999999995E-7</v>
      </c>
      <c r="CM35" s="423"/>
      <c r="CN35" s="435">
        <v>-20</v>
      </c>
      <c r="CO35" s="338">
        <f t="shared" si="13"/>
        <v>-1.8</v>
      </c>
      <c r="CP35" s="338">
        <f t="shared" si="16"/>
        <v>-0.51</v>
      </c>
      <c r="CQ35" s="436">
        <f t="shared" ref="CQ35:CQ46" si="20">CQ20</f>
        <v>1.29</v>
      </c>
      <c r="CR35" s="434">
        <v>9.9999999999999995E-7</v>
      </c>
      <c r="CS35" s="423"/>
    </row>
    <row r="36" spans="1:97" s="427" customFormat="1" ht="13">
      <c r="A36" s="423"/>
      <c r="B36" s="435">
        <v>-15</v>
      </c>
      <c r="C36" s="338">
        <v>-0.34</v>
      </c>
      <c r="D36" s="338">
        <f>'Data Standar'!C176</f>
        <v>-0.53</v>
      </c>
      <c r="E36" s="436">
        <f>IF(OR(C36=0,D36=0),'Data Standar'!$C$187/3,((MAX(C36:D36)-(MIN(C36:D36)))))</f>
        <v>0.19</v>
      </c>
      <c r="F36" s="437">
        <f>(-0.6+1.56)/2</f>
        <v>0.48000000000000004</v>
      </c>
      <c r="G36" s="985">
        <f>IF(G33&lt;=B41,B41,IF(G33&lt;=B42,B42,IF(G33&lt;=B43,B43,IF(G33&lt;=B44,B44,IF(G33&lt;=B45,B45,IF(G33&lt;=B46,B46))))))</f>
        <v>200</v>
      </c>
      <c r="H36" s="435">
        <v>-15</v>
      </c>
      <c r="I36" s="338">
        <v>-0.63</v>
      </c>
      <c r="J36" s="338">
        <f>'Data Standar'!D176</f>
        <v>-0.41</v>
      </c>
      <c r="K36" s="436">
        <f>IF(OR(I36=0,J36=0),'Data Standar'!$D$187/3,((MAX(I36:J36)-(MIN(I36:J36)))))</f>
        <v>0.22000000000000003</v>
      </c>
      <c r="L36" s="437">
        <f>(0.04-0)/2</f>
        <v>0.02</v>
      </c>
      <c r="M36" s="985">
        <f>IF(M33&lt;=H41,H41,IF(M33&lt;=H42,H42,IF(M33&lt;=H43,H43,IF(M33&lt;=H44,H44,IF(M33&lt;=H45,H45,IF(M33&lt;=H46,H46))))))</f>
        <v>200</v>
      </c>
      <c r="N36" s="435">
        <v>-15</v>
      </c>
      <c r="O36" s="338">
        <v>-0.56000000000000005</v>
      </c>
      <c r="P36" s="338">
        <f>'Data Standar'!E176</f>
        <v>-0.39</v>
      </c>
      <c r="Q36" s="436">
        <f>IF(OR(O36=0,P36=0),'Data Standar'!$E$187/3,((MAX(O36:P36)-(MIN(O36:P36)))))</f>
        <v>0.17000000000000004</v>
      </c>
      <c r="R36" s="434">
        <f>(0.05-0)/2</f>
        <v>2.5000000000000001E-2</v>
      </c>
      <c r="S36" s="985">
        <f>IF(S33&lt;=N41,N41,IF(S33&lt;=N42,N42,IF(S33&lt;=N43,N43,IF(S33&lt;=N44,N44,IF(S33&lt;=N45,N45,IF(S33&lt;=N46,N46))))))</f>
        <v>200</v>
      </c>
      <c r="T36" s="435">
        <v>-15</v>
      </c>
      <c r="U36" s="338">
        <f>'Data Standar'!F176</f>
        <v>-1.23</v>
      </c>
      <c r="V36" s="338"/>
      <c r="W36" s="436">
        <f>IF(OR(U36=0,V36=0),'Data Standar'!$F$187/3,((MAX(U36:V36)-(MIN(U36:V36)))))</f>
        <v>8.3333333333333329E-2</v>
      </c>
      <c r="X36" s="434">
        <f>(0.05-0)/2</f>
        <v>2.5000000000000001E-2</v>
      </c>
      <c r="Y36" s="985">
        <f>IF(Y33&lt;=T41,T41,IF(Y33&lt;=T42,T42,IF(Y33&lt;=T43,T43,IF(Y33&lt;=T44,T44,IF(Y33&lt;=T45,T45,IF(Y33&lt;=T46,T46))))))</f>
        <v>200</v>
      </c>
      <c r="Z36" s="435">
        <v>-15</v>
      </c>
      <c r="AA36" s="338">
        <f>'Data Standar'!G176</f>
        <v>0.1</v>
      </c>
      <c r="AB36" s="338">
        <v>9.9999999999999995E-7</v>
      </c>
      <c r="AC36" s="436">
        <f>IF(OR(AA36=0,AB36=0),'Data Standar'!$G$187/3,((MAX(AA36:AB36)-(MIN(AA36:AB36)))))</f>
        <v>9.9999000000000005E-2</v>
      </c>
      <c r="AD36" s="434">
        <f>(0.05-0)/2</f>
        <v>2.5000000000000001E-2</v>
      </c>
      <c r="AE36" s="985">
        <f>IF(AE33&lt;=Z41,Z41,IF(AE33&lt;=Z42,Z42,IF(AE33&lt;=Z43,Z43,IF(AE33&lt;=Z44,Z44,IF(AE33&lt;=Z45,Z45,IF(AE33&lt;=Z46,Z46))))))</f>
        <v>200</v>
      </c>
      <c r="AF36" s="435">
        <v>-15</v>
      </c>
      <c r="AG36" s="338">
        <f>'Data Standar'!H176</f>
        <v>0.09</v>
      </c>
      <c r="AH36" s="338">
        <v>9.9999999999999995E-7</v>
      </c>
      <c r="AI36" s="436">
        <f>IF(OR(AG36=0,AH36=0),'Data Standar'!$H$187/3,((MAX(AG36:AH36)-(MIN(AG36:AH36)))))</f>
        <v>8.9998999999999996E-2</v>
      </c>
      <c r="AJ36" s="434">
        <f>(0.05-0)/2</f>
        <v>2.5000000000000001E-2</v>
      </c>
      <c r="AK36" s="985">
        <f>IF(AK33&lt;=AF41,AF41,IF(AK33&lt;=AF42,AF42,IF(AK33&lt;=AF43,AF43,IF(AK33&lt;=AF44,AF44,IF(AK33&lt;=AF45,AF45,IF(AK33&lt;=AF46,AF46))))))</f>
        <v>200</v>
      </c>
      <c r="AL36" s="435">
        <v>-15</v>
      </c>
      <c r="AM36" s="338">
        <f>'Data Standar'!I176</f>
        <v>0.45</v>
      </c>
      <c r="AN36" s="338"/>
      <c r="AO36" s="436">
        <f>IF(OR(AM36=0,AN36=0),'Data Standar'!$I$187/3,((MAX(AM36:AN36)-(MIN(AM36:AN36)))))</f>
        <v>0.08</v>
      </c>
      <c r="AP36" s="434">
        <f>(0.05-0)/2</f>
        <v>2.5000000000000001E-2</v>
      </c>
      <c r="AQ36" s="985">
        <f>IF(AQ33&lt;=AL41,AL41,IF(AQ33&lt;=AL42,AL42,IF(AQ33&lt;=AL43,AL43,IF(AQ33&lt;=AL44,AL44,IF(AQ33&lt;=AL45,AL45,IF(AQ33&lt;=AL46,AL46))))))</f>
        <v>200</v>
      </c>
      <c r="AR36" s="435">
        <v>-15</v>
      </c>
      <c r="AS36" s="338">
        <f>'Data Standar'!J176</f>
        <v>0.36</v>
      </c>
      <c r="AT36" s="338"/>
      <c r="AU36" s="436">
        <f>IF(OR(AS36=0,AT36=0),'Data Standar'!$J$187/3,((MAX(AS36:AT36)-(MIN(AS36:AT36)))))</f>
        <v>0.08</v>
      </c>
      <c r="AV36" s="434">
        <f>(0.05-0)/2</f>
        <v>2.5000000000000001E-2</v>
      </c>
      <c r="AW36" s="985">
        <f>IF(AW33&lt;=AR41,AR41,IF(AW33&lt;=AR42,AR42,IF(AW33&lt;=AR43,AR43,IF(AW33&lt;=AR44,AR44,IF(AW33&lt;=AR45,AR45,IF(AW33&lt;=AR46,AR46))))))</f>
        <v>200</v>
      </c>
      <c r="AX36" s="435">
        <v>-15</v>
      </c>
      <c r="AY36" s="338">
        <f>'Data Standar'!K176</f>
        <v>9.9999999999999995E-7</v>
      </c>
      <c r="AZ36" s="338"/>
      <c r="BA36" s="436">
        <f>IF(OR(AY36=0,AZ36=0),'Data Standar'!$K$187/3,((MAX(AY36:AZ36)-(MIN(AY36:AZ36)))))</f>
        <v>0.26333333333333336</v>
      </c>
      <c r="BB36" s="434">
        <f>(0.05-0)/2</f>
        <v>2.5000000000000001E-2</v>
      </c>
      <c r="BC36" s="985">
        <f>IF(BC33&lt;=AX41,AX41,IF(BC33&lt;=AX42,AX42,IF(BC33&lt;=AX43,AX43,IF(BC33&lt;=AX44,AX44,IF(BC33&lt;=AX45,AX45,IF(BC33&lt;=AX46,AX46))))))</f>
        <v>200</v>
      </c>
      <c r="BD36" s="435">
        <v>-15</v>
      </c>
      <c r="BE36" s="338">
        <f>'Data Standar'!L176</f>
        <v>-0.69</v>
      </c>
      <c r="BF36" s="338"/>
      <c r="BG36" s="436">
        <f>IF(OR(BE36=0,BF36=0),'Data Standar'!$L$187/3,((MAX(BE36:BF36)-(MIN(BE36:BF36)))))</f>
        <v>9.0000000000000011E-2</v>
      </c>
      <c r="BH36" s="434">
        <f>(0.05-0)/2</f>
        <v>2.5000000000000001E-2</v>
      </c>
      <c r="BI36" s="985">
        <f>IF(BI33&lt;=BD41,BD41,IF(BI33&lt;=BD42,BD42,IF(BI33&lt;=BD43,BD43,IF(BI33&lt;=BD44,BD44,IF(BI33&lt;=BD45,BD45,IF(BI33&lt;=BD46,BD46))))))</f>
        <v>200</v>
      </c>
      <c r="BJ36" s="435">
        <v>-15</v>
      </c>
      <c r="BK36" s="338">
        <f>'Data Standar'!M176</f>
        <v>9.9999999999999995E-7</v>
      </c>
      <c r="BL36" s="338"/>
      <c r="BM36" s="436">
        <f>IF(OR(BK36=0,BL36=0),'Data Standar'!$M$187/3,((MAX(BK36:BL36)-(MIN(BK36:BL36)))))</f>
        <v>0.26333333333333336</v>
      </c>
      <c r="BN36" s="434">
        <f>(0.05-0)/2</f>
        <v>2.5000000000000001E-2</v>
      </c>
      <c r="BO36" s="985">
        <f>IF(BO33&lt;=BJ41,BJ41,IF(BO33&lt;=BJ42,BJ42,IF(BO33&lt;=BJ43,BJ43,IF(BO33&lt;=BJ44,BJ44,IF(BO33&lt;=BJ45,BJ45,IF(BO33&lt;=BJ46,BJ46))))))</f>
        <v>200</v>
      </c>
      <c r="BP36" s="435">
        <v>-15</v>
      </c>
      <c r="BQ36" s="338">
        <f>'Data Standar'!N176</f>
        <v>-1.08</v>
      </c>
      <c r="BR36" s="338"/>
      <c r="BS36" s="436">
        <f>IF(OR(BQ36=0,BR36=0),'Data Standar'!$N$187/3,((MAX(BQ36:BR36)-(MIN(BQ36:BR36)))))</f>
        <v>8.3333333333333329E-2</v>
      </c>
      <c r="BT36" s="434">
        <f>(0.05-0)/2</f>
        <v>2.5000000000000001E-2</v>
      </c>
      <c r="BU36" s="985">
        <f>IF(BU33&lt;=BP41,BP41,IF(BU33&lt;=BP42,BP42,IF(BU33&lt;=BP43,BP43,IF(BU33&lt;=BP44,BP44,IF(BU33&lt;=BP45,BP45,IF(BU33&lt;=BP46,BP46))))))</f>
        <v>200</v>
      </c>
      <c r="BV36" s="435">
        <v>-15</v>
      </c>
      <c r="BW36" s="338">
        <f>'Data Standar'!O176</f>
        <v>-1.22</v>
      </c>
      <c r="BX36" s="338"/>
      <c r="BY36" s="436">
        <f>IF(OR(BW36=0,BX36=0),'Data Standar'!$O$187/3,((MAX(BW36:BX36)-(MIN(BW36:BX36)))))</f>
        <v>9.0000000000000011E-2</v>
      </c>
      <c r="BZ36" s="434">
        <f>(0.05-0)/2</f>
        <v>2.5000000000000001E-2</v>
      </c>
      <c r="CA36" s="985">
        <f>IF(CA33&lt;=BV41,BV41,IF(CA33&lt;=BV42,BV42,IF(CA33&lt;=BV43,BV43,IF(CA33&lt;=BV44,BV44,IF(CA33&lt;=BV45,BV45,IF(CA33&lt;=BV46,BV46))))))</f>
        <v>200</v>
      </c>
      <c r="CB36" s="435">
        <v>-15</v>
      </c>
      <c r="CC36" s="338">
        <f t="shared" si="17"/>
        <v>-1.1000000000000001</v>
      </c>
      <c r="CD36" s="338">
        <f t="shared" si="14"/>
        <v>-0.7</v>
      </c>
      <c r="CE36" s="436">
        <f t="shared" si="18"/>
        <v>0.40000000000000013</v>
      </c>
      <c r="CF36" s="434">
        <f>(0.05-0)/2</f>
        <v>2.5000000000000001E-2</v>
      </c>
      <c r="CG36" s="423"/>
      <c r="CH36" s="435">
        <v>-15</v>
      </c>
      <c r="CI36" s="338">
        <f t="shared" si="12"/>
        <v>-0.1</v>
      </c>
      <c r="CJ36" s="338">
        <f t="shared" si="15"/>
        <v>-0.24</v>
      </c>
      <c r="CK36" s="436">
        <f t="shared" si="19"/>
        <v>0.13999999999999999</v>
      </c>
      <c r="CL36" s="434">
        <f>(0.05-0)/2</f>
        <v>2.5000000000000001E-2</v>
      </c>
      <c r="CM36" s="423"/>
      <c r="CN36" s="435">
        <v>-15</v>
      </c>
      <c r="CO36" s="338">
        <f t="shared" si="13"/>
        <v>-1.52</v>
      </c>
      <c r="CP36" s="338">
        <f t="shared" si="16"/>
        <v>-0.39</v>
      </c>
      <c r="CQ36" s="436">
        <f t="shared" si="20"/>
        <v>1.1299999999999999</v>
      </c>
      <c r="CR36" s="434">
        <f>(0.05-0)/2</f>
        <v>2.5000000000000001E-2</v>
      </c>
      <c r="CS36" s="423"/>
    </row>
    <row r="37" spans="1:97" s="427" customFormat="1" ht="13">
      <c r="A37" s="423"/>
      <c r="B37" s="435">
        <v>-10</v>
      </c>
      <c r="C37" s="338">
        <v>-0.27</v>
      </c>
      <c r="D37" s="338">
        <f>'Data Standar'!C177</f>
        <v>-0.46</v>
      </c>
      <c r="E37" s="436">
        <f>IF(OR(C37=0,D37=0),'Data Standar'!$C$187/3,((MAX(C37:D37)-(MIN(C37:D37)))))</f>
        <v>0.19</v>
      </c>
      <c r="F37" s="437">
        <f>(-0.52+1.29)/2</f>
        <v>0.38500000000000001</v>
      </c>
      <c r="G37" s="437"/>
      <c r="H37" s="435">
        <v>-10</v>
      </c>
      <c r="I37" s="338">
        <v>0</v>
      </c>
      <c r="J37" s="338">
        <f>'Data Standar'!D177</f>
        <v>-0.35</v>
      </c>
      <c r="K37" s="436">
        <f>IF(OR(I37=0,J37=0),'Data Standar'!$D$187/3,((MAX(I37:J37)-(MIN(I37:J37)))))</f>
        <v>0.18666666666666668</v>
      </c>
      <c r="L37" s="437">
        <f>(0.03-0)/2</f>
        <v>1.4999999999999999E-2</v>
      </c>
      <c r="M37" s="437"/>
      <c r="N37" s="435">
        <v>-10</v>
      </c>
      <c r="O37" s="338">
        <v>-0.46</v>
      </c>
      <c r="P37" s="338">
        <f>'Data Standar'!E177</f>
        <v>-0.32</v>
      </c>
      <c r="Q37" s="436">
        <f>IF(OR(O37=0,P37=0),'Data Standar'!$E$187/3,((MAX(O37:P37)-(MIN(O37:P37)))))</f>
        <v>0.14000000000000001</v>
      </c>
      <c r="R37" s="434">
        <f>(0.06-0)/2</f>
        <v>0.03</v>
      </c>
      <c r="S37" s="437"/>
      <c r="T37" s="435">
        <v>-10</v>
      </c>
      <c r="U37" s="338">
        <f>'Data Standar'!F177</f>
        <v>-0.98</v>
      </c>
      <c r="V37" s="338"/>
      <c r="W37" s="436">
        <f>IF(OR(U37=0,V37=0),'Data Standar'!$F$187/3,((MAX(U37:V37)-(MIN(U37:V37)))))</f>
        <v>8.3333333333333329E-2</v>
      </c>
      <c r="X37" s="434">
        <f>(0.06-0)/2</f>
        <v>0.03</v>
      </c>
      <c r="Y37" s="437"/>
      <c r="Z37" s="435">
        <v>-10</v>
      </c>
      <c r="AA37" s="338">
        <f>'Data Standar'!G177</f>
        <v>0.13</v>
      </c>
      <c r="AB37" s="338">
        <v>-0.14000000000000001</v>
      </c>
      <c r="AC37" s="436">
        <f>IF(OR(AA37=0,AB37=0),'Data Standar'!$G$187/3,((MAX(AA37:AB37)-(MIN(AA37:AB37)))))</f>
        <v>0.27</v>
      </c>
      <c r="AD37" s="434">
        <f>(0.06-0)/2</f>
        <v>0.03</v>
      </c>
      <c r="AE37" s="437"/>
      <c r="AF37" s="435">
        <v>-10</v>
      </c>
      <c r="AG37" s="338">
        <f>'Data Standar'!H177</f>
        <v>0.12</v>
      </c>
      <c r="AH37" s="338">
        <v>0.19</v>
      </c>
      <c r="AI37" s="436">
        <f>IF(OR(AG37=0,AH37=0),'Data Standar'!$H$187/3,((MAX(AG37:AH37)-(MIN(AG37:AH37)))))</f>
        <v>7.0000000000000007E-2</v>
      </c>
      <c r="AJ37" s="434">
        <f>(0.06-0)/2</f>
        <v>0.03</v>
      </c>
      <c r="AK37" s="437"/>
      <c r="AL37" s="435">
        <v>-10</v>
      </c>
      <c r="AM37" s="338">
        <f>'Data Standar'!I177</f>
        <v>0.46</v>
      </c>
      <c r="AN37" s="338"/>
      <c r="AO37" s="436">
        <f>IF(OR(AM37=0,AN37=0),'Data Standar'!$I$187/3,((MAX(AM37:AN37)-(MIN(AM37:AN37)))))</f>
        <v>0.08</v>
      </c>
      <c r="AP37" s="434">
        <f>(0.06-0)/2</f>
        <v>0.03</v>
      </c>
      <c r="AQ37" s="437"/>
      <c r="AR37" s="435">
        <v>-10</v>
      </c>
      <c r="AS37" s="338">
        <f>'Data Standar'!J177</f>
        <v>0.37</v>
      </c>
      <c r="AT37" s="338"/>
      <c r="AU37" s="436">
        <f>IF(OR(AS37=0,AT37=0),'Data Standar'!$J$187/3,((MAX(AS37:AT37)-(MIN(AS37:AT37)))))</f>
        <v>0.08</v>
      </c>
      <c r="AV37" s="434">
        <f>(0.06-0)/2</f>
        <v>0.03</v>
      </c>
      <c r="AW37" s="437"/>
      <c r="AX37" s="435">
        <v>-10</v>
      </c>
      <c r="AY37" s="338">
        <f>'Data Standar'!K177</f>
        <v>0.55000000000000004</v>
      </c>
      <c r="AZ37" s="338"/>
      <c r="BA37" s="436">
        <f>IF(OR(AY37=0,AZ37=0),'Data Standar'!$K$187/3,((MAX(AY37:AZ37)-(MIN(AY37:AZ37)))))</f>
        <v>0.26333333333333336</v>
      </c>
      <c r="BB37" s="434">
        <f>(0.06-0)/2</f>
        <v>0.03</v>
      </c>
      <c r="BC37" s="437"/>
      <c r="BD37" s="435">
        <v>-10</v>
      </c>
      <c r="BE37" s="338">
        <f>'Data Standar'!L177</f>
        <v>-0.52</v>
      </c>
      <c r="BF37" s="338"/>
      <c r="BG37" s="436">
        <f>IF(OR(BE37=0,BF37=0),'Data Standar'!$L$187/3,((MAX(BE37:BF37)-(MIN(BE37:BF37)))))</f>
        <v>9.0000000000000011E-2</v>
      </c>
      <c r="BH37" s="434">
        <f>(0.06-0)/2</f>
        <v>0.03</v>
      </c>
      <c r="BI37" s="437"/>
      <c r="BJ37" s="435">
        <v>-10</v>
      </c>
      <c r="BK37" s="338">
        <f>'Data Standar'!M177</f>
        <v>0.55000000000000004</v>
      </c>
      <c r="BL37" s="338"/>
      <c r="BM37" s="436">
        <f>IF(OR(BK37=0,BL37=0),'Data Standar'!$M$187/3,((MAX(BK37:BL37)-(MIN(BK37:BL37)))))</f>
        <v>0.26333333333333336</v>
      </c>
      <c r="BN37" s="434">
        <f>(0.06-0)/2</f>
        <v>0.03</v>
      </c>
      <c r="BO37" s="437"/>
      <c r="BP37" s="435">
        <v>-10</v>
      </c>
      <c r="BQ37" s="338">
        <f>'Data Standar'!N177</f>
        <v>-0.86</v>
      </c>
      <c r="BR37" s="338"/>
      <c r="BS37" s="436">
        <f>IF(OR(BQ37=0,BR37=0),'Data Standar'!$N$187/3,((MAX(BQ37:BR37)-(MIN(BQ37:BR37)))))</f>
        <v>8.3333333333333329E-2</v>
      </c>
      <c r="BT37" s="434">
        <f>(0.06-0)/2</f>
        <v>0.03</v>
      </c>
      <c r="BU37" s="437"/>
      <c r="BV37" s="435">
        <v>-10</v>
      </c>
      <c r="BW37" s="338">
        <f>'Data Standar'!O177</f>
        <v>-0.99</v>
      </c>
      <c r="BX37" s="338"/>
      <c r="BY37" s="436">
        <f>IF(OR(BW37=0,BX37=0),'Data Standar'!$O$187/3,((MAX(BW37:BX37)-(MIN(BW37:BX37)))))</f>
        <v>9.0000000000000011E-2</v>
      </c>
      <c r="BZ37" s="434">
        <f>(0.06-0)/2</f>
        <v>0.03</v>
      </c>
      <c r="CA37" s="437"/>
      <c r="CB37" s="435">
        <v>-10</v>
      </c>
      <c r="CC37" s="338">
        <f t="shared" si="17"/>
        <v>-1.2</v>
      </c>
      <c r="CD37" s="338">
        <f t="shared" si="14"/>
        <v>-0.7</v>
      </c>
      <c r="CE37" s="436">
        <f t="shared" si="18"/>
        <v>0.5</v>
      </c>
      <c r="CF37" s="434">
        <f>(0.06-0)/2</f>
        <v>0.03</v>
      </c>
      <c r="CG37" s="423"/>
      <c r="CH37" s="435">
        <v>-10</v>
      </c>
      <c r="CI37" s="338">
        <f t="shared" si="12"/>
        <v>-0.05</v>
      </c>
      <c r="CJ37" s="338">
        <f t="shared" si="15"/>
        <v>-0.18</v>
      </c>
      <c r="CK37" s="436">
        <f t="shared" si="19"/>
        <v>0.13</v>
      </c>
      <c r="CL37" s="434">
        <f>(0.06-0)/2</f>
        <v>0.03</v>
      </c>
      <c r="CM37" s="423"/>
      <c r="CN37" s="435">
        <v>-10</v>
      </c>
      <c r="CO37" s="338">
        <f t="shared" si="13"/>
        <v>-1.26</v>
      </c>
      <c r="CP37" s="338">
        <f t="shared" si="16"/>
        <v>-0.28000000000000003</v>
      </c>
      <c r="CQ37" s="436">
        <f t="shared" si="20"/>
        <v>0.98</v>
      </c>
      <c r="CR37" s="434">
        <f>(0.06-0)/2</f>
        <v>0.03</v>
      </c>
      <c r="CS37" s="423"/>
    </row>
    <row r="38" spans="1:97" s="427" customFormat="1" ht="13">
      <c r="A38" s="423"/>
      <c r="B38" s="435">
        <v>9.9999999999999995E-7</v>
      </c>
      <c r="C38" s="338">
        <v>-0.13</v>
      </c>
      <c r="D38" s="338">
        <f>'Data Standar'!C178</f>
        <v>-0.32</v>
      </c>
      <c r="E38" s="436">
        <f>IF(OR(C38=0,D38=0),'Data Standar'!$C$187/3,((MAX(C38:D38)-(MIN(C38:D38)))))</f>
        <v>0.19</v>
      </c>
      <c r="F38" s="437">
        <f>(-0.39+0.8)/2</f>
        <v>0.20500000000000002</v>
      </c>
      <c r="G38" s="986">
        <f>VLOOKUP(G34,B41:F46,4)</f>
        <v>0.44999999999999996</v>
      </c>
      <c r="H38" s="435">
        <v>9.9999999999999995E-7</v>
      </c>
      <c r="I38" s="338">
        <v>-0.28999999999999998</v>
      </c>
      <c r="J38" s="338">
        <f>'Data Standar'!D178</f>
        <v>-0.23</v>
      </c>
      <c r="K38" s="436">
        <f>IF(OR(I38=0,J38=0),'Data Standar'!$D$187/3,((MAX(I38:J38)-(MIN(I38:J38)))))</f>
        <v>5.999999999999997E-2</v>
      </c>
      <c r="L38" s="437">
        <f>(0.02-0)/2</f>
        <v>0.01</v>
      </c>
      <c r="M38" s="986">
        <f>VLOOKUP(M34,H41:L46,4)</f>
        <v>0.62</v>
      </c>
      <c r="N38" s="435">
        <v>9.9999999999999995E-7</v>
      </c>
      <c r="O38" s="338">
        <v>-0.38</v>
      </c>
      <c r="P38" s="338">
        <f>'Data Standar'!E178</f>
        <v>-0.2</v>
      </c>
      <c r="Q38" s="436">
        <f>IF(OR(O38=0,P38=0),'Data Standar'!$E$187/3,((MAX(O38:P38)-(MIN(O38:P38)))))</f>
        <v>0.18</v>
      </c>
      <c r="R38" s="434">
        <f>(0.08-0)/2</f>
        <v>0.04</v>
      </c>
      <c r="S38" s="986">
        <f>VLOOKUP(S34,N41:R46,4)</f>
        <v>1.9999999999999962E-2</v>
      </c>
      <c r="T38" s="435">
        <v>9.9999999999999995E-7</v>
      </c>
      <c r="U38" s="338">
        <f>'Data Standar'!F178</f>
        <v>-0.32</v>
      </c>
      <c r="V38" s="338"/>
      <c r="W38" s="436">
        <f>IF(OR(U38=0,V38=0),'Data Standar'!$F$187/3,((MAX(U38:V38)-(MIN(U38:V38)))))</f>
        <v>8.3333333333333329E-2</v>
      </c>
      <c r="X38" s="434">
        <f>(0.08-0)/2</f>
        <v>0.04</v>
      </c>
      <c r="Y38" s="986">
        <f>VLOOKUP(Y34,T41:X46,4)</f>
        <v>8.3333333333333329E-2</v>
      </c>
      <c r="Z38" s="435">
        <v>9.9999999999999995E-7</v>
      </c>
      <c r="AA38" s="338">
        <f>'Data Standar'!G178</f>
        <v>0.1</v>
      </c>
      <c r="AB38" s="338">
        <v>7.0000000000000007E-2</v>
      </c>
      <c r="AC38" s="436">
        <f>IF(OR(AA38=0,AB38=0),'Data Standar'!$G$187/3,((MAX(AA38:AB38)-(MIN(AA38:AB38)))))</f>
        <v>0.03</v>
      </c>
      <c r="AD38" s="434">
        <f>(0.08-0)/2</f>
        <v>0.04</v>
      </c>
      <c r="AE38" s="986">
        <f>VLOOKUP(AE34,Z41:AD46,4)</f>
        <v>0.14000000000000001</v>
      </c>
      <c r="AF38" s="435">
        <v>9.9999999999999995E-7</v>
      </c>
      <c r="AG38" s="338">
        <f>'Data Standar'!H178</f>
        <v>0.1</v>
      </c>
      <c r="AH38" s="338">
        <v>0.34</v>
      </c>
      <c r="AI38" s="436">
        <f>IF(OR(AG38=0,AH38=0),'Data Standar'!$H$187/3,((MAX(AG38:AH38)-(MIN(AG38:AH38)))))</f>
        <v>0.24000000000000002</v>
      </c>
      <c r="AJ38" s="434">
        <f>(0.08-0)/2</f>
        <v>0.04</v>
      </c>
      <c r="AK38" s="986">
        <f>VLOOKUP(AK34,AF41:AJ46,4)</f>
        <v>0.41</v>
      </c>
      <c r="AL38" s="435">
        <v>9.9999999999999995E-7</v>
      </c>
      <c r="AM38" s="338">
        <f>'Data Standar'!I178</f>
        <v>0.4</v>
      </c>
      <c r="AN38" s="338"/>
      <c r="AO38" s="436">
        <f>IF(OR(AM38=0,AN38=0),'Data Standar'!$I$187/3,((MAX(AM38:AN38)-(MIN(AM38:AN38)))))</f>
        <v>0.08</v>
      </c>
      <c r="AP38" s="434">
        <f>(0.08-0)/2</f>
        <v>0.04</v>
      </c>
      <c r="AQ38" s="986">
        <f>VLOOKUP(AQ34,AL41:AP46,4)</f>
        <v>0.08</v>
      </c>
      <c r="AR38" s="435">
        <v>9.9999999999999995E-7</v>
      </c>
      <c r="AS38" s="338">
        <f>'Data Standar'!J178</f>
        <v>0.37</v>
      </c>
      <c r="AT38" s="338"/>
      <c r="AU38" s="436">
        <f>IF(OR(AS38=0,AT38=0),'Data Standar'!$J$187/3,((MAX(AS38:AT38)-(MIN(AS38:AT38)))))</f>
        <v>0.08</v>
      </c>
      <c r="AV38" s="434">
        <f>(0.08-0)/2</f>
        <v>0.04</v>
      </c>
      <c r="AW38" s="986">
        <f>VLOOKUP(AW34,AR41:AV46,4)</f>
        <v>0.08</v>
      </c>
      <c r="AX38" s="435">
        <v>9.9999999999999995E-7</v>
      </c>
      <c r="AY38" s="338">
        <f>'Data Standar'!K178</f>
        <v>0.52</v>
      </c>
      <c r="AZ38" s="338"/>
      <c r="BA38" s="436">
        <f>IF(OR(AY38=0,AZ38=0),'Data Standar'!$K$187/3,((MAX(AY38:AZ38)-(MIN(AY38:AZ38)))))</f>
        <v>0.26333333333333336</v>
      </c>
      <c r="BB38" s="434">
        <f>(0.08-0)/2</f>
        <v>0.04</v>
      </c>
      <c r="BC38" s="986">
        <f>VLOOKUP(BC34,AX41:BB46,4)</f>
        <v>0.26333333333333336</v>
      </c>
      <c r="BD38" s="435">
        <v>9.9999999999999995E-7</v>
      </c>
      <c r="BE38" s="338">
        <f>'Data Standar'!L178</f>
        <v>-0.26</v>
      </c>
      <c r="BF38" s="338"/>
      <c r="BG38" s="436">
        <f>IF(OR(BE38=0,BF38=0),'Data Standar'!$L$187/3,((MAX(BE38:BF38)-(MIN(BE38:BF38)))))</f>
        <v>9.0000000000000011E-2</v>
      </c>
      <c r="BH38" s="434">
        <f>(0.08-0)/2</f>
        <v>0.04</v>
      </c>
      <c r="BI38" s="986">
        <f>VLOOKUP(BI34,BD41:BH46,4)</f>
        <v>9.0000000000000011E-2</v>
      </c>
      <c r="BJ38" s="435">
        <v>9.9999999999999995E-7</v>
      </c>
      <c r="BK38" s="338">
        <f>'Data Standar'!M178</f>
        <v>0.52</v>
      </c>
      <c r="BL38" s="338"/>
      <c r="BM38" s="436">
        <f>IF(OR(BK38=0,BL38=0),'Data Standar'!$M$187/3,((MAX(BK38:BL38)-(MIN(BK38:BL38)))))</f>
        <v>0.26333333333333336</v>
      </c>
      <c r="BN38" s="434">
        <f>(0.08-0)/2</f>
        <v>0.04</v>
      </c>
      <c r="BO38" s="986">
        <f>VLOOKUP(BO34,BJ41:BN46,4)</f>
        <v>0.26333333333333336</v>
      </c>
      <c r="BP38" s="435">
        <v>9.9999999999999995E-7</v>
      </c>
      <c r="BQ38" s="338">
        <f>'Data Standar'!N178</f>
        <v>-0.59</v>
      </c>
      <c r="BR38" s="338"/>
      <c r="BS38" s="436">
        <f>IF(OR(BQ38=0,BR38=0),'Data Standar'!$N$187/3,((MAX(BQ38:BR38)-(MIN(BQ38:BR38)))))</f>
        <v>8.3333333333333329E-2</v>
      </c>
      <c r="BT38" s="434">
        <f>(0.08-0)/2</f>
        <v>0.04</v>
      </c>
      <c r="BU38" s="986">
        <f>VLOOKUP(BU34,BP41:BT46,4)</f>
        <v>8.3333333333333329E-2</v>
      </c>
      <c r="BV38" s="435">
        <v>9.9999999999999995E-7</v>
      </c>
      <c r="BW38" s="338">
        <f>'Data Standar'!O178</f>
        <v>-0.6</v>
      </c>
      <c r="BX38" s="338"/>
      <c r="BY38" s="436">
        <f>IF(OR(BW38=0,BX38=0),'Data Standar'!$O$187/3,((MAX(BW38:BX38)-(MIN(BW38:BX38)))))</f>
        <v>9.0000000000000011E-2</v>
      </c>
      <c r="BZ38" s="434">
        <f>(0.08-0)/2</f>
        <v>0.04</v>
      </c>
      <c r="CA38" s="986">
        <f>VLOOKUP(CA34,BV41:BZ46,4)</f>
        <v>9.0000000000000011E-2</v>
      </c>
      <c r="CB38" s="435">
        <v>9.9999999999999995E-7</v>
      </c>
      <c r="CC38" s="338">
        <f t="shared" si="17"/>
        <v>-1.4</v>
      </c>
      <c r="CD38" s="338">
        <f t="shared" si="14"/>
        <v>-0.7</v>
      </c>
      <c r="CE38" s="436">
        <f t="shared" si="18"/>
        <v>0.7</v>
      </c>
      <c r="CF38" s="434">
        <f>(0.08-0)/2</f>
        <v>0.04</v>
      </c>
      <c r="CG38" s="423"/>
      <c r="CH38" s="435">
        <v>9.9999999999999995E-7</v>
      </c>
      <c r="CI38" s="338">
        <f t="shared" si="12"/>
        <v>0.03</v>
      </c>
      <c r="CJ38" s="338">
        <f t="shared" si="15"/>
        <v>-0.06</v>
      </c>
      <c r="CK38" s="436">
        <f t="shared" si="19"/>
        <v>0.09</v>
      </c>
      <c r="CL38" s="434">
        <f>(0.08-0)/2</f>
        <v>0.04</v>
      </c>
      <c r="CM38" s="423"/>
      <c r="CN38" s="435">
        <v>9.9999999999999995E-7</v>
      </c>
      <c r="CO38" s="338">
        <f t="shared" si="13"/>
        <v>-0.79</v>
      </c>
      <c r="CP38" s="338">
        <f t="shared" si="16"/>
        <v>-0.08</v>
      </c>
      <c r="CQ38" s="436">
        <f t="shared" si="20"/>
        <v>0.71000000000000008</v>
      </c>
      <c r="CR38" s="434">
        <f>(0.08-0)/2</f>
        <v>0.04</v>
      </c>
      <c r="CS38" s="423"/>
    </row>
    <row r="39" spans="1:97" s="427" customFormat="1" ht="13">
      <c r="A39" s="423"/>
      <c r="B39" s="435">
        <v>2</v>
      </c>
      <c r="C39" s="338">
        <v>-0.11</v>
      </c>
      <c r="D39" s="338">
        <f>'Data Standar'!C179</f>
        <v>-0.28999999999999998</v>
      </c>
      <c r="E39" s="436">
        <f>IF(OR(C39=0,D39=0),'Data Standar'!$C$187/3,((MAX(C39:D39)-(MIN(C39:D39)))))</f>
        <v>0.18</v>
      </c>
      <c r="F39" s="437">
        <f>(-0.36+0.72)/2</f>
        <v>0.18</v>
      </c>
      <c r="G39" s="437"/>
      <c r="H39" s="435">
        <v>2</v>
      </c>
      <c r="I39" s="338">
        <v>-0.25</v>
      </c>
      <c r="J39" s="338">
        <f>'Data Standar'!D179</f>
        <v>-0.2</v>
      </c>
      <c r="K39" s="436">
        <f>IF(OR(I39=0,J39=0),'Data Standar'!$D$187/3,((MAX(I39:J39)-(MIN(I39:J39)))))</f>
        <v>4.9999999999999989E-2</v>
      </c>
      <c r="L39" s="437">
        <f>(0.02-0)/2</f>
        <v>0.01</v>
      </c>
      <c r="M39" s="437"/>
      <c r="N39" s="435">
        <v>2</v>
      </c>
      <c r="O39" s="338">
        <v>-0.37</v>
      </c>
      <c r="P39" s="338">
        <f>'Data Standar'!E179</f>
        <v>-0.18</v>
      </c>
      <c r="Q39" s="436">
        <f>IF(OR(O39=0,P39=0),'Data Standar'!$E$187/3,((MAX(O39:P39)-(MIN(O39:P39)))))</f>
        <v>0.19</v>
      </c>
      <c r="R39" s="434">
        <f>(0.08-0)/2</f>
        <v>0.04</v>
      </c>
      <c r="S39" s="437"/>
      <c r="T39" s="435">
        <v>2</v>
      </c>
      <c r="U39" s="338">
        <f>'Data Standar'!F179</f>
        <v>-0.56000000000000005</v>
      </c>
      <c r="V39" s="338"/>
      <c r="W39" s="436">
        <f>IF(OR(U39=0,V39=0),'Data Standar'!$F$187/3,((MAX(U39:V39)-(MIN(U39:V39)))))</f>
        <v>8.3333333333333329E-2</v>
      </c>
      <c r="X39" s="434">
        <f>(0.08-0)/2</f>
        <v>0.04</v>
      </c>
      <c r="Y39" s="437"/>
      <c r="Z39" s="435">
        <v>2</v>
      </c>
      <c r="AA39" s="338">
        <f>'Data Standar'!G179</f>
        <v>0.12</v>
      </c>
      <c r="AB39" s="338">
        <v>0.11</v>
      </c>
      <c r="AC39" s="436">
        <f>IF(OR(AA39=0,AB39=0),'Data Standar'!$G$187/3,((MAX(AA39:AB39)-(MIN(AA39:AB39)))))</f>
        <v>9.999999999999995E-3</v>
      </c>
      <c r="AD39" s="434">
        <f>(0.08-0)/2</f>
        <v>0.04</v>
      </c>
      <c r="AE39" s="437"/>
      <c r="AF39" s="435">
        <v>2</v>
      </c>
      <c r="AG39" s="338">
        <f>'Data Standar'!H179</f>
        <v>0.12</v>
      </c>
      <c r="AH39" s="338">
        <v>0.37</v>
      </c>
      <c r="AI39" s="436">
        <f>IF(OR(AG39=0,AH39=0),'Data Standar'!$H$187/3,((MAX(AG39:AH39)-(MIN(AG39:AH39)))))</f>
        <v>0.25</v>
      </c>
      <c r="AJ39" s="434">
        <f>(0.08-0)/2</f>
        <v>0.04</v>
      </c>
      <c r="AK39" s="437"/>
      <c r="AL39" s="435">
        <v>2</v>
      </c>
      <c r="AM39" s="338">
        <f>'Data Standar'!I179</f>
        <v>0.43</v>
      </c>
      <c r="AN39" s="338"/>
      <c r="AO39" s="436">
        <f>IF(OR(AM39=0,AN39=0),'Data Standar'!$I$187/3,((MAX(AM39:AN39)-(MIN(AM39:AN39)))))</f>
        <v>0.08</v>
      </c>
      <c r="AP39" s="434">
        <f>(0.08-0)/2</f>
        <v>0.04</v>
      </c>
      <c r="AQ39" s="437"/>
      <c r="AR39" s="435">
        <v>2</v>
      </c>
      <c r="AS39" s="338">
        <f>'Data Standar'!J179</f>
        <v>0.37</v>
      </c>
      <c r="AT39" s="338"/>
      <c r="AU39" s="436">
        <f>IF(OR(AS39=0,AT39=0),'Data Standar'!$J$187/3,((MAX(AS39:AT39)-(MIN(AS39:AT39)))))</f>
        <v>0.08</v>
      </c>
      <c r="AV39" s="434">
        <f>(0.08-0)/2</f>
        <v>0.04</v>
      </c>
      <c r="AW39" s="437"/>
      <c r="AX39" s="435">
        <v>2</v>
      </c>
      <c r="AY39" s="338">
        <f>'Data Standar'!K179</f>
        <v>0.52</v>
      </c>
      <c r="AZ39" s="338"/>
      <c r="BA39" s="436">
        <f>IF(OR(AY39=0,AZ39=0),'Data Standar'!$K$187/3,((MAX(AY39:AZ39)-(MIN(AY39:AZ39)))))</f>
        <v>0.26333333333333336</v>
      </c>
      <c r="BB39" s="434">
        <f>(0.08-0)/2</f>
        <v>0.04</v>
      </c>
      <c r="BC39" s="437"/>
      <c r="BD39" s="435">
        <v>2</v>
      </c>
      <c r="BE39" s="338">
        <f>'Data Standar'!L179</f>
        <v>-0.35</v>
      </c>
      <c r="BF39" s="338"/>
      <c r="BG39" s="436">
        <f>IF(OR(BE39=0,BF39=0),'Data Standar'!$L$187/3,((MAX(BE39:BF39)-(MIN(BE39:BF39)))))</f>
        <v>9.0000000000000011E-2</v>
      </c>
      <c r="BH39" s="434">
        <f>(0.08-0)/2</f>
        <v>0.04</v>
      </c>
      <c r="BI39" s="437"/>
      <c r="BJ39" s="435">
        <v>2</v>
      </c>
      <c r="BK39" s="338">
        <f>'Data Standar'!M179</f>
        <v>0.52</v>
      </c>
      <c r="BL39" s="338"/>
      <c r="BM39" s="436">
        <f>IF(OR(BK39=0,BL39=0),'Data Standar'!$M$187/3,((MAX(BK39:BL39)-(MIN(BK39:BL39)))))</f>
        <v>0.26333333333333336</v>
      </c>
      <c r="BN39" s="434">
        <f>(0.08-0)/2</f>
        <v>0.04</v>
      </c>
      <c r="BO39" s="437"/>
      <c r="BP39" s="435">
        <v>2</v>
      </c>
      <c r="BQ39" s="338">
        <f>'Data Standar'!N179</f>
        <v>-0.56999999999999995</v>
      </c>
      <c r="BR39" s="338"/>
      <c r="BS39" s="436">
        <f>IF(OR(BQ39=0,BR39=0),'Data Standar'!$N$187/3,((MAX(BQ39:BR39)-(MIN(BQ39:BR39)))))</f>
        <v>8.3333333333333329E-2</v>
      </c>
      <c r="BT39" s="434">
        <f>(0.08-0)/2</f>
        <v>0.04</v>
      </c>
      <c r="BU39" s="437"/>
      <c r="BV39" s="435">
        <v>2</v>
      </c>
      <c r="BW39" s="338">
        <f>'Data Standar'!O179</f>
        <v>-0.67</v>
      </c>
      <c r="BX39" s="338"/>
      <c r="BY39" s="436">
        <f>IF(OR(BW39=0,BX39=0),'Data Standar'!$O$187/3,((MAX(BW39:BX39)-(MIN(BW39:BX39)))))</f>
        <v>9.0000000000000011E-2</v>
      </c>
      <c r="BZ39" s="434">
        <f>(0.08-0)/2</f>
        <v>0.04</v>
      </c>
      <c r="CA39" s="437"/>
      <c r="CB39" s="435">
        <v>2</v>
      </c>
      <c r="CC39" s="338">
        <f t="shared" si="17"/>
        <v>0</v>
      </c>
      <c r="CD39" s="338">
        <f t="shared" si="14"/>
        <v>-0.7</v>
      </c>
      <c r="CE39" s="436">
        <f t="shared" si="18"/>
        <v>0.19999999999999998</v>
      </c>
      <c r="CF39" s="434">
        <f>(0.08-0)/2</f>
        <v>0.04</v>
      </c>
      <c r="CG39" s="423"/>
      <c r="CH39" s="435">
        <v>2</v>
      </c>
      <c r="CI39" s="338">
        <f t="shared" si="12"/>
        <v>0.04</v>
      </c>
      <c r="CJ39" s="338">
        <f t="shared" si="15"/>
        <v>-0.04</v>
      </c>
      <c r="CK39" s="436">
        <f t="shared" si="19"/>
        <v>0.08</v>
      </c>
      <c r="CL39" s="434">
        <f>(0.08-0)/2</f>
        <v>0.04</v>
      </c>
      <c r="CM39" s="423"/>
      <c r="CN39" s="435">
        <v>2</v>
      </c>
      <c r="CO39" s="338">
        <f t="shared" si="13"/>
        <v>-0.7</v>
      </c>
      <c r="CP39" s="338">
        <f t="shared" si="16"/>
        <v>-0.05</v>
      </c>
      <c r="CQ39" s="436">
        <f t="shared" si="20"/>
        <v>0.64999999999999991</v>
      </c>
      <c r="CR39" s="434">
        <f>(0.08-0)/2</f>
        <v>0.04</v>
      </c>
      <c r="CS39" s="423"/>
    </row>
    <row r="40" spans="1:97" s="427" customFormat="1" ht="13">
      <c r="A40" s="423"/>
      <c r="B40" s="435">
        <v>8</v>
      </c>
      <c r="C40" s="338">
        <v>-0.04</v>
      </c>
      <c r="D40" s="338">
        <f>'Data Standar'!C180</f>
        <v>-0.2</v>
      </c>
      <c r="E40" s="436">
        <f>IF(OR(C40=0,D40=0),'Data Standar'!$C$187/3,((MAX(C40:D40)-(MIN(C40:D40)))))</f>
        <v>0.16</v>
      </c>
      <c r="F40" s="437">
        <f>(-0.3+0.47)/2</f>
        <v>8.4999999999999992E-2</v>
      </c>
      <c r="G40" s="986">
        <f>VLOOKUP(G36,B41:F46,4)</f>
        <v>0.42</v>
      </c>
      <c r="H40" s="435">
        <v>8</v>
      </c>
      <c r="I40" s="338">
        <v>-0.15</v>
      </c>
      <c r="J40" s="338">
        <f>'Data Standar'!D180</f>
        <v>-0.13</v>
      </c>
      <c r="K40" s="436">
        <f>IF(OR(I40=0,J40=0),'Data Standar'!$D$187/3,((MAX(I40:J40)-(MIN(I40:J40)))))</f>
        <v>1.999999999999999E-2</v>
      </c>
      <c r="L40" s="437">
        <f>(0.01-0)/2</f>
        <v>5.0000000000000001E-3</v>
      </c>
      <c r="M40" s="986">
        <f>VLOOKUP(M36,H41:L46,4)</f>
        <v>1.999999999999999E-2</v>
      </c>
      <c r="N40" s="435">
        <v>8</v>
      </c>
      <c r="O40" s="338">
        <v>-0.22</v>
      </c>
      <c r="P40" s="338">
        <f>'Data Standar'!E180</f>
        <v>-0.13</v>
      </c>
      <c r="Q40" s="436">
        <f>IF(OR(O40=0,P40=0),'Data Standar'!$E$187/3,((MAX(O40:P40)-(MIN(O40:P40)))))</f>
        <v>0.09</v>
      </c>
      <c r="R40" s="434">
        <f>(0.09-0)/2</f>
        <v>4.4999999999999998E-2</v>
      </c>
      <c r="S40" s="986">
        <f>VLOOKUP(S36,N41:R46,4)</f>
        <v>3.9999999999999994E-2</v>
      </c>
      <c r="T40" s="435">
        <v>8</v>
      </c>
      <c r="U40" s="338">
        <f>'Data Standar'!F180</f>
        <v>-0.32</v>
      </c>
      <c r="V40" s="338"/>
      <c r="W40" s="436">
        <f>IF(OR(U40=0,V40=0),'Data Standar'!$F$187/3,((MAX(U40:V40)-(MIN(U40:V40)))))</f>
        <v>8.3333333333333329E-2</v>
      </c>
      <c r="X40" s="434">
        <f>(0.09-0)/2</f>
        <v>4.4999999999999998E-2</v>
      </c>
      <c r="Y40" s="986">
        <f>VLOOKUP(Y36,T41:X46,4)</f>
        <v>8.3333333333333329E-2</v>
      </c>
      <c r="Z40" s="435">
        <v>8</v>
      </c>
      <c r="AA40" s="338">
        <f>'Data Standar'!G180</f>
        <v>0.11</v>
      </c>
      <c r="AB40" s="338">
        <v>0.21</v>
      </c>
      <c r="AC40" s="436">
        <f>IF(OR(AA40=0,AB40=0),'Data Standar'!$G$187/3,((MAX(AA40:AB40)-(MIN(AA40:AB40)))))</f>
        <v>9.9999999999999992E-2</v>
      </c>
      <c r="AD40" s="434">
        <f>(0.09-0)/2</f>
        <v>4.4999999999999998E-2</v>
      </c>
      <c r="AE40" s="986">
        <f>VLOOKUP(AE36,Z41:AD46,4)</f>
        <v>0.78</v>
      </c>
      <c r="AF40" s="435">
        <v>8</v>
      </c>
      <c r="AG40" s="338">
        <f>'Data Standar'!H180</f>
        <v>0.12</v>
      </c>
      <c r="AH40" s="338">
        <v>0.44</v>
      </c>
      <c r="AI40" s="436">
        <f>IF(OR(AG40=0,AH40=0),'Data Standar'!$H$187/3,((MAX(AG40:AH40)-(MIN(AG40:AH40)))))</f>
        <v>0.32</v>
      </c>
      <c r="AJ40" s="434">
        <f>(0.09-0)/2</f>
        <v>4.4999999999999998E-2</v>
      </c>
      <c r="AK40" s="986">
        <f>VLOOKUP(AK36,AF41:AJ46,4)</f>
        <v>1.1099999999999999</v>
      </c>
      <c r="AL40" s="435">
        <v>8</v>
      </c>
      <c r="AM40" s="338">
        <f>'Data Standar'!I180</f>
        <v>0.42</v>
      </c>
      <c r="AN40" s="338"/>
      <c r="AO40" s="436">
        <f>IF(OR(AM40=0,AN40=0),'Data Standar'!$I$187/3,((MAX(AM40:AN40)-(MIN(AM40:AN40)))))</f>
        <v>0.08</v>
      </c>
      <c r="AP40" s="434">
        <f>(0.09-0)/2</f>
        <v>4.4999999999999998E-2</v>
      </c>
      <c r="AQ40" s="986">
        <f>VLOOKUP(AQ36,AL41:AP46,4)</f>
        <v>0.08</v>
      </c>
      <c r="AR40" s="435">
        <v>8</v>
      </c>
      <c r="AS40" s="338">
        <f>'Data Standar'!J180</f>
        <v>0.36</v>
      </c>
      <c r="AT40" s="338"/>
      <c r="AU40" s="436">
        <f>IF(OR(AS40=0,AT40=0),'Data Standar'!$J$187/3,((MAX(AS40:AT40)-(MIN(AS40:AT40)))))</f>
        <v>0.08</v>
      </c>
      <c r="AV40" s="434">
        <f>(0.09-0)/2</f>
        <v>4.4999999999999998E-2</v>
      </c>
      <c r="AW40" s="986">
        <f>VLOOKUP(AW36,AR41:AV46,4)</f>
        <v>0.08</v>
      </c>
      <c r="AX40" s="435">
        <v>8</v>
      </c>
      <c r="AY40" s="338">
        <f>'Data Standar'!K180</f>
        <v>0.5</v>
      </c>
      <c r="AZ40" s="338"/>
      <c r="BA40" s="436">
        <f>IF(OR(AY40=0,AZ40=0),'Data Standar'!$K$187/3,((MAX(AY40:AZ40)-(MIN(AY40:AZ40)))))</f>
        <v>0.26333333333333336</v>
      </c>
      <c r="BB40" s="434">
        <f>(0.09-0)/2</f>
        <v>4.4999999999999998E-2</v>
      </c>
      <c r="BC40" s="986">
        <f>VLOOKUP(BC36,AX41:BB46,4)</f>
        <v>0.26333333333333336</v>
      </c>
      <c r="BD40" s="435">
        <v>8</v>
      </c>
      <c r="BE40" s="338">
        <f>'Data Standar'!L180</f>
        <v>-0.1</v>
      </c>
      <c r="BF40" s="338"/>
      <c r="BG40" s="436">
        <f>IF(OR(BE40=0,BF40=0),'Data Standar'!$L$187/3,((MAX(BE40:BF40)-(MIN(BE40:BF40)))))</f>
        <v>9.0000000000000011E-2</v>
      </c>
      <c r="BH40" s="434">
        <f>(0.09-0)/2</f>
        <v>4.4999999999999998E-2</v>
      </c>
      <c r="BI40" s="986">
        <f>VLOOKUP(BI36,BD41:BH46,4)</f>
        <v>9.0000000000000011E-2</v>
      </c>
      <c r="BJ40" s="435">
        <v>8</v>
      </c>
      <c r="BK40" s="338">
        <f>'Data Standar'!M180</f>
        <v>0.5</v>
      </c>
      <c r="BL40" s="338"/>
      <c r="BM40" s="436">
        <f>IF(OR(BK40=0,BL40=0),'Data Standar'!$M$187/3,((MAX(BK40:BL40)-(MIN(BK40:BL40)))))</f>
        <v>0.26333333333333336</v>
      </c>
      <c r="BN40" s="434">
        <f>(0.09-0)/2</f>
        <v>4.4999999999999998E-2</v>
      </c>
      <c r="BO40" s="986">
        <f>VLOOKUP(BO36,BJ41:BN46,4)</f>
        <v>0.26333333333333336</v>
      </c>
      <c r="BP40" s="435">
        <v>8</v>
      </c>
      <c r="BQ40" s="338">
        <f>'Data Standar'!N180</f>
        <v>-0.34</v>
      </c>
      <c r="BR40" s="338"/>
      <c r="BS40" s="436">
        <f>IF(OR(BQ40=0,BR40=0),'Data Standar'!$N$187/3,((MAX(BQ40:BR40)-(MIN(BQ40:BR40)))))</f>
        <v>8.3333333333333329E-2</v>
      </c>
      <c r="BT40" s="434">
        <f>(0.09-0)/2</f>
        <v>4.4999999999999998E-2</v>
      </c>
      <c r="BU40" s="986">
        <f>VLOOKUP(BU36,BP41:BT46,4)</f>
        <v>8.3333333333333329E-2</v>
      </c>
      <c r="BV40" s="435">
        <v>8</v>
      </c>
      <c r="BW40" s="338">
        <f>'Data Standar'!O180</f>
        <v>-0.39</v>
      </c>
      <c r="BX40" s="338"/>
      <c r="BY40" s="436">
        <f>IF(OR(BW40=0,BX40=0),'Data Standar'!$O$187/3,((MAX(BW40:BX40)-(MIN(BW40:BX40)))))</f>
        <v>9.0000000000000011E-2</v>
      </c>
      <c r="BZ40" s="434">
        <f>(0.09-0)/2</f>
        <v>4.4999999999999998E-2</v>
      </c>
      <c r="CA40" s="986">
        <f>VLOOKUP(CA36,BV41:BZ46,4)</f>
        <v>9.0000000000000011E-2</v>
      </c>
      <c r="CB40" s="435">
        <v>8</v>
      </c>
      <c r="CC40" s="338">
        <f t="shared" si="17"/>
        <v>0</v>
      </c>
      <c r="CD40" s="338">
        <f t="shared" si="14"/>
        <v>-0.7</v>
      </c>
      <c r="CE40" s="436">
        <f t="shared" si="18"/>
        <v>0.19999999999999998</v>
      </c>
      <c r="CF40" s="434">
        <f>(0.09-0)/2</f>
        <v>4.4999999999999998E-2</v>
      </c>
      <c r="CG40" s="423"/>
      <c r="CH40" s="435">
        <v>8</v>
      </c>
      <c r="CI40" s="338">
        <f t="shared" si="12"/>
        <v>0.08</v>
      </c>
      <c r="CJ40" s="338">
        <f t="shared" si="15"/>
        <v>0.01</v>
      </c>
      <c r="CK40" s="436">
        <f t="shared" si="19"/>
        <v>7.0000000000000007E-2</v>
      </c>
      <c r="CL40" s="434">
        <f>(0.09-0)/2</f>
        <v>4.4999999999999998E-2</v>
      </c>
      <c r="CM40" s="423"/>
      <c r="CN40" s="435">
        <v>8</v>
      </c>
      <c r="CO40" s="338">
        <f t="shared" si="13"/>
        <v>-0.46</v>
      </c>
      <c r="CP40" s="338">
        <f t="shared" si="16"/>
        <v>0.06</v>
      </c>
      <c r="CQ40" s="436">
        <f t="shared" si="20"/>
        <v>0.52</v>
      </c>
      <c r="CR40" s="434">
        <f>(0.09-0)/2</f>
        <v>4.4999999999999998E-2</v>
      </c>
      <c r="CS40" s="423"/>
    </row>
    <row r="41" spans="1:97" s="427" customFormat="1" ht="13">
      <c r="A41" s="423"/>
      <c r="B41" s="435">
        <v>37</v>
      </c>
      <c r="C41" s="338">
        <v>0.19</v>
      </c>
      <c r="D41" s="338">
        <f>'Data Standar'!C181</f>
        <v>0.19</v>
      </c>
      <c r="E41" s="436">
        <f>IF(OR(C41=0,D41=0),'Data Standar'!$C$187/3,((MAX(C41:D41)-(MIN(C41:D41)))))</f>
        <v>0</v>
      </c>
      <c r="F41" s="437">
        <f>(0.36+0.09)/2</f>
        <v>0.22499999999999998</v>
      </c>
      <c r="G41" s="987"/>
      <c r="H41" s="435">
        <v>37</v>
      </c>
      <c r="I41" s="338">
        <v>0.17</v>
      </c>
      <c r="J41" s="338">
        <f>'Data Standar'!D181</f>
        <v>0.18</v>
      </c>
      <c r="K41" s="436">
        <f>IF(OR(I41=0,J41=0),'Data Standar'!$D$187/3,((MAX(I41:J41)-(MIN(I41:J41)))))</f>
        <v>9.9999999999999811E-3</v>
      </c>
      <c r="L41" s="437">
        <f>(0-0)/2</f>
        <v>0</v>
      </c>
      <c r="M41" s="987"/>
      <c r="N41" s="435">
        <v>37</v>
      </c>
      <c r="O41" s="338">
        <v>-0.13</v>
      </c>
      <c r="P41" s="338">
        <f>'Data Standar'!E181</f>
        <v>0</v>
      </c>
      <c r="Q41" s="436">
        <f>IF(OR(O41=0,P41=0),'Data Standar'!$E$187/3,((MAX(O41:P41)-(MIN(O41:P41)))))</f>
        <v>9.3333333333333338E-2</v>
      </c>
      <c r="R41" s="434">
        <f>(0.14-0)/2</f>
        <v>7.0000000000000007E-2</v>
      </c>
      <c r="S41" s="987"/>
      <c r="T41" s="435">
        <v>37</v>
      </c>
      <c r="U41" s="338">
        <f>'Data Standar'!F181</f>
        <v>0.49</v>
      </c>
      <c r="V41" s="338"/>
      <c r="W41" s="436">
        <f>IF(OR(U41=0,V41=0),'Data Standar'!$F$187/3,((MAX(U41:V41)-(MIN(U41:V41)))))</f>
        <v>8.3333333333333329E-2</v>
      </c>
      <c r="X41" s="434">
        <f>(0.14-0)/2</f>
        <v>7.0000000000000007E-2</v>
      </c>
      <c r="Y41" s="987"/>
      <c r="Z41" s="435">
        <v>37</v>
      </c>
      <c r="AA41" s="338">
        <f>'Data Standar'!G181</f>
        <v>0.1</v>
      </c>
      <c r="AB41" s="338">
        <v>0.56000000000000005</v>
      </c>
      <c r="AC41" s="436">
        <f>IF(OR(AA41=0,AB41=0),'Data Standar'!$G$187/3,((MAX(AA41:AB41)-(MIN(AA41:AB41)))))</f>
        <v>0.46000000000000008</v>
      </c>
      <c r="AD41" s="434">
        <f>(0.14-0)/2</f>
        <v>7.0000000000000007E-2</v>
      </c>
      <c r="AE41" s="987"/>
      <c r="AF41" s="435">
        <v>37</v>
      </c>
      <c r="AG41" s="338">
        <f>'Data Standar'!H181</f>
        <v>0.12</v>
      </c>
      <c r="AH41" s="338">
        <v>0.64</v>
      </c>
      <c r="AI41" s="436">
        <f>IF(OR(AG41=0,AH41=0),'Data Standar'!$H$187/3,((MAX(AG41:AH41)-(MIN(AG41:AH41)))))</f>
        <v>0.52</v>
      </c>
      <c r="AJ41" s="434">
        <f>(0.14-0)/2</f>
        <v>7.0000000000000007E-2</v>
      </c>
      <c r="AK41" s="987"/>
      <c r="AL41" s="435">
        <v>37</v>
      </c>
      <c r="AM41" s="338">
        <f>'Data Standar'!I181</f>
        <v>0.42</v>
      </c>
      <c r="AN41" s="338"/>
      <c r="AO41" s="436">
        <f>IF(OR(AM41=0,AN41=0),'Data Standar'!$I$187/3,((MAX(AM41:AN41)-(MIN(AM41:AN41)))))</f>
        <v>0.08</v>
      </c>
      <c r="AP41" s="434">
        <f>(0.14-0)/2</f>
        <v>7.0000000000000007E-2</v>
      </c>
      <c r="AQ41" s="987"/>
      <c r="AR41" s="435">
        <v>37</v>
      </c>
      <c r="AS41" s="338">
        <f>'Data Standar'!J181</f>
        <v>0.32</v>
      </c>
      <c r="AT41" s="338"/>
      <c r="AU41" s="436">
        <f>IF(OR(AS41=0,AT41=0),'Data Standar'!$J$187/3,((MAX(AS41:AT41)-(MIN(AS41:AT41)))))</f>
        <v>0.08</v>
      </c>
      <c r="AV41" s="434">
        <f>(0.14-0)/2</f>
        <v>7.0000000000000007E-2</v>
      </c>
      <c r="AW41" s="987"/>
      <c r="AX41" s="435">
        <v>37</v>
      </c>
      <c r="AY41" s="338">
        <f>'Data Standar'!K181</f>
        <v>0.41</v>
      </c>
      <c r="AZ41" s="338"/>
      <c r="BA41" s="436">
        <f>IF(OR(AY41=0,AZ41=0),'Data Standar'!$K$187/3,((MAX(AY41:AZ41)-(MIN(AY41:AZ41)))))</f>
        <v>0.26333333333333336</v>
      </c>
      <c r="BB41" s="434">
        <f>(0.14-0)/2</f>
        <v>7.0000000000000007E-2</v>
      </c>
      <c r="BC41" s="987"/>
      <c r="BD41" s="435">
        <v>37</v>
      </c>
      <c r="BE41" s="338">
        <f>'Data Standar'!L181</f>
        <v>0.66</v>
      </c>
      <c r="BF41" s="338"/>
      <c r="BG41" s="436">
        <f>IF(OR(BE41=0,BF41=0),'Data Standar'!$L$187/3,((MAX(BE41:BF41)-(MIN(BE41:BF41)))))</f>
        <v>9.0000000000000011E-2</v>
      </c>
      <c r="BH41" s="434">
        <f>(0.14-0)/2</f>
        <v>7.0000000000000007E-2</v>
      </c>
      <c r="BI41" s="987"/>
      <c r="BJ41" s="435">
        <v>37</v>
      </c>
      <c r="BK41" s="338">
        <f>'Data Standar'!M181</f>
        <v>0.41</v>
      </c>
      <c r="BL41" s="338"/>
      <c r="BM41" s="436">
        <f>IF(OR(BK41=0,BL41=0),'Data Standar'!$M$187/3,((MAX(BK41:BL41)-(MIN(BK41:BL41)))))</f>
        <v>0.26333333333333336</v>
      </c>
      <c r="BN41" s="434">
        <f>(0.14-0)/2</f>
        <v>7.0000000000000007E-2</v>
      </c>
      <c r="BO41" s="987"/>
      <c r="BP41" s="435">
        <v>37</v>
      </c>
      <c r="BQ41" s="338">
        <f>'Data Standar'!N181</f>
        <v>0.43</v>
      </c>
      <c r="BR41" s="338"/>
      <c r="BS41" s="436">
        <f>IF(OR(BQ41=0,BR41=0),'Data Standar'!$N$187/3,((MAX(BQ41:BR41)-(MIN(BQ41:BR41)))))</f>
        <v>8.3333333333333329E-2</v>
      </c>
      <c r="BT41" s="434">
        <f>(0.14-0)/2</f>
        <v>7.0000000000000007E-2</v>
      </c>
      <c r="BU41" s="987"/>
      <c r="BV41" s="435">
        <v>37</v>
      </c>
      <c r="BW41" s="338">
        <f>'Data Standar'!O181</f>
        <v>0.53</v>
      </c>
      <c r="BX41" s="338"/>
      <c r="BY41" s="436">
        <f>IF(OR(BW41=0,BX41=0),'Data Standar'!$O$187/3,((MAX(BW41:BX41)-(MIN(BW41:BX41)))))</f>
        <v>9.0000000000000011E-2</v>
      </c>
      <c r="BZ41" s="434">
        <f>(0.14-0)/2</f>
        <v>7.0000000000000007E-2</v>
      </c>
      <c r="CA41" s="987"/>
      <c r="CB41" s="435">
        <v>37</v>
      </c>
      <c r="CC41" s="338">
        <f t="shared" si="17"/>
        <v>0</v>
      </c>
      <c r="CD41" s="338">
        <f t="shared" si="14"/>
        <v>-0.6</v>
      </c>
      <c r="CE41" s="436">
        <f t="shared" si="18"/>
        <v>0.19999999999999998</v>
      </c>
      <c r="CF41" s="434">
        <f>(0.14-0)/2</f>
        <v>7.0000000000000007E-2</v>
      </c>
      <c r="CG41" s="423"/>
      <c r="CH41" s="435">
        <v>37</v>
      </c>
      <c r="CI41" s="338">
        <f t="shared" si="12"/>
        <v>0.23</v>
      </c>
      <c r="CJ41" s="338">
        <f t="shared" si="15"/>
        <v>0.19</v>
      </c>
      <c r="CK41" s="436">
        <f t="shared" si="19"/>
        <v>4.0000000000000008E-2</v>
      </c>
      <c r="CL41" s="434">
        <f>(0.14-0)/2</f>
        <v>7.0000000000000007E-2</v>
      </c>
      <c r="CM41" s="423"/>
      <c r="CN41" s="435">
        <v>37</v>
      </c>
      <c r="CO41" s="338">
        <f t="shared" si="13"/>
        <v>0.42</v>
      </c>
      <c r="CP41" s="338">
        <f t="shared" si="16"/>
        <v>0.45</v>
      </c>
      <c r="CQ41" s="436">
        <f t="shared" si="20"/>
        <v>3.0000000000000027E-2</v>
      </c>
      <c r="CR41" s="434">
        <f>(0.14-0)/2</f>
        <v>7.0000000000000007E-2</v>
      </c>
      <c r="CS41" s="423"/>
    </row>
    <row r="42" spans="1:97" s="427" customFormat="1" ht="13">
      <c r="A42" s="423"/>
      <c r="B42" s="435">
        <v>44</v>
      </c>
      <c r="C42" s="338">
        <v>0.22</v>
      </c>
      <c r="D42" s="338">
        <f>'Data Standar'!C182</f>
        <v>0.27</v>
      </c>
      <c r="E42" s="436">
        <f>IF(OR(C42=0,D42=0),'Data Standar'!$C$187/3,((MAX(C42:D42)-(MIN(C42:D42)))))</f>
        <v>5.0000000000000017E-2</v>
      </c>
      <c r="F42" s="437">
        <f>(0.48+0.06)/2</f>
        <v>0.27</v>
      </c>
      <c r="G42" s="988">
        <f>(((G40-G38)/(G36-G34))*(G33-G34))+G38</f>
        <v>0.44312149999999995</v>
      </c>
      <c r="H42" s="435">
        <v>44</v>
      </c>
      <c r="I42" s="338">
        <v>0.21</v>
      </c>
      <c r="J42" s="338">
        <f>'Data Standar'!D182</f>
        <v>0.25</v>
      </c>
      <c r="K42" s="436">
        <f>IF(OR(I42=0,J42=0),'Data Standar'!$D$187/3,((MAX(I42:J42)-(MIN(I42:J42)))))</f>
        <v>4.0000000000000008E-2</v>
      </c>
      <c r="L42" s="437">
        <f>(0+0.16)/2</f>
        <v>0.08</v>
      </c>
      <c r="M42" s="988">
        <f>(((M40-M38)/(M36-M34))*(M33-M34))+M38</f>
        <v>0.48242999999999991</v>
      </c>
      <c r="N42" s="435">
        <v>44</v>
      </c>
      <c r="O42" s="338">
        <v>-0.15</v>
      </c>
      <c r="P42" s="338">
        <f>'Data Standar'!E182</f>
        <v>0</v>
      </c>
      <c r="Q42" s="436">
        <f>IF(OR(O42=0,P42=0),'Data Standar'!$E$187/3,((MAX(O42:P42)-(MIN(O42:P42)))))</f>
        <v>9.3333333333333338E-2</v>
      </c>
      <c r="R42" s="434">
        <f>(0.15-0)/2</f>
        <v>7.4999999999999997E-2</v>
      </c>
      <c r="S42" s="988">
        <f>(((S40-S38)/(S36-S34))*(S33-S34))+S38</f>
        <v>2.4585666666666638E-2</v>
      </c>
      <c r="T42" s="435">
        <v>44</v>
      </c>
      <c r="U42" s="338">
        <f>'Data Standar'!F182</f>
        <v>0.61</v>
      </c>
      <c r="V42" s="338"/>
      <c r="W42" s="436">
        <f>IF(OR(U42=0,V42=0),'Data Standar'!$F$187/3,((MAX(U42:V42)-(MIN(U42:V42)))))</f>
        <v>8.3333333333333329E-2</v>
      </c>
      <c r="X42" s="434">
        <f>(0.15-0)/2</f>
        <v>7.4999999999999997E-2</v>
      </c>
      <c r="Y42" s="988">
        <f>(((Y40-Y38)/(Y36-Y34))*(Y33-Y34))+Y38</f>
        <v>8.3333333333333329E-2</v>
      </c>
      <c r="Z42" s="435">
        <v>44</v>
      </c>
      <c r="AA42" s="338">
        <f>'Data Standar'!G182</f>
        <v>0.1</v>
      </c>
      <c r="AB42" s="338">
        <v>0.6</v>
      </c>
      <c r="AC42" s="436">
        <f>IF(OR(AA42=0,AB42=0),'Data Standar'!$G$187/3,((MAX(AA42:AB42)-(MIN(AA42:AB42)))))</f>
        <v>0.5</v>
      </c>
      <c r="AD42" s="434">
        <f>(0.15-0)/2</f>
        <v>7.4999999999999997E-2</v>
      </c>
      <c r="AE42" s="988">
        <f>(((AE40-AE38)/(AE36-AE34))*(AE33-AE34))+AE38</f>
        <v>0.2867413333333334</v>
      </c>
      <c r="AF42" s="435">
        <v>44</v>
      </c>
      <c r="AG42" s="338">
        <f>'Data Standar'!H182</f>
        <v>0.13</v>
      </c>
      <c r="AH42" s="338">
        <v>0.65</v>
      </c>
      <c r="AI42" s="436">
        <f>IF(OR(AG42=0,AH42=0),'Data Standar'!$H$187/3,((MAX(AG42:AH42)-(MIN(AG42:AH42)))))</f>
        <v>0.52</v>
      </c>
      <c r="AJ42" s="434">
        <f>(0.15-0)/2</f>
        <v>7.4999999999999997E-2</v>
      </c>
      <c r="AK42" s="988">
        <f>(((AK40-AK38)/(AK36-AK34))*(AK33-AK34))+AK38</f>
        <v>0.57049833333333333</v>
      </c>
      <c r="AL42" s="435">
        <v>44</v>
      </c>
      <c r="AM42" s="338">
        <f>'Data Standar'!I182</f>
        <v>0.42</v>
      </c>
      <c r="AN42" s="338"/>
      <c r="AO42" s="436">
        <f>IF(OR(AM42=0,AN42=0),'Data Standar'!$I$187/3,((MAX(AM42:AN42)-(MIN(AM42:AN42)))))</f>
        <v>0.08</v>
      </c>
      <c r="AP42" s="434">
        <f>(0.15-0)/2</f>
        <v>7.4999999999999997E-2</v>
      </c>
      <c r="AQ42" s="988">
        <f>(((AQ40-AQ38)/(AQ36-AQ34))*(AQ33-AQ34))+AQ38</f>
        <v>0.08</v>
      </c>
      <c r="AR42" s="435">
        <v>44</v>
      </c>
      <c r="AS42" s="338">
        <f>'Data Standar'!J182</f>
        <v>0.32</v>
      </c>
      <c r="AT42" s="338"/>
      <c r="AU42" s="436">
        <f>IF(OR(AS42=0,AT42=0),'Data Standar'!$J$187/3,((MAX(AS42:AT42)-(MIN(AS42:AT42)))))</f>
        <v>0.08</v>
      </c>
      <c r="AV42" s="434">
        <f>(0.15-0)/2</f>
        <v>7.4999999999999997E-2</v>
      </c>
      <c r="AW42" s="988">
        <f>(((AW40-AW38)/(AW36-AW34))*(AW33-AW34))+AW38</f>
        <v>0.08</v>
      </c>
      <c r="AX42" s="435">
        <v>44</v>
      </c>
      <c r="AY42" s="338">
        <f>'Data Standar'!K182</f>
        <v>0.39</v>
      </c>
      <c r="AZ42" s="338"/>
      <c r="BA42" s="436">
        <f>IF(OR(AY42=0,AZ42=0),'Data Standar'!$K$187/3,((MAX(AY42:AZ42)-(MIN(AY42:AZ42)))))</f>
        <v>0.26333333333333336</v>
      </c>
      <c r="BB42" s="434">
        <f>(0.15-0)/2</f>
        <v>7.4999999999999997E-2</v>
      </c>
      <c r="BC42" s="988">
        <f>(((BC40-BC38)/(BC36-BC34))*(BC33-BC34))+BC38</f>
        <v>0.26333333333333336</v>
      </c>
      <c r="BD42" s="435">
        <v>44</v>
      </c>
      <c r="BE42" s="338">
        <f>'Data Standar'!L182</f>
        <v>0.74</v>
      </c>
      <c r="BF42" s="338"/>
      <c r="BG42" s="436">
        <f>IF(OR(BE42=0,BF42=0),'Data Standar'!$L$187/3,((MAX(BE42:BF42)-(MIN(BE42:BF42)))))</f>
        <v>9.0000000000000011E-2</v>
      </c>
      <c r="BH42" s="434">
        <f>(0.15-0)/2</f>
        <v>7.4999999999999997E-2</v>
      </c>
      <c r="BI42" s="988">
        <f>(((BI40-BI38)/(BI36-BI34))*(BI33-BI34))+BI38</f>
        <v>9.0000000000000011E-2</v>
      </c>
      <c r="BJ42" s="435">
        <v>44</v>
      </c>
      <c r="BK42" s="338">
        <f>'Data Standar'!M182</f>
        <v>0.39</v>
      </c>
      <c r="BL42" s="338"/>
      <c r="BM42" s="436">
        <f>IF(OR(BK42=0,BL42=0),'Data Standar'!$M$187/3,((MAX(BK42:BL42)-(MIN(BK42:BL42)))))</f>
        <v>0.26333333333333336</v>
      </c>
      <c r="BN42" s="434">
        <f>(0.15-0)/2</f>
        <v>7.4999999999999997E-2</v>
      </c>
      <c r="BO42" s="988">
        <f>(((BO40-BO38)/(BO36-BO34))*(BO33-BO34))+BO38</f>
        <v>0.26333333333333336</v>
      </c>
      <c r="BP42" s="435">
        <v>44</v>
      </c>
      <c r="BQ42" s="338">
        <f>'Data Standar'!N182</f>
        <v>0.54</v>
      </c>
      <c r="BR42" s="338"/>
      <c r="BS42" s="436">
        <f>IF(OR(BQ42=0,BR42=0),'Data Standar'!$N$187/3,((MAX(BQ42:BR42)-(MIN(BQ42:BR42)))))</f>
        <v>8.3333333333333329E-2</v>
      </c>
      <c r="BT42" s="434">
        <f>(0.15-0)/2</f>
        <v>7.4999999999999997E-2</v>
      </c>
      <c r="BU42" s="988">
        <f>(((BU40-BU38)/(BU36-BU34))*(BU33-BU34))+BU38</f>
        <v>8.3333333333333329E-2</v>
      </c>
      <c r="BV42" s="435">
        <v>44</v>
      </c>
      <c r="BW42" s="338">
        <f>'Data Standar'!O182</f>
        <v>0.66</v>
      </c>
      <c r="BX42" s="338"/>
      <c r="BY42" s="436">
        <f>IF(OR(BW42=0,BX42=0),'Data Standar'!$O$187/3,((MAX(BW42:BX42)-(MIN(BW42:BX42)))))</f>
        <v>9.0000000000000011E-2</v>
      </c>
      <c r="BZ42" s="434">
        <f>(0.15-0)/2</f>
        <v>7.4999999999999997E-2</v>
      </c>
      <c r="CA42" s="988">
        <f>(((CA40-CA38)/(CA36-CA34))*(CA33-CA34))+CA38</f>
        <v>9.0000000000000011E-2</v>
      </c>
      <c r="CB42" s="435">
        <v>44</v>
      </c>
      <c r="CC42" s="338">
        <f t="shared" si="17"/>
        <v>0</v>
      </c>
      <c r="CD42" s="338">
        <f t="shared" si="14"/>
        <v>-0.7</v>
      </c>
      <c r="CE42" s="436">
        <f t="shared" si="18"/>
        <v>0.19999999999999998</v>
      </c>
      <c r="CF42" s="434">
        <f>(0.15-0)/2</f>
        <v>7.4999999999999997E-2</v>
      </c>
      <c r="CG42" s="423"/>
      <c r="CH42" s="435">
        <v>44</v>
      </c>
      <c r="CI42" s="338">
        <f t="shared" si="12"/>
        <v>0.25</v>
      </c>
      <c r="CJ42" s="338">
        <f t="shared" si="15"/>
        <v>0.21</v>
      </c>
      <c r="CK42" s="436">
        <f t="shared" si="19"/>
        <v>4.0000000000000008E-2</v>
      </c>
      <c r="CL42" s="434">
        <f>(0.15-0)/2</f>
        <v>7.4999999999999997E-2</v>
      </c>
      <c r="CM42" s="423"/>
      <c r="CN42" s="435">
        <v>44</v>
      </c>
      <c r="CO42" s="338">
        <f t="shared" si="13"/>
        <v>0.56999999999999995</v>
      </c>
      <c r="CP42" s="338">
        <f t="shared" si="16"/>
        <v>0.52</v>
      </c>
      <c r="CQ42" s="436">
        <f t="shared" si="20"/>
        <v>4.9999999999999933E-2</v>
      </c>
      <c r="CR42" s="434">
        <f>(0.15-0)/2</f>
        <v>7.4999999999999997E-2</v>
      </c>
      <c r="CS42" s="423"/>
    </row>
    <row r="43" spans="1:97" s="427" customFormat="1" ht="13">
      <c r="A43" s="423"/>
      <c r="B43" s="435">
        <v>50</v>
      </c>
      <c r="C43" s="338">
        <v>0.25</v>
      </c>
      <c r="D43" s="338">
        <f>'Data Standar'!C183</f>
        <v>0.34</v>
      </c>
      <c r="E43" s="436">
        <f>IF(OR(C43=0,D43=0),'Data Standar'!$C$187/3,((MAX(C43:D43)-(MIN(C43:D43)))))</f>
        <v>9.0000000000000024E-2</v>
      </c>
      <c r="F43" s="437">
        <f>(0.56+0.04)/2</f>
        <v>0.30000000000000004</v>
      </c>
      <c r="G43" s="438"/>
      <c r="H43" s="435">
        <v>50</v>
      </c>
      <c r="I43" s="338">
        <v>0.23</v>
      </c>
      <c r="J43" s="338">
        <f>'Data Standar'!D183</f>
        <v>0.3</v>
      </c>
      <c r="K43" s="436">
        <f>IF(OR(I43=0,J43=0),'Data Standar'!$D$187/3,((MAX(I43:J43)-(MIN(I43:J43)))))</f>
        <v>6.9999999999999979E-2</v>
      </c>
      <c r="L43" s="437">
        <f>(0+0.25)/2</f>
        <v>0.125</v>
      </c>
      <c r="M43" s="438"/>
      <c r="N43" s="435">
        <v>50</v>
      </c>
      <c r="O43" s="338">
        <v>0.2</v>
      </c>
      <c r="P43" s="338">
        <f>'Data Standar'!E183</f>
        <v>0</v>
      </c>
      <c r="Q43" s="436">
        <f>IF(OR(O43=0,P43=0),'Data Standar'!$E$187/3,((MAX(O43:P43)-(MIN(O43:P43)))))</f>
        <v>9.3333333333333338E-2</v>
      </c>
      <c r="R43" s="434">
        <f>(0.16-0)/2</f>
        <v>0.08</v>
      </c>
      <c r="S43" s="423"/>
      <c r="T43" s="435">
        <v>50</v>
      </c>
      <c r="U43" s="338">
        <f>'Data Standar'!F183</f>
        <v>0.7</v>
      </c>
      <c r="V43" s="338"/>
      <c r="W43" s="436">
        <f>IF(OR(U43=0,V43=0),'Data Standar'!$F$187/3,((MAX(U43:V43)-(MIN(U43:V43)))))</f>
        <v>8.3333333333333329E-2</v>
      </c>
      <c r="X43" s="434">
        <f>(0.16-0)/2</f>
        <v>0.08</v>
      </c>
      <c r="Y43" s="423"/>
      <c r="Z43" s="435">
        <v>50</v>
      </c>
      <c r="AA43" s="338">
        <f>'Data Standar'!G183</f>
        <v>0.11</v>
      </c>
      <c r="AB43" s="338">
        <v>0.64</v>
      </c>
      <c r="AC43" s="436">
        <f>IF(OR(AA43=0,AB43=0),'Data Standar'!$G$187/3,((MAX(AA43:AB43)-(MIN(AA43:AB43)))))</f>
        <v>0.53</v>
      </c>
      <c r="AD43" s="434">
        <f>(0.16-0)/2</f>
        <v>0.08</v>
      </c>
      <c r="AE43" s="423"/>
      <c r="AF43" s="435">
        <v>50</v>
      </c>
      <c r="AG43" s="338">
        <f>'Data Standar'!H183</f>
        <v>0.14000000000000001</v>
      </c>
      <c r="AH43" s="338">
        <v>0.66</v>
      </c>
      <c r="AI43" s="436">
        <f>IF(OR(AG43=0,AH43=0),'Data Standar'!$H$187/3,((MAX(AG43:AH43)-(MIN(AG43:AH43)))))</f>
        <v>0.52</v>
      </c>
      <c r="AJ43" s="434">
        <f>(0.16-0)/2</f>
        <v>0.08</v>
      </c>
      <c r="AK43" s="423"/>
      <c r="AL43" s="435">
        <v>50</v>
      </c>
      <c r="AM43" s="338">
        <f>'Data Standar'!I183</f>
        <v>0.43</v>
      </c>
      <c r="AN43" s="338"/>
      <c r="AO43" s="436">
        <f>IF(OR(AM43=0,AN43=0),'Data Standar'!$I$187/3,((MAX(AM43:AN43)-(MIN(AM43:AN43)))))</f>
        <v>0.08</v>
      </c>
      <c r="AP43" s="434">
        <f>(0.16-0)/2</f>
        <v>0.08</v>
      </c>
      <c r="AQ43" s="423"/>
      <c r="AR43" s="435">
        <v>50</v>
      </c>
      <c r="AS43" s="338">
        <f>'Data Standar'!J183</f>
        <v>0.32</v>
      </c>
      <c r="AT43" s="338"/>
      <c r="AU43" s="436">
        <f>IF(OR(AS43=0,AT43=0),'Data Standar'!$J$187/3,((MAX(AS43:AT43)-(MIN(AS43:AT43)))))</f>
        <v>0.08</v>
      </c>
      <c r="AV43" s="434">
        <f>(0.16-0)/2</f>
        <v>0.08</v>
      </c>
      <c r="AW43" s="423"/>
      <c r="AX43" s="435">
        <v>50</v>
      </c>
      <c r="AY43" s="338">
        <f>'Data Standar'!K183</f>
        <v>0.37</v>
      </c>
      <c r="AZ43" s="338"/>
      <c r="BA43" s="436">
        <f>IF(OR(AY43=0,AZ43=0),'Data Standar'!$K$187/3,((MAX(AY43:AZ43)-(MIN(AY43:AZ43)))))</f>
        <v>0.26333333333333336</v>
      </c>
      <c r="BB43" s="434">
        <f>(0.16-0)/2</f>
        <v>0.08</v>
      </c>
      <c r="BC43" s="423"/>
      <c r="BD43" s="435">
        <v>50</v>
      </c>
      <c r="BE43" s="338">
        <f>'Data Standar'!L183</f>
        <v>0.79</v>
      </c>
      <c r="BF43" s="338"/>
      <c r="BG43" s="436">
        <f>IF(OR(BE43=0,BF43=0),'Data Standar'!$L$187/3,((MAX(BE43:BF43)-(MIN(BE43:BF43)))))</f>
        <v>9.0000000000000011E-2</v>
      </c>
      <c r="BH43" s="434">
        <f>(0.16-0)/2</f>
        <v>0.08</v>
      </c>
      <c r="BI43" s="423"/>
      <c r="BJ43" s="435">
        <v>50</v>
      </c>
      <c r="BK43" s="338">
        <f>'Data Standar'!M183</f>
        <v>0.37</v>
      </c>
      <c r="BL43" s="338"/>
      <c r="BM43" s="436">
        <f>IF(OR(BK43=0,BL43=0),'Data Standar'!$M$187/3,((MAX(BK43:BL43)-(MIN(BK43:BL43)))))</f>
        <v>0.26333333333333336</v>
      </c>
      <c r="BN43" s="434">
        <f>(0.16-0)/2</f>
        <v>0.08</v>
      </c>
      <c r="BO43" s="423"/>
      <c r="BP43" s="435">
        <v>50</v>
      </c>
      <c r="BQ43" s="338">
        <f>'Data Standar'!N183</f>
        <v>0.6</v>
      </c>
      <c r="BR43" s="338"/>
      <c r="BS43" s="436">
        <f>IF(OR(BQ43=0,BR43=0),'Data Standar'!$N$187/3,((MAX(BQ43:BR43)-(MIN(BQ43:BR43)))))</f>
        <v>8.3333333333333329E-2</v>
      </c>
      <c r="BT43" s="434">
        <f>(0.16-0)/2</f>
        <v>0.08</v>
      </c>
      <c r="BU43" s="423"/>
      <c r="BV43" s="435">
        <v>50</v>
      </c>
      <c r="BW43" s="338">
        <f>'Data Standar'!O183</f>
        <v>0.75</v>
      </c>
      <c r="BX43" s="338"/>
      <c r="BY43" s="436">
        <f>IF(OR(BW43=0,BX43=0),'Data Standar'!$O$187/3,((MAX(BW43:BX43)-(MIN(BW43:BX43)))))</f>
        <v>9.0000000000000011E-2</v>
      </c>
      <c r="BZ43" s="434">
        <f>(0.16-0)/2</f>
        <v>0.08</v>
      </c>
      <c r="CA43" s="423"/>
      <c r="CB43" s="435">
        <v>50</v>
      </c>
      <c r="CC43" s="338">
        <f t="shared" si="17"/>
        <v>-1</v>
      </c>
      <c r="CD43" s="338">
        <f t="shared" si="14"/>
        <v>-0.7</v>
      </c>
      <c r="CE43" s="436">
        <f t="shared" si="18"/>
        <v>0.30000000000000004</v>
      </c>
      <c r="CF43" s="434">
        <f>(0.16-0)/2</f>
        <v>0.08</v>
      </c>
      <c r="CG43" s="423"/>
      <c r="CH43" s="435">
        <v>50</v>
      </c>
      <c r="CI43" s="338">
        <f t="shared" si="12"/>
        <v>0.27</v>
      </c>
      <c r="CJ43" s="338">
        <f t="shared" si="15"/>
        <v>0.22</v>
      </c>
      <c r="CK43" s="436">
        <f t="shared" si="19"/>
        <v>5.0000000000000017E-2</v>
      </c>
      <c r="CL43" s="434">
        <f>(0.16-0)/2</f>
        <v>0.08</v>
      </c>
      <c r="CM43" s="423"/>
      <c r="CN43" s="435">
        <v>50</v>
      </c>
      <c r="CO43" s="338">
        <f t="shared" si="13"/>
        <v>0.67</v>
      </c>
      <c r="CP43" s="338">
        <f t="shared" si="16"/>
        <v>0.56999999999999995</v>
      </c>
      <c r="CQ43" s="436">
        <f t="shared" si="20"/>
        <v>0.10000000000000009</v>
      </c>
      <c r="CR43" s="434">
        <f>(0.16-0)/2</f>
        <v>0.08</v>
      </c>
      <c r="CS43" s="423"/>
    </row>
    <row r="44" spans="1:97" s="427" customFormat="1" ht="13">
      <c r="A44" s="423"/>
      <c r="B44" s="435">
        <v>100</v>
      </c>
      <c r="C44" s="706">
        <v>0.3</v>
      </c>
      <c r="D44" s="338">
        <f>'Data Standar'!C184</f>
        <v>0.77</v>
      </c>
      <c r="E44" s="436">
        <f>IF(OR(C44=0,D44=0),'Data Standar'!$C$187/3,((MAX(C44:D44)-(MIN(C44:D44)))))</f>
        <v>0.47000000000000003</v>
      </c>
      <c r="F44" s="437">
        <f>(0.63+0.03)/2</f>
        <v>0.33</v>
      </c>
      <c r="G44" s="438"/>
      <c r="H44" s="435">
        <v>100</v>
      </c>
      <c r="I44" s="338">
        <v>0.16</v>
      </c>
      <c r="J44" s="338">
        <f>'Data Standar'!D184</f>
        <v>0.61</v>
      </c>
      <c r="K44" s="436">
        <f>IF(OR(I44=0,J44=0),'Data Standar'!$D$187/3,((MAX(I44:J44)-(MIN(I44:J44)))))</f>
        <v>0.44999999999999996</v>
      </c>
      <c r="L44" s="437">
        <f>(0+0.25)/2</f>
        <v>0.125</v>
      </c>
      <c r="M44" s="438"/>
      <c r="N44" s="435">
        <v>100</v>
      </c>
      <c r="O44" s="338">
        <v>-0.01</v>
      </c>
      <c r="P44" s="338">
        <f>'Data Standar'!E184</f>
        <v>-0.16</v>
      </c>
      <c r="Q44" s="436">
        <f>IF(OR(O44=0,P44=0),'Data Standar'!$E$187/3,((MAX(O44:P44)-(MIN(O44:P44)))))</f>
        <v>0.15</v>
      </c>
      <c r="R44" s="434">
        <f>(0.2-0)/2</f>
        <v>0.1</v>
      </c>
      <c r="S44" s="423"/>
      <c r="T44" s="435">
        <v>100</v>
      </c>
      <c r="U44" s="338">
        <f>'Data Standar'!F184</f>
        <v>0.77</v>
      </c>
      <c r="V44" s="338"/>
      <c r="W44" s="436">
        <f>IF(OR(U44=0,V44=0),'Data Standar'!$F$187/3,((MAX(U44:V44)-(MIN(U44:V44)))))</f>
        <v>8.3333333333333329E-2</v>
      </c>
      <c r="X44" s="434">
        <f>(0.2-0)/2</f>
        <v>0.1</v>
      </c>
      <c r="Y44" s="423"/>
      <c r="Z44" s="435">
        <v>100</v>
      </c>
      <c r="AA44" s="338">
        <f>'Data Standar'!G184</f>
        <v>0.21</v>
      </c>
      <c r="AB44" s="338">
        <v>0.61</v>
      </c>
      <c r="AC44" s="436">
        <f>IF(OR(AA44=0,AB44=0),'Data Standar'!$G$187/3,((MAX(AA44:AB44)-(MIN(AA44:AB44)))))</f>
        <v>0.4</v>
      </c>
      <c r="AD44" s="434">
        <f>(0.2-0)/2</f>
        <v>0.1</v>
      </c>
      <c r="AE44" s="423"/>
      <c r="AF44" s="435">
        <v>100</v>
      </c>
      <c r="AG44" s="338">
        <f>'Data Standar'!H184</f>
        <v>0.24</v>
      </c>
      <c r="AH44" s="338">
        <v>0.45</v>
      </c>
      <c r="AI44" s="436">
        <f>IF(OR(AG44=0,AH44=0),'Data Standar'!$H$187/3,((MAX(AG44:AH44)-(MIN(AG44:AH44)))))</f>
        <v>0.21000000000000002</v>
      </c>
      <c r="AJ44" s="434">
        <f>(0.2-0)/2</f>
        <v>0.1</v>
      </c>
      <c r="AK44" s="423"/>
      <c r="AL44" s="435">
        <v>100</v>
      </c>
      <c r="AM44" s="338">
        <f>'Data Standar'!I184</f>
        <v>0.55000000000000004</v>
      </c>
      <c r="AN44" s="338"/>
      <c r="AO44" s="436">
        <f>IF(OR(AM44=0,AN44=0),'Data Standar'!$I$187/3,((MAX(AM44:AN44)-(MIN(AM44:AN44)))))</f>
        <v>0.08</v>
      </c>
      <c r="AP44" s="434">
        <f>(0.2-0)/2</f>
        <v>0.1</v>
      </c>
      <c r="AQ44" s="423"/>
      <c r="AR44" s="435">
        <v>100</v>
      </c>
      <c r="AS44" s="338">
        <f>'Data Standar'!J184</f>
        <v>0.42</v>
      </c>
      <c r="AT44" s="338"/>
      <c r="AU44" s="436">
        <f>IF(OR(AS44=0,AT44=0),'Data Standar'!$J$187/3,((MAX(AS44:AT44)-(MIN(AS44:AT44)))))</f>
        <v>0.08</v>
      </c>
      <c r="AV44" s="434">
        <f>(0.2-0)/2</f>
        <v>0.1</v>
      </c>
      <c r="AW44" s="423"/>
      <c r="AX44" s="435">
        <v>100</v>
      </c>
      <c r="AY44" s="338">
        <f>'Data Standar'!K184</f>
        <v>0.19</v>
      </c>
      <c r="AZ44" s="338"/>
      <c r="BA44" s="436">
        <f>IF(OR(AY44=0,AZ44=0),'Data Standar'!$K$187/3,((MAX(AY44:AZ44)-(MIN(AY44:AZ44)))))</f>
        <v>0.26333333333333336</v>
      </c>
      <c r="BB44" s="434">
        <f>(0.2-0)/2</f>
        <v>0.1</v>
      </c>
      <c r="BC44" s="423"/>
      <c r="BD44" s="435">
        <v>100</v>
      </c>
      <c r="BE44" s="338">
        <f>'Data Standar'!L184</f>
        <v>0.51</v>
      </c>
      <c r="BF44" s="338"/>
      <c r="BG44" s="436">
        <f>IF(OR(BE44=0,BF44=0),'Data Standar'!$L$187/3,((MAX(BE44:BF44)-(MIN(BE44:BF44)))))</f>
        <v>9.0000000000000011E-2</v>
      </c>
      <c r="BH44" s="434">
        <f>(0.2-0)/2</f>
        <v>0.1</v>
      </c>
      <c r="BI44" s="423"/>
      <c r="BJ44" s="435">
        <v>100</v>
      </c>
      <c r="BK44" s="338">
        <f>'Data Standar'!M184</f>
        <v>0.19</v>
      </c>
      <c r="BL44" s="338"/>
      <c r="BM44" s="436">
        <f>IF(OR(BK44=0,BL44=0),'Data Standar'!$M$187/3,((MAX(BK44:BL44)-(MIN(BK44:BL44)))))</f>
        <v>0.26333333333333336</v>
      </c>
      <c r="BN44" s="434">
        <f>(0.2-0)/2</f>
        <v>0.1</v>
      </c>
      <c r="BO44" s="423"/>
      <c r="BP44" s="435">
        <v>100</v>
      </c>
      <c r="BQ44" s="338">
        <f>'Data Standar'!N184</f>
        <v>0.56999999999999995</v>
      </c>
      <c r="BR44" s="338"/>
      <c r="BS44" s="436">
        <f>IF(OR(BQ44=0,BR44=0),'Data Standar'!$N$187/3,((MAX(BQ44:BR44)-(MIN(BQ44:BR44)))))</f>
        <v>8.3333333333333329E-2</v>
      </c>
      <c r="BT44" s="434">
        <f>(0.2-0)/2</f>
        <v>0.1</v>
      </c>
      <c r="BU44" s="423"/>
      <c r="BV44" s="435">
        <v>100</v>
      </c>
      <c r="BW44" s="338">
        <f>'Data Standar'!O184</f>
        <v>0.73</v>
      </c>
      <c r="BX44" s="338"/>
      <c r="BY44" s="436">
        <f>IF(OR(BW44=0,BX44=0),'Data Standar'!$O$187/3,((MAX(BW44:BX44)-(MIN(BW44:BX44)))))</f>
        <v>9.0000000000000011E-2</v>
      </c>
      <c r="BZ44" s="434">
        <f>(0.2-0)/2</f>
        <v>0.1</v>
      </c>
      <c r="CA44" s="423"/>
      <c r="CB44" s="435">
        <v>100</v>
      </c>
      <c r="CC44" s="338">
        <f t="shared" si="17"/>
        <v>-1.6</v>
      </c>
      <c r="CD44" s="338">
        <f t="shared" si="14"/>
        <v>-0.7</v>
      </c>
      <c r="CE44" s="436">
        <f t="shared" si="18"/>
        <v>0.90000000000000013</v>
      </c>
      <c r="CF44" s="434">
        <f>(0.2-0)/2</f>
        <v>0.1</v>
      </c>
      <c r="CG44" s="423"/>
      <c r="CH44" s="435">
        <v>100</v>
      </c>
      <c r="CI44" s="338">
        <f t="shared" si="12"/>
        <v>0.31</v>
      </c>
      <c r="CJ44" s="338">
        <f t="shared" si="15"/>
        <v>0.23</v>
      </c>
      <c r="CK44" s="436">
        <f t="shared" si="19"/>
        <v>7.9999999999999988E-2</v>
      </c>
      <c r="CL44" s="434">
        <f>(0.2-0)/2</f>
        <v>0.1</v>
      </c>
      <c r="CM44" s="423"/>
      <c r="CN44" s="435">
        <v>100</v>
      </c>
      <c r="CO44" s="338">
        <f t="shared" si="13"/>
        <v>0.95</v>
      </c>
      <c r="CP44" s="338">
        <f t="shared" si="16"/>
        <v>0.81</v>
      </c>
      <c r="CQ44" s="436">
        <f t="shared" si="20"/>
        <v>0.1399999999999999</v>
      </c>
      <c r="CR44" s="434">
        <f>(0.2-0)/2</f>
        <v>0.1</v>
      </c>
      <c r="CS44" s="423"/>
    </row>
    <row r="45" spans="1:97" s="427" customFormat="1" ht="13">
      <c r="A45" s="423"/>
      <c r="B45" s="435">
        <v>150</v>
      </c>
      <c r="C45" s="338">
        <v>0.28000000000000003</v>
      </c>
      <c r="D45" s="338">
        <f>'Data Standar'!C185</f>
        <v>0.73</v>
      </c>
      <c r="E45" s="436">
        <f>IF(OR(C45=0,D45=0),'Data Standar'!$C$187/3,((MAX(C45:D45)-(MIN(C45:D45)))))</f>
        <v>0.44999999999999996</v>
      </c>
      <c r="F45" s="437">
        <f>(-0.02+0.02)/2</f>
        <v>0</v>
      </c>
      <c r="G45" s="438"/>
      <c r="H45" s="435">
        <v>150</v>
      </c>
      <c r="I45" s="338">
        <v>-0.02</v>
      </c>
      <c r="J45" s="338">
        <f>'Data Standar'!D185</f>
        <v>0.6</v>
      </c>
      <c r="K45" s="436">
        <f>IF(OR(I45=0,J45=0),'Data Standar'!$D$187/3,((MAX(I45:J45)-(MIN(I45:J45)))))</f>
        <v>0.62</v>
      </c>
      <c r="L45" s="437">
        <f>(0.08-0)/2</f>
        <v>0.04</v>
      </c>
      <c r="M45" s="438"/>
      <c r="N45" s="435">
        <v>150</v>
      </c>
      <c r="O45" s="338">
        <v>-0.3</v>
      </c>
      <c r="P45" s="338">
        <f>'Data Standar'!E185</f>
        <v>-0.28000000000000003</v>
      </c>
      <c r="Q45" s="436">
        <f>IF(OR(O45=0,P45=0),'Data Standar'!$E$187/3,((MAX(O45:P45)-(MIN(O45:P45)))))</f>
        <v>1.9999999999999962E-2</v>
      </c>
      <c r="R45" s="434">
        <f>(0.21-0)/2</f>
        <v>0.105</v>
      </c>
      <c r="S45" s="423"/>
      <c r="T45" s="435">
        <v>150</v>
      </c>
      <c r="U45" s="338">
        <f>'Data Standar'!F185</f>
        <v>0.03</v>
      </c>
      <c r="V45" s="338"/>
      <c r="W45" s="436">
        <f>IF(OR(U45=0,V45=0),'Data Standar'!$F$187/3,((MAX(U45:V45)-(MIN(U45:V45)))))</f>
        <v>8.3333333333333329E-2</v>
      </c>
      <c r="X45" s="434">
        <f>(0.21-0)/2</f>
        <v>0.105</v>
      </c>
      <c r="Y45" s="423"/>
      <c r="Z45" s="435">
        <v>150</v>
      </c>
      <c r="AA45" s="338">
        <f>'Data Standar'!G185</f>
        <v>0.39</v>
      </c>
      <c r="AB45" s="338">
        <v>0.25</v>
      </c>
      <c r="AC45" s="436">
        <f>IF(OR(AA45=0,AB45=0),'Data Standar'!$G$187/3,((MAX(AA45:AB45)-(MIN(AA45:AB45)))))</f>
        <v>0.14000000000000001</v>
      </c>
      <c r="AD45" s="434">
        <f>(0.21-0)/2</f>
        <v>0.105</v>
      </c>
      <c r="AE45" s="423"/>
      <c r="AF45" s="435">
        <v>150</v>
      </c>
      <c r="AG45" s="338">
        <f>'Data Standar'!H185</f>
        <v>0.42</v>
      </c>
      <c r="AH45" s="338">
        <v>0.01</v>
      </c>
      <c r="AI45" s="436">
        <f>IF(OR(AG45=0,AH45=0),'Data Standar'!$H$187/3,((MAX(AG45:AH45)-(MIN(AG45:AH45)))))</f>
        <v>0.41</v>
      </c>
      <c r="AJ45" s="434">
        <f>(0.21-0)/2</f>
        <v>0.105</v>
      </c>
      <c r="AK45" s="423"/>
      <c r="AL45" s="435">
        <v>150</v>
      </c>
      <c r="AM45" s="338">
        <f>'Data Standar'!I185</f>
        <v>0.74</v>
      </c>
      <c r="AN45" s="338"/>
      <c r="AO45" s="436">
        <f>IF(OR(AM45=0,AN45=0),'Data Standar'!$I$187/3,((MAX(AM45:AN45)-(MIN(AM45:AN45)))))</f>
        <v>0.08</v>
      </c>
      <c r="AP45" s="434">
        <f>(0.21-0)/2</f>
        <v>0.105</v>
      </c>
      <c r="AQ45" s="423"/>
      <c r="AR45" s="435">
        <v>150</v>
      </c>
      <c r="AS45" s="338">
        <f>'Data Standar'!J185</f>
        <v>0.61</v>
      </c>
      <c r="AT45" s="338"/>
      <c r="AU45" s="436">
        <f>IF(OR(AS45=0,AT45=0),'Data Standar'!$J$187/3,((MAX(AS45:AT45)-(MIN(AS45:AT45)))))</f>
        <v>0.08</v>
      </c>
      <c r="AV45" s="434">
        <f>(0.21-0)/2</f>
        <v>0.105</v>
      </c>
      <c r="AW45" s="423"/>
      <c r="AX45" s="435">
        <v>150</v>
      </c>
      <c r="AY45" s="338">
        <f>'Data Standar'!K185</f>
        <v>9.9999999999999995E-7</v>
      </c>
      <c r="AZ45" s="338"/>
      <c r="BA45" s="436">
        <f>IF(OR(AY45=0,AZ45=0),'Data Standar'!$K$187/3,((MAX(AY45:AZ45)-(MIN(AY45:AZ45)))))</f>
        <v>0.26333333333333336</v>
      </c>
      <c r="BB45" s="434">
        <f>(0.21-0)/2</f>
        <v>0.105</v>
      </c>
      <c r="BC45" s="423"/>
      <c r="BD45" s="435">
        <v>150</v>
      </c>
      <c r="BE45" s="338">
        <f>'Data Standar'!L185</f>
        <v>-0.2</v>
      </c>
      <c r="BF45" s="338"/>
      <c r="BG45" s="436">
        <f>IF(OR(BE45=0,BF45=0),'Data Standar'!$L$187/3,((MAX(BE45:BF45)-(MIN(BE45:BF45)))))</f>
        <v>9.0000000000000011E-2</v>
      </c>
      <c r="BH45" s="434">
        <f>(0.21-0)/2</f>
        <v>0.105</v>
      </c>
      <c r="BI45" s="423"/>
      <c r="BJ45" s="435">
        <v>150</v>
      </c>
      <c r="BK45" s="338">
        <f>'Data Standar'!M185</f>
        <v>9.9999999999999995E-7</v>
      </c>
      <c r="BL45" s="338"/>
      <c r="BM45" s="436">
        <f>IF(OR(BK45=0,BL45=0),'Data Standar'!$M$187/3,((MAX(BK45:BL45)-(MIN(BK45:BL45)))))</f>
        <v>0.26333333333333336</v>
      </c>
      <c r="BN45" s="434">
        <f>(0.21-0)/2</f>
        <v>0.105</v>
      </c>
      <c r="BO45" s="423"/>
      <c r="BP45" s="435">
        <v>150</v>
      </c>
      <c r="BQ45" s="338">
        <f>'Data Standar'!N185</f>
        <v>0</v>
      </c>
      <c r="BR45" s="338"/>
      <c r="BS45" s="436">
        <f>IF(OR(BQ45=0,BR45=0),'Data Standar'!$N$187/3,((MAX(BQ45:BR45)-(MIN(BQ45:BR45)))))</f>
        <v>8.3333333333333329E-2</v>
      </c>
      <c r="BT45" s="434">
        <f>(0.21-0)/2</f>
        <v>0.105</v>
      </c>
      <c r="BU45" s="423"/>
      <c r="BV45" s="435">
        <v>150</v>
      </c>
      <c r="BW45" s="338">
        <f>'Data Standar'!O185</f>
        <v>-0.11</v>
      </c>
      <c r="BX45" s="338"/>
      <c r="BY45" s="436">
        <f>IF(OR(BW45=0,BX45=0),'Data Standar'!$O$187/3,((MAX(BW45:BX45)-(MIN(BW45:BX45)))))</f>
        <v>9.0000000000000011E-2</v>
      </c>
      <c r="BZ45" s="434">
        <f>(0.21-0)/2</f>
        <v>0.105</v>
      </c>
      <c r="CA45" s="423"/>
      <c r="CB45" s="435">
        <v>150</v>
      </c>
      <c r="CC45" s="338">
        <f t="shared" si="17"/>
        <v>-1.7</v>
      </c>
      <c r="CD45" s="338">
        <f t="shared" si="14"/>
        <v>-0.7</v>
      </c>
      <c r="CE45" s="436">
        <f t="shared" si="18"/>
        <v>1</v>
      </c>
      <c r="CF45" s="434">
        <f>(0.21-0)/2</f>
        <v>0.105</v>
      </c>
      <c r="CG45" s="423"/>
      <c r="CH45" s="435">
        <v>150</v>
      </c>
      <c r="CI45" s="338">
        <f t="shared" si="12"/>
        <v>0.3</v>
      </c>
      <c r="CJ45" s="338">
        <f t="shared" si="15"/>
        <v>0.22</v>
      </c>
      <c r="CK45" s="436">
        <f t="shared" si="19"/>
        <v>7.9999999999999988E-2</v>
      </c>
      <c r="CL45" s="434">
        <f>(0.21-0)/2</f>
        <v>0.105</v>
      </c>
      <c r="CM45" s="423"/>
      <c r="CN45" s="435">
        <v>150</v>
      </c>
      <c r="CO45" s="338">
        <f t="shared" si="13"/>
        <v>0.49</v>
      </c>
      <c r="CP45" s="338">
        <f t="shared" si="16"/>
        <v>0.87</v>
      </c>
      <c r="CQ45" s="436">
        <f t="shared" si="20"/>
        <v>0.38</v>
      </c>
      <c r="CR45" s="434">
        <f>(0.21-0)/2</f>
        <v>0.105</v>
      </c>
      <c r="CS45" s="423"/>
    </row>
    <row r="46" spans="1:97" s="427" customFormat="1" ht="13">
      <c r="A46" s="423"/>
      <c r="B46" s="435">
        <v>200</v>
      </c>
      <c r="C46" s="338">
        <v>0.44</v>
      </c>
      <c r="D46" s="338">
        <f>'Data Standar'!C186</f>
        <v>0.02</v>
      </c>
      <c r="E46" s="436">
        <f>IF(OR(C46=0,D46=0),'Data Standar'!$C$187/3,((MAX(C46:D46)-(MIN(C46:D46)))))</f>
        <v>0.42</v>
      </c>
      <c r="F46" s="437">
        <f>(0.3+0.77)/2</f>
        <v>0.53500000000000003</v>
      </c>
      <c r="G46" s="438"/>
      <c r="H46" s="435">
        <v>200</v>
      </c>
      <c r="I46" s="338">
        <v>0.16</v>
      </c>
      <c r="J46" s="338">
        <f>'Data Standar'!D186</f>
        <v>0.18</v>
      </c>
      <c r="K46" s="436">
        <f>IF(OR(I46=0,J46=0),'Data Standar'!$D$187/3,((MAX(I46:J46)-(MIN(I46:J46)))))</f>
        <v>1.999999999999999E-2</v>
      </c>
      <c r="L46" s="437">
        <f>(0.74-0)/2</f>
        <v>0.37</v>
      </c>
      <c r="M46" s="438"/>
      <c r="N46" s="435">
        <v>200</v>
      </c>
      <c r="O46" s="338">
        <v>0.09</v>
      </c>
      <c r="P46" s="338">
        <f>'Data Standar'!E186</f>
        <v>0.05</v>
      </c>
      <c r="Q46" s="436">
        <f>IF(OR(O46=0,P46=0),'Data Standar'!$E$187/3,((MAX(O46:P46)-(MIN(O46:P46)))))</f>
        <v>3.9999999999999994E-2</v>
      </c>
      <c r="R46" s="434">
        <f>(0.18-0)/2</f>
        <v>0.09</v>
      </c>
      <c r="S46" s="423"/>
      <c r="T46" s="435">
        <v>200</v>
      </c>
      <c r="U46" s="338">
        <f>'Data Standar'!F186</f>
        <v>-1.03</v>
      </c>
      <c r="V46" s="338"/>
      <c r="W46" s="436">
        <f>IF(OR(U46=0,V46=0),'Data Standar'!$F$187/3,((MAX(U46:V46)-(MIN(U46:V46)))))</f>
        <v>8.3333333333333329E-2</v>
      </c>
      <c r="X46" s="434">
        <f>(0.18-0)/2</f>
        <v>0.09</v>
      </c>
      <c r="Y46" s="423"/>
      <c r="Z46" s="435">
        <v>200</v>
      </c>
      <c r="AA46" s="338">
        <f>'Data Standar'!G186</f>
        <v>0.61</v>
      </c>
      <c r="AB46" s="338">
        <v>-0.17</v>
      </c>
      <c r="AC46" s="436">
        <f>IF(OR(AA46=0,AB46=0),'Data Standar'!$G$187/3,((MAX(AA46:AB46)-(MIN(AA46:AB46)))))</f>
        <v>0.78</v>
      </c>
      <c r="AD46" s="434">
        <f>(0.18-0)/2</f>
        <v>0.09</v>
      </c>
      <c r="AE46" s="423"/>
      <c r="AF46" s="435">
        <v>200</v>
      </c>
      <c r="AG46" s="338">
        <f>'Data Standar'!H186</f>
        <v>0.71</v>
      </c>
      <c r="AH46" s="338">
        <v>-0.4</v>
      </c>
      <c r="AI46" s="436">
        <f>IF(OR(AG46=0,AH46=0),'Data Standar'!$H$187/3,((MAX(AG46:AH46)-(MIN(AG46:AH46)))))</f>
        <v>1.1099999999999999</v>
      </c>
      <c r="AJ46" s="434">
        <f>(0.18-0)/2</f>
        <v>0.09</v>
      </c>
      <c r="AK46" s="423"/>
      <c r="AL46" s="435">
        <v>200</v>
      </c>
      <c r="AM46" s="338">
        <f>'Data Standar'!I186</f>
        <v>0.96</v>
      </c>
      <c r="AN46" s="338"/>
      <c r="AO46" s="436">
        <f>IF(OR(AM46=0,AN46=0),'Data Standar'!$I$187/3,((MAX(AM46:AN46)-(MIN(AM46:AN46)))))</f>
        <v>0.08</v>
      </c>
      <c r="AP46" s="434">
        <f>(0.18-0)/2</f>
        <v>0.09</v>
      </c>
      <c r="AQ46" s="423"/>
      <c r="AR46" s="435">
        <v>200</v>
      </c>
      <c r="AS46" s="338">
        <f>'Data Standar'!J186</f>
        <v>0.82</v>
      </c>
      <c r="AT46" s="338"/>
      <c r="AU46" s="436">
        <f>IF(OR(AS46=0,AT46=0),'Data Standar'!$J$187/3,((MAX(AS46:AT46)-(MIN(AS46:AT46)))))</f>
        <v>0.08</v>
      </c>
      <c r="AV46" s="434">
        <f>(0.18-0)/2</f>
        <v>0.09</v>
      </c>
      <c r="AW46" s="423"/>
      <c r="AX46" s="435">
        <v>200</v>
      </c>
      <c r="AY46" s="338">
        <f>'Data Standar'!K186</f>
        <v>-0.22</v>
      </c>
      <c r="AZ46" s="338"/>
      <c r="BA46" s="436">
        <f>IF(OR(AY46=0,AZ46=0),'Data Standar'!$K$187/3,((MAX(AY46:AZ46)-(MIN(AY46:AZ46)))))</f>
        <v>0.26333333333333336</v>
      </c>
      <c r="BB46" s="434">
        <f>(0.18-0)/2</f>
        <v>0.09</v>
      </c>
      <c r="BC46" s="423"/>
      <c r="BD46" s="435">
        <v>200</v>
      </c>
      <c r="BE46" s="338">
        <f>'Data Standar'!L186</f>
        <v>-0.21</v>
      </c>
      <c r="BF46" s="338"/>
      <c r="BG46" s="436">
        <f>IF(OR(BE46=0,BF46=0),'Data Standar'!$L$187/3,((MAX(BE46:BF46)-(MIN(BE46:BF46)))))</f>
        <v>9.0000000000000011E-2</v>
      </c>
      <c r="BH46" s="434">
        <f>(0.18-0)/2</f>
        <v>0.09</v>
      </c>
      <c r="BI46" s="423"/>
      <c r="BJ46" s="435">
        <v>200</v>
      </c>
      <c r="BK46" s="338">
        <f>'Data Standar'!M186</f>
        <v>-0.22</v>
      </c>
      <c r="BL46" s="338"/>
      <c r="BM46" s="436">
        <f>IF(OR(BK46=0,BL46=0),'Data Standar'!$M$187/3,((MAX(BK46:BL46)-(MIN(BK46:BL46)))))</f>
        <v>0.26333333333333336</v>
      </c>
      <c r="BN46" s="434">
        <f>(0.18-0)/2</f>
        <v>0.09</v>
      </c>
      <c r="BO46" s="423"/>
      <c r="BP46" s="435">
        <v>200</v>
      </c>
      <c r="BQ46" s="338">
        <f>'Data Standar'!N186</f>
        <v>-0.37</v>
      </c>
      <c r="BR46" s="338"/>
      <c r="BS46" s="436">
        <f>IF(OR(BQ46=0,BR46=0),'Data Standar'!$N$187/3,((MAX(BQ46:BR46)-(MIN(BQ46:BR46)))))</f>
        <v>8.3333333333333329E-2</v>
      </c>
      <c r="BT46" s="434">
        <f>(0.18-0)/2</f>
        <v>0.09</v>
      </c>
      <c r="BU46" s="423"/>
      <c r="BV46" s="435">
        <v>200</v>
      </c>
      <c r="BW46" s="338">
        <f>'Data Standar'!O186</f>
        <v>-1.05</v>
      </c>
      <c r="BX46" s="338"/>
      <c r="BY46" s="436">
        <f>IF(OR(BW46=0,BX46=0),'Data Standar'!$O$187/3,((MAX(BW46:BX46)-(MIN(BW46:BX46)))))</f>
        <v>9.0000000000000011E-2</v>
      </c>
      <c r="BZ46" s="434">
        <f>(0.18-0)/2</f>
        <v>0.09</v>
      </c>
      <c r="CA46" s="423"/>
      <c r="CB46" s="435">
        <v>200</v>
      </c>
      <c r="CC46" s="338">
        <f t="shared" si="17"/>
        <v>-0.9</v>
      </c>
      <c r="CD46" s="338">
        <f t="shared" si="14"/>
        <v>-0.6</v>
      </c>
      <c r="CE46" s="436">
        <f t="shared" si="18"/>
        <v>0.30000000000000004</v>
      </c>
      <c r="CF46" s="434">
        <f>(0.18-0)/2</f>
        <v>0.09</v>
      </c>
      <c r="CG46" s="423"/>
      <c r="CH46" s="435">
        <v>200</v>
      </c>
      <c r="CI46" s="338">
        <f t="shared" si="12"/>
        <v>0.34</v>
      </c>
      <c r="CJ46" s="338">
        <f t="shared" si="15"/>
        <v>0.47</v>
      </c>
      <c r="CK46" s="436">
        <f t="shared" si="19"/>
        <v>0.12999999999999995</v>
      </c>
      <c r="CL46" s="434">
        <f>(0.18-0)/2</f>
        <v>0.09</v>
      </c>
      <c r="CM46" s="423"/>
      <c r="CN46" s="435">
        <v>200</v>
      </c>
      <c r="CO46" s="338">
        <f t="shared" si="13"/>
        <v>-0.26</v>
      </c>
      <c r="CP46" s="338">
        <f t="shared" si="16"/>
        <v>0.99</v>
      </c>
      <c r="CQ46" s="436">
        <f t="shared" si="20"/>
        <v>1.25</v>
      </c>
      <c r="CR46" s="434">
        <f>(0.18-0)/2</f>
        <v>0.09</v>
      </c>
      <c r="CS46" s="423"/>
    </row>
    <row r="47" spans="1:97" s="423" customFormat="1" ht="13">
      <c r="B47" s="442"/>
      <c r="C47" s="424"/>
      <c r="D47" s="424"/>
      <c r="E47" s="440"/>
      <c r="F47" s="438"/>
      <c r="G47" s="438"/>
      <c r="H47" s="442"/>
      <c r="I47" s="424"/>
      <c r="J47" s="424"/>
      <c r="K47" s="440"/>
      <c r="L47" s="425"/>
      <c r="M47" s="438"/>
      <c r="N47" s="442"/>
      <c r="O47" s="424"/>
      <c r="P47" s="424"/>
      <c r="Q47" s="440"/>
      <c r="R47" s="425"/>
      <c r="T47" s="442"/>
      <c r="U47" s="424"/>
      <c r="V47" s="424"/>
      <c r="W47" s="440"/>
      <c r="X47" s="425"/>
      <c r="Z47" s="442"/>
      <c r="AA47" s="424"/>
      <c r="AB47" s="424"/>
      <c r="AC47" s="440"/>
      <c r="AD47" s="425"/>
      <c r="AF47" s="442"/>
      <c r="AG47" s="424"/>
      <c r="AH47" s="424"/>
      <c r="AI47" s="440"/>
      <c r="AJ47" s="425"/>
      <c r="AL47" s="442"/>
      <c r="AM47" s="424"/>
      <c r="AN47" s="424"/>
      <c r="AO47" s="440"/>
      <c r="AP47" s="425"/>
      <c r="AR47" s="442"/>
      <c r="AS47" s="424"/>
      <c r="AT47" s="424"/>
      <c r="AU47" s="440"/>
      <c r="AV47" s="425"/>
      <c r="AX47" s="442"/>
      <c r="AY47" s="424"/>
      <c r="AZ47" s="424"/>
      <c r="BA47" s="440"/>
      <c r="BB47" s="425"/>
      <c r="BD47" s="442"/>
      <c r="BE47" s="424"/>
      <c r="BF47" s="424"/>
      <c r="BG47" s="440"/>
      <c r="BH47" s="425"/>
      <c r="BJ47" s="442"/>
      <c r="BK47" s="424"/>
      <c r="BL47" s="424"/>
      <c r="BM47" s="440"/>
      <c r="BN47" s="425"/>
      <c r="BP47" s="442"/>
      <c r="BQ47" s="424"/>
      <c r="BR47" s="424"/>
      <c r="BS47" s="440"/>
      <c r="BT47" s="425"/>
      <c r="BV47" s="442"/>
      <c r="BW47" s="424"/>
      <c r="BX47" s="424"/>
      <c r="BY47" s="440"/>
      <c r="BZ47" s="425"/>
      <c r="CB47" s="442"/>
      <c r="CC47" s="424"/>
      <c r="CD47" s="424"/>
      <c r="CE47" s="440"/>
      <c r="CF47" s="425"/>
      <c r="CH47" s="442"/>
      <c r="CI47" s="424"/>
      <c r="CJ47" s="424"/>
      <c r="CK47" s="440"/>
      <c r="CL47" s="425"/>
      <c r="CN47" s="442"/>
      <c r="CO47" s="424"/>
      <c r="CP47" s="424"/>
      <c r="CQ47" s="440"/>
      <c r="CR47" s="425"/>
    </row>
    <row r="48" spans="1:97" s="427" customFormat="1" ht="45" customHeight="1">
      <c r="A48" s="423"/>
      <c r="B48" s="1317" t="s">
        <v>388</v>
      </c>
      <c r="C48" s="1315" t="str">
        <f>C33</f>
        <v>Thermocouple Data Logger, Merek : MADGETECH, Model : OctTemp 2000, SN : P40270</v>
      </c>
      <c r="D48" s="1315"/>
      <c r="E48" s="1315"/>
      <c r="F48" s="426" t="s">
        <v>383</v>
      </c>
      <c r="G48" s="984">
        <f>Drift!$B$165</f>
        <v>161.46416666666667</v>
      </c>
      <c r="H48" s="1317" t="s">
        <v>388</v>
      </c>
      <c r="I48" s="1315" t="str">
        <f>I33</f>
        <v>Thermocouple Data Logger, Merek : MADGETECH, Model : OctTemp 2000, SN : P41878</v>
      </c>
      <c r="J48" s="1315"/>
      <c r="K48" s="1315"/>
      <c r="L48" s="426" t="s">
        <v>383</v>
      </c>
      <c r="M48" s="984">
        <f>Drift!$B$165</f>
        <v>161.46416666666667</v>
      </c>
      <c r="N48" s="1317" t="s">
        <v>388</v>
      </c>
      <c r="O48" s="1315" t="str">
        <f>O33</f>
        <v>Mobile Corder, Merek : Yokogawa, Model : GP 10, SN : S5T810599</v>
      </c>
      <c r="P48" s="1316"/>
      <c r="Q48" s="1315"/>
      <c r="R48" s="426" t="s">
        <v>383</v>
      </c>
      <c r="S48" s="984">
        <f>Drift!$B$165</f>
        <v>161.46416666666667</v>
      </c>
      <c r="T48" s="1317" t="s">
        <v>388</v>
      </c>
      <c r="U48" s="1315" t="str">
        <f>U33</f>
        <v>Wireless Temperature Recorder : Merek : HIOKI, Model : LR 8510, SN : 200936000</v>
      </c>
      <c r="V48" s="1316"/>
      <c r="W48" s="1315"/>
      <c r="X48" s="426" t="s">
        <v>383</v>
      </c>
      <c r="Y48" s="984">
        <f>Drift!$B$165</f>
        <v>161.46416666666667</v>
      </c>
      <c r="Z48" s="1317" t="s">
        <v>388</v>
      </c>
      <c r="AA48" s="1315" t="str">
        <f>AA33</f>
        <v>Wireless Temperature Recorder : Merek : HIOKI, Model : LR 8510, SN : 200936001</v>
      </c>
      <c r="AB48" s="1316"/>
      <c r="AC48" s="1315"/>
      <c r="AD48" s="426" t="s">
        <v>383</v>
      </c>
      <c r="AE48" s="984">
        <f>Drift!$B$165</f>
        <v>161.46416666666667</v>
      </c>
      <c r="AF48" s="1317" t="s">
        <v>388</v>
      </c>
      <c r="AG48" s="1315" t="str">
        <f>AG33</f>
        <v>Wireless Temperature Recorder : Merek : HIOKI, Model : LR 8510, SN : 200821397</v>
      </c>
      <c r="AH48" s="1316"/>
      <c r="AI48" s="1315"/>
      <c r="AJ48" s="426" t="s">
        <v>383</v>
      </c>
      <c r="AK48" s="984">
        <f>Drift!$B$165</f>
        <v>161.46416666666667</v>
      </c>
      <c r="AL48" s="1317" t="s">
        <v>388</v>
      </c>
      <c r="AM48" s="1315" t="str">
        <f>AM33</f>
        <v>Wireless Temperature Recorder : Merek : HIOKI, Model : LR 8510, SN : 210411983</v>
      </c>
      <c r="AN48" s="1316"/>
      <c r="AO48" s="1315"/>
      <c r="AP48" s="426" t="s">
        <v>383</v>
      </c>
      <c r="AQ48" s="984">
        <f>Drift!$B$165</f>
        <v>161.46416666666667</v>
      </c>
      <c r="AR48" s="1317" t="s">
        <v>388</v>
      </c>
      <c r="AS48" s="1315" t="str">
        <f>AS33</f>
        <v>Wireless Temperature Recorder : Merek : HIOKI, Model : LR 8510, SN : 210411984</v>
      </c>
      <c r="AT48" s="1316"/>
      <c r="AU48" s="1315"/>
      <c r="AV48" s="426" t="s">
        <v>383</v>
      </c>
      <c r="AW48" s="984">
        <f>Drift!$B$165</f>
        <v>161.46416666666667</v>
      </c>
      <c r="AX48" s="1317" t="s">
        <v>388</v>
      </c>
      <c r="AY48" s="1315" t="str">
        <f>AY33</f>
        <v>Wireless Temperature Recorder : Merek : HIOKI, Model : LR 8510, SN : 210411985</v>
      </c>
      <c r="AZ48" s="1316"/>
      <c r="BA48" s="1315"/>
      <c r="BB48" s="426" t="s">
        <v>383</v>
      </c>
      <c r="BC48" s="984">
        <f>Drift!$B$165</f>
        <v>161.46416666666667</v>
      </c>
      <c r="BD48" s="1317" t="s">
        <v>388</v>
      </c>
      <c r="BE48" s="1315" t="str">
        <f>BE33</f>
        <v>Wireless Temperature Recorder : Merek : HIOKI, Model : LR 8510, SN : 210746054</v>
      </c>
      <c r="BF48" s="1316"/>
      <c r="BG48" s="1315"/>
      <c r="BH48" s="426" t="s">
        <v>383</v>
      </c>
      <c r="BI48" s="984">
        <f>Drift!$B$165</f>
        <v>161.46416666666667</v>
      </c>
      <c r="BJ48" s="1317" t="s">
        <v>388</v>
      </c>
      <c r="BK48" s="1315" t="str">
        <f>BK33</f>
        <v>Wireless Temperature Recorder : Merek : HIOKI, Model : LR 8510, SN : 210746055</v>
      </c>
      <c r="BL48" s="1316"/>
      <c r="BM48" s="1315"/>
      <c r="BN48" s="426" t="s">
        <v>383</v>
      </c>
      <c r="BO48" s="984">
        <f>Drift!$B$165</f>
        <v>161.46416666666667</v>
      </c>
      <c r="BP48" s="1319" t="s">
        <v>388</v>
      </c>
      <c r="BQ48" s="1315" t="str">
        <f>BQ33</f>
        <v>Wireless Temperature Recorder : Merek : HIOKI, Model : LR 8510, SN : 210746056</v>
      </c>
      <c r="BR48" s="1316"/>
      <c r="BS48" s="1315"/>
      <c r="BT48" s="426" t="s">
        <v>383</v>
      </c>
      <c r="BU48" s="984">
        <f>Drift!$B$165</f>
        <v>161.46416666666667</v>
      </c>
      <c r="BV48" s="1317" t="s">
        <v>388</v>
      </c>
      <c r="BW48" s="1315" t="str">
        <f>BW33</f>
        <v>Wireless Temperature Recorder : Merek : HIOKI, Model : LR 8510, SN : 200821396</v>
      </c>
      <c r="BX48" s="1316"/>
      <c r="BY48" s="1315"/>
      <c r="BZ48" s="426" t="s">
        <v>383</v>
      </c>
      <c r="CA48" s="984">
        <f>Drift!$B$165</f>
        <v>161.46416666666667</v>
      </c>
      <c r="CB48" s="1317" t="s">
        <v>388</v>
      </c>
      <c r="CC48" s="1315" t="str">
        <f t="shared" ref="CC48:CC61" si="21">CC33</f>
        <v>Reference Thermometer, Merek : APPA, Model : APPA51, SN : 03002948</v>
      </c>
      <c r="CD48" s="1316"/>
      <c r="CE48" s="1315"/>
      <c r="CF48" s="426" t="s">
        <v>383</v>
      </c>
      <c r="CG48" s="423"/>
      <c r="CH48" s="1317" t="s">
        <v>388</v>
      </c>
      <c r="CI48" s="1315" t="str">
        <f t="shared" ref="CI48:CI61" si="22">CI33</f>
        <v>Reference Thermometer, Merek : FLUKE, Model : 1524, SN : 1803038</v>
      </c>
      <c r="CJ48" s="1316"/>
      <c r="CK48" s="1315"/>
      <c r="CL48" s="426" t="s">
        <v>383</v>
      </c>
      <c r="CM48" s="423"/>
      <c r="CN48" s="1317" t="s">
        <v>388</v>
      </c>
      <c r="CO48" s="1315" t="str">
        <f t="shared" ref="CO48:CO61" si="23">CO33</f>
        <v>Reference Thermometer, Merek : FLUKE, Model : 1524, SN : 1803037</v>
      </c>
      <c r="CP48" s="1316"/>
      <c r="CQ48" s="1315"/>
      <c r="CR48" s="426" t="s">
        <v>383</v>
      </c>
      <c r="CS48" s="423"/>
    </row>
    <row r="49" spans="1:97" s="427" customFormat="1" ht="13">
      <c r="A49" s="423"/>
      <c r="B49" s="1318"/>
      <c r="C49" s="432">
        <f>C34</f>
        <v>2021</v>
      </c>
      <c r="D49" s="432">
        <f>D34</f>
        <v>2022</v>
      </c>
      <c r="E49" s="429" t="s">
        <v>385</v>
      </c>
      <c r="F49" s="430"/>
      <c r="G49" s="985">
        <f>IF(G48&lt;=B57,B56,IF(G48&lt;=B58,B57,IF(G48&lt;=B59,B58,IF(G48&lt;=B60,B59,IF(G48&lt;=B61,B60)))))</f>
        <v>150</v>
      </c>
      <c r="H49" s="1318"/>
      <c r="I49" s="431">
        <f>I34</f>
        <v>2021</v>
      </c>
      <c r="J49" s="432">
        <f>J34</f>
        <v>2022</v>
      </c>
      <c r="K49" s="429" t="s">
        <v>385</v>
      </c>
      <c r="L49" s="433"/>
      <c r="M49" s="985">
        <f>IF(M48&lt;=H57,H56,IF(M48&lt;=H58,H57,IF(M48&lt;=H59,H58,IF(M48&lt;=H60,H59,IF(M48&lt;=H61,H60)))))</f>
        <v>150</v>
      </c>
      <c r="N49" s="1318"/>
      <c r="O49" s="431">
        <f>O4</f>
        <v>2021</v>
      </c>
      <c r="P49" s="432">
        <f>P4</f>
        <v>2023</v>
      </c>
      <c r="Q49" s="429" t="s">
        <v>385</v>
      </c>
      <c r="R49" s="443"/>
      <c r="S49" s="985">
        <f>IF(S48&lt;=N57,N56,IF(S48&lt;=N58,N57,IF(S48&lt;=N59,N58,IF(S48&lt;=N60,N59,IF(S48&lt;=N61,N60)))))</f>
        <v>150</v>
      </c>
      <c r="T49" s="1318"/>
      <c r="U49" s="431">
        <f>U34</f>
        <v>2022</v>
      </c>
      <c r="V49" s="432"/>
      <c r="W49" s="429" t="s">
        <v>385</v>
      </c>
      <c r="X49" s="443"/>
      <c r="Y49" s="985">
        <f>IF(Y48&lt;=T57,T56,IF(Y48&lt;=T58,T57,IF(Y48&lt;=T59,T58,IF(Y48&lt;=T60,T59,IF(Y48&lt;=T61,T60)))))</f>
        <v>150</v>
      </c>
      <c r="Z49" s="1318"/>
      <c r="AA49" s="431">
        <f>AA34</f>
        <v>2023</v>
      </c>
      <c r="AB49" s="432">
        <f>AB34</f>
        <v>2021</v>
      </c>
      <c r="AC49" s="429" t="s">
        <v>385</v>
      </c>
      <c r="AD49" s="443"/>
      <c r="AE49" s="985">
        <f>IF(AE48&lt;=Z57,Z56,IF(AE48&lt;=Z58,Z57,IF(AE48&lt;=Z59,Z58,IF(AE48&lt;=Z60,Z59,IF(AE48&lt;=Z61,Z60)))))</f>
        <v>150</v>
      </c>
      <c r="AF49" s="1318"/>
      <c r="AG49" s="431">
        <f>AG34</f>
        <v>2023</v>
      </c>
      <c r="AH49" s="431">
        <f>AH34</f>
        <v>2021</v>
      </c>
      <c r="AI49" s="429" t="s">
        <v>385</v>
      </c>
      <c r="AJ49" s="443"/>
      <c r="AK49" s="985">
        <f>IF(AK48&lt;=AF57,AF56,IF(AK48&lt;=AF58,AF57,IF(AK48&lt;=AF59,AF58,IF(AK48&lt;=AF60,AF59,IF(AK48&lt;=AF61,AF60)))))</f>
        <v>150</v>
      </c>
      <c r="AL49" s="1318"/>
      <c r="AM49" s="431">
        <f>AM34</f>
        <v>2023</v>
      </c>
      <c r="AN49" s="432"/>
      <c r="AO49" s="429" t="s">
        <v>385</v>
      </c>
      <c r="AP49" s="443"/>
      <c r="AQ49" s="985">
        <f>IF(AQ48&lt;=AL57,AL56,IF(AQ48&lt;=AL58,AL57,IF(AQ48&lt;=AL59,AL58,IF(AQ48&lt;=AL60,AL59,IF(AQ48&lt;=AL61,AL60)))))</f>
        <v>150</v>
      </c>
      <c r="AR49" s="1318"/>
      <c r="AS49" s="431">
        <f>AS34</f>
        <v>2023</v>
      </c>
      <c r="AT49" s="432"/>
      <c r="AU49" s="429" t="s">
        <v>385</v>
      </c>
      <c r="AV49" s="443"/>
      <c r="AW49" s="985">
        <f>IF(AW48&lt;=AR57,AR56,IF(AW48&lt;=AR58,AR57,IF(AW48&lt;=AR59,AR58,IF(AW48&lt;=AR60,AR59,IF(AW48&lt;=AR61,AR60)))))</f>
        <v>150</v>
      </c>
      <c r="AX49" s="1318"/>
      <c r="AY49" s="431">
        <f>AY34</f>
        <v>2021</v>
      </c>
      <c r="AZ49" s="432"/>
      <c r="BA49" s="429" t="s">
        <v>385</v>
      </c>
      <c r="BB49" s="443"/>
      <c r="BC49" s="985">
        <f>IF(BC48&lt;=AX57,AX56,IF(BC48&lt;=AX58,AX57,IF(BC48&lt;=AX59,AX58,IF(BC48&lt;=AX60,AX59,IF(BC48&lt;=AX61,AX60)))))</f>
        <v>150</v>
      </c>
      <c r="BD49" s="1318"/>
      <c r="BE49" s="431">
        <f>BE34</f>
        <v>2022</v>
      </c>
      <c r="BF49" s="432"/>
      <c r="BG49" s="429" t="s">
        <v>385</v>
      </c>
      <c r="BH49" s="443"/>
      <c r="BI49" s="985">
        <f>IF(BI48&lt;=BD57,BD56,IF(BI48&lt;=BD58,BD57,IF(BI48&lt;=BD59,BD58,IF(BI48&lt;=BD60,BD59,IF(BI48&lt;=BD61,BD60)))))</f>
        <v>150</v>
      </c>
      <c r="BJ49" s="1318"/>
      <c r="BK49" s="431">
        <f>BK34</f>
        <v>2021</v>
      </c>
      <c r="BL49" s="432"/>
      <c r="BM49" s="429" t="s">
        <v>385</v>
      </c>
      <c r="BN49" s="443"/>
      <c r="BO49" s="985">
        <f>IF(BO48&lt;=BJ57,BJ56,IF(BO48&lt;=BJ58,BJ57,IF(BO48&lt;=BJ59,BJ58,IF(BO48&lt;=BJ60,BJ59,IF(BO48&lt;=BJ61,BJ60)))))</f>
        <v>150</v>
      </c>
      <c r="BP49" s="1320"/>
      <c r="BQ49" s="431">
        <f>BQ34</f>
        <v>2022</v>
      </c>
      <c r="BR49" s="432"/>
      <c r="BS49" s="429" t="s">
        <v>385</v>
      </c>
      <c r="BT49" s="443"/>
      <c r="BU49" s="985">
        <f>IF(BU48&lt;=BP57,BP56,IF(BU48&lt;=BP58,BP57,IF(BU48&lt;=BP59,BP58,IF(BU48&lt;=BP60,BP59,IF(BU48&lt;=BP61,BP60)))))</f>
        <v>150</v>
      </c>
      <c r="BV49" s="1318"/>
      <c r="BW49" s="431">
        <f>BW34</f>
        <v>2022</v>
      </c>
      <c r="BX49" s="432"/>
      <c r="BY49" s="429" t="s">
        <v>385</v>
      </c>
      <c r="BZ49" s="443"/>
      <c r="CA49" s="985">
        <f>IF(CA48&lt;=BV57,BV56,IF(CA48&lt;=BV58,BV57,IF(CA48&lt;=BV59,BV58,IF(CA48&lt;=BV60,BV59,IF(CA48&lt;=BV61,BV60)))))</f>
        <v>150</v>
      </c>
      <c r="CB49" s="1318"/>
      <c r="CC49" s="431">
        <f t="shared" si="21"/>
        <v>2022</v>
      </c>
      <c r="CD49" s="432">
        <f>CD64</f>
        <v>2020</v>
      </c>
      <c r="CE49" s="429" t="s">
        <v>385</v>
      </c>
      <c r="CF49" s="443"/>
      <c r="CG49" s="423"/>
      <c r="CH49" s="1318"/>
      <c r="CI49" s="431">
        <f t="shared" si="22"/>
        <v>2021</v>
      </c>
      <c r="CJ49" s="432">
        <f t="shared" ref="CJ49:CJ61" si="24">CJ34</f>
        <v>2019</v>
      </c>
      <c r="CK49" s="429" t="s">
        <v>385</v>
      </c>
      <c r="CL49" s="443"/>
      <c r="CM49" s="423"/>
      <c r="CN49" s="1318"/>
      <c r="CO49" s="431">
        <f t="shared" si="23"/>
        <v>2021</v>
      </c>
      <c r="CP49" s="432">
        <f t="shared" ref="CP49:CP61" si="25">CP34</f>
        <v>2020</v>
      </c>
      <c r="CQ49" s="429" t="s">
        <v>385</v>
      </c>
      <c r="CR49" s="443"/>
      <c r="CS49" s="423"/>
    </row>
    <row r="50" spans="1:97" s="427" customFormat="1" ht="13">
      <c r="A50" s="423"/>
      <c r="B50" s="435">
        <v>-20</v>
      </c>
      <c r="C50" s="338">
        <v>-0.37</v>
      </c>
      <c r="D50" s="338">
        <f>'Data Standar'!U175</f>
        <v>-0.59</v>
      </c>
      <c r="E50" s="436">
        <f>IF(OR(C50=0,D50=0),'Data Standar'!$U$187/3,((MAX(C50:D50)-(MIN(C50:D50)))))</f>
        <v>0.21999999999999997</v>
      </c>
      <c r="F50" s="437">
        <v>0.11</v>
      </c>
      <c r="G50" s="437"/>
      <c r="H50" s="435">
        <v>-20</v>
      </c>
      <c r="I50" s="338">
        <v>-0.63</v>
      </c>
      <c r="J50" s="338">
        <f>'Data Standar'!V175</f>
        <v>-0.42</v>
      </c>
      <c r="K50" s="436">
        <f>IF(OR(I50=0,J50=0),'Data Standar'!$V$187/3,((MAX(I50:J50)-(MIN(I50:J50)))))</f>
        <v>0.21000000000000002</v>
      </c>
      <c r="L50" s="437">
        <v>0.06</v>
      </c>
      <c r="M50" s="437"/>
      <c r="N50" s="435">
        <v>-20</v>
      </c>
      <c r="O50" s="338">
        <v>-0.64</v>
      </c>
      <c r="P50" s="338">
        <f>'Data Standar'!W175</f>
        <v>-0.5</v>
      </c>
      <c r="Q50" s="436">
        <f>IF(OR(O50=0,P50=0),'Data Standar'!$W$187/3,((MAX(O50:P50)-(MIN(O50:P50)))))</f>
        <v>0.14000000000000001</v>
      </c>
      <c r="R50" s="443">
        <v>9.9999999999999995E-7</v>
      </c>
      <c r="S50" s="437"/>
      <c r="T50" s="435">
        <v>-20</v>
      </c>
      <c r="U50" s="338">
        <f>'Data Standar'!X175</f>
        <v>-1.47</v>
      </c>
      <c r="V50" s="338"/>
      <c r="W50" s="436">
        <f>IF(OR(U50=0,V50=0),'Data Standar'!$X$187/3,((MAX(U50:V50)-(MIN(U50:V50)))))</f>
        <v>8.666666666666667E-2</v>
      </c>
      <c r="X50" s="443">
        <v>9.9999999999999995E-7</v>
      </c>
      <c r="Y50" s="437"/>
      <c r="Z50" s="435">
        <v>-20</v>
      </c>
      <c r="AA50" s="338">
        <f>'Data Standar'!Y175</f>
        <v>7.0000000000000007E-2</v>
      </c>
      <c r="AB50" s="338">
        <v>-0.7</v>
      </c>
      <c r="AC50" s="436">
        <f>IF(OR(AA50=0,AB50=0),'Data Standar'!$Y$187/3,((MAX(AA50:AB50)-(MIN(AA50:AB50)))))</f>
        <v>0.77</v>
      </c>
      <c r="AD50" s="443">
        <v>9.9999999999999995E-7</v>
      </c>
      <c r="AE50" s="437"/>
      <c r="AF50" s="435">
        <v>-20</v>
      </c>
      <c r="AG50" s="338">
        <f>'Data Standar'!Z175</f>
        <v>7.0000000000000007E-2</v>
      </c>
      <c r="AH50" s="338">
        <v>0.04</v>
      </c>
      <c r="AI50" s="436">
        <f>IF(OR(AG50=0,AH50=0),'Data Standar'!$Z$187/3,((MAX(AG50:AH50)-(MIN(AG50:AH50)))))</f>
        <v>3.0000000000000006E-2</v>
      </c>
      <c r="AJ50" s="443">
        <v>9.9999999999999995E-7</v>
      </c>
      <c r="AK50" s="437"/>
      <c r="AL50" s="435">
        <v>-20</v>
      </c>
      <c r="AM50" s="338">
        <f>'Data Standar'!AA175</f>
        <v>0.46</v>
      </c>
      <c r="AN50" s="338"/>
      <c r="AO50" s="436">
        <f>IF(OR(AM50=0,AN50=0),'Data Standar'!$AA$187/3,((MAX(AM50:AN50)-(MIN(AM50:AN50)))))</f>
        <v>8.3333333333333329E-2</v>
      </c>
      <c r="AP50" s="443">
        <v>9.9999999999999995E-7</v>
      </c>
      <c r="AQ50" s="437"/>
      <c r="AR50" s="435">
        <v>-20</v>
      </c>
      <c r="AS50" s="338">
        <f>'Data Standar'!AB175</f>
        <v>0.33</v>
      </c>
      <c r="AT50" s="338"/>
      <c r="AU50" s="436">
        <f>IF(OR(AS50=0,AT50=0),'Data Standar'!$AB$187/3,((MAX(AS50:AT50)-(MIN(AS50:AT50)))))</f>
        <v>0.08</v>
      </c>
      <c r="AV50" s="443">
        <v>9.9999999999999995E-7</v>
      </c>
      <c r="AW50" s="437"/>
      <c r="AX50" s="435">
        <v>-20</v>
      </c>
      <c r="AY50" s="338">
        <f>'Data Standar'!AC175</f>
        <v>0.64</v>
      </c>
      <c r="AZ50" s="338"/>
      <c r="BA50" s="436">
        <f>IF(OR(AY50=0,AZ50=0),'Data Standar'!$AC$187/3,((MAX(AY50:AZ50)-(MIN(AY50:AZ50)))))</f>
        <v>0.26333333333333336</v>
      </c>
      <c r="BB50" s="443">
        <v>9.9999999999999995E-7</v>
      </c>
      <c r="BC50" s="437"/>
      <c r="BD50" s="435">
        <v>-20</v>
      </c>
      <c r="BE50" s="338">
        <f>'Data Standar'!AD175</f>
        <v>-0.91</v>
      </c>
      <c r="BF50" s="338"/>
      <c r="BG50" s="436">
        <f>IF(OR(BE50=0,BF50=0),'Data Standar'!$AD$187/3,((MAX(BE50:BF50)-(MIN(BE50:BF50)))))</f>
        <v>9.0000000000000011E-2</v>
      </c>
      <c r="BH50" s="443">
        <v>9.9999999999999995E-7</v>
      </c>
      <c r="BI50" s="437"/>
      <c r="BJ50" s="435">
        <v>-20</v>
      </c>
      <c r="BK50" s="338">
        <f>'Data Standar'!AE175</f>
        <v>0.64</v>
      </c>
      <c r="BL50" s="338"/>
      <c r="BM50" s="436">
        <f>IF(OR(BK50=0,BL50=0),'Data Standar'!$AE$187/3,((MAX(BK50:BL50)-(MIN(BK50:BL50)))))</f>
        <v>0.26333333333333336</v>
      </c>
      <c r="BN50" s="443">
        <v>9.9999999999999995E-7</v>
      </c>
      <c r="BO50" s="437"/>
      <c r="BP50" s="435">
        <v>-20</v>
      </c>
      <c r="BQ50" s="338">
        <f>'Data Standar'!AF175</f>
        <v>-1.31</v>
      </c>
      <c r="BR50" s="338"/>
      <c r="BS50" s="436">
        <f>IF(OR(BQ50=0,BR50=0),'Data Standar'!$AF$187/3,((MAX(BQ50:BR50)-(MIN(BQ50:BR50)))))</f>
        <v>8.3333333333333329E-2</v>
      </c>
      <c r="BT50" s="443">
        <v>9.9999999999999995E-7</v>
      </c>
      <c r="BU50" s="437"/>
      <c r="BV50" s="435">
        <v>-20</v>
      </c>
      <c r="BW50" s="338">
        <f>'Data Standar'!AG175</f>
        <v>-1.41</v>
      </c>
      <c r="BX50" s="338"/>
      <c r="BY50" s="436">
        <f>IF(OR(BW50=0,BX50=0),'Data Standar'!$AG$187/3,((MAX(BW50:BX50)-(MIN(BW50:BX50)))))</f>
        <v>8.666666666666667E-2</v>
      </c>
      <c r="BZ50" s="443">
        <v>9.9999999999999995E-7</v>
      </c>
      <c r="CA50" s="437"/>
      <c r="CB50" s="435">
        <v>-20</v>
      </c>
      <c r="CC50" s="338">
        <f t="shared" si="21"/>
        <v>-1.1000000000000001</v>
      </c>
      <c r="CD50" s="338">
        <f t="shared" ref="CD50:CD61" si="26">CD80</f>
        <v>-0.7</v>
      </c>
      <c r="CE50" s="436">
        <f t="shared" ref="CE50:CE61" si="27">CE35</f>
        <v>0.40000000000000013</v>
      </c>
      <c r="CF50" s="443">
        <v>9.9999999999999995E-7</v>
      </c>
      <c r="CG50" s="423"/>
      <c r="CH50" s="435">
        <v>-20</v>
      </c>
      <c r="CI50" s="338">
        <f t="shared" si="22"/>
        <v>-0.15</v>
      </c>
      <c r="CJ50" s="338">
        <f t="shared" si="24"/>
        <v>-0.32</v>
      </c>
      <c r="CK50" s="436">
        <f t="shared" ref="CK50:CK61" si="28">CK35</f>
        <v>0.17</v>
      </c>
      <c r="CL50" s="443">
        <v>9.9999999999999995E-7</v>
      </c>
      <c r="CM50" s="423"/>
      <c r="CN50" s="435">
        <v>-20</v>
      </c>
      <c r="CO50" s="338">
        <f t="shared" si="23"/>
        <v>-1.8</v>
      </c>
      <c r="CP50" s="338">
        <f t="shared" si="25"/>
        <v>-0.51</v>
      </c>
      <c r="CQ50" s="436">
        <f t="shared" ref="CQ50:CQ61" si="29">CQ35</f>
        <v>1.29</v>
      </c>
      <c r="CR50" s="443">
        <v>9.9999999999999995E-7</v>
      </c>
      <c r="CS50" s="423"/>
    </row>
    <row r="51" spans="1:97" s="427" customFormat="1" ht="13">
      <c r="A51" s="423"/>
      <c r="B51" s="435">
        <v>-15</v>
      </c>
      <c r="C51" s="338">
        <v>-0.31</v>
      </c>
      <c r="D51" s="338">
        <f>'Data Standar'!U176</f>
        <v>-0.53</v>
      </c>
      <c r="E51" s="436">
        <f>IF(OR(C51=0,D51=0),'Data Standar'!$U$187/3,((MAX(C51:D51)-(MIN(C51:D51)))))</f>
        <v>0.22000000000000003</v>
      </c>
      <c r="F51" s="437">
        <f>(-0.77+1.66)/2</f>
        <v>0.44499999999999995</v>
      </c>
      <c r="G51" s="985">
        <f>IF(G48&lt;=B56,B56,IF(G48&lt;=B57,B57,IF(G48&lt;=B58,B58,IF(G48&lt;=B59,B59,IF(G48&lt;=B60,B60,IF(G48&lt;=B61,B61))))))</f>
        <v>200</v>
      </c>
      <c r="H51" s="435">
        <v>-15</v>
      </c>
      <c r="I51" s="338">
        <v>-0.51</v>
      </c>
      <c r="J51" s="338">
        <f>'Data Standar'!V176</f>
        <v>-0.37</v>
      </c>
      <c r="K51" s="436">
        <f>IF(OR(I51=0,J51=0),'Data Standar'!$V$187/3,((MAX(I51:J51)-(MIN(I51:J51)))))</f>
        <v>0.14000000000000001</v>
      </c>
      <c r="L51" s="437">
        <f>(0+0.1)/2</f>
        <v>0.05</v>
      </c>
      <c r="M51" s="985">
        <f>IF(M48&lt;=H56,H56,IF(M48&lt;=H57,H57,IF(M48&lt;=H58,H58,IF(M48&lt;=H59,H59,IF(M48&lt;=H60,H60,IF(M48&lt;=H61,H61))))))</f>
        <v>200</v>
      </c>
      <c r="N51" s="435">
        <v>-15</v>
      </c>
      <c r="O51" s="338">
        <v>-0.52</v>
      </c>
      <c r="P51" s="338">
        <f>'Data Standar'!W176</f>
        <v>-0.41</v>
      </c>
      <c r="Q51" s="436">
        <f>IF(OR(O51=0,P51=0),'Data Standar'!$W$187/3,((MAX(O51:P51)-(MIN(O51:P51)))))</f>
        <v>0.11000000000000004</v>
      </c>
      <c r="R51" s="443">
        <f>(0.05-0)/2</f>
        <v>2.5000000000000001E-2</v>
      </c>
      <c r="S51" s="985">
        <f>IF(S48&lt;=N56,N56,IF(S48&lt;=N57,N57,IF(S48&lt;=N58,N58,IF(S48&lt;=N59,N59,IF(S48&lt;=N60,N60,IF(S48&lt;=N61,N61))))))</f>
        <v>200</v>
      </c>
      <c r="T51" s="435">
        <v>-15</v>
      </c>
      <c r="U51" s="338">
        <f>'Data Standar'!X176</f>
        <v>-1.25</v>
      </c>
      <c r="V51" s="338"/>
      <c r="W51" s="436">
        <f>IF(OR(U51=0,V51=0),'Data Standar'!$X$187/3,((MAX(U51:V51)-(MIN(U51:V51)))))</f>
        <v>8.666666666666667E-2</v>
      </c>
      <c r="X51" s="443">
        <f>(0.05-0)/2</f>
        <v>2.5000000000000001E-2</v>
      </c>
      <c r="Y51" s="985">
        <f>IF(Y48&lt;=T56,T56,IF(Y48&lt;=T57,T57,IF(Y48&lt;=T58,T58,IF(Y48&lt;=T59,T59,IF(Y48&lt;=T60,T60,IF(Y48&lt;=T61,T61))))))</f>
        <v>200</v>
      </c>
      <c r="Z51" s="435">
        <v>-15</v>
      </c>
      <c r="AA51" s="338">
        <f>'Data Standar'!Y176</f>
        <v>0.11</v>
      </c>
      <c r="AB51" s="338">
        <v>9.9999999999999995E-7</v>
      </c>
      <c r="AC51" s="436">
        <f>IF(OR(AA51=0,AB51=0),'Data Standar'!$Y$187/3,((MAX(AA51:AB51)-(MIN(AA51:AB51)))))</f>
        <v>0.109999</v>
      </c>
      <c r="AD51" s="443">
        <f>(0.05-0)/2</f>
        <v>2.5000000000000001E-2</v>
      </c>
      <c r="AE51" s="985">
        <f>IF(AE48&lt;=Z56,Z56,IF(AE48&lt;=Z57,Z57,IF(AE48&lt;=Z58,Z58,IF(AE48&lt;=Z59,Z59,IF(AE48&lt;=Z60,Z60,IF(AE48&lt;=Z61,Z61))))))</f>
        <v>200</v>
      </c>
      <c r="AF51" s="435">
        <v>-15</v>
      </c>
      <c r="AG51" s="338">
        <f>'Data Standar'!Z176</f>
        <v>0.11</v>
      </c>
      <c r="AH51" s="338">
        <v>9.9999999999999995E-7</v>
      </c>
      <c r="AI51" s="436">
        <f>IF(OR(AG51=0,AH51=0),'Data Standar'!$Z$187/3,((MAX(AG51:AH51)-(MIN(AG51:AH51)))))</f>
        <v>0.109999</v>
      </c>
      <c r="AJ51" s="443">
        <f>(0.05-0)/2</f>
        <v>2.5000000000000001E-2</v>
      </c>
      <c r="AK51" s="985">
        <f>IF(AK48&lt;=AF56,AF56,IF(AK48&lt;=AF57,AF57,IF(AK48&lt;=AF58,AF58,IF(AK48&lt;=AF59,AF59,IF(AK48&lt;=AF60,AF60,IF(AK48&lt;=AF61,AF61))))))</f>
        <v>200</v>
      </c>
      <c r="AL51" s="435">
        <v>-15</v>
      </c>
      <c r="AM51" s="338">
        <f>'Data Standar'!AA176</f>
        <v>0.48</v>
      </c>
      <c r="AN51" s="338"/>
      <c r="AO51" s="436">
        <f>IF(OR(AM51=0,AN51=0),'Data Standar'!$AA$187/3,((MAX(AM51:AN51)-(MIN(AM51:AN51)))))</f>
        <v>8.3333333333333329E-2</v>
      </c>
      <c r="AP51" s="443">
        <f>(0.05-0)/2</f>
        <v>2.5000000000000001E-2</v>
      </c>
      <c r="AQ51" s="985">
        <f>IF(AQ48&lt;=AL56,AL56,IF(AQ48&lt;=AL57,AL57,IF(AQ48&lt;=AL58,AL58,IF(AQ48&lt;=AL59,AL59,IF(AQ48&lt;=AL60,AL60,IF(AQ48&lt;=AL61,AL61))))))</f>
        <v>200</v>
      </c>
      <c r="AR51" s="435">
        <v>-15</v>
      </c>
      <c r="AS51" s="338">
        <f>'Data Standar'!AB176</f>
        <v>0.35</v>
      </c>
      <c r="AT51" s="338"/>
      <c r="AU51" s="436">
        <f>IF(OR(AS51=0,AT51=0),'Data Standar'!$AB$187/3,((MAX(AS51:AT51)-(MIN(AS51:AT51)))))</f>
        <v>0.08</v>
      </c>
      <c r="AV51" s="443">
        <f>(0.05-0)/2</f>
        <v>2.5000000000000001E-2</v>
      </c>
      <c r="AW51" s="985">
        <f>IF(AW48&lt;=AR56,AR56,IF(AW48&lt;=AR57,AR57,IF(AW48&lt;=AR58,AR58,IF(AW48&lt;=AR59,AR59,IF(AW48&lt;=AR60,AR60,IF(AW48&lt;=AR61,AR61))))))</f>
        <v>200</v>
      </c>
      <c r="AX51" s="435">
        <v>-15</v>
      </c>
      <c r="AY51" s="338">
        <f>'Data Standar'!AC176</f>
        <v>9.9999999999999995E-7</v>
      </c>
      <c r="AZ51" s="338"/>
      <c r="BA51" s="436">
        <f>IF(OR(AY51=0,AZ51=0),'Data Standar'!$AC$187/3,((MAX(AY51:AZ51)-(MIN(AY51:AZ51)))))</f>
        <v>0.26333333333333336</v>
      </c>
      <c r="BB51" s="443">
        <f>(0.05-0)/2</f>
        <v>2.5000000000000001E-2</v>
      </c>
      <c r="BC51" s="985">
        <f>IF(BC48&lt;=AX56,AX56,IF(BC48&lt;=AX57,AX57,IF(BC48&lt;=AX58,AX58,IF(BC48&lt;=AX59,AX59,IF(BC48&lt;=AX60,AX60,IF(BC48&lt;=AX61,AX61))))))</f>
        <v>200</v>
      </c>
      <c r="BD51" s="435">
        <v>-15</v>
      </c>
      <c r="BE51" s="338">
        <f>'Data Standar'!AD176</f>
        <v>-0.67</v>
      </c>
      <c r="BF51" s="338"/>
      <c r="BG51" s="436">
        <f>IF(OR(BE51=0,BF51=0),'Data Standar'!$AD$187/3,((MAX(BE51:BF51)-(MIN(BE51:BF51)))))</f>
        <v>9.0000000000000011E-2</v>
      </c>
      <c r="BH51" s="443">
        <f>(0.05-0)/2</f>
        <v>2.5000000000000001E-2</v>
      </c>
      <c r="BI51" s="985">
        <f>IF(BI48&lt;=BD56,BD56,IF(BI48&lt;=BD57,BD57,IF(BI48&lt;=BD58,BD58,IF(BI48&lt;=BD59,BD59,IF(BI48&lt;=BD60,BD60,IF(BI48&lt;=BD61,BD61))))))</f>
        <v>200</v>
      </c>
      <c r="BJ51" s="435">
        <v>-15</v>
      </c>
      <c r="BK51" s="338">
        <f>'Data Standar'!AE176</f>
        <v>9.9999999999999995E-7</v>
      </c>
      <c r="BL51" s="338"/>
      <c r="BM51" s="436">
        <f>IF(OR(BK51=0,BL51=0),'Data Standar'!$AE$187/3,((MAX(BK51:BL51)-(MIN(BK51:BL51)))))</f>
        <v>0.26333333333333336</v>
      </c>
      <c r="BN51" s="443">
        <f>(0.05-0)/2</f>
        <v>2.5000000000000001E-2</v>
      </c>
      <c r="BO51" s="985">
        <f>IF(BO48&lt;=BJ56,BJ56,IF(BO48&lt;=BJ57,BJ57,IF(BO48&lt;=BJ58,BJ58,IF(BO48&lt;=BJ59,BJ59,IF(BO48&lt;=BJ60,BJ60,IF(BO48&lt;=BJ61,BJ61))))))</f>
        <v>200</v>
      </c>
      <c r="BP51" s="435">
        <v>-15</v>
      </c>
      <c r="BQ51" s="338">
        <f>'Data Standar'!AF176</f>
        <v>-1.06</v>
      </c>
      <c r="BR51" s="338"/>
      <c r="BS51" s="436">
        <f>IF(OR(BQ51=0,BR51=0),'Data Standar'!$AF$187/3,((MAX(BQ51:BR51)-(MIN(BQ51:BR51)))))</f>
        <v>8.3333333333333329E-2</v>
      </c>
      <c r="BT51" s="443">
        <f>(0.05-0)/2</f>
        <v>2.5000000000000001E-2</v>
      </c>
      <c r="BU51" s="985">
        <f>IF(BU48&lt;=BP56,BP56,IF(BU48&lt;=BP57,BP57,IF(BU48&lt;=BP58,BP58,IF(BU48&lt;=BP59,BP59,IF(BU48&lt;=BP60,BP60,IF(BU48&lt;=BP61,BP61))))))</f>
        <v>200</v>
      </c>
      <c r="BV51" s="435">
        <v>-15</v>
      </c>
      <c r="BW51" s="338">
        <f>'Data Standar'!AG176</f>
        <v>-1.1399999999999999</v>
      </c>
      <c r="BX51" s="338"/>
      <c r="BY51" s="436">
        <f>IF(OR(BW51=0,BX51=0),'Data Standar'!$AG$187/3,((MAX(BW51:BX51)-(MIN(BW51:BX51)))))</f>
        <v>8.666666666666667E-2</v>
      </c>
      <c r="BZ51" s="443">
        <f>(0.05-0)/2</f>
        <v>2.5000000000000001E-2</v>
      </c>
      <c r="CA51" s="985">
        <f>IF(CA48&lt;=BV56,BV56,IF(CA48&lt;=BV57,BV57,IF(CA48&lt;=BV58,BV58,IF(CA48&lt;=BV59,BV59,IF(CA48&lt;=BV60,BV60,IF(CA48&lt;=BV61,BV61))))))</f>
        <v>200</v>
      </c>
      <c r="CB51" s="435">
        <v>-15</v>
      </c>
      <c r="CC51" s="338">
        <f t="shared" si="21"/>
        <v>-1.1000000000000001</v>
      </c>
      <c r="CD51" s="338">
        <f t="shared" si="26"/>
        <v>-0.7</v>
      </c>
      <c r="CE51" s="436">
        <f t="shared" si="27"/>
        <v>0.40000000000000013</v>
      </c>
      <c r="CF51" s="443">
        <f>(0.05-0)/2</f>
        <v>2.5000000000000001E-2</v>
      </c>
      <c r="CG51" s="423"/>
      <c r="CH51" s="435">
        <v>-15</v>
      </c>
      <c r="CI51" s="338">
        <f t="shared" si="22"/>
        <v>-0.1</v>
      </c>
      <c r="CJ51" s="338">
        <f t="shared" si="24"/>
        <v>-0.24</v>
      </c>
      <c r="CK51" s="436">
        <f t="shared" si="28"/>
        <v>0.13999999999999999</v>
      </c>
      <c r="CL51" s="443">
        <f>(0.05-0)/2</f>
        <v>2.5000000000000001E-2</v>
      </c>
      <c r="CM51" s="423"/>
      <c r="CN51" s="435">
        <v>-15</v>
      </c>
      <c r="CO51" s="338">
        <f t="shared" si="23"/>
        <v>-1.52</v>
      </c>
      <c r="CP51" s="338">
        <f t="shared" si="25"/>
        <v>-0.39</v>
      </c>
      <c r="CQ51" s="436">
        <f t="shared" si="29"/>
        <v>1.1299999999999999</v>
      </c>
      <c r="CR51" s="443">
        <f>(0.05-0)/2</f>
        <v>2.5000000000000001E-2</v>
      </c>
      <c r="CS51" s="423"/>
    </row>
    <row r="52" spans="1:97" s="427" customFormat="1" ht="13">
      <c r="A52" s="423"/>
      <c r="B52" s="435">
        <v>-10</v>
      </c>
      <c r="C52" s="338">
        <v>-0.25</v>
      </c>
      <c r="D52" s="338">
        <f>'Data Standar'!U177</f>
        <v>-0.47</v>
      </c>
      <c r="E52" s="436">
        <f>IF(OR(C52=0,D52=0),'Data Standar'!$U$187/3,((MAX(C52:D52)-(MIN(C52:D52)))))</f>
        <v>0.21999999999999997</v>
      </c>
      <c r="F52" s="437">
        <f>(-0.68+1.43)/2</f>
        <v>0.37499999999999994</v>
      </c>
      <c r="G52" s="437"/>
      <c r="H52" s="435">
        <v>-10</v>
      </c>
      <c r="I52" s="338">
        <v>9.9999999999999995E-7</v>
      </c>
      <c r="J52" s="338">
        <f>'Data Standar'!V177</f>
        <v>-0.31</v>
      </c>
      <c r="K52" s="436">
        <f>IF(OR(I52=0,J52=0),'Data Standar'!$V$187/3,((MAX(I52:J52)-(MIN(I52:J52)))))</f>
        <v>0.31000099999999997</v>
      </c>
      <c r="L52" s="437">
        <f>(0+0.09)/2</f>
        <v>4.4999999999999998E-2</v>
      </c>
      <c r="M52" s="437"/>
      <c r="N52" s="435">
        <v>-10</v>
      </c>
      <c r="O52" s="338">
        <v>-0.43</v>
      </c>
      <c r="P52" s="338">
        <f>'Data Standar'!W177</f>
        <v>-0.33</v>
      </c>
      <c r="Q52" s="436">
        <f>IF(OR(O52=0,P52=0),'Data Standar'!$W$187/3,((MAX(O52:P52)-(MIN(O52:P52)))))</f>
        <v>9.9999999999999978E-2</v>
      </c>
      <c r="R52" s="443">
        <f>(0.06-0)/2</f>
        <v>0.03</v>
      </c>
      <c r="S52" s="437"/>
      <c r="T52" s="435">
        <v>-10</v>
      </c>
      <c r="U52" s="338">
        <f>'Data Standar'!X177</f>
        <v>-1</v>
      </c>
      <c r="V52" s="338"/>
      <c r="W52" s="436">
        <f>IF(OR(U52=0,V52=0),'Data Standar'!$X$187/3,((MAX(U52:V52)-(MIN(U52:V52)))))</f>
        <v>8.666666666666667E-2</v>
      </c>
      <c r="X52" s="443">
        <f>(0.06-0)/2</f>
        <v>0.03</v>
      </c>
      <c r="Y52" s="437"/>
      <c r="Z52" s="435">
        <v>-10</v>
      </c>
      <c r="AA52" s="338">
        <f>'Data Standar'!Y177</f>
        <v>0.13</v>
      </c>
      <c r="AB52" s="338">
        <v>-0.42</v>
      </c>
      <c r="AC52" s="436">
        <f>IF(OR(AA52=0,AB52=0),'Data Standar'!$Y$187/3,((MAX(AA52:AB52)-(MIN(AA52:AB52)))))</f>
        <v>0.55000000000000004</v>
      </c>
      <c r="AD52" s="443">
        <f>(0.06-0)/2</f>
        <v>0.03</v>
      </c>
      <c r="AE52" s="437"/>
      <c r="AF52" s="435">
        <v>-10</v>
      </c>
      <c r="AG52" s="338">
        <f>'Data Standar'!Z177</f>
        <v>0.15</v>
      </c>
      <c r="AH52" s="338">
        <v>0.21</v>
      </c>
      <c r="AI52" s="436">
        <f>IF(OR(AG52=0,AH52=0),'Data Standar'!$Z$187/3,((MAX(AG52:AH52)-(MIN(AG52:AH52)))))</f>
        <v>0.06</v>
      </c>
      <c r="AJ52" s="443">
        <f>(0.06-0)/2</f>
        <v>0.03</v>
      </c>
      <c r="AK52" s="437"/>
      <c r="AL52" s="435">
        <v>-10</v>
      </c>
      <c r="AM52" s="338">
        <f>'Data Standar'!AA177</f>
        <v>0.48</v>
      </c>
      <c r="AN52" s="338"/>
      <c r="AO52" s="436">
        <f>IF(OR(AM52=0,AN52=0),'Data Standar'!$AA$187/3,((MAX(AM52:AN52)-(MIN(AM52:AN52)))))</f>
        <v>8.3333333333333329E-2</v>
      </c>
      <c r="AP52" s="443">
        <f>(0.06-0)/2</f>
        <v>0.03</v>
      </c>
      <c r="AQ52" s="437"/>
      <c r="AR52" s="435">
        <v>-10</v>
      </c>
      <c r="AS52" s="338">
        <f>'Data Standar'!AB177</f>
        <v>0.36</v>
      </c>
      <c r="AT52" s="338"/>
      <c r="AU52" s="436">
        <f>IF(OR(AS52=0,AT52=0),'Data Standar'!$AB$187/3,((MAX(AS52:AT52)-(MIN(AS52:AT52)))))</f>
        <v>0.08</v>
      </c>
      <c r="AV52" s="443">
        <f>(0.06-0)/2</f>
        <v>0.03</v>
      </c>
      <c r="AW52" s="437"/>
      <c r="AX52" s="435">
        <v>-10</v>
      </c>
      <c r="AY52" s="338">
        <f>'Data Standar'!AC177</f>
        <v>0.6</v>
      </c>
      <c r="AZ52" s="338"/>
      <c r="BA52" s="436">
        <f>IF(OR(AY52=0,AZ52=0),'Data Standar'!$AC$187/3,((MAX(AY52:AZ52)-(MIN(AY52:AZ52)))))</f>
        <v>0.26333333333333336</v>
      </c>
      <c r="BB52" s="443">
        <f>(0.06-0)/2</f>
        <v>0.03</v>
      </c>
      <c r="BC52" s="437"/>
      <c r="BD52" s="435">
        <v>-10</v>
      </c>
      <c r="BE52" s="338">
        <f>'Data Standar'!AD177</f>
        <v>-0.48</v>
      </c>
      <c r="BF52" s="338"/>
      <c r="BG52" s="436">
        <f>IF(OR(BE52=0,BF52=0),'Data Standar'!$AD$187/3,((MAX(BE52:BF52)-(MIN(BE52:BF52)))))</f>
        <v>9.0000000000000011E-2</v>
      </c>
      <c r="BH52" s="443">
        <f>(0.06-0)/2</f>
        <v>0.03</v>
      </c>
      <c r="BI52" s="437"/>
      <c r="BJ52" s="435">
        <v>-10</v>
      </c>
      <c r="BK52" s="338">
        <f>'Data Standar'!AE177</f>
        <v>0.6</v>
      </c>
      <c r="BL52" s="338"/>
      <c r="BM52" s="436">
        <f>IF(OR(BK52=0,BL52=0),'Data Standar'!$AE$187/3,((MAX(BK52:BL52)-(MIN(BK52:BL52)))))</f>
        <v>0.26333333333333336</v>
      </c>
      <c r="BN52" s="443">
        <f>(0.06-0)/2</f>
        <v>0.03</v>
      </c>
      <c r="BO52" s="437"/>
      <c r="BP52" s="435">
        <v>-10</v>
      </c>
      <c r="BQ52" s="338">
        <f>'Data Standar'!AF177</f>
        <v>-0.85</v>
      </c>
      <c r="BR52" s="338"/>
      <c r="BS52" s="436">
        <f>IF(OR(BQ52=0,BR52=0),'Data Standar'!$AF$187/3,((MAX(BQ52:BR52)-(MIN(BQ52:BR52)))))</f>
        <v>8.3333333333333329E-2</v>
      </c>
      <c r="BT52" s="443">
        <f>(0.06-0)/2</f>
        <v>0.03</v>
      </c>
      <c r="BU52" s="437"/>
      <c r="BV52" s="435">
        <v>-10</v>
      </c>
      <c r="BW52" s="338">
        <f>'Data Standar'!AG177</f>
        <v>-0.9</v>
      </c>
      <c r="BX52" s="338"/>
      <c r="BY52" s="436">
        <f>IF(OR(BW52=0,BX52=0),'Data Standar'!$AG$187/3,((MAX(BW52:BX52)-(MIN(BW52:BX52)))))</f>
        <v>8.666666666666667E-2</v>
      </c>
      <c r="BZ52" s="443">
        <f>(0.06-0)/2</f>
        <v>0.03</v>
      </c>
      <c r="CA52" s="437"/>
      <c r="CB52" s="435">
        <v>-10</v>
      </c>
      <c r="CC52" s="338">
        <f t="shared" si="21"/>
        <v>-1.2</v>
      </c>
      <c r="CD52" s="338">
        <f t="shared" si="26"/>
        <v>-0.7</v>
      </c>
      <c r="CE52" s="436">
        <f t="shared" si="27"/>
        <v>0.5</v>
      </c>
      <c r="CF52" s="443">
        <f>(0.06-0)/2</f>
        <v>0.03</v>
      </c>
      <c r="CG52" s="423"/>
      <c r="CH52" s="435">
        <v>-10</v>
      </c>
      <c r="CI52" s="338">
        <f t="shared" si="22"/>
        <v>-0.05</v>
      </c>
      <c r="CJ52" s="338">
        <f t="shared" si="24"/>
        <v>-0.18</v>
      </c>
      <c r="CK52" s="436">
        <f t="shared" si="28"/>
        <v>0.13</v>
      </c>
      <c r="CL52" s="443">
        <f>(0.06-0)/2</f>
        <v>0.03</v>
      </c>
      <c r="CM52" s="423"/>
      <c r="CN52" s="435">
        <v>-10</v>
      </c>
      <c r="CO52" s="338">
        <f t="shared" si="23"/>
        <v>-1.26</v>
      </c>
      <c r="CP52" s="338">
        <f t="shared" si="25"/>
        <v>-0.28000000000000003</v>
      </c>
      <c r="CQ52" s="436">
        <f t="shared" si="29"/>
        <v>0.98</v>
      </c>
      <c r="CR52" s="443">
        <f>(0.06-0)/2</f>
        <v>0.03</v>
      </c>
      <c r="CS52" s="423"/>
    </row>
    <row r="53" spans="1:97" s="427" customFormat="1" ht="13">
      <c r="A53" s="423"/>
      <c r="B53" s="435">
        <v>9.9999999999999995E-7</v>
      </c>
      <c r="C53" s="338">
        <v>-0.16</v>
      </c>
      <c r="D53" s="338">
        <f>'Data Standar'!U178</f>
        <v>-0.34</v>
      </c>
      <c r="E53" s="436">
        <f>IF(OR(C53=0,D53=0),'Data Standar'!$U$187/3,((MAX(C53:D53)-(MIN(C53:D53)))))</f>
        <v>0.18000000000000002</v>
      </c>
      <c r="F53" s="437">
        <f>(-0.54+0.99)/2</f>
        <v>0.22499999999999998</v>
      </c>
      <c r="G53" s="986">
        <f>VLOOKUP(G49,B56:F61,4)</f>
        <v>0.64</v>
      </c>
      <c r="H53" s="435">
        <v>9.9999999999999995E-7</v>
      </c>
      <c r="I53" s="338">
        <v>-0.22</v>
      </c>
      <c r="J53" s="338">
        <f>'Data Standar'!V178</f>
        <v>-0.2</v>
      </c>
      <c r="K53" s="436">
        <f>IF(OR(I53=0,J53=0),'Data Standar'!$V$187/3,((MAX(I53:J53)-(MIN(I53:J53)))))</f>
        <v>1.999999999999999E-2</v>
      </c>
      <c r="L53" s="437">
        <f>(0+0.09)/2</f>
        <v>4.4999999999999998E-2</v>
      </c>
      <c r="M53" s="986">
        <f>VLOOKUP(M49,H56:L61,4)</f>
        <v>0.57999999999999996</v>
      </c>
      <c r="N53" s="435">
        <v>9.9999999999999995E-7</v>
      </c>
      <c r="O53" s="338">
        <v>-0.36</v>
      </c>
      <c r="P53" s="338">
        <f>'Data Standar'!W178</f>
        <v>-0.2</v>
      </c>
      <c r="Q53" s="436">
        <f>IF(OR(O53=0,P53=0),'Data Standar'!$W$187/3,((MAX(O53:P53)-(MIN(O53:P53)))))</f>
        <v>0.15999999999999998</v>
      </c>
      <c r="R53" s="443">
        <f>(0.08-0)/2</f>
        <v>0.04</v>
      </c>
      <c r="S53" s="986">
        <f>VLOOKUP(S49,N56:R61,4)</f>
        <v>0.22999999999999998</v>
      </c>
      <c r="T53" s="435">
        <v>9.9999999999999995E-7</v>
      </c>
      <c r="U53" s="338">
        <f>'Data Standar'!X178</f>
        <v>-0.28999999999999998</v>
      </c>
      <c r="V53" s="338"/>
      <c r="W53" s="436">
        <f>IF(OR(U53=0,V53=0),'Data Standar'!$X$187/3,((MAX(U53:V53)-(MIN(U53:V53)))))</f>
        <v>8.666666666666667E-2</v>
      </c>
      <c r="X53" s="443">
        <f>(0.08-0)/2</f>
        <v>0.04</v>
      </c>
      <c r="Y53" s="986">
        <f>VLOOKUP(Y49,T56:X61,4)</f>
        <v>8.666666666666667E-2</v>
      </c>
      <c r="Z53" s="435">
        <v>9.9999999999999995E-7</v>
      </c>
      <c r="AA53" s="338">
        <f>'Data Standar'!Y178</f>
        <v>0.12</v>
      </c>
      <c r="AB53" s="338">
        <v>-0.18</v>
      </c>
      <c r="AC53" s="436">
        <f>IF(OR(AA53=0,AB53=0),'Data Standar'!$Y$187/3,((MAX(AA53:AB53)-(MIN(AA53:AB53)))))</f>
        <v>0.3</v>
      </c>
      <c r="AD53" s="443">
        <f>(0.08-0)/2</f>
        <v>0.04</v>
      </c>
      <c r="AE53" s="986">
        <f>VLOOKUP(AE49,Z56:AD61,4)</f>
        <v>0.14999999999999997</v>
      </c>
      <c r="AF53" s="435">
        <v>9.9999999999999995E-7</v>
      </c>
      <c r="AG53" s="338">
        <f>'Data Standar'!Z178</f>
        <v>0.12</v>
      </c>
      <c r="AH53" s="338">
        <v>0.35</v>
      </c>
      <c r="AI53" s="436">
        <f>IF(OR(AG53=0,AH53=0),'Data Standar'!$Z$187/3,((MAX(AG53:AH53)-(MIN(AG53:AH53)))))</f>
        <v>0.22999999999999998</v>
      </c>
      <c r="AJ53" s="443">
        <f>(0.08-0)/2</f>
        <v>0.04</v>
      </c>
      <c r="AK53" s="986">
        <f>VLOOKUP(AK49,AF56:AJ61,4)</f>
        <v>0.27</v>
      </c>
      <c r="AL53" s="435">
        <v>9.9999999999999995E-7</v>
      </c>
      <c r="AM53" s="338">
        <f>'Data Standar'!AA178</f>
        <v>0.43</v>
      </c>
      <c r="AN53" s="338"/>
      <c r="AO53" s="436">
        <f>IF(OR(AM53=0,AN53=0),'Data Standar'!$AA$187/3,((MAX(AM53:AN53)-(MIN(AM53:AN53)))))</f>
        <v>8.3333333333333329E-2</v>
      </c>
      <c r="AP53" s="443">
        <f>(0.08-0)/2</f>
        <v>0.04</v>
      </c>
      <c r="AQ53" s="986">
        <f>VLOOKUP(AQ49,AL56:AP61,4)</f>
        <v>8.3333333333333329E-2</v>
      </c>
      <c r="AR53" s="435">
        <v>9.9999999999999995E-7</v>
      </c>
      <c r="AS53" s="338">
        <f>'Data Standar'!AB178</f>
        <v>0.38</v>
      </c>
      <c r="AT53" s="338"/>
      <c r="AU53" s="436">
        <f>IF(OR(AS53=0,AT53=0),'Data Standar'!$AB$187/3,((MAX(AS53:AT53)-(MIN(AS53:AT53)))))</f>
        <v>0.08</v>
      </c>
      <c r="AV53" s="443">
        <f>(0.08-0)/2</f>
        <v>0.04</v>
      </c>
      <c r="AW53" s="986">
        <f>VLOOKUP(AW49,AR56:AV61,4)</f>
        <v>0.08</v>
      </c>
      <c r="AX53" s="435">
        <v>9.9999999999999995E-7</v>
      </c>
      <c r="AY53" s="338">
        <f>'Data Standar'!AC178</f>
        <v>0.56999999999999995</v>
      </c>
      <c r="AZ53" s="338"/>
      <c r="BA53" s="436">
        <f>IF(OR(AY53=0,AZ53=0),'Data Standar'!$AC$187/3,((MAX(AY53:AZ53)-(MIN(AY53:AZ53)))))</f>
        <v>0.26333333333333336</v>
      </c>
      <c r="BB53" s="443">
        <f>(0.08-0)/2</f>
        <v>0.04</v>
      </c>
      <c r="BC53" s="986">
        <f>VLOOKUP(BC49,AX56:BB61,4)</f>
        <v>0.26333333333333336</v>
      </c>
      <c r="BD53" s="435">
        <v>9.9999999999999995E-7</v>
      </c>
      <c r="BE53" s="338">
        <f>'Data Standar'!AD178</f>
        <v>-0.26</v>
      </c>
      <c r="BF53" s="338"/>
      <c r="BG53" s="436">
        <f>IF(OR(BE53=0,BF53=0),'Data Standar'!$AD$187/3,((MAX(BE53:BF53)-(MIN(BE53:BF53)))))</f>
        <v>9.0000000000000011E-2</v>
      </c>
      <c r="BH53" s="443">
        <f>(0.08-0)/2</f>
        <v>0.04</v>
      </c>
      <c r="BI53" s="986">
        <f>VLOOKUP(BI49,BD56:BH61,4)</f>
        <v>9.0000000000000011E-2</v>
      </c>
      <c r="BJ53" s="435">
        <v>9.9999999999999995E-7</v>
      </c>
      <c r="BK53" s="338">
        <f>'Data Standar'!AE178</f>
        <v>0.56999999999999995</v>
      </c>
      <c r="BL53" s="338"/>
      <c r="BM53" s="436">
        <f>IF(OR(BK53=0,BL53=0),'Data Standar'!$AE$187/3,((MAX(BK53:BL53)-(MIN(BK53:BL53)))))</f>
        <v>0.26333333333333336</v>
      </c>
      <c r="BN53" s="443">
        <f>(0.08-0)/2</f>
        <v>0.04</v>
      </c>
      <c r="BO53" s="986">
        <f>VLOOKUP(BO49,BJ56:BN61,4)</f>
        <v>0.26333333333333336</v>
      </c>
      <c r="BP53" s="435">
        <v>9.9999999999999995E-7</v>
      </c>
      <c r="BQ53" s="338">
        <f>'Data Standar'!AF178</f>
        <v>-0.57999999999999996</v>
      </c>
      <c r="BR53" s="338"/>
      <c r="BS53" s="436">
        <f>IF(OR(BQ53=0,BR53=0),'Data Standar'!$AF$187/3,((MAX(BQ53:BR53)-(MIN(BQ53:BR53)))))</f>
        <v>8.3333333333333329E-2</v>
      </c>
      <c r="BT53" s="443">
        <f>(0.08-0)/2</f>
        <v>0.04</v>
      </c>
      <c r="BU53" s="986">
        <f>VLOOKUP(BU49,BP56:BT61,4)</f>
        <v>8.3333333333333329E-2</v>
      </c>
      <c r="BV53" s="435">
        <v>9.9999999999999995E-7</v>
      </c>
      <c r="BW53" s="338">
        <f>'Data Standar'!AG178</f>
        <v>-0.52</v>
      </c>
      <c r="BX53" s="338"/>
      <c r="BY53" s="436">
        <f>IF(OR(BW53=0,BX53=0),'Data Standar'!$AG$187/3,((MAX(BW53:BX53)-(MIN(BW53:BX53)))))</f>
        <v>8.666666666666667E-2</v>
      </c>
      <c r="BZ53" s="443">
        <f>(0.08-0)/2</f>
        <v>0.04</v>
      </c>
      <c r="CA53" s="986">
        <f>VLOOKUP(CA49,BV56:BZ61,4)</f>
        <v>8.666666666666667E-2</v>
      </c>
      <c r="CB53" s="435">
        <v>9.9999999999999995E-7</v>
      </c>
      <c r="CC53" s="338">
        <f t="shared" si="21"/>
        <v>-1.4</v>
      </c>
      <c r="CD53" s="338">
        <f t="shared" si="26"/>
        <v>-0.7</v>
      </c>
      <c r="CE53" s="436">
        <f t="shared" si="27"/>
        <v>0.7</v>
      </c>
      <c r="CF53" s="443">
        <f>(0.08-0)/2</f>
        <v>0.04</v>
      </c>
      <c r="CG53" s="423"/>
      <c r="CH53" s="435">
        <v>9.9999999999999995E-7</v>
      </c>
      <c r="CI53" s="338">
        <f t="shared" si="22"/>
        <v>0.03</v>
      </c>
      <c r="CJ53" s="338">
        <f t="shared" si="24"/>
        <v>-0.06</v>
      </c>
      <c r="CK53" s="436">
        <f t="shared" si="28"/>
        <v>0.09</v>
      </c>
      <c r="CL53" s="443">
        <f>(0.08-0)/2</f>
        <v>0.04</v>
      </c>
      <c r="CM53" s="423"/>
      <c r="CN53" s="435">
        <v>9.9999999999999995E-7</v>
      </c>
      <c r="CO53" s="338">
        <f t="shared" si="23"/>
        <v>-0.79</v>
      </c>
      <c r="CP53" s="338">
        <f t="shared" si="25"/>
        <v>-0.08</v>
      </c>
      <c r="CQ53" s="436">
        <f t="shared" si="29"/>
        <v>0.71000000000000008</v>
      </c>
      <c r="CR53" s="443">
        <f>(0.08-0)/2</f>
        <v>0.04</v>
      </c>
      <c r="CS53" s="423"/>
    </row>
    <row r="54" spans="1:97" s="427" customFormat="1" ht="13">
      <c r="A54" s="423"/>
      <c r="B54" s="435">
        <v>2</v>
      </c>
      <c r="C54" s="338">
        <v>-0.14000000000000001</v>
      </c>
      <c r="D54" s="338">
        <f>'Data Standar'!U179</f>
        <v>-0.32</v>
      </c>
      <c r="E54" s="436">
        <f>IF(OR(C54=0,D54=0),'Data Standar'!$U$187/3,((MAX(C54:D54)-(MIN(C54:D54)))))</f>
        <v>0.18</v>
      </c>
      <c r="F54" s="437">
        <f>(-0.52+0.9)/2</f>
        <v>0.19</v>
      </c>
      <c r="G54" s="437"/>
      <c r="H54" s="435">
        <v>2</v>
      </c>
      <c r="I54" s="338">
        <v>-0.19</v>
      </c>
      <c r="J54" s="338">
        <f>'Data Standar'!V179</f>
        <v>-0.18</v>
      </c>
      <c r="K54" s="436">
        <f>IF(OR(I54=0,J54=0),'Data Standar'!$V$187/3,((MAX(I54:J54)-(MIN(I54:J54)))))</f>
        <v>1.0000000000000009E-2</v>
      </c>
      <c r="L54" s="437">
        <f>(0+0.08)/2</f>
        <v>0.04</v>
      </c>
      <c r="M54" s="437"/>
      <c r="N54" s="435">
        <v>2</v>
      </c>
      <c r="O54" s="338">
        <v>-0.35</v>
      </c>
      <c r="P54" s="338">
        <f>'Data Standar'!W179</f>
        <v>-0.18</v>
      </c>
      <c r="Q54" s="436">
        <f>IF(OR(O54=0,P54=0),'Data Standar'!$W$187/3,((MAX(O54:P54)-(MIN(O54:P54)))))</f>
        <v>0.16999999999999998</v>
      </c>
      <c r="R54" s="443">
        <f>(0.08-0)/2</f>
        <v>0.04</v>
      </c>
      <c r="S54" s="437"/>
      <c r="T54" s="435">
        <v>2</v>
      </c>
      <c r="U54" s="338">
        <f>'Data Standar'!X179</f>
        <v>-0.59</v>
      </c>
      <c r="V54" s="338"/>
      <c r="W54" s="436">
        <f>IF(OR(U54=0,V54=0),'Data Standar'!$X$187/3,((MAX(U54:V54)-(MIN(U54:V54)))))</f>
        <v>8.666666666666667E-2</v>
      </c>
      <c r="X54" s="443">
        <f>(0.08-0)/2</f>
        <v>0.04</v>
      </c>
      <c r="Y54" s="437"/>
      <c r="Z54" s="435">
        <v>2</v>
      </c>
      <c r="AA54" s="338">
        <f>'Data Standar'!Y179</f>
        <v>0.14000000000000001</v>
      </c>
      <c r="AB54" s="338">
        <v>-0.14000000000000001</v>
      </c>
      <c r="AC54" s="436">
        <f>IF(OR(AA54=0,AB54=0),'Data Standar'!$Y$187/3,((MAX(AA54:AB54)-(MIN(AA54:AB54)))))</f>
        <v>0.28000000000000003</v>
      </c>
      <c r="AD54" s="443">
        <f>(0.08-0)/2</f>
        <v>0.04</v>
      </c>
      <c r="AE54" s="437"/>
      <c r="AF54" s="435">
        <v>2</v>
      </c>
      <c r="AG54" s="338">
        <f>'Data Standar'!Z179</f>
        <v>0.13</v>
      </c>
      <c r="AH54" s="338">
        <v>0.37</v>
      </c>
      <c r="AI54" s="436">
        <f>IF(OR(AG54=0,AH54=0),'Data Standar'!$Z$187/3,((MAX(AG54:AH54)-(MIN(AG54:AH54)))))</f>
        <v>0.24</v>
      </c>
      <c r="AJ54" s="443">
        <f>(0.08-0)/2</f>
        <v>0.04</v>
      </c>
      <c r="AK54" s="437"/>
      <c r="AL54" s="435">
        <v>2</v>
      </c>
      <c r="AM54" s="338">
        <f>'Data Standar'!AA179</f>
        <v>0.45</v>
      </c>
      <c r="AN54" s="338"/>
      <c r="AO54" s="436">
        <f>IF(OR(AM54=0,AN54=0),'Data Standar'!$AA$187/3,((MAX(AM54:AN54)-(MIN(AM54:AN54)))))</f>
        <v>8.3333333333333329E-2</v>
      </c>
      <c r="AP54" s="443">
        <f>(0.08-0)/2</f>
        <v>0.04</v>
      </c>
      <c r="AQ54" s="437"/>
      <c r="AR54" s="435">
        <v>2</v>
      </c>
      <c r="AS54" s="338">
        <f>'Data Standar'!AB179</f>
        <v>0.38</v>
      </c>
      <c r="AT54" s="338"/>
      <c r="AU54" s="436">
        <f>IF(OR(AS54=0,AT54=0),'Data Standar'!$AB$187/3,((MAX(AS54:AT54)-(MIN(AS54:AT54)))))</f>
        <v>0.08</v>
      </c>
      <c r="AV54" s="443">
        <f>(0.08-0)/2</f>
        <v>0.04</v>
      </c>
      <c r="AW54" s="437"/>
      <c r="AX54" s="435">
        <v>2</v>
      </c>
      <c r="AY54" s="338">
        <f>'Data Standar'!AC179</f>
        <v>0.56000000000000005</v>
      </c>
      <c r="AZ54" s="338"/>
      <c r="BA54" s="436">
        <f>IF(OR(AY54=0,AZ54=0),'Data Standar'!$AC$187/3,((MAX(AY54:AZ54)-(MIN(AY54:AZ54)))))</f>
        <v>0.26333333333333336</v>
      </c>
      <c r="BB54" s="443">
        <f>(0.08-0)/2</f>
        <v>0.04</v>
      </c>
      <c r="BC54" s="437"/>
      <c r="BD54" s="435">
        <v>2</v>
      </c>
      <c r="BE54" s="338">
        <f>'Data Standar'!AD179</f>
        <v>-0.34</v>
      </c>
      <c r="BF54" s="338"/>
      <c r="BG54" s="436">
        <f>IF(OR(BE54=0,BF54=0),'Data Standar'!$AD$187/3,((MAX(BE54:BF54)-(MIN(BE54:BF54)))))</f>
        <v>9.0000000000000011E-2</v>
      </c>
      <c r="BH54" s="443">
        <f>(0.08-0)/2</f>
        <v>0.04</v>
      </c>
      <c r="BI54" s="437"/>
      <c r="BJ54" s="435">
        <v>2</v>
      </c>
      <c r="BK54" s="338">
        <f>'Data Standar'!AE179</f>
        <v>0.56000000000000005</v>
      </c>
      <c r="BL54" s="338"/>
      <c r="BM54" s="436">
        <f>IF(OR(BK54=0,BL54=0),'Data Standar'!$AE$187/3,((MAX(BK54:BL54)-(MIN(BK54:BL54)))))</f>
        <v>0.26333333333333336</v>
      </c>
      <c r="BN54" s="443">
        <f>(0.08-0)/2</f>
        <v>0.04</v>
      </c>
      <c r="BO54" s="437"/>
      <c r="BP54" s="435">
        <v>2</v>
      </c>
      <c r="BQ54" s="338">
        <f>'Data Standar'!AF179</f>
        <v>-0.57999999999999996</v>
      </c>
      <c r="BR54" s="338"/>
      <c r="BS54" s="436">
        <f>IF(OR(BQ54=0,BR54=0),'Data Standar'!$AF$187/3,((MAX(BQ54:BR54)-(MIN(BQ54:BR54)))))</f>
        <v>8.3333333333333329E-2</v>
      </c>
      <c r="BT54" s="443">
        <f>(0.08-0)/2</f>
        <v>0.04</v>
      </c>
      <c r="BU54" s="437"/>
      <c r="BV54" s="435">
        <v>2</v>
      </c>
      <c r="BW54" s="338">
        <f>'Data Standar'!AG179</f>
        <v>-0.63</v>
      </c>
      <c r="BX54" s="338"/>
      <c r="BY54" s="436">
        <f>IF(OR(BW54=0,BX54=0),'Data Standar'!$AG$187/3,((MAX(BW54:BX54)-(MIN(BW54:BX54)))))</f>
        <v>8.666666666666667E-2</v>
      </c>
      <c r="BZ54" s="443">
        <f>(0.08-0)/2</f>
        <v>0.04</v>
      </c>
      <c r="CA54" s="437"/>
      <c r="CB54" s="435">
        <v>2</v>
      </c>
      <c r="CC54" s="338">
        <f t="shared" si="21"/>
        <v>0</v>
      </c>
      <c r="CD54" s="338">
        <f t="shared" si="26"/>
        <v>-0.7</v>
      </c>
      <c r="CE54" s="436">
        <f t="shared" si="27"/>
        <v>0.19999999999999998</v>
      </c>
      <c r="CF54" s="443">
        <f>(0.08-0)/2</f>
        <v>0.04</v>
      </c>
      <c r="CG54" s="423"/>
      <c r="CH54" s="435">
        <v>2</v>
      </c>
      <c r="CI54" s="338">
        <f t="shared" si="22"/>
        <v>0.04</v>
      </c>
      <c r="CJ54" s="338">
        <f t="shared" si="24"/>
        <v>-0.04</v>
      </c>
      <c r="CK54" s="436">
        <f t="shared" si="28"/>
        <v>0.08</v>
      </c>
      <c r="CL54" s="443">
        <f>(0.08-0)/2</f>
        <v>0.04</v>
      </c>
      <c r="CM54" s="423"/>
      <c r="CN54" s="435">
        <v>2</v>
      </c>
      <c r="CO54" s="338">
        <f t="shared" si="23"/>
        <v>-0.7</v>
      </c>
      <c r="CP54" s="338">
        <f t="shared" si="25"/>
        <v>-0.05</v>
      </c>
      <c r="CQ54" s="436">
        <f t="shared" si="29"/>
        <v>0.64999999999999991</v>
      </c>
      <c r="CR54" s="443">
        <f>(0.08-0)/2</f>
        <v>0.04</v>
      </c>
      <c r="CS54" s="423"/>
    </row>
    <row r="55" spans="1:97" s="427" customFormat="1" ht="13">
      <c r="A55" s="423"/>
      <c r="B55" s="435">
        <v>8</v>
      </c>
      <c r="C55" s="444">
        <v>-0.09</v>
      </c>
      <c r="D55" s="338">
        <f>'Data Standar'!U180</f>
        <v>-0.24</v>
      </c>
      <c r="E55" s="436">
        <f>IF(OR(C55=0,D55=0),'Data Standar'!$U$187/3,((MAX(C55:D55)-(MIN(C55:D55)))))</f>
        <v>0.15</v>
      </c>
      <c r="F55" s="437">
        <f>(-0.45+0.67)/2</f>
        <v>0.11000000000000001</v>
      </c>
      <c r="G55" s="986">
        <f>VLOOKUP(G51,B56:F61,4)</f>
        <v>0.31</v>
      </c>
      <c r="H55" s="435">
        <v>8</v>
      </c>
      <c r="I55" s="338">
        <v>-0.1</v>
      </c>
      <c r="J55" s="338">
        <f>'Data Standar'!V180</f>
        <v>-0.12</v>
      </c>
      <c r="K55" s="436">
        <f>IF(OR(I55=0,J55=0),'Data Standar'!$V$187/3,((MAX(I55:J55)-(MIN(I55:J55)))))</f>
        <v>1.999999999999999E-2</v>
      </c>
      <c r="L55" s="437">
        <f>(0+0.08)/2</f>
        <v>0.04</v>
      </c>
      <c r="M55" s="986">
        <f>VLOOKUP(M51,H56:L61,4)</f>
        <v>7.0000000000000007E-2</v>
      </c>
      <c r="N55" s="435">
        <v>8</v>
      </c>
      <c r="O55" s="338">
        <v>-0.22</v>
      </c>
      <c r="P55" s="338">
        <f>'Data Standar'!W180</f>
        <v>-0.13</v>
      </c>
      <c r="Q55" s="436">
        <f>IF(OR(O55=0,P55=0),'Data Standar'!$W$187/3,((MAX(O55:P55)-(MIN(O55:P55)))))</f>
        <v>0.09</v>
      </c>
      <c r="R55" s="443">
        <f>(0.09-0)/2</f>
        <v>4.4999999999999998E-2</v>
      </c>
      <c r="S55" s="986">
        <f>VLOOKUP(S51,N56:R61,4)</f>
        <v>0.28999999999999998</v>
      </c>
      <c r="T55" s="435">
        <v>8</v>
      </c>
      <c r="U55" s="338">
        <f>'Data Standar'!X180</f>
        <v>-0.34</v>
      </c>
      <c r="V55" s="338"/>
      <c r="W55" s="436">
        <f>IF(OR(U55=0,V55=0),'Data Standar'!$X$187/3,((MAX(U55:V55)-(MIN(U55:V55)))))</f>
        <v>8.666666666666667E-2</v>
      </c>
      <c r="X55" s="443">
        <f>(0.09-0)/2</f>
        <v>4.4999999999999998E-2</v>
      </c>
      <c r="Y55" s="986">
        <f>VLOOKUP(Y51,T56:X61,4)</f>
        <v>8.666666666666667E-2</v>
      </c>
      <c r="Z55" s="435">
        <v>8</v>
      </c>
      <c r="AA55" s="338">
        <f>'Data Standar'!Y180</f>
        <v>0.13</v>
      </c>
      <c r="AB55" s="338">
        <v>-0.01</v>
      </c>
      <c r="AC55" s="436">
        <f>IF(OR(AA55=0,AB55=0),'Data Standar'!$Y$187/3,((MAX(AA55:AB55)-(MIN(AA55:AB55)))))</f>
        <v>0.14000000000000001</v>
      </c>
      <c r="AD55" s="443">
        <f>(0.09-0)/2</f>
        <v>4.4999999999999998E-2</v>
      </c>
      <c r="AE55" s="986">
        <f>VLOOKUP(AE51,Z56:AD61,4)</f>
        <v>0.75</v>
      </c>
      <c r="AF55" s="435">
        <v>8</v>
      </c>
      <c r="AG55" s="338">
        <f>'Data Standar'!Z180</f>
        <v>0.12</v>
      </c>
      <c r="AH55" s="338">
        <v>0.44</v>
      </c>
      <c r="AI55" s="436">
        <f>IF(OR(AG55=0,AH55=0),'Data Standar'!$Z$187/3,((MAX(AG55:AH55)-(MIN(AG55:AH55)))))</f>
        <v>0.32</v>
      </c>
      <c r="AJ55" s="443">
        <f>(0.09-0)/2</f>
        <v>4.4999999999999998E-2</v>
      </c>
      <c r="AK55" s="986">
        <f>VLOOKUP(AK51,AF56:AJ61,4)</f>
        <v>0.84</v>
      </c>
      <c r="AL55" s="435">
        <v>8</v>
      </c>
      <c r="AM55" s="338">
        <f>'Data Standar'!AA180</f>
        <v>0.45</v>
      </c>
      <c r="AN55" s="338"/>
      <c r="AO55" s="436">
        <f>IF(OR(AM55=0,AN55=0),'Data Standar'!$AA$187/3,((MAX(AM55:AN55)-(MIN(AM55:AN55)))))</f>
        <v>8.3333333333333329E-2</v>
      </c>
      <c r="AP55" s="443">
        <f>(0.09-0)/2</f>
        <v>4.4999999999999998E-2</v>
      </c>
      <c r="AQ55" s="986">
        <f>VLOOKUP(AQ51,AL56:AP61,4)</f>
        <v>8.3333333333333329E-2</v>
      </c>
      <c r="AR55" s="435">
        <v>8</v>
      </c>
      <c r="AS55" s="338">
        <f>'Data Standar'!AB180</f>
        <v>0.36</v>
      </c>
      <c r="AT55" s="338"/>
      <c r="AU55" s="436">
        <f>IF(OR(AS55=0,AT55=0),'Data Standar'!$AB$187/3,((MAX(AS55:AT55)-(MIN(AS55:AT55)))))</f>
        <v>0.08</v>
      </c>
      <c r="AV55" s="443">
        <f>(0.09-0)/2</f>
        <v>4.4999999999999998E-2</v>
      </c>
      <c r="AW55" s="986">
        <f>VLOOKUP(AW51,AR56:AV61,4)</f>
        <v>0.08</v>
      </c>
      <c r="AX55" s="435">
        <v>8</v>
      </c>
      <c r="AY55" s="338">
        <f>'Data Standar'!AC180</f>
        <v>0.54</v>
      </c>
      <c r="AZ55" s="338"/>
      <c r="BA55" s="436">
        <f>IF(OR(AY55=0,AZ55=0),'Data Standar'!$AC$187/3,((MAX(AY55:AZ55)-(MIN(AY55:AZ55)))))</f>
        <v>0.26333333333333336</v>
      </c>
      <c r="BB55" s="443">
        <f>(0.09-0)/2</f>
        <v>4.4999999999999998E-2</v>
      </c>
      <c r="BC55" s="986">
        <f>VLOOKUP(BC51,AX56:BB61,4)</f>
        <v>0.26333333333333336</v>
      </c>
      <c r="BD55" s="435">
        <v>8</v>
      </c>
      <c r="BE55" s="338">
        <f>'Data Standar'!AD180</f>
        <v>-0.08</v>
      </c>
      <c r="BF55" s="338"/>
      <c r="BG55" s="436">
        <f>IF(OR(BE55=0,BF55=0),'Data Standar'!$AD$187/3,((MAX(BE55:BF55)-(MIN(BE55:BF55)))))</f>
        <v>9.0000000000000011E-2</v>
      </c>
      <c r="BH55" s="443">
        <f>(0.09-0)/2</f>
        <v>4.4999999999999998E-2</v>
      </c>
      <c r="BI55" s="986">
        <f>VLOOKUP(BI51,BD56:BH61,4)</f>
        <v>9.0000000000000011E-2</v>
      </c>
      <c r="BJ55" s="435">
        <v>8</v>
      </c>
      <c r="BK55" s="338">
        <f>'Data Standar'!AE180</f>
        <v>0.54</v>
      </c>
      <c r="BL55" s="338"/>
      <c r="BM55" s="436">
        <f>IF(OR(BK55=0,BL55=0),'Data Standar'!$AE$187/3,((MAX(BK55:BL55)-(MIN(BK55:BL55)))))</f>
        <v>0.26333333333333336</v>
      </c>
      <c r="BN55" s="443">
        <f>(0.09-0)/2</f>
        <v>4.4999999999999998E-2</v>
      </c>
      <c r="BO55" s="986">
        <f>VLOOKUP(BO51,BJ56:BN61,4)</f>
        <v>0.26333333333333336</v>
      </c>
      <c r="BP55" s="435">
        <v>8</v>
      </c>
      <c r="BQ55" s="338">
        <f>'Data Standar'!AF180</f>
        <v>-0.32</v>
      </c>
      <c r="BR55" s="338"/>
      <c r="BS55" s="436">
        <f>IF(OR(BQ55=0,BR55=0),'Data Standar'!$AF$187/3,((MAX(BQ55:BR55)-(MIN(BQ55:BR55)))))</f>
        <v>8.3333333333333329E-2</v>
      </c>
      <c r="BT55" s="443">
        <f>(0.09-0)/2</f>
        <v>4.4999999999999998E-2</v>
      </c>
      <c r="BU55" s="986">
        <f>VLOOKUP(BU51,BP56:BT61,4)</f>
        <v>8.3333333333333329E-2</v>
      </c>
      <c r="BV55" s="435">
        <v>8</v>
      </c>
      <c r="BW55" s="338">
        <f>'Data Standar'!AG180</f>
        <v>-0.36</v>
      </c>
      <c r="BX55" s="338"/>
      <c r="BY55" s="436">
        <f>IF(OR(BW55=0,BX55=0),'Data Standar'!$AG$187/3,((MAX(BW55:BX55)-(MIN(BW55:BX55)))))</f>
        <v>8.666666666666667E-2</v>
      </c>
      <c r="BZ55" s="443">
        <f>(0.09-0)/2</f>
        <v>4.4999999999999998E-2</v>
      </c>
      <c r="CA55" s="986">
        <f>VLOOKUP(CA51,BV56:BZ61,4)</f>
        <v>8.666666666666667E-2</v>
      </c>
      <c r="CB55" s="435">
        <v>8</v>
      </c>
      <c r="CC55" s="338">
        <f t="shared" si="21"/>
        <v>0</v>
      </c>
      <c r="CD55" s="338">
        <f t="shared" si="26"/>
        <v>-0.7</v>
      </c>
      <c r="CE55" s="436">
        <f t="shared" si="27"/>
        <v>0.19999999999999998</v>
      </c>
      <c r="CF55" s="443">
        <f>(0.09-0)/2</f>
        <v>4.4999999999999998E-2</v>
      </c>
      <c r="CG55" s="423"/>
      <c r="CH55" s="435">
        <v>8</v>
      </c>
      <c r="CI55" s="338">
        <f t="shared" si="22"/>
        <v>0.08</v>
      </c>
      <c r="CJ55" s="338">
        <f t="shared" si="24"/>
        <v>0.01</v>
      </c>
      <c r="CK55" s="436">
        <f t="shared" si="28"/>
        <v>7.0000000000000007E-2</v>
      </c>
      <c r="CL55" s="443">
        <f>(0.09-0)/2</f>
        <v>4.4999999999999998E-2</v>
      </c>
      <c r="CM55" s="423"/>
      <c r="CN55" s="435">
        <v>8</v>
      </c>
      <c r="CO55" s="338">
        <f t="shared" si="23"/>
        <v>-0.46</v>
      </c>
      <c r="CP55" s="338">
        <f t="shared" si="25"/>
        <v>0.06</v>
      </c>
      <c r="CQ55" s="436">
        <f t="shared" si="29"/>
        <v>0.52</v>
      </c>
      <c r="CR55" s="443">
        <f>(0.09-0)/2</f>
        <v>4.4999999999999998E-2</v>
      </c>
      <c r="CS55" s="423"/>
    </row>
    <row r="56" spans="1:97" s="427" customFormat="1" ht="13">
      <c r="A56" s="423"/>
      <c r="B56" s="435">
        <v>37</v>
      </c>
      <c r="C56" s="338">
        <v>0.06</v>
      </c>
      <c r="D56" s="338">
        <f>'Data Standar'!U181</f>
        <v>0.14000000000000001</v>
      </c>
      <c r="E56" s="436">
        <f>IF(OR(C56=0,D56=0),'Data Standar'!$U$187/3,((MAX(C56:D56)-(MIN(C56:D56)))))</f>
        <v>8.0000000000000016E-2</v>
      </c>
      <c r="F56" s="437">
        <f>(0.26+0.23)/2</f>
        <v>0.245</v>
      </c>
      <c r="G56" s="987"/>
      <c r="H56" s="435">
        <v>37</v>
      </c>
      <c r="I56" s="338">
        <v>0.16</v>
      </c>
      <c r="J56" s="338">
        <f>'Data Standar'!V181</f>
        <v>0.17</v>
      </c>
      <c r="K56" s="436">
        <f>IF(OR(I56=0,J56=0),'Data Standar'!$V$187/3,((MAX(I56:J56)-(MIN(I56:J56)))))</f>
        <v>1.0000000000000009E-2</v>
      </c>
      <c r="L56" s="437">
        <f>(0+0.07)/2</f>
        <v>3.5000000000000003E-2</v>
      </c>
      <c r="M56" s="987"/>
      <c r="N56" s="435">
        <v>37</v>
      </c>
      <c r="O56" s="338">
        <v>-0.11</v>
      </c>
      <c r="P56" s="338">
        <f>'Data Standar'!W181</f>
        <v>0.01</v>
      </c>
      <c r="Q56" s="436">
        <f>IF(OR(O56=0,P56=0),'Data Standar'!$W$187/3,((MAX(O56:P56)-(MIN(O56:P56)))))</f>
        <v>0.12</v>
      </c>
      <c r="R56" s="443">
        <f>(0.14-0)/2</f>
        <v>7.0000000000000007E-2</v>
      </c>
      <c r="S56" s="987"/>
      <c r="T56" s="435">
        <v>37</v>
      </c>
      <c r="U56" s="338">
        <f>'Data Standar'!X181</f>
        <v>0.54</v>
      </c>
      <c r="V56" s="338"/>
      <c r="W56" s="436">
        <f>IF(OR(U56=0,V56=0),'Data Standar'!$X$187/3,((MAX(U56:V56)-(MIN(U56:V56)))))</f>
        <v>8.666666666666667E-2</v>
      </c>
      <c r="X56" s="443">
        <f>(0.14-0)/2</f>
        <v>7.0000000000000007E-2</v>
      </c>
      <c r="Y56" s="987"/>
      <c r="Z56" s="435">
        <v>37</v>
      </c>
      <c r="AA56" s="338">
        <f>'Data Standar'!Y181</f>
        <v>0.11</v>
      </c>
      <c r="AB56" s="338">
        <v>0.41</v>
      </c>
      <c r="AC56" s="436">
        <f>IF(OR(AA56=0,AB56=0),'Data Standar'!$Y$187/3,((MAX(AA56:AB56)-(MIN(AA56:AB56)))))</f>
        <v>0.3</v>
      </c>
      <c r="AD56" s="443">
        <f>(0.14-0)/2</f>
        <v>7.0000000000000007E-2</v>
      </c>
      <c r="AE56" s="987"/>
      <c r="AF56" s="435">
        <v>37</v>
      </c>
      <c r="AG56" s="338">
        <f>'Data Standar'!Z181</f>
        <v>0.14000000000000001</v>
      </c>
      <c r="AH56" s="338">
        <v>0.64</v>
      </c>
      <c r="AI56" s="436">
        <f>IF(OR(AG56=0,AH56=0),'Data Standar'!$Z$187/3,((MAX(AG56:AH56)-(MIN(AG56:AH56)))))</f>
        <v>0.5</v>
      </c>
      <c r="AJ56" s="443">
        <f>(0.14-0)/2</f>
        <v>7.0000000000000007E-2</v>
      </c>
      <c r="AK56" s="987"/>
      <c r="AL56" s="435">
        <v>37</v>
      </c>
      <c r="AM56" s="338">
        <f>'Data Standar'!AA181</f>
        <v>0.43</v>
      </c>
      <c r="AN56" s="338"/>
      <c r="AO56" s="436">
        <f>IF(OR(AM56=0,AN56=0),'Data Standar'!$AA$187/3,((MAX(AM56:AN56)-(MIN(AM56:AN56)))))</f>
        <v>8.3333333333333329E-2</v>
      </c>
      <c r="AP56" s="443">
        <f>(0.14-0)/2</f>
        <v>7.0000000000000007E-2</v>
      </c>
      <c r="AQ56" s="987"/>
      <c r="AR56" s="435">
        <v>37</v>
      </c>
      <c r="AS56" s="338">
        <f>'Data Standar'!AB181</f>
        <v>0.33</v>
      </c>
      <c r="AT56" s="338"/>
      <c r="AU56" s="436">
        <f>IF(OR(AS56=0,AT56=0),'Data Standar'!$AB$187/3,((MAX(AS56:AT56)-(MIN(AS56:AT56)))))</f>
        <v>0.08</v>
      </c>
      <c r="AV56" s="443">
        <f>(0.14-0)/2</f>
        <v>7.0000000000000007E-2</v>
      </c>
      <c r="AW56" s="987"/>
      <c r="AX56" s="435">
        <v>37</v>
      </c>
      <c r="AY56" s="338">
        <f>'Data Standar'!AC181</f>
        <v>0.43</v>
      </c>
      <c r="AZ56" s="338"/>
      <c r="BA56" s="436">
        <f>IF(OR(AY56=0,AZ56=0),'Data Standar'!$AC$187/3,((MAX(AY56:AZ56)-(MIN(AY56:AZ56)))))</f>
        <v>0.26333333333333336</v>
      </c>
      <c r="BB56" s="443">
        <f>(0.14-0)/2</f>
        <v>7.0000000000000007E-2</v>
      </c>
      <c r="BC56" s="987"/>
      <c r="BD56" s="435">
        <v>37</v>
      </c>
      <c r="BE56" s="338">
        <f>'Data Standar'!AD181</f>
        <v>0.67</v>
      </c>
      <c r="BF56" s="338"/>
      <c r="BG56" s="436">
        <f>IF(OR(BE56=0,BF56=0),'Data Standar'!$AD$187/3,((MAX(BE56:BF56)-(MIN(BE56:BF56)))))</f>
        <v>9.0000000000000011E-2</v>
      </c>
      <c r="BH56" s="443">
        <f>(0.14-0)/2</f>
        <v>7.0000000000000007E-2</v>
      </c>
      <c r="BI56" s="987"/>
      <c r="BJ56" s="435">
        <v>37</v>
      </c>
      <c r="BK56" s="338">
        <f>'Data Standar'!AE181</f>
        <v>0.43</v>
      </c>
      <c r="BL56" s="338"/>
      <c r="BM56" s="436">
        <f>IF(OR(BK56=0,BL56=0),'Data Standar'!$AE$187/3,((MAX(BK56:BL56)-(MIN(BK56:BL56)))))</f>
        <v>0.26333333333333336</v>
      </c>
      <c r="BN56" s="443">
        <f>(0.14-0)/2</f>
        <v>7.0000000000000007E-2</v>
      </c>
      <c r="BO56" s="987"/>
      <c r="BP56" s="435">
        <v>37</v>
      </c>
      <c r="BQ56" s="338">
        <f>'Data Standar'!AF181</f>
        <v>0.46</v>
      </c>
      <c r="BR56" s="338"/>
      <c r="BS56" s="436">
        <f>IF(OR(BQ56=0,BR56=0),'Data Standar'!$AF$187/3,((MAX(BQ56:BR56)-(MIN(BQ56:BR56)))))</f>
        <v>8.3333333333333329E-2</v>
      </c>
      <c r="BT56" s="443">
        <f>(0.14-0)/2</f>
        <v>7.0000000000000007E-2</v>
      </c>
      <c r="BU56" s="987"/>
      <c r="BV56" s="435">
        <v>37</v>
      </c>
      <c r="BW56" s="338">
        <f>'Data Standar'!AG181</f>
        <v>0.53</v>
      </c>
      <c r="BX56" s="338"/>
      <c r="BY56" s="436">
        <f>IF(OR(BW56=0,BX56=0),'Data Standar'!$AG$187/3,((MAX(BW56:BX56)-(MIN(BW56:BX56)))))</f>
        <v>8.666666666666667E-2</v>
      </c>
      <c r="BZ56" s="443">
        <f>(0.14-0)/2</f>
        <v>7.0000000000000007E-2</v>
      </c>
      <c r="CA56" s="987"/>
      <c r="CB56" s="435">
        <v>37</v>
      </c>
      <c r="CC56" s="338">
        <f t="shared" si="21"/>
        <v>0</v>
      </c>
      <c r="CD56" s="338">
        <f t="shared" si="26"/>
        <v>-0.6</v>
      </c>
      <c r="CE56" s="436">
        <f t="shared" si="27"/>
        <v>0.19999999999999998</v>
      </c>
      <c r="CF56" s="443">
        <f>(0.14-0)/2</f>
        <v>7.0000000000000007E-2</v>
      </c>
      <c r="CG56" s="423"/>
      <c r="CH56" s="435">
        <v>37</v>
      </c>
      <c r="CI56" s="338">
        <f t="shared" si="22"/>
        <v>0.23</v>
      </c>
      <c r="CJ56" s="338">
        <f t="shared" si="24"/>
        <v>0.19</v>
      </c>
      <c r="CK56" s="436">
        <f t="shared" si="28"/>
        <v>4.0000000000000008E-2</v>
      </c>
      <c r="CL56" s="443">
        <f>(0.14-0)/2</f>
        <v>7.0000000000000007E-2</v>
      </c>
      <c r="CM56" s="423"/>
      <c r="CN56" s="435">
        <v>37</v>
      </c>
      <c r="CO56" s="338">
        <f t="shared" si="23"/>
        <v>0.42</v>
      </c>
      <c r="CP56" s="338">
        <f t="shared" si="25"/>
        <v>0.45</v>
      </c>
      <c r="CQ56" s="436">
        <f t="shared" si="29"/>
        <v>3.0000000000000027E-2</v>
      </c>
      <c r="CR56" s="443">
        <f>(0.14-0)/2</f>
        <v>7.0000000000000007E-2</v>
      </c>
      <c r="CS56" s="423"/>
    </row>
    <row r="57" spans="1:97" s="427" customFormat="1" ht="13">
      <c r="A57" s="423"/>
      <c r="B57" s="435">
        <v>44</v>
      </c>
      <c r="C57" s="338">
        <v>0.08</v>
      </c>
      <c r="D57" s="338">
        <f>'Data Standar'!U182</f>
        <v>0.23</v>
      </c>
      <c r="E57" s="436">
        <f>IF(OR(C57=0,D57=0),'Data Standar'!$U$187/3,((MAX(C57:D57)-(MIN(C57:D57)))))</f>
        <v>0.15000000000000002</v>
      </c>
      <c r="F57" s="437">
        <f>(0.43+0.2)/2</f>
        <v>0.315</v>
      </c>
      <c r="G57" s="988">
        <f>(((G55-G53)/(G51-G49))*(G48-G49))+G53</f>
        <v>0.56433650000000002</v>
      </c>
      <c r="H57" s="435">
        <v>44</v>
      </c>
      <c r="I57" s="338">
        <v>0.19</v>
      </c>
      <c r="J57" s="338">
        <f>'Data Standar'!V182</f>
        <v>0.23</v>
      </c>
      <c r="K57" s="436">
        <f>IF(OR(I57=0,J57=0),'Data Standar'!$V$187/3,((MAX(I57:J57)-(MIN(I57:J57)))))</f>
        <v>4.0000000000000008E-2</v>
      </c>
      <c r="L57" s="437">
        <f>(0.01-0)/2</f>
        <v>5.0000000000000001E-3</v>
      </c>
      <c r="M57" s="988">
        <f>(((M55-M53)/(M51-M49))*(M48-M49))+M53</f>
        <v>0.46306549999999991</v>
      </c>
      <c r="N57" s="435">
        <v>44</v>
      </c>
      <c r="O57" s="338">
        <v>-0.13</v>
      </c>
      <c r="P57" s="338">
        <f>'Data Standar'!W182</f>
        <v>0.01</v>
      </c>
      <c r="Q57" s="436">
        <f>IF(OR(O57=0,P57=0),'Data Standar'!$W$187/3,((MAX(O57:P57)-(MIN(O57:P57)))))</f>
        <v>0.14000000000000001</v>
      </c>
      <c r="R57" s="443">
        <f>(0.15-0)/2</f>
        <v>7.4999999999999997E-2</v>
      </c>
      <c r="S57" s="988">
        <f>(((S55-S53)/(S51-S49))*(S48-S49))+S53</f>
        <v>0.24375699999999997</v>
      </c>
      <c r="T57" s="435">
        <v>44</v>
      </c>
      <c r="U57" s="338">
        <f>'Data Standar'!X182</f>
        <v>0.67</v>
      </c>
      <c r="V57" s="338"/>
      <c r="W57" s="436">
        <f>IF(OR(U57=0,V57=0),'Data Standar'!$X$187/3,((MAX(U57:V57)-(MIN(U57:V57)))))</f>
        <v>8.666666666666667E-2</v>
      </c>
      <c r="X57" s="443">
        <f>(0.15-0)/2</f>
        <v>7.4999999999999997E-2</v>
      </c>
      <c r="Y57" s="988">
        <f>(((Y55-Y53)/(Y51-Y49))*(Y48-Y49))+Y53</f>
        <v>8.666666666666667E-2</v>
      </c>
      <c r="Z57" s="435">
        <v>44</v>
      </c>
      <c r="AA57" s="338">
        <f>'Data Standar'!Y182</f>
        <v>0.11</v>
      </c>
      <c r="AB57" s="338">
        <v>0.48</v>
      </c>
      <c r="AC57" s="436">
        <f>IF(OR(AA57=0,AB57=0),'Data Standar'!$Y$187/3,((MAX(AA57:AB57)-(MIN(AA57:AB57)))))</f>
        <v>0.37</v>
      </c>
      <c r="AD57" s="443">
        <f>(0.15-0)/2</f>
        <v>7.4999999999999997E-2</v>
      </c>
      <c r="AE57" s="988">
        <f>(((AE55-AE53)/(AE51-AE49))*(AE48-AE49))+AE53</f>
        <v>0.28757000000000005</v>
      </c>
      <c r="AF57" s="435">
        <v>44</v>
      </c>
      <c r="AG57" s="338">
        <f>'Data Standar'!Z182</f>
        <v>0.15</v>
      </c>
      <c r="AH57" s="338">
        <v>0.66</v>
      </c>
      <c r="AI57" s="436">
        <f>IF(OR(AG57=0,AH57=0),'Data Standar'!$Z$187/3,((MAX(AG57:AH57)-(MIN(AG57:AH57)))))</f>
        <v>0.51</v>
      </c>
      <c r="AJ57" s="443">
        <f>(0.15-0)/2</f>
        <v>7.4999999999999997E-2</v>
      </c>
      <c r="AK57" s="988">
        <f>(((AK55-AK53)/(AK51-AK49))*(AK48-AK49))+AK53</f>
        <v>0.40069150000000009</v>
      </c>
      <c r="AL57" s="435">
        <v>44</v>
      </c>
      <c r="AM57" s="338">
        <f>'Data Standar'!AA182</f>
        <v>0.43</v>
      </c>
      <c r="AN57" s="338"/>
      <c r="AO57" s="436">
        <f>IF(OR(AM57=0,AN57=0),'Data Standar'!$AA$187/3,((MAX(AM57:AN57)-(MIN(AM57:AN57)))))</f>
        <v>8.3333333333333329E-2</v>
      </c>
      <c r="AP57" s="443">
        <f>(0.15-0)/2</f>
        <v>7.4999999999999997E-2</v>
      </c>
      <c r="AQ57" s="988">
        <f>(((AQ55-AQ53)/(AQ51-AQ49))*(AQ48-AQ49))+AQ53</f>
        <v>8.3333333333333329E-2</v>
      </c>
      <c r="AR57" s="435">
        <v>44</v>
      </c>
      <c r="AS57" s="338">
        <f>'Data Standar'!AB182</f>
        <v>0.33</v>
      </c>
      <c r="AT57" s="338"/>
      <c r="AU57" s="436">
        <f>IF(OR(AS57=0,AT57=0),'Data Standar'!$AB$187/3,((MAX(AS57:AT57)-(MIN(AS57:AT57)))))</f>
        <v>0.08</v>
      </c>
      <c r="AV57" s="443">
        <f>(0.15-0)/2</f>
        <v>7.4999999999999997E-2</v>
      </c>
      <c r="AW57" s="988">
        <f>(((AW55-AW53)/(AW51-AW49))*(AW48-AW49))+AW53</f>
        <v>0.08</v>
      </c>
      <c r="AX57" s="435">
        <v>44</v>
      </c>
      <c r="AY57" s="338">
        <f>'Data Standar'!AC182</f>
        <v>0.4</v>
      </c>
      <c r="AZ57" s="338"/>
      <c r="BA57" s="436">
        <f>IF(OR(AY57=0,AZ57=0),'Data Standar'!$AC$187/3,((MAX(AY57:AZ57)-(MIN(AY57:AZ57)))))</f>
        <v>0.26333333333333336</v>
      </c>
      <c r="BB57" s="443">
        <f>(0.15-0)/2</f>
        <v>7.4999999999999997E-2</v>
      </c>
      <c r="BC57" s="988">
        <f>(((BC55-BC53)/(BC51-BC49))*(BC48-BC49))+BC53</f>
        <v>0.26333333333333336</v>
      </c>
      <c r="BD57" s="435">
        <v>44</v>
      </c>
      <c r="BE57" s="338">
        <f>'Data Standar'!AD182</f>
        <v>0.73</v>
      </c>
      <c r="BF57" s="338"/>
      <c r="BG57" s="436">
        <f>IF(OR(BE57=0,BF57=0),'Data Standar'!$AD$187/3,((MAX(BE57:BF57)-(MIN(BE57:BF57)))))</f>
        <v>9.0000000000000011E-2</v>
      </c>
      <c r="BH57" s="443">
        <f>(0.15-0)/2</f>
        <v>7.4999999999999997E-2</v>
      </c>
      <c r="BI57" s="988">
        <f>(((BI55-BI53)/(BI51-BI49))*(BI48-BI49))+BI53</f>
        <v>9.0000000000000011E-2</v>
      </c>
      <c r="BJ57" s="435">
        <v>44</v>
      </c>
      <c r="BK57" s="338">
        <f>'Data Standar'!AE182</f>
        <v>0.4</v>
      </c>
      <c r="BL57" s="338"/>
      <c r="BM57" s="436">
        <f>IF(OR(BK57=0,BL57=0),'Data Standar'!$AE$187/3,((MAX(BK57:BL57)-(MIN(BK57:BL57)))))</f>
        <v>0.26333333333333336</v>
      </c>
      <c r="BN57" s="443">
        <f>(0.15-0)/2</f>
        <v>7.4999999999999997E-2</v>
      </c>
      <c r="BO57" s="988">
        <f>(((BO55-BO53)/(BO51-BO49))*(BO48-BO49))+BO53</f>
        <v>0.26333333333333336</v>
      </c>
      <c r="BP57" s="435">
        <v>44</v>
      </c>
      <c r="BQ57" s="338">
        <f>'Data Standar'!AF182</f>
        <v>0.55000000000000004</v>
      </c>
      <c r="BR57" s="338"/>
      <c r="BS57" s="436">
        <f>IF(OR(BQ57=0,BR57=0),'Data Standar'!$AF$187/3,((MAX(BQ57:BR57)-(MIN(BQ57:BR57)))))</f>
        <v>8.3333333333333329E-2</v>
      </c>
      <c r="BT57" s="443">
        <f>(0.15-0)/2</f>
        <v>7.4999999999999997E-2</v>
      </c>
      <c r="BU57" s="988">
        <f>(((BU55-BU53)/(BU51-BU49))*(BU48-BU49))+BU53</f>
        <v>8.3333333333333329E-2</v>
      </c>
      <c r="BV57" s="435">
        <v>44</v>
      </c>
      <c r="BW57" s="338">
        <f>'Data Standar'!AG182</f>
        <v>0.65</v>
      </c>
      <c r="BX57" s="338"/>
      <c r="BY57" s="436">
        <f>IF(OR(BW57=0,BX57=0),'Data Standar'!$AG$187/3,((MAX(BW57:BX57)-(MIN(BW57:BX57)))))</f>
        <v>8.666666666666667E-2</v>
      </c>
      <c r="BZ57" s="443">
        <f>(0.15-0)/2</f>
        <v>7.4999999999999997E-2</v>
      </c>
      <c r="CA57" s="988">
        <f>(((CA55-CA53)/(CA51-CA49))*(CA48-CA49))+CA53</f>
        <v>8.666666666666667E-2</v>
      </c>
      <c r="CB57" s="435">
        <v>44</v>
      </c>
      <c r="CC57" s="338">
        <f t="shared" si="21"/>
        <v>0</v>
      </c>
      <c r="CD57" s="338">
        <f t="shared" si="26"/>
        <v>-0.7</v>
      </c>
      <c r="CE57" s="436">
        <f t="shared" si="27"/>
        <v>0.19999999999999998</v>
      </c>
      <c r="CF57" s="443">
        <f>(0.15-0)/2</f>
        <v>7.4999999999999997E-2</v>
      </c>
      <c r="CG57" s="423"/>
      <c r="CH57" s="435">
        <v>44</v>
      </c>
      <c r="CI57" s="338">
        <f t="shared" si="22"/>
        <v>0.25</v>
      </c>
      <c r="CJ57" s="338">
        <f t="shared" si="24"/>
        <v>0.21</v>
      </c>
      <c r="CK57" s="436">
        <f t="shared" si="28"/>
        <v>4.0000000000000008E-2</v>
      </c>
      <c r="CL57" s="443">
        <f>(0.15-0)/2</f>
        <v>7.4999999999999997E-2</v>
      </c>
      <c r="CM57" s="423"/>
      <c r="CN57" s="435">
        <v>44</v>
      </c>
      <c r="CO57" s="338">
        <f t="shared" si="23"/>
        <v>0.56999999999999995</v>
      </c>
      <c r="CP57" s="338">
        <f t="shared" si="25"/>
        <v>0.52</v>
      </c>
      <c r="CQ57" s="436">
        <f t="shared" si="29"/>
        <v>4.9999999999999933E-2</v>
      </c>
      <c r="CR57" s="443">
        <f>(0.15-0)/2</f>
        <v>7.4999999999999997E-2</v>
      </c>
      <c r="CS57" s="423"/>
    </row>
    <row r="58" spans="1:97" s="427" customFormat="1" ht="13">
      <c r="A58" s="423"/>
      <c r="B58" s="435">
        <v>50</v>
      </c>
      <c r="C58" s="706">
        <v>0.09</v>
      </c>
      <c r="D58" s="338">
        <f>'Data Standar'!U183</f>
        <v>0.3</v>
      </c>
      <c r="E58" s="436">
        <f>IF(OR(C58=0,D58=0),'Data Standar'!$U$187/3,((MAX(C58:D58)-(MIN(C58:D58)))))</f>
        <v>0.21</v>
      </c>
      <c r="F58" s="437">
        <f>(0.56+0.18)/2</f>
        <v>0.37</v>
      </c>
      <c r="G58" s="438"/>
      <c r="H58" s="435">
        <v>50</v>
      </c>
      <c r="I58" s="338">
        <v>0.21</v>
      </c>
      <c r="J58" s="338">
        <f>'Data Standar'!V183</f>
        <v>0.28000000000000003</v>
      </c>
      <c r="K58" s="436">
        <f>IF(OR(I58=0,J58=0),'Data Standar'!$V$187/3,((MAX(I58:J58)-(MIN(I58:J58)))))</f>
        <v>7.0000000000000034E-2</v>
      </c>
      <c r="L58" s="437">
        <f>(0.08-0)/2</f>
        <v>0.04</v>
      </c>
      <c r="M58" s="438"/>
      <c r="N58" s="435">
        <v>50</v>
      </c>
      <c r="O58" s="338">
        <v>0.22</v>
      </c>
      <c r="P58" s="338">
        <f>'Data Standar'!W183</f>
        <v>0.01</v>
      </c>
      <c r="Q58" s="436">
        <f>IF(OR(O58=0,P58=0),'Data Standar'!$W$187/3,((MAX(O58:P58)-(MIN(O58:P58)))))</f>
        <v>0.21</v>
      </c>
      <c r="R58" s="443">
        <f>(0.16-0)/2</f>
        <v>0.08</v>
      </c>
      <c r="S58" s="423"/>
      <c r="T58" s="435">
        <v>50</v>
      </c>
      <c r="U58" s="338">
        <f>'Data Standar'!X183</f>
        <v>0.76</v>
      </c>
      <c r="V58" s="338"/>
      <c r="W58" s="436">
        <f>IF(OR(U58=0,V58=0),'Data Standar'!$X$187/3,((MAX(U58:V58)-(MIN(U58:V58)))))</f>
        <v>8.666666666666667E-2</v>
      </c>
      <c r="X58" s="443">
        <f>(0.16-0)/2</f>
        <v>0.08</v>
      </c>
      <c r="Y58" s="423"/>
      <c r="Z58" s="435">
        <v>50</v>
      </c>
      <c r="AA58" s="338">
        <f>'Data Standar'!Y183</f>
        <v>0.11</v>
      </c>
      <c r="AB58" s="338">
        <v>0.52</v>
      </c>
      <c r="AC58" s="436">
        <f>IF(OR(AA58=0,AB58=0),'Data Standar'!$Y$187/3,((MAX(AA58:AB58)-(MIN(AA58:AB58)))))</f>
        <v>0.41000000000000003</v>
      </c>
      <c r="AD58" s="443">
        <f>(0.16-0)/2</f>
        <v>0.08</v>
      </c>
      <c r="AE58" s="423"/>
      <c r="AF58" s="435">
        <v>50</v>
      </c>
      <c r="AG58" s="338">
        <f>'Data Standar'!Z183</f>
        <v>0.15</v>
      </c>
      <c r="AH58" s="338">
        <v>0.67</v>
      </c>
      <c r="AI58" s="436">
        <f>IF(OR(AG58=0,AH58=0),'Data Standar'!$Z$187/3,((MAX(AG58:AH58)-(MIN(AG58:AH58)))))</f>
        <v>0.52</v>
      </c>
      <c r="AJ58" s="443">
        <f>(0.16-0)/2</f>
        <v>0.08</v>
      </c>
      <c r="AK58" s="423"/>
      <c r="AL58" s="435">
        <v>50</v>
      </c>
      <c r="AM58" s="338">
        <f>'Data Standar'!AA183</f>
        <v>0.44</v>
      </c>
      <c r="AN58" s="338"/>
      <c r="AO58" s="436">
        <f>IF(OR(AM58=0,AN58=0),'Data Standar'!$AA$187/3,((MAX(AM58:AN58)-(MIN(AM58:AN58)))))</f>
        <v>8.3333333333333329E-2</v>
      </c>
      <c r="AP58" s="443">
        <f>(0.16-0)/2</f>
        <v>0.08</v>
      </c>
      <c r="AQ58" s="423"/>
      <c r="AR58" s="435">
        <v>50</v>
      </c>
      <c r="AS58" s="338">
        <f>'Data Standar'!AB183</f>
        <v>0.33</v>
      </c>
      <c r="AT58" s="338"/>
      <c r="AU58" s="436">
        <f>IF(OR(AS58=0,AT58=0),'Data Standar'!$AB$187/3,((MAX(AS58:AT58)-(MIN(AS58:AT58)))))</f>
        <v>0.08</v>
      </c>
      <c r="AV58" s="443">
        <f>(0.16-0)/2</f>
        <v>0.08</v>
      </c>
      <c r="AW58" s="423"/>
      <c r="AX58" s="435">
        <v>50</v>
      </c>
      <c r="AY58" s="338">
        <f>'Data Standar'!AC183</f>
        <v>0.38</v>
      </c>
      <c r="AZ58" s="338"/>
      <c r="BA58" s="436">
        <f>IF(OR(AY58=0,AZ58=0),'Data Standar'!$AC$187/3,((MAX(AY58:AZ58)-(MIN(AY58:AZ58)))))</f>
        <v>0.26333333333333336</v>
      </c>
      <c r="BB58" s="443">
        <f>(0.16-0)/2</f>
        <v>0.08</v>
      </c>
      <c r="BC58" s="423"/>
      <c r="BD58" s="435">
        <v>50</v>
      </c>
      <c r="BE58" s="338">
        <f>'Data Standar'!AD183</f>
        <v>0.76</v>
      </c>
      <c r="BF58" s="338"/>
      <c r="BG58" s="436">
        <f>IF(OR(BE58=0,BF58=0),'Data Standar'!$AD$187/3,((MAX(BE58:BF58)-(MIN(BE58:BF58)))))</f>
        <v>9.0000000000000011E-2</v>
      </c>
      <c r="BH58" s="443">
        <f>(0.16-0)/2</f>
        <v>0.08</v>
      </c>
      <c r="BI58" s="423"/>
      <c r="BJ58" s="435">
        <v>50</v>
      </c>
      <c r="BK58" s="338">
        <f>'Data Standar'!AE183</f>
        <v>0.38</v>
      </c>
      <c r="BL58" s="338"/>
      <c r="BM58" s="436">
        <f>IF(OR(BK58=0,BL58=0),'Data Standar'!$AE$187/3,((MAX(BK58:BL58)-(MIN(BK58:BL58)))))</f>
        <v>0.26333333333333336</v>
      </c>
      <c r="BN58" s="443">
        <f>(0.16-0)/2</f>
        <v>0.08</v>
      </c>
      <c r="BO58" s="423"/>
      <c r="BP58" s="435">
        <v>50</v>
      </c>
      <c r="BQ58" s="338">
        <f>'Data Standar'!AF183</f>
        <v>0.61</v>
      </c>
      <c r="BR58" s="338"/>
      <c r="BS58" s="436">
        <f>IF(OR(BQ58=0,BR58=0),'Data Standar'!$AF$187/3,((MAX(BQ58:BR58)-(MIN(BQ58:BR58)))))</f>
        <v>8.3333333333333329E-2</v>
      </c>
      <c r="BT58" s="443">
        <f>(0.16-0)/2</f>
        <v>0.08</v>
      </c>
      <c r="BU58" s="423"/>
      <c r="BV58" s="435">
        <v>50</v>
      </c>
      <c r="BW58" s="338">
        <f>'Data Standar'!AG183</f>
        <v>0.74</v>
      </c>
      <c r="BX58" s="338"/>
      <c r="BY58" s="436">
        <f>IF(OR(BW58=0,BX58=0),'Data Standar'!$AG$187/3,((MAX(BW58:BX58)-(MIN(BW58:BX58)))))</f>
        <v>8.666666666666667E-2</v>
      </c>
      <c r="BZ58" s="443">
        <f>(0.16-0)/2</f>
        <v>0.08</v>
      </c>
      <c r="CA58" s="423"/>
      <c r="CB58" s="435">
        <v>50</v>
      </c>
      <c r="CC58" s="338">
        <f t="shared" si="21"/>
        <v>-1</v>
      </c>
      <c r="CD58" s="338">
        <f t="shared" si="26"/>
        <v>-0.7</v>
      </c>
      <c r="CE58" s="436">
        <f t="shared" si="27"/>
        <v>0.30000000000000004</v>
      </c>
      <c r="CF58" s="443">
        <f>(0.16-0)/2</f>
        <v>0.08</v>
      </c>
      <c r="CG58" s="423"/>
      <c r="CH58" s="435">
        <v>50</v>
      </c>
      <c r="CI58" s="338">
        <f t="shared" si="22"/>
        <v>0.27</v>
      </c>
      <c r="CJ58" s="338">
        <f t="shared" si="24"/>
        <v>0.22</v>
      </c>
      <c r="CK58" s="436">
        <f t="shared" si="28"/>
        <v>5.0000000000000017E-2</v>
      </c>
      <c r="CL58" s="443">
        <f>(0.16-0)/2</f>
        <v>0.08</v>
      </c>
      <c r="CM58" s="423"/>
      <c r="CN58" s="435">
        <v>50</v>
      </c>
      <c r="CO58" s="338">
        <f t="shared" si="23"/>
        <v>0.67</v>
      </c>
      <c r="CP58" s="338">
        <f t="shared" si="25"/>
        <v>0.56999999999999995</v>
      </c>
      <c r="CQ58" s="436">
        <f t="shared" si="29"/>
        <v>0.10000000000000009</v>
      </c>
      <c r="CR58" s="443">
        <f>(0.16-0)/2</f>
        <v>0.08</v>
      </c>
      <c r="CS58" s="423"/>
    </row>
    <row r="59" spans="1:97" s="427" customFormat="1" ht="13">
      <c r="A59" s="423"/>
      <c r="B59" s="435">
        <v>100</v>
      </c>
      <c r="C59" s="338">
        <v>0.12</v>
      </c>
      <c r="D59" s="338">
        <f>'Data Standar'!U184</f>
        <v>0.76</v>
      </c>
      <c r="E59" s="436">
        <f>IF(OR(C59=0,D59=0),'Data Standar'!$U$187/3,((MAX(C59:D59)-(MIN(C59:D59)))))</f>
        <v>0.64</v>
      </c>
      <c r="F59" s="437">
        <f>(1.1+0.16)/2</f>
        <v>0.63</v>
      </c>
      <c r="G59" s="438"/>
      <c r="H59" s="435">
        <v>100</v>
      </c>
      <c r="I59" s="338">
        <v>0.14000000000000001</v>
      </c>
      <c r="J59" s="338">
        <f>'Data Standar'!V184</f>
        <v>0.57999999999999996</v>
      </c>
      <c r="K59" s="436">
        <f>IF(OR(I59=0,J59=0),'Data Standar'!$V$187/3,((MAX(I59:J59)-(MIN(I59:J59)))))</f>
        <v>0.43999999999999995</v>
      </c>
      <c r="L59" s="437">
        <f>(0.21-0)/2</f>
        <v>0.105</v>
      </c>
      <c r="M59" s="438"/>
      <c r="N59" s="435">
        <v>100</v>
      </c>
      <c r="O59" s="338">
        <v>0.12</v>
      </c>
      <c r="P59" s="338">
        <f>'Data Standar'!W184</f>
        <v>-0.16</v>
      </c>
      <c r="Q59" s="436">
        <f>IF(OR(O59=0,P59=0),'Data Standar'!$W$187/3,((MAX(O59:P59)-(MIN(O59:P59)))))</f>
        <v>0.28000000000000003</v>
      </c>
      <c r="R59" s="443">
        <f>(0.2-0)/2</f>
        <v>0.1</v>
      </c>
      <c r="S59" s="423"/>
      <c r="T59" s="435">
        <v>100</v>
      </c>
      <c r="U59" s="338">
        <f>'Data Standar'!X184</f>
        <v>0.82</v>
      </c>
      <c r="V59" s="338"/>
      <c r="W59" s="436">
        <f>IF(OR(U59=0,V59=0),'Data Standar'!$X$187/3,((MAX(U59:V59)-(MIN(U59:V59)))))</f>
        <v>8.666666666666667E-2</v>
      </c>
      <c r="X59" s="443">
        <f>(0.2-0)/2</f>
        <v>0.1</v>
      </c>
      <c r="Y59" s="423"/>
      <c r="Z59" s="435">
        <v>100</v>
      </c>
      <c r="AA59" s="338">
        <f>'Data Standar'!Y184</f>
        <v>0.22</v>
      </c>
      <c r="AB59" s="338">
        <v>0.57999999999999996</v>
      </c>
      <c r="AC59" s="436">
        <f>IF(OR(AA59=0,AB59=0),'Data Standar'!$Y$187/3,((MAX(AA59:AB59)-(MIN(AA59:AB59)))))</f>
        <v>0.36</v>
      </c>
      <c r="AD59" s="443">
        <f>(0.2-0)/2</f>
        <v>0.1</v>
      </c>
      <c r="AE59" s="423"/>
      <c r="AF59" s="435">
        <v>100</v>
      </c>
      <c r="AG59" s="338">
        <f>'Data Standar'!Z184</f>
        <v>0.27</v>
      </c>
      <c r="AH59" s="338">
        <v>0.55000000000000004</v>
      </c>
      <c r="AI59" s="436">
        <f>IF(OR(AG59=0,AH59=0),'Data Standar'!$Z$187/3,((MAX(AG59:AH59)-(MIN(AG59:AH59)))))</f>
        <v>0.28000000000000003</v>
      </c>
      <c r="AJ59" s="443">
        <f>(0.2-0)/2</f>
        <v>0.1</v>
      </c>
      <c r="AK59" s="423"/>
      <c r="AL59" s="435">
        <v>100</v>
      </c>
      <c r="AM59" s="338">
        <f>'Data Standar'!AA184</f>
        <v>0.54</v>
      </c>
      <c r="AN59" s="338"/>
      <c r="AO59" s="436">
        <f>IF(OR(AM59=0,AN59=0),'Data Standar'!$AA$187/3,((MAX(AM59:AN59)-(MIN(AM59:AN59)))))</f>
        <v>8.3333333333333329E-2</v>
      </c>
      <c r="AP59" s="443">
        <f>(0.2-0)/2</f>
        <v>0.1</v>
      </c>
      <c r="AQ59" s="423"/>
      <c r="AR59" s="435">
        <v>100</v>
      </c>
      <c r="AS59" s="338">
        <f>'Data Standar'!AB184</f>
        <v>0.45</v>
      </c>
      <c r="AT59" s="338"/>
      <c r="AU59" s="436">
        <f>IF(OR(AS59=0,AT59=0),'Data Standar'!$AB$187/3,((MAX(AS59:AT59)-(MIN(AS59:AT59)))))</f>
        <v>0.08</v>
      </c>
      <c r="AV59" s="443">
        <f>(0.2-0)/2</f>
        <v>0.1</v>
      </c>
      <c r="AW59" s="423"/>
      <c r="AX59" s="435">
        <v>100</v>
      </c>
      <c r="AY59" s="338">
        <f>'Data Standar'!AC184</f>
        <v>0.18</v>
      </c>
      <c r="AZ59" s="338"/>
      <c r="BA59" s="436">
        <f>IF(OR(AY59=0,AZ59=0),'Data Standar'!$AC$187/3,((MAX(AY59:AZ59)-(MIN(AY59:AZ59)))))</f>
        <v>0.26333333333333336</v>
      </c>
      <c r="BB59" s="443">
        <f>(0.2-0)/2</f>
        <v>0.1</v>
      </c>
      <c r="BC59" s="423"/>
      <c r="BD59" s="435">
        <v>100</v>
      </c>
      <c r="BE59" s="338">
        <f>'Data Standar'!AD184</f>
        <v>0.24</v>
      </c>
      <c r="BF59" s="338"/>
      <c r="BG59" s="436">
        <f>IF(OR(BE59=0,BF59=0),'Data Standar'!$AD$187/3,((MAX(BE59:BF59)-(MIN(BE59:BF59)))))</f>
        <v>9.0000000000000011E-2</v>
      </c>
      <c r="BH59" s="443">
        <f>(0.2-0)/2</f>
        <v>0.1</v>
      </c>
      <c r="BI59" s="423"/>
      <c r="BJ59" s="435">
        <v>100</v>
      </c>
      <c r="BK59" s="338">
        <f>'Data Standar'!AE184</f>
        <v>0.18</v>
      </c>
      <c r="BL59" s="338"/>
      <c r="BM59" s="436">
        <f>IF(OR(BK59=0,BL59=0),'Data Standar'!$AE$187/3,((MAX(BK59:BL59)-(MIN(BK59:BL59)))))</f>
        <v>0.26333333333333336</v>
      </c>
      <c r="BN59" s="443">
        <f>(0.2-0)/2</f>
        <v>0.1</v>
      </c>
      <c r="BO59" s="423"/>
      <c r="BP59" s="435">
        <v>100</v>
      </c>
      <c r="BQ59" s="338">
        <f>'Data Standar'!AF184</f>
        <v>0.39</v>
      </c>
      <c r="BR59" s="338"/>
      <c r="BS59" s="436">
        <f>IF(OR(BQ59=0,BR59=0),'Data Standar'!$AF$187/3,((MAX(BQ59:BR59)-(MIN(BQ59:BR59)))))</f>
        <v>8.3333333333333329E-2</v>
      </c>
      <c r="BT59" s="443">
        <f>(0.2-0)/2</f>
        <v>0.1</v>
      </c>
      <c r="BU59" s="423"/>
      <c r="BV59" s="435">
        <v>100</v>
      </c>
      <c r="BW59" s="338">
        <f>'Data Standar'!AG184</f>
        <v>0.69</v>
      </c>
      <c r="BX59" s="338"/>
      <c r="BY59" s="436">
        <f>IF(OR(BW59=0,BX59=0),'Data Standar'!$AG$187/3,((MAX(BW59:BX59)-(MIN(BW59:BX59)))))</f>
        <v>8.666666666666667E-2</v>
      </c>
      <c r="BZ59" s="443">
        <f>(0.2-0)/2</f>
        <v>0.1</v>
      </c>
      <c r="CA59" s="423"/>
      <c r="CB59" s="435">
        <v>100</v>
      </c>
      <c r="CC59" s="338">
        <f t="shared" si="21"/>
        <v>-1.6</v>
      </c>
      <c r="CD59" s="338">
        <f t="shared" si="26"/>
        <v>-0.7</v>
      </c>
      <c r="CE59" s="436">
        <f t="shared" si="27"/>
        <v>0.90000000000000013</v>
      </c>
      <c r="CF59" s="443">
        <f>(0.2-0)/2</f>
        <v>0.1</v>
      </c>
      <c r="CG59" s="423"/>
      <c r="CH59" s="435">
        <v>100</v>
      </c>
      <c r="CI59" s="338">
        <f t="shared" si="22"/>
        <v>0.31</v>
      </c>
      <c r="CJ59" s="338">
        <f t="shared" si="24"/>
        <v>0.23</v>
      </c>
      <c r="CK59" s="436">
        <f t="shared" si="28"/>
        <v>7.9999999999999988E-2</v>
      </c>
      <c r="CL59" s="443">
        <f>(0.2-0)/2</f>
        <v>0.1</v>
      </c>
      <c r="CM59" s="423"/>
      <c r="CN59" s="435">
        <v>100</v>
      </c>
      <c r="CO59" s="338">
        <f t="shared" si="23"/>
        <v>0.95</v>
      </c>
      <c r="CP59" s="338">
        <f t="shared" si="25"/>
        <v>0.81</v>
      </c>
      <c r="CQ59" s="436">
        <f t="shared" si="29"/>
        <v>0.1399999999999999</v>
      </c>
      <c r="CR59" s="443">
        <f>(0.2-0)/2</f>
        <v>0.1</v>
      </c>
      <c r="CS59" s="423"/>
    </row>
    <row r="60" spans="1:97" s="427" customFormat="1" ht="13">
      <c r="A60" s="423"/>
      <c r="B60" s="435">
        <v>150</v>
      </c>
      <c r="C60" s="338">
        <v>0.14000000000000001</v>
      </c>
      <c r="D60" s="338">
        <f>'Data Standar'!U185</f>
        <v>0.78</v>
      </c>
      <c r="E60" s="436">
        <f>IF(OR(C60=0,D60=0),'Data Standar'!$U$187/3,((MAX(C60:D60)-(MIN(C60:D60)))))</f>
        <v>0.64</v>
      </c>
      <c r="F60" s="437">
        <f>(0.71+0.15)/2</f>
        <v>0.43</v>
      </c>
      <c r="G60" s="438"/>
      <c r="H60" s="435">
        <v>150</v>
      </c>
      <c r="I60" s="338">
        <v>0.03</v>
      </c>
      <c r="J60" s="338">
        <f>'Data Standar'!V185</f>
        <v>0.61</v>
      </c>
      <c r="K60" s="436">
        <f>IF(OR(I60=0,J60=0),'Data Standar'!$V$187/3,((MAX(I60:J60)-(MIN(I60:J60)))))</f>
        <v>0.57999999999999996</v>
      </c>
      <c r="L60" s="437">
        <f>(0.28-0)/2</f>
        <v>0.14000000000000001</v>
      </c>
      <c r="M60" s="438"/>
      <c r="N60" s="435">
        <v>150</v>
      </c>
      <c r="O60" s="338">
        <v>-0.06</v>
      </c>
      <c r="P60" s="338">
        <f>'Data Standar'!W185</f>
        <v>-0.28999999999999998</v>
      </c>
      <c r="Q60" s="436">
        <f>IF(OR(O60=0,P60=0),'Data Standar'!$W$187/3,((MAX(O60:P60)-(MIN(O60:P60)))))</f>
        <v>0.22999999999999998</v>
      </c>
      <c r="R60" s="443">
        <f>(0.21-0)/2</f>
        <v>0.105</v>
      </c>
      <c r="S60" s="423"/>
      <c r="T60" s="435">
        <v>150</v>
      </c>
      <c r="U60" s="338">
        <f>'Data Standar'!X185</f>
        <v>0.13</v>
      </c>
      <c r="V60" s="338"/>
      <c r="W60" s="436">
        <f>IF(OR(U60=0,V60=0),'Data Standar'!$X$187/3,((MAX(U60:V60)-(MIN(U60:V60)))))</f>
        <v>8.666666666666667E-2</v>
      </c>
      <c r="X60" s="443">
        <f>(0.21-0)/2</f>
        <v>0.105</v>
      </c>
      <c r="Y60" s="423"/>
      <c r="Z60" s="435">
        <v>150</v>
      </c>
      <c r="AA60" s="338">
        <f>'Data Standar'!Y185</f>
        <v>0.41</v>
      </c>
      <c r="AB60" s="338">
        <v>0.26</v>
      </c>
      <c r="AC60" s="436">
        <f>IF(OR(AA60=0,AB60=0),'Data Standar'!$Y$187/3,((MAX(AA60:AB60)-(MIN(AA60:AB60)))))</f>
        <v>0.14999999999999997</v>
      </c>
      <c r="AD60" s="443">
        <f>(0.21-0)/2</f>
        <v>0.105</v>
      </c>
      <c r="AE60" s="423"/>
      <c r="AF60" s="435">
        <v>150</v>
      </c>
      <c r="AG60" s="338">
        <f>'Data Standar'!Z185</f>
        <v>0.48</v>
      </c>
      <c r="AH60" s="338">
        <v>0.21</v>
      </c>
      <c r="AI60" s="436">
        <f>IF(OR(AG60=0,AH60=0),'Data Standar'!$Z$187/3,((MAX(AG60:AH60)-(MIN(AG60:AH60)))))</f>
        <v>0.27</v>
      </c>
      <c r="AJ60" s="443">
        <f>(0.21-0)/2</f>
        <v>0.105</v>
      </c>
      <c r="AK60" s="423"/>
      <c r="AL60" s="435">
        <v>150</v>
      </c>
      <c r="AM60" s="338">
        <f>'Data Standar'!AA185</f>
        <v>0.72</v>
      </c>
      <c r="AN60" s="338"/>
      <c r="AO60" s="436">
        <f>IF(OR(AM60=0,AN60=0),'Data Standar'!$AA$187/3,((MAX(AM60:AN60)-(MIN(AM60:AN60)))))</f>
        <v>8.3333333333333329E-2</v>
      </c>
      <c r="AP60" s="443">
        <f>(0.21-0)/2</f>
        <v>0.105</v>
      </c>
      <c r="AQ60" s="423"/>
      <c r="AR60" s="435">
        <v>150</v>
      </c>
      <c r="AS60" s="338">
        <f>'Data Standar'!AB185</f>
        <v>0.67</v>
      </c>
      <c r="AT60" s="338"/>
      <c r="AU60" s="436">
        <f>IF(OR(AS60=0,AT60=0),'Data Standar'!$AB$187/3,((MAX(AS60:AT60)-(MIN(AS60:AT60)))))</f>
        <v>0.08</v>
      </c>
      <c r="AV60" s="443">
        <f>(0.21-0)/2</f>
        <v>0.105</v>
      </c>
      <c r="AW60" s="423"/>
      <c r="AX60" s="435">
        <v>150</v>
      </c>
      <c r="AY60" s="338">
        <f>'Data Standar'!AC185</f>
        <v>-0.03</v>
      </c>
      <c r="AZ60" s="338"/>
      <c r="BA60" s="436">
        <f>IF(OR(AY60=0,AZ60=0),'Data Standar'!$AC$187/3,((MAX(AY60:AZ60)-(MIN(AY60:AZ60)))))</f>
        <v>0.26333333333333336</v>
      </c>
      <c r="BB60" s="443">
        <f>(0.21-0)/2</f>
        <v>0.105</v>
      </c>
      <c r="BC60" s="423"/>
      <c r="BD60" s="435">
        <v>150</v>
      </c>
      <c r="BE60" s="338">
        <f>'Data Standar'!AD185</f>
        <v>-0.73</v>
      </c>
      <c r="BF60" s="338"/>
      <c r="BG60" s="436">
        <f>IF(OR(BE60=0,BF60=0),'Data Standar'!$AD$187/3,((MAX(BE60:BF60)-(MIN(BE60:BF60)))))</f>
        <v>9.0000000000000011E-2</v>
      </c>
      <c r="BH60" s="443">
        <f>(0.21-0)/2</f>
        <v>0.105</v>
      </c>
      <c r="BI60" s="423"/>
      <c r="BJ60" s="435">
        <v>150</v>
      </c>
      <c r="BK60" s="338">
        <f>'Data Standar'!AE185</f>
        <v>-0.03</v>
      </c>
      <c r="BL60" s="338"/>
      <c r="BM60" s="436">
        <f>IF(OR(BK60=0,BL60=0),'Data Standar'!$AE$187/3,((MAX(BK60:BL60)-(MIN(BK60:BL60)))))</f>
        <v>0.26333333333333336</v>
      </c>
      <c r="BN60" s="443">
        <f>(0.21-0)/2</f>
        <v>0.105</v>
      </c>
      <c r="BO60" s="423"/>
      <c r="BP60" s="435">
        <v>150</v>
      </c>
      <c r="BQ60" s="338">
        <f>'Data Standar'!AF185</f>
        <v>-0.35</v>
      </c>
      <c r="BR60" s="338"/>
      <c r="BS60" s="436">
        <f>IF(OR(BQ60=0,BR60=0),'Data Standar'!$AF$187/3,((MAX(BQ60:BR60)-(MIN(BQ60:BR60)))))</f>
        <v>8.3333333333333329E-2</v>
      </c>
      <c r="BT60" s="443">
        <f>(0.21-0)/2</f>
        <v>0.105</v>
      </c>
      <c r="BU60" s="423"/>
      <c r="BV60" s="435">
        <v>150</v>
      </c>
      <c r="BW60" s="338">
        <f>'Data Standar'!AG185</f>
        <v>-0.21</v>
      </c>
      <c r="BX60" s="338"/>
      <c r="BY60" s="436">
        <f>IF(OR(BW60=0,BX60=0),'Data Standar'!$AG$187/3,((MAX(BW60:BX60)-(MIN(BW60:BX60)))))</f>
        <v>8.666666666666667E-2</v>
      </c>
      <c r="BZ60" s="443">
        <f>(0.21-0)/2</f>
        <v>0.105</v>
      </c>
      <c r="CA60" s="423"/>
      <c r="CB60" s="435">
        <v>150</v>
      </c>
      <c r="CC60" s="338">
        <f t="shared" si="21"/>
        <v>-1.7</v>
      </c>
      <c r="CD60" s="338">
        <f t="shared" si="26"/>
        <v>-0.7</v>
      </c>
      <c r="CE60" s="436">
        <f t="shared" si="27"/>
        <v>1</v>
      </c>
      <c r="CF60" s="443">
        <f>(0.21-0)/2</f>
        <v>0.105</v>
      </c>
      <c r="CG60" s="423"/>
      <c r="CH60" s="435">
        <v>150</v>
      </c>
      <c r="CI60" s="338">
        <f t="shared" si="22"/>
        <v>0.3</v>
      </c>
      <c r="CJ60" s="338">
        <f t="shared" si="24"/>
        <v>0.22</v>
      </c>
      <c r="CK60" s="436">
        <f t="shared" si="28"/>
        <v>7.9999999999999988E-2</v>
      </c>
      <c r="CL60" s="443">
        <f>(0.21-0)/2</f>
        <v>0.105</v>
      </c>
      <c r="CM60" s="423"/>
      <c r="CN60" s="435">
        <v>150</v>
      </c>
      <c r="CO60" s="338">
        <f t="shared" si="23"/>
        <v>0.49</v>
      </c>
      <c r="CP60" s="338">
        <f t="shared" si="25"/>
        <v>0.87</v>
      </c>
      <c r="CQ60" s="436">
        <f t="shared" si="29"/>
        <v>0.38</v>
      </c>
      <c r="CR60" s="443">
        <f>(0.21-0)/2</f>
        <v>0.105</v>
      </c>
      <c r="CS60" s="423"/>
    </row>
    <row r="61" spans="1:97" s="427" customFormat="1" ht="13">
      <c r="A61" s="423"/>
      <c r="B61" s="435">
        <v>200</v>
      </c>
      <c r="C61" s="338">
        <v>0.38</v>
      </c>
      <c r="D61" s="338">
        <f>'Data Standar'!U186</f>
        <v>7.0000000000000007E-2</v>
      </c>
      <c r="E61" s="436">
        <f>IF(OR(C61=0,D61=0),'Data Standar'!$U$187/3,((MAX(C61:D61)-(MIN(C61:D61)))))</f>
        <v>0.31</v>
      </c>
      <c r="F61" s="437">
        <f>(-0.17+0.52)/2</f>
        <v>0.17499999999999999</v>
      </c>
      <c r="G61" s="438"/>
      <c r="H61" s="435">
        <v>200</v>
      </c>
      <c r="I61" s="338">
        <v>0.32</v>
      </c>
      <c r="J61" s="338">
        <f>'Data Standar'!V186</f>
        <v>0.25</v>
      </c>
      <c r="K61" s="436">
        <f>IF(OR(I61=0,J61=0),'Data Standar'!$V$187/3,((MAX(I61:J61)-(MIN(I61:J61)))))</f>
        <v>7.0000000000000007E-2</v>
      </c>
      <c r="L61" s="437">
        <f>(0.29-0)/2</f>
        <v>0.14499999999999999</v>
      </c>
      <c r="M61" s="438"/>
      <c r="N61" s="435">
        <v>200</v>
      </c>
      <c r="O61" s="338">
        <v>0.36</v>
      </c>
      <c r="P61" s="338">
        <f>'Data Standar'!W186</f>
        <v>7.0000000000000007E-2</v>
      </c>
      <c r="Q61" s="436">
        <f>IF(OR(O61=0,P61=0),'Data Standar'!$W$187/3,((MAX(O61:P61)-(MIN(O61:P61)))))</f>
        <v>0.28999999999999998</v>
      </c>
      <c r="R61" s="443">
        <f>(0.18-0)/2</f>
        <v>0.09</v>
      </c>
      <c r="S61" s="423"/>
      <c r="T61" s="435">
        <v>200</v>
      </c>
      <c r="U61" s="338">
        <f>'Data Standar'!X186</f>
        <v>-0.67</v>
      </c>
      <c r="V61" s="338"/>
      <c r="W61" s="436">
        <f>IF(OR(U61=0,V61=0),'Data Standar'!$X$187/3,((MAX(U61:V61)-(MIN(U61:V61)))))</f>
        <v>8.666666666666667E-2</v>
      </c>
      <c r="X61" s="443">
        <f>(0.18-0)/2</f>
        <v>0.09</v>
      </c>
      <c r="Y61" s="423"/>
      <c r="Z61" s="435">
        <v>200</v>
      </c>
      <c r="AA61" s="338">
        <f>'Data Standar'!Y186</f>
        <v>0.61</v>
      </c>
      <c r="AB61" s="338">
        <v>-0.14000000000000001</v>
      </c>
      <c r="AC61" s="436">
        <f>IF(OR(AA61=0,AB61=0),'Data Standar'!$Y$187/3,((MAX(AA61:AB61)-(MIN(AA61:AB61)))))</f>
        <v>0.75</v>
      </c>
      <c r="AD61" s="443">
        <f>(0.18-0)/2</f>
        <v>0.09</v>
      </c>
      <c r="AE61" s="423"/>
      <c r="AF61" s="435">
        <v>200</v>
      </c>
      <c r="AG61" s="338">
        <f>'Data Standar'!Z186</f>
        <v>0.76</v>
      </c>
      <c r="AH61" s="338">
        <v>-0.08</v>
      </c>
      <c r="AI61" s="436">
        <f>IF(OR(AG61=0,AH61=0),'Data Standar'!$Z$187/3,((MAX(AG61:AH61)-(MIN(AG61:AH61)))))</f>
        <v>0.84</v>
      </c>
      <c r="AJ61" s="443">
        <f>(0.18-0)/2</f>
        <v>0.09</v>
      </c>
      <c r="AK61" s="423"/>
      <c r="AL61" s="435">
        <v>200</v>
      </c>
      <c r="AM61" s="338">
        <f>'Data Standar'!AA186</f>
        <v>0.97</v>
      </c>
      <c r="AN61" s="338"/>
      <c r="AO61" s="436">
        <f>IF(OR(AM61=0,AN61=0),'Data Standar'!$AA$187/3,((MAX(AM61:AN61)-(MIN(AM61:AN61)))))</f>
        <v>8.3333333333333329E-2</v>
      </c>
      <c r="AP61" s="443">
        <f>(0.18-0)/2</f>
        <v>0.09</v>
      </c>
      <c r="AQ61" s="423"/>
      <c r="AR61" s="435">
        <v>200</v>
      </c>
      <c r="AS61" s="338">
        <f>'Data Standar'!AB186</f>
        <v>0.91</v>
      </c>
      <c r="AT61" s="338"/>
      <c r="AU61" s="436">
        <f>IF(OR(AS61=0,AT61=0),'Data Standar'!$AB$187/3,((MAX(AS61:AT61)-(MIN(AS61:AT61)))))</f>
        <v>0.08</v>
      </c>
      <c r="AV61" s="443">
        <f>(0.18-0)/2</f>
        <v>0.09</v>
      </c>
      <c r="AW61" s="423"/>
      <c r="AX61" s="435">
        <v>200</v>
      </c>
      <c r="AY61" s="338">
        <f>'Data Standar'!AC186</f>
        <v>-0.26</v>
      </c>
      <c r="AZ61" s="338"/>
      <c r="BA61" s="436">
        <f>IF(OR(AY61=0,AZ61=0),'Data Standar'!$AC$187/3,((MAX(AY61:AZ61)-(MIN(AY61:AZ61)))))</f>
        <v>0.26333333333333336</v>
      </c>
      <c r="BB61" s="443">
        <f>(0.18-0)/2</f>
        <v>0.09</v>
      </c>
      <c r="BC61" s="423"/>
      <c r="BD61" s="435">
        <v>200</v>
      </c>
      <c r="BE61" s="338">
        <f>'Data Standar'!AD186</f>
        <v>-0.85</v>
      </c>
      <c r="BF61" s="338"/>
      <c r="BG61" s="436">
        <f>IF(OR(BE61=0,BF61=0),'Data Standar'!$AD$187/3,((MAX(BE61:BF61)-(MIN(BE61:BF61)))))</f>
        <v>9.0000000000000011E-2</v>
      </c>
      <c r="BH61" s="443">
        <f>(0.18-0)/2</f>
        <v>0.09</v>
      </c>
      <c r="BI61" s="423"/>
      <c r="BJ61" s="435">
        <v>200</v>
      </c>
      <c r="BK61" s="338">
        <f>'Data Standar'!AE186</f>
        <v>-0.26</v>
      </c>
      <c r="BL61" s="338"/>
      <c r="BM61" s="436">
        <f>IF(OR(BK61=0,BL61=0),'Data Standar'!$AE$187/3,((MAX(BK61:BL61)-(MIN(BK61:BL61)))))</f>
        <v>0.26333333333333336</v>
      </c>
      <c r="BN61" s="443">
        <f>(0.18-0)/2</f>
        <v>0.09</v>
      </c>
      <c r="BO61" s="423"/>
      <c r="BP61" s="435">
        <v>200</v>
      </c>
      <c r="BQ61" s="338">
        <f>'Data Standar'!AF186</f>
        <v>-0.64</v>
      </c>
      <c r="BR61" s="338"/>
      <c r="BS61" s="436">
        <f>IF(OR(BQ61=0,BR61=0),'Data Standar'!$AF$187/3,((MAX(BQ61:BR61)-(MIN(BQ61:BR61)))))</f>
        <v>8.3333333333333329E-2</v>
      </c>
      <c r="BT61" s="443">
        <f>(0.18-0)/2</f>
        <v>0.09</v>
      </c>
      <c r="BU61" s="423"/>
      <c r="BV61" s="435">
        <v>200</v>
      </c>
      <c r="BW61" s="338">
        <f>'Data Standar'!AG186</f>
        <v>-1.31</v>
      </c>
      <c r="BX61" s="338"/>
      <c r="BY61" s="436">
        <f>IF(OR(BW61=0,BX61=0),'Data Standar'!$AG$187/3,((MAX(BW61:BX61)-(MIN(BW61:BX61)))))</f>
        <v>8.666666666666667E-2</v>
      </c>
      <c r="BZ61" s="443">
        <f>(0.18-0)/2</f>
        <v>0.09</v>
      </c>
      <c r="CA61" s="423"/>
      <c r="CB61" s="435">
        <v>200</v>
      </c>
      <c r="CC61" s="338">
        <f t="shared" si="21"/>
        <v>-0.9</v>
      </c>
      <c r="CD61" s="338">
        <f t="shared" si="26"/>
        <v>-0.6</v>
      </c>
      <c r="CE61" s="436">
        <f t="shared" si="27"/>
        <v>0.30000000000000004</v>
      </c>
      <c r="CF61" s="443">
        <f>(0.18-0)/2</f>
        <v>0.09</v>
      </c>
      <c r="CG61" s="423"/>
      <c r="CH61" s="435">
        <v>200</v>
      </c>
      <c r="CI61" s="338">
        <f t="shared" si="22"/>
        <v>0.34</v>
      </c>
      <c r="CJ61" s="338">
        <f t="shared" si="24"/>
        <v>0.47</v>
      </c>
      <c r="CK61" s="436">
        <f t="shared" si="28"/>
        <v>0.12999999999999995</v>
      </c>
      <c r="CL61" s="443">
        <f>(0.18-0)/2</f>
        <v>0.09</v>
      </c>
      <c r="CM61" s="423"/>
      <c r="CN61" s="435">
        <v>200</v>
      </c>
      <c r="CO61" s="338">
        <f t="shared" si="23"/>
        <v>-0.26</v>
      </c>
      <c r="CP61" s="338">
        <f t="shared" si="25"/>
        <v>0.99</v>
      </c>
      <c r="CQ61" s="436">
        <f t="shared" si="29"/>
        <v>1.25</v>
      </c>
      <c r="CR61" s="443">
        <f>(0.18-0)/2</f>
        <v>0.09</v>
      </c>
      <c r="CS61" s="423"/>
    </row>
    <row r="62" spans="1:97" s="423" customFormat="1" ht="13">
      <c r="B62" s="442"/>
      <c r="C62" s="424"/>
      <c r="D62" s="424"/>
      <c r="E62" s="440"/>
      <c r="F62" s="438"/>
      <c r="G62" s="438"/>
      <c r="H62" s="442"/>
      <c r="I62" s="424"/>
      <c r="J62" s="424"/>
      <c r="K62" s="440"/>
      <c r="L62" s="425"/>
      <c r="M62" s="438"/>
      <c r="N62" s="442"/>
      <c r="O62" s="424"/>
      <c r="P62" s="424"/>
      <c r="Q62" s="440"/>
      <c r="R62" s="425"/>
      <c r="T62" s="442"/>
      <c r="U62" s="424"/>
      <c r="V62" s="424"/>
      <c r="W62" s="440"/>
      <c r="X62" s="425"/>
      <c r="Z62" s="442"/>
      <c r="AA62" s="424"/>
      <c r="AB62" s="424"/>
      <c r="AC62" s="440"/>
      <c r="AD62" s="425"/>
      <c r="AF62" s="442"/>
      <c r="AG62" s="424"/>
      <c r="AH62" s="424"/>
      <c r="AI62" s="440"/>
      <c r="AJ62" s="425"/>
      <c r="AL62" s="442"/>
      <c r="AM62" s="424"/>
      <c r="AN62" s="424"/>
      <c r="AO62" s="440"/>
      <c r="AP62" s="425"/>
      <c r="AR62" s="442"/>
      <c r="AS62" s="424"/>
      <c r="AT62" s="424"/>
      <c r="AU62" s="440"/>
      <c r="AV62" s="425"/>
      <c r="AX62" s="442"/>
      <c r="AY62" s="424"/>
      <c r="AZ62" s="424"/>
      <c r="BA62" s="440"/>
      <c r="BB62" s="425"/>
      <c r="BD62" s="442"/>
      <c r="BE62" s="424"/>
      <c r="BF62" s="424"/>
      <c r="BG62" s="440"/>
      <c r="BH62" s="425"/>
      <c r="BJ62" s="442"/>
      <c r="BK62" s="424"/>
      <c r="BL62" s="424"/>
      <c r="BM62" s="440"/>
      <c r="BN62" s="425"/>
      <c r="BP62" s="442"/>
      <c r="BQ62" s="424"/>
      <c r="BR62" s="424"/>
      <c r="BS62" s="440"/>
      <c r="BT62" s="425"/>
      <c r="BV62" s="442"/>
      <c r="BW62" s="424"/>
      <c r="BX62" s="424"/>
      <c r="BY62" s="440"/>
      <c r="BZ62" s="425"/>
      <c r="CB62" s="442"/>
      <c r="CC62" s="424"/>
      <c r="CD62" s="424"/>
      <c r="CE62" s="440"/>
      <c r="CF62" s="425"/>
      <c r="CH62" s="442"/>
      <c r="CI62" s="424"/>
      <c r="CJ62" s="424"/>
      <c r="CK62" s="440"/>
      <c r="CL62" s="425"/>
      <c r="CN62" s="442"/>
      <c r="CO62" s="424"/>
      <c r="CP62" s="424"/>
      <c r="CQ62" s="440"/>
      <c r="CR62" s="425"/>
    </row>
    <row r="63" spans="1:97" s="427" customFormat="1" ht="45" customHeight="1">
      <c r="A63" s="423"/>
      <c r="B63" s="1317" t="s">
        <v>389</v>
      </c>
      <c r="C63" s="1315" t="str">
        <f>C48</f>
        <v>Thermocouple Data Logger, Merek : MADGETECH, Model : OctTemp 2000, SN : P40270</v>
      </c>
      <c r="D63" s="1315"/>
      <c r="E63" s="1315"/>
      <c r="F63" s="426" t="s">
        <v>383</v>
      </c>
      <c r="G63" s="984">
        <f>Drift!$B$165</f>
        <v>161.46416666666667</v>
      </c>
      <c r="H63" s="1317" t="s">
        <v>389</v>
      </c>
      <c r="I63" s="1315" t="str">
        <f>I48</f>
        <v>Thermocouple Data Logger, Merek : MADGETECH, Model : OctTemp 2000, SN : P41878</v>
      </c>
      <c r="J63" s="1315"/>
      <c r="K63" s="1315"/>
      <c r="L63" s="426" t="s">
        <v>383</v>
      </c>
      <c r="M63" s="984">
        <f>Drift!$B$165</f>
        <v>161.46416666666667</v>
      </c>
      <c r="N63" s="1317" t="s">
        <v>389</v>
      </c>
      <c r="O63" s="1315" t="str">
        <f>O48</f>
        <v>Mobile Corder, Merek : Yokogawa, Model : GP 10, SN : S5T810599</v>
      </c>
      <c r="P63" s="1316"/>
      <c r="Q63" s="1315"/>
      <c r="R63" s="426" t="s">
        <v>383</v>
      </c>
      <c r="S63" s="984">
        <f>Drift!$B$165</f>
        <v>161.46416666666667</v>
      </c>
      <c r="T63" s="1317" t="s">
        <v>389</v>
      </c>
      <c r="U63" s="1315" t="str">
        <f>U48</f>
        <v>Wireless Temperature Recorder : Merek : HIOKI, Model : LR 8510, SN : 200936000</v>
      </c>
      <c r="V63" s="1316"/>
      <c r="W63" s="1315"/>
      <c r="X63" s="426" t="s">
        <v>383</v>
      </c>
      <c r="Y63" s="984">
        <f>Drift!$B$165</f>
        <v>161.46416666666667</v>
      </c>
      <c r="Z63" s="1317" t="s">
        <v>389</v>
      </c>
      <c r="AA63" s="1315" t="str">
        <f>AA48</f>
        <v>Wireless Temperature Recorder : Merek : HIOKI, Model : LR 8510, SN : 200936001</v>
      </c>
      <c r="AB63" s="1316"/>
      <c r="AC63" s="1315"/>
      <c r="AD63" s="426" t="s">
        <v>383</v>
      </c>
      <c r="AE63" s="984">
        <f>Drift!$B$165</f>
        <v>161.46416666666667</v>
      </c>
      <c r="AF63" s="1317" t="s">
        <v>389</v>
      </c>
      <c r="AG63" s="1315" t="str">
        <f>AG48</f>
        <v>Wireless Temperature Recorder : Merek : HIOKI, Model : LR 8510, SN : 200821397</v>
      </c>
      <c r="AH63" s="1316"/>
      <c r="AI63" s="1315"/>
      <c r="AJ63" s="426" t="s">
        <v>383</v>
      </c>
      <c r="AK63" s="984">
        <f>Drift!$B$165</f>
        <v>161.46416666666667</v>
      </c>
      <c r="AL63" s="1317" t="s">
        <v>389</v>
      </c>
      <c r="AM63" s="1315" t="str">
        <f>AM48</f>
        <v>Wireless Temperature Recorder : Merek : HIOKI, Model : LR 8510, SN : 210411983</v>
      </c>
      <c r="AN63" s="1316"/>
      <c r="AO63" s="1315"/>
      <c r="AP63" s="426" t="s">
        <v>383</v>
      </c>
      <c r="AQ63" s="984">
        <f>Drift!$B$165</f>
        <v>161.46416666666667</v>
      </c>
      <c r="AR63" s="1317" t="s">
        <v>389</v>
      </c>
      <c r="AS63" s="1315" t="str">
        <f>AS48</f>
        <v>Wireless Temperature Recorder : Merek : HIOKI, Model : LR 8510, SN : 210411984</v>
      </c>
      <c r="AT63" s="1316"/>
      <c r="AU63" s="1315"/>
      <c r="AV63" s="426" t="s">
        <v>383</v>
      </c>
      <c r="AW63" s="984">
        <f>Drift!$B$165</f>
        <v>161.46416666666667</v>
      </c>
      <c r="AX63" s="1317" t="s">
        <v>389</v>
      </c>
      <c r="AY63" s="1315" t="str">
        <f>AY48</f>
        <v>Wireless Temperature Recorder : Merek : HIOKI, Model : LR 8510, SN : 210411985</v>
      </c>
      <c r="AZ63" s="1316"/>
      <c r="BA63" s="1315"/>
      <c r="BB63" s="426" t="s">
        <v>383</v>
      </c>
      <c r="BC63" s="984">
        <f>Drift!$B$165</f>
        <v>161.46416666666667</v>
      </c>
      <c r="BD63" s="1317" t="s">
        <v>389</v>
      </c>
      <c r="BE63" s="1315" t="str">
        <f>BE48</f>
        <v>Wireless Temperature Recorder : Merek : HIOKI, Model : LR 8510, SN : 210746054</v>
      </c>
      <c r="BF63" s="1316"/>
      <c r="BG63" s="1315"/>
      <c r="BH63" s="426" t="s">
        <v>383</v>
      </c>
      <c r="BI63" s="984">
        <f>Drift!$B$165</f>
        <v>161.46416666666667</v>
      </c>
      <c r="BJ63" s="1317" t="s">
        <v>389</v>
      </c>
      <c r="BK63" s="1315" t="str">
        <f>BK48</f>
        <v>Wireless Temperature Recorder : Merek : HIOKI, Model : LR 8510, SN : 210746055</v>
      </c>
      <c r="BL63" s="1316"/>
      <c r="BM63" s="1315"/>
      <c r="BN63" s="426" t="s">
        <v>383</v>
      </c>
      <c r="BO63" s="984">
        <f>Drift!$B$165</f>
        <v>161.46416666666667</v>
      </c>
      <c r="BP63" s="1319" t="s">
        <v>389</v>
      </c>
      <c r="BQ63" s="1315" t="str">
        <f>BQ48</f>
        <v>Wireless Temperature Recorder : Merek : HIOKI, Model : LR 8510, SN : 210746056</v>
      </c>
      <c r="BR63" s="1316"/>
      <c r="BS63" s="1315"/>
      <c r="BT63" s="426" t="s">
        <v>383</v>
      </c>
      <c r="BU63" s="984">
        <f>Drift!$B$165</f>
        <v>161.46416666666667</v>
      </c>
      <c r="BV63" s="1317" t="s">
        <v>389</v>
      </c>
      <c r="BW63" s="1315" t="str">
        <f>BW48</f>
        <v>Wireless Temperature Recorder : Merek : HIOKI, Model : LR 8510, SN : 200821396</v>
      </c>
      <c r="BX63" s="1316"/>
      <c r="BY63" s="1315"/>
      <c r="BZ63" s="426" t="s">
        <v>383</v>
      </c>
      <c r="CA63" s="984">
        <f>Drift!$B$165</f>
        <v>161.46416666666667</v>
      </c>
      <c r="CB63" s="1317" t="s">
        <v>389</v>
      </c>
      <c r="CC63" s="1315" t="str">
        <f t="shared" ref="CC63:CC76" si="30">CC48</f>
        <v>Reference Thermometer, Merek : APPA, Model : APPA51, SN : 03002948</v>
      </c>
      <c r="CD63" s="1316"/>
      <c r="CE63" s="1315"/>
      <c r="CF63" s="426" t="s">
        <v>383</v>
      </c>
      <c r="CG63" s="423"/>
      <c r="CH63" s="1317" t="s">
        <v>389</v>
      </c>
      <c r="CI63" s="1315" t="str">
        <f t="shared" ref="CI63:CI76" si="31">CI48</f>
        <v>Reference Thermometer, Merek : FLUKE, Model : 1524, SN : 1803038</v>
      </c>
      <c r="CJ63" s="1316"/>
      <c r="CK63" s="1315"/>
      <c r="CL63" s="426" t="s">
        <v>383</v>
      </c>
      <c r="CM63" s="423"/>
      <c r="CN63" s="1317" t="s">
        <v>389</v>
      </c>
      <c r="CO63" s="1315" t="str">
        <f t="shared" ref="CO63:CO76" si="32">CO48</f>
        <v>Reference Thermometer, Merek : FLUKE, Model : 1524, SN : 1803037</v>
      </c>
      <c r="CP63" s="1316"/>
      <c r="CQ63" s="1315"/>
      <c r="CR63" s="426" t="s">
        <v>383</v>
      </c>
      <c r="CS63" s="423"/>
    </row>
    <row r="64" spans="1:97" s="427" customFormat="1" ht="13">
      <c r="A64" s="423"/>
      <c r="B64" s="1318"/>
      <c r="C64" s="432">
        <f>C49</f>
        <v>2021</v>
      </c>
      <c r="D64" s="432">
        <f>D49</f>
        <v>2022</v>
      </c>
      <c r="E64" s="429" t="s">
        <v>385</v>
      </c>
      <c r="F64" s="430"/>
      <c r="G64" s="985">
        <f>IF(G63&lt;=B72,B71,IF(G63&lt;=B73,B72,IF(G63&lt;=B74,B73,IF(G63&lt;=B75,B74,IF(G63&lt;=B76,B75)))))</f>
        <v>150</v>
      </c>
      <c r="H64" s="1318"/>
      <c r="I64" s="431">
        <f>I49</f>
        <v>2021</v>
      </c>
      <c r="J64" s="432">
        <f>J49</f>
        <v>2022</v>
      </c>
      <c r="K64" s="429" t="s">
        <v>385</v>
      </c>
      <c r="L64" s="433"/>
      <c r="M64" s="985">
        <f>IF(M63&lt;=H72,H71,IF(M63&lt;=H73,H72,IF(M63&lt;=H74,H73,IF(M63&lt;=H75,H74,IF(M63&lt;=H76,H75)))))</f>
        <v>150</v>
      </c>
      <c r="N64" s="1318"/>
      <c r="O64" s="431">
        <f>O4</f>
        <v>2021</v>
      </c>
      <c r="P64" s="432">
        <f>P4</f>
        <v>2023</v>
      </c>
      <c r="Q64" s="429" t="s">
        <v>385</v>
      </c>
      <c r="R64" s="434"/>
      <c r="S64" s="985">
        <f>IF(S63&lt;=N72,N71,IF(S63&lt;=N73,N72,IF(S63&lt;=N74,N73,IF(S63&lt;=N75,N74,IF(S63&lt;=N76,N75)))))</f>
        <v>150</v>
      </c>
      <c r="T64" s="1318"/>
      <c r="U64" s="431">
        <f>U49</f>
        <v>2022</v>
      </c>
      <c r="V64" s="432"/>
      <c r="W64" s="429" t="s">
        <v>385</v>
      </c>
      <c r="X64" s="434"/>
      <c r="Y64" s="985">
        <f>IF(Y63&lt;=T72,T71,IF(Y63&lt;=T73,T72,IF(Y63&lt;=T74,T73,IF(Y63&lt;=T75,T74,IF(Y63&lt;=T76,T75)))))</f>
        <v>150</v>
      </c>
      <c r="Z64" s="1318"/>
      <c r="AA64" s="431">
        <f>AA49</f>
        <v>2023</v>
      </c>
      <c r="AB64" s="432">
        <f>AB49</f>
        <v>2021</v>
      </c>
      <c r="AC64" s="429" t="s">
        <v>385</v>
      </c>
      <c r="AD64" s="434"/>
      <c r="AE64" s="985">
        <f>IF(AE63&lt;=Z72,Z71,IF(AE63&lt;=Z73,Z72,IF(AE63&lt;=Z74,Z73,IF(AE63&lt;=Z75,Z74,IF(AE63&lt;=Z76,Z75)))))</f>
        <v>150</v>
      </c>
      <c r="AF64" s="1318"/>
      <c r="AG64" s="431">
        <f>AG49</f>
        <v>2023</v>
      </c>
      <c r="AH64" s="431">
        <f>AH49</f>
        <v>2021</v>
      </c>
      <c r="AI64" s="429" t="s">
        <v>385</v>
      </c>
      <c r="AJ64" s="434"/>
      <c r="AK64" s="985">
        <f>IF(AK63&lt;=AF72,AF71,IF(AK63&lt;=AF73,AF72,IF(AK63&lt;=AF74,AF73,IF(AK63&lt;=AF75,AF74,IF(AK63&lt;=AF76,AF75)))))</f>
        <v>150</v>
      </c>
      <c r="AL64" s="1318"/>
      <c r="AM64" s="431">
        <f>AM49</f>
        <v>2023</v>
      </c>
      <c r="AN64" s="432"/>
      <c r="AO64" s="429" t="s">
        <v>385</v>
      </c>
      <c r="AP64" s="434"/>
      <c r="AQ64" s="985">
        <f>IF(AQ63&lt;=AL72,AL71,IF(AQ63&lt;=AL73,AL72,IF(AQ63&lt;=AL74,AL73,IF(AQ63&lt;=AL75,AL74,IF(AQ63&lt;=AL76,AL75)))))</f>
        <v>150</v>
      </c>
      <c r="AR64" s="1318"/>
      <c r="AS64" s="431">
        <f>AS49</f>
        <v>2023</v>
      </c>
      <c r="AT64" s="432"/>
      <c r="AU64" s="429" t="s">
        <v>385</v>
      </c>
      <c r="AV64" s="434"/>
      <c r="AW64" s="985">
        <f>IF(AW63&lt;=AR72,AR71,IF(AW63&lt;=AR73,AR72,IF(AW63&lt;=AR74,AR73,IF(AW63&lt;=AR75,AR74,IF(AW63&lt;=AR76,AR75)))))</f>
        <v>150</v>
      </c>
      <c r="AX64" s="1318"/>
      <c r="AY64" s="431">
        <f>AY49</f>
        <v>2021</v>
      </c>
      <c r="AZ64" s="432"/>
      <c r="BA64" s="429" t="s">
        <v>385</v>
      </c>
      <c r="BB64" s="434"/>
      <c r="BC64" s="985">
        <f>IF(BC63&lt;=AX72,AX71,IF(BC63&lt;=AX73,AX72,IF(BC63&lt;=AX74,AX73,IF(BC63&lt;=AX75,AX74,IF(BC63&lt;=AX76,AX75)))))</f>
        <v>150</v>
      </c>
      <c r="BD64" s="1318"/>
      <c r="BE64" s="431">
        <f>BE49</f>
        <v>2022</v>
      </c>
      <c r="BF64" s="432"/>
      <c r="BG64" s="429" t="s">
        <v>385</v>
      </c>
      <c r="BH64" s="434"/>
      <c r="BI64" s="985">
        <f>IF(BI63&lt;=BD72,BD71,IF(BI63&lt;=BD73,BD72,IF(BI63&lt;=BD74,BD73,IF(BI63&lt;=BD75,BD74,IF(BI63&lt;=BD76,BD75)))))</f>
        <v>150</v>
      </c>
      <c r="BJ64" s="1318"/>
      <c r="BK64" s="431">
        <f>BK49</f>
        <v>2021</v>
      </c>
      <c r="BL64" s="432"/>
      <c r="BM64" s="429" t="s">
        <v>385</v>
      </c>
      <c r="BN64" s="434"/>
      <c r="BO64" s="985">
        <f>IF(BO63&lt;=BJ72,BJ71,IF(BO63&lt;=BJ73,BJ72,IF(BO63&lt;=BJ74,BJ73,IF(BO63&lt;=BJ75,BJ74,IF(BO63&lt;=BJ76,BJ75)))))</f>
        <v>150</v>
      </c>
      <c r="BP64" s="1320"/>
      <c r="BQ64" s="431">
        <f>BQ49</f>
        <v>2022</v>
      </c>
      <c r="BR64" s="432"/>
      <c r="BS64" s="429" t="s">
        <v>385</v>
      </c>
      <c r="BT64" s="434"/>
      <c r="BU64" s="985">
        <f>IF(BU63&lt;=BP72,BP71,IF(BU63&lt;=BP73,BP72,IF(BU63&lt;=BP74,BP73,IF(BU63&lt;=BP75,BP74,IF(BU63&lt;=BP76,BP75)))))</f>
        <v>150</v>
      </c>
      <c r="BV64" s="1318"/>
      <c r="BW64" s="431">
        <f>BW49</f>
        <v>2022</v>
      </c>
      <c r="BX64" s="432"/>
      <c r="BY64" s="429" t="s">
        <v>385</v>
      </c>
      <c r="BZ64" s="434"/>
      <c r="CA64" s="985">
        <f>IF(CA63&lt;=BV72,BV71,IF(CA63&lt;=BV73,BV72,IF(CA63&lt;=BV74,BV73,IF(CA63&lt;=BV75,BV74,IF(CA63&lt;=BV76,BV75)))))</f>
        <v>150</v>
      </c>
      <c r="CB64" s="1318"/>
      <c r="CC64" s="431">
        <f t="shared" si="30"/>
        <v>2022</v>
      </c>
      <c r="CD64" s="432">
        <f t="shared" ref="CD64:CD76" si="33">CD79</f>
        <v>2020</v>
      </c>
      <c r="CE64" s="429" t="s">
        <v>385</v>
      </c>
      <c r="CF64" s="434"/>
      <c r="CG64" s="423"/>
      <c r="CH64" s="1318"/>
      <c r="CI64" s="431">
        <f t="shared" si="31"/>
        <v>2021</v>
      </c>
      <c r="CJ64" s="432">
        <f t="shared" ref="CJ64:CJ76" si="34">CJ49</f>
        <v>2019</v>
      </c>
      <c r="CK64" s="429" t="s">
        <v>385</v>
      </c>
      <c r="CL64" s="434"/>
      <c r="CM64" s="423"/>
      <c r="CN64" s="1318"/>
      <c r="CO64" s="431">
        <f t="shared" si="32"/>
        <v>2021</v>
      </c>
      <c r="CP64" s="432">
        <f t="shared" ref="CP64:CP76" si="35">CP49</f>
        <v>2020</v>
      </c>
      <c r="CQ64" s="429" t="s">
        <v>385</v>
      </c>
      <c r="CR64" s="434"/>
      <c r="CS64" s="423"/>
    </row>
    <row r="65" spans="1:97" s="427" customFormat="1" ht="13">
      <c r="A65" s="423"/>
      <c r="B65" s="705">
        <v>-20</v>
      </c>
      <c r="C65" s="445">
        <v>-0.42</v>
      </c>
      <c r="D65" s="445">
        <f>'Data Standar'!C192</f>
        <v>-0.56999999999999995</v>
      </c>
      <c r="E65" s="436">
        <f>IF(OR(C65=0,D65=0),'Data Standar'!$C$204/3,((MAX(C65:D65)-(MIN(C65:D65)))))</f>
        <v>0.14999999999999997</v>
      </c>
      <c r="F65" s="430"/>
      <c r="G65" s="437"/>
      <c r="H65" s="705">
        <v>-20</v>
      </c>
      <c r="I65" s="338">
        <v>-0.6</v>
      </c>
      <c r="J65" s="338">
        <f>'Data Standar'!D192</f>
        <v>-0.47</v>
      </c>
      <c r="K65" s="436">
        <f>IF(OR(I65=0,J65=0),'Data Standar'!$D$204/3,((MAX(I65:J65)-(MIN(I65:J65)))))</f>
        <v>0.13</v>
      </c>
      <c r="L65" s="433"/>
      <c r="M65" s="437"/>
      <c r="N65" s="705">
        <v>-20</v>
      </c>
      <c r="O65" s="445">
        <v>-0.5</v>
      </c>
      <c r="P65" s="338">
        <f>'Data Standar'!E192</f>
        <v>-0.41</v>
      </c>
      <c r="Q65" s="436">
        <f>IF(OR(O65=0,P65=0),'Data Standar'!$E$204/3,((MAX(O65:P65)-(MIN(O65:P65)))))</f>
        <v>9.0000000000000024E-2</v>
      </c>
      <c r="R65" s="434"/>
      <c r="S65" s="437"/>
      <c r="T65" s="705">
        <v>-20</v>
      </c>
      <c r="U65" s="445">
        <f>'Data Standar'!F192</f>
        <v>-1.42</v>
      </c>
      <c r="V65" s="445"/>
      <c r="W65" s="436">
        <f>IF(OR(U65=0,V65=0),'Data Standar'!$F$204/3,((MAX(U65:V65)-(MIN(U65:V65)))))</f>
        <v>8.666666666666667E-2</v>
      </c>
      <c r="X65" s="434"/>
      <c r="Y65" s="437"/>
      <c r="Z65" s="705">
        <v>-20</v>
      </c>
      <c r="AA65" s="445">
        <f>'Data Standar'!G192</f>
        <v>7.0000000000000007E-2</v>
      </c>
      <c r="AB65" s="445">
        <v>-0.56999999999999995</v>
      </c>
      <c r="AC65" s="436">
        <f>IF(OR(AA65=0,AB65=0),'Data Standar'!$G$204/3,((MAX(AA65:AB65)-(MIN(AA65:AB65)))))</f>
        <v>0.6399999999999999</v>
      </c>
      <c r="AD65" s="434"/>
      <c r="AE65" s="437"/>
      <c r="AF65" s="705">
        <v>-20</v>
      </c>
      <c r="AG65" s="445">
        <f>'Data Standar'!H192</f>
        <v>0.11</v>
      </c>
      <c r="AH65" s="708">
        <v>-0.04</v>
      </c>
      <c r="AI65" s="436">
        <f>IF(OR(AG65=0,AH65=0),'Data Standar'!$H$204/3,((MAX(AG65:AH65)-(MIN(AG65:AH65)))))</f>
        <v>0.15</v>
      </c>
      <c r="AJ65" s="434"/>
      <c r="AK65" s="437"/>
      <c r="AL65" s="705">
        <v>-20</v>
      </c>
      <c r="AM65" s="445">
        <f>'Data Standar'!I192</f>
        <v>0.46</v>
      </c>
      <c r="AN65" s="338"/>
      <c r="AO65" s="436">
        <f>IF(OR(AM65=0,AN65=0),'Data Standar'!$I$204/3,((MAX(AM65:AN65)-(MIN(AM65:AN65)))))</f>
        <v>8.3333333333333329E-2</v>
      </c>
      <c r="AP65" s="434"/>
      <c r="AQ65" s="437"/>
      <c r="AR65" s="705">
        <v>-20</v>
      </c>
      <c r="AS65" s="445">
        <f>'Data Standar'!J192</f>
        <v>0.34</v>
      </c>
      <c r="AT65" s="338"/>
      <c r="AU65" s="436">
        <f>IF(OR(AS65=0,AT65=0),'Data Standar'!$J$204/3,((MAX(AS65:AT65)-(MIN(AS65:AT65)))))</f>
        <v>8.3333333333333329E-2</v>
      </c>
      <c r="AV65" s="434"/>
      <c r="AW65" s="437"/>
      <c r="AX65" s="705">
        <v>-20</v>
      </c>
      <c r="AY65" s="445">
        <f>'Data Standar'!K192</f>
        <v>0.54</v>
      </c>
      <c r="AZ65" s="338"/>
      <c r="BA65" s="436">
        <f>IF(OR(AY65=0,AZ65=0),'Data Standar'!$K$204/3,((MAX(AY65:AZ65)-(MIN(AY65:AZ65)))))</f>
        <v>0.26333333333333336</v>
      </c>
      <c r="BB65" s="434"/>
      <c r="BC65" s="437"/>
      <c r="BD65" s="705">
        <v>-20</v>
      </c>
      <c r="BE65" s="445">
        <f>'Data Standar'!L192</f>
        <v>-0.94</v>
      </c>
      <c r="BF65" s="338"/>
      <c r="BG65" s="436">
        <f>IF(OR(BE65=0,BF65=0),'Data Standar'!$L$204/3,((MAX(BE65:BF65)-(MIN(BE65:BF65)))))</f>
        <v>8.666666666666667E-2</v>
      </c>
      <c r="BH65" s="434"/>
      <c r="BI65" s="437"/>
      <c r="BJ65" s="705">
        <v>-20</v>
      </c>
      <c r="BK65" s="445">
        <f>'Data Standar'!M192</f>
        <v>0.54</v>
      </c>
      <c r="BL65" s="338"/>
      <c r="BM65" s="436">
        <f>IF(OR(BK65=0,BL65=0),'Data Standar'!$M$204/3,((MAX(BK65:BL65)-(MIN(BK65:BL65)))))</f>
        <v>0.26333333333333336</v>
      </c>
      <c r="BN65" s="434"/>
      <c r="BO65" s="437"/>
      <c r="BP65" s="705">
        <v>-20</v>
      </c>
      <c r="BQ65" s="445">
        <f>'Data Standar'!N192</f>
        <v>-1.29</v>
      </c>
      <c r="BR65" s="338"/>
      <c r="BS65" s="436">
        <f>IF(OR(BQ65=0,BR65=0),'Data Standar'!$N$204/3,((MAX(BQ65:BR65)-(MIN(BQ65:BR65)))))</f>
        <v>8.666666666666667E-2</v>
      </c>
      <c r="BT65" s="434"/>
      <c r="BU65" s="437"/>
      <c r="BV65" s="705">
        <v>-20</v>
      </c>
      <c r="BW65" s="445">
        <f>'Data Standar'!O192</f>
        <v>-1.4</v>
      </c>
      <c r="BX65" s="338"/>
      <c r="BY65" s="436">
        <f>IF(OR(BW65=0,BX65=0),'Data Standar'!$O$204/3,((MAX(BW65:BX65)-(MIN(BW65:BX65)))))</f>
        <v>8.3333333333333329E-2</v>
      </c>
      <c r="BZ65" s="434"/>
      <c r="CA65" s="437"/>
      <c r="CB65" s="705">
        <v>-20</v>
      </c>
      <c r="CC65" s="445">
        <f t="shared" si="30"/>
        <v>-1.1000000000000001</v>
      </c>
      <c r="CD65" s="338">
        <f t="shared" si="33"/>
        <v>-0.7</v>
      </c>
      <c r="CE65" s="436">
        <f t="shared" ref="CE65:CE76" si="36">CE50</f>
        <v>0.40000000000000013</v>
      </c>
      <c r="CF65" s="434"/>
      <c r="CG65" s="423"/>
      <c r="CH65" s="705">
        <v>-20</v>
      </c>
      <c r="CI65" s="445">
        <f t="shared" si="31"/>
        <v>-0.15</v>
      </c>
      <c r="CJ65" s="338">
        <f t="shared" si="34"/>
        <v>-0.32</v>
      </c>
      <c r="CK65" s="436">
        <f t="shared" ref="CK65:CK76" si="37">CK50</f>
        <v>0.17</v>
      </c>
      <c r="CL65" s="434"/>
      <c r="CM65" s="423"/>
      <c r="CN65" s="705">
        <v>-20</v>
      </c>
      <c r="CO65" s="445">
        <f t="shared" si="32"/>
        <v>-1.8</v>
      </c>
      <c r="CP65" s="338">
        <f t="shared" si="35"/>
        <v>-0.51</v>
      </c>
      <c r="CQ65" s="436">
        <f t="shared" ref="CQ65:CQ76" si="38">CQ50</f>
        <v>1.29</v>
      </c>
      <c r="CR65" s="434"/>
      <c r="CS65" s="423"/>
    </row>
    <row r="66" spans="1:97" s="427" customFormat="1" ht="13">
      <c r="A66" s="423"/>
      <c r="B66" s="435">
        <v>-15</v>
      </c>
      <c r="C66" s="445">
        <v>-0.36</v>
      </c>
      <c r="D66" s="445">
        <f>'Data Standar'!C193</f>
        <v>-0.52</v>
      </c>
      <c r="E66" s="436">
        <f>IF(OR(C66=0,D66=0),'Data Standar'!$C$204/3,((MAX(C66:D66)-(MIN(C66:D66)))))</f>
        <v>0.16000000000000003</v>
      </c>
      <c r="F66" s="437">
        <f>(-0.54+1.75)/2</f>
        <v>0.60499999999999998</v>
      </c>
      <c r="G66" s="985">
        <f>IF(G63&lt;=B71,B71,IF(G63&lt;=B72,B72,IF(G63&lt;=B73,B73,IF(G63&lt;=B74,B74,IF(G63&lt;=B75,B75,IF(G63&lt;=B76,B76))))))</f>
        <v>200</v>
      </c>
      <c r="H66" s="435">
        <v>-15</v>
      </c>
      <c r="I66" s="338">
        <v>-0.49</v>
      </c>
      <c r="J66" s="338">
        <f>'Data Standar'!D193</f>
        <v>-0.4</v>
      </c>
      <c r="K66" s="436">
        <f>IF(OR(I66=0,J66=0),'Data Standar'!$D$204/3,((MAX(I66:J66)-(MIN(I66:J66)))))</f>
        <v>8.9999999999999969E-2</v>
      </c>
      <c r="L66" s="437">
        <f>(0+0.04)/2</f>
        <v>0.02</v>
      </c>
      <c r="M66" s="985">
        <f>IF(M63&lt;=H71,H71,IF(M63&lt;=H72,H72,IF(M63&lt;=H73,H73,IF(M63&lt;=H74,H74,IF(M63&lt;=H75,H75,IF(M63&lt;=H76,H76))))))</f>
        <v>200</v>
      </c>
      <c r="N66" s="435">
        <v>-15</v>
      </c>
      <c r="O66" s="445">
        <v>-0.41</v>
      </c>
      <c r="P66" s="338">
        <f>'Data Standar'!E193</f>
        <v>-0.34</v>
      </c>
      <c r="Q66" s="436">
        <f>IF(OR(O66=0,P66=0),'Data Standar'!$E$204/3,((MAX(O66:P66)-(MIN(O66:P66)))))</f>
        <v>6.9999999999999951E-2</v>
      </c>
      <c r="R66" s="434">
        <f>(0.03-0)/2</f>
        <v>1.4999999999999999E-2</v>
      </c>
      <c r="S66" s="985">
        <f>IF(S63&lt;=N71,N71,IF(S63&lt;=N72,N72,IF(S63&lt;=N73,N73,IF(S63&lt;=N74,N74,IF(S63&lt;=N75,N75,IF(S63&lt;=N76,N76))))))</f>
        <v>200</v>
      </c>
      <c r="T66" s="435">
        <v>-15</v>
      </c>
      <c r="U66" s="445">
        <f>'Data Standar'!F193</f>
        <v>-1.19</v>
      </c>
      <c r="V66" s="338"/>
      <c r="W66" s="436">
        <f>IF(OR(U66=0,V66=0),'Data Standar'!$F$204/3,((MAX(U66:V66)-(MIN(U66:V66)))))</f>
        <v>8.666666666666667E-2</v>
      </c>
      <c r="X66" s="434">
        <f>(0.03-0)/2</f>
        <v>1.4999999999999999E-2</v>
      </c>
      <c r="Y66" s="985">
        <f>IF(Y63&lt;=T71,T71,IF(Y63&lt;=T72,T72,IF(Y63&lt;=T73,T73,IF(Y63&lt;=T74,T74,IF(Y63&lt;=T75,T75,IF(Y63&lt;=T76,T76))))))</f>
        <v>200</v>
      </c>
      <c r="Z66" s="435">
        <v>-15</v>
      </c>
      <c r="AA66" s="445">
        <f>'Data Standar'!G193</f>
        <v>0.12</v>
      </c>
      <c r="AB66" s="338">
        <v>-0.31</v>
      </c>
      <c r="AC66" s="436">
        <f>IF(OR(AA66=0,AB66=0),'Data Standar'!$G$204/3,((MAX(AA66:AB66)-(MIN(AA66:AB66)))))</f>
        <v>0.43</v>
      </c>
      <c r="AD66" s="434">
        <f>(0.03-0)/2</f>
        <v>1.4999999999999999E-2</v>
      </c>
      <c r="AE66" s="985">
        <f>IF(AE63&lt;=Z71,Z71,IF(AE63&lt;=Z72,Z72,IF(AE63&lt;=Z73,Z73,IF(AE63&lt;=Z74,Z74,IF(AE63&lt;=Z75,Z75,IF(AE63&lt;=Z76,Z76))))))</f>
        <v>200</v>
      </c>
      <c r="AF66" s="435">
        <v>-15</v>
      </c>
      <c r="AG66" s="445">
        <f>'Data Standar'!H193</f>
        <v>0.15</v>
      </c>
      <c r="AH66" s="338">
        <v>9.9999999999999995E-7</v>
      </c>
      <c r="AI66" s="436">
        <f>IF(OR(AG66=0,AH66=0),'Data Standar'!$H$204/3,((MAX(AG66:AH66)-(MIN(AG66:AH66)))))</f>
        <v>0.14999899999999999</v>
      </c>
      <c r="AJ66" s="434">
        <f>(0.03-0)/2</f>
        <v>1.4999999999999999E-2</v>
      </c>
      <c r="AK66" s="985">
        <f>IF(AK63&lt;=AF71,AF71,IF(AK63&lt;=AF72,AF72,IF(AK63&lt;=AF73,AF73,IF(AK63&lt;=AF74,AF74,IF(AK63&lt;=AF75,AF75,IF(AK63&lt;=AF76,AF76))))))</f>
        <v>200</v>
      </c>
      <c r="AL66" s="435">
        <v>-15</v>
      </c>
      <c r="AM66" s="445">
        <f>'Data Standar'!I193</f>
        <v>0.48</v>
      </c>
      <c r="AN66" s="338"/>
      <c r="AO66" s="436">
        <f>IF(OR(AM66=0,AN66=0),'Data Standar'!$I$204/3,((MAX(AM66:AN66)-(MIN(AM66:AN66)))))</f>
        <v>8.3333333333333329E-2</v>
      </c>
      <c r="AP66" s="434">
        <f>(0.03-0)/2</f>
        <v>1.4999999999999999E-2</v>
      </c>
      <c r="AQ66" s="985">
        <f>IF(AQ63&lt;=AL71,AL71,IF(AQ63&lt;=AL72,AL72,IF(AQ63&lt;=AL73,AL73,IF(AQ63&lt;=AL74,AL74,IF(AQ63&lt;=AL75,AL75,IF(AQ63&lt;=AL76,AL76))))))</f>
        <v>200</v>
      </c>
      <c r="AR66" s="435">
        <v>-15</v>
      </c>
      <c r="AS66" s="445">
        <f>'Data Standar'!J193</f>
        <v>0.36</v>
      </c>
      <c r="AT66" s="338"/>
      <c r="AU66" s="436">
        <f>IF(OR(AS66=0,AT66=0),'Data Standar'!$J$204/3,((MAX(AS66:AT66)-(MIN(AS66:AT66)))))</f>
        <v>8.3333333333333329E-2</v>
      </c>
      <c r="AV66" s="434">
        <f>(0.03-0)/2</f>
        <v>1.4999999999999999E-2</v>
      </c>
      <c r="AW66" s="985">
        <f>IF(AW63&lt;=AR71,AR71,IF(AW63&lt;=AR72,AR72,IF(AW63&lt;=AR73,AR73,IF(AW63&lt;=AR74,AR74,IF(AW63&lt;=AR75,AR75,IF(AW63&lt;=AR76,AR76))))))</f>
        <v>200</v>
      </c>
      <c r="AX66" s="435">
        <v>-15</v>
      </c>
      <c r="AY66" s="445">
        <f>'Data Standar'!K193</f>
        <v>9.9999999999999995E-7</v>
      </c>
      <c r="AZ66" s="338"/>
      <c r="BA66" s="436">
        <f>IF(OR(AY66=0,AZ66=0),'Data Standar'!$K$204/3,((MAX(AY66:AZ66)-(MIN(AY66:AZ66)))))</f>
        <v>0.26333333333333336</v>
      </c>
      <c r="BB66" s="434">
        <f>(0.03-0)/2</f>
        <v>1.4999999999999999E-2</v>
      </c>
      <c r="BC66" s="985">
        <f>IF(BC63&lt;=AX71,AX71,IF(BC63&lt;=AX72,AX72,IF(BC63&lt;=AX73,AX73,IF(BC63&lt;=AX74,AX74,IF(BC63&lt;=AX75,AX75,IF(BC63&lt;=AX76,AX76))))))</f>
        <v>200</v>
      </c>
      <c r="BD66" s="435">
        <v>-15</v>
      </c>
      <c r="BE66" s="445">
        <f>'Data Standar'!L193</f>
        <v>-0.7</v>
      </c>
      <c r="BF66" s="338"/>
      <c r="BG66" s="436">
        <f>IF(OR(BE66=0,BF66=0),'Data Standar'!$L$204/3,((MAX(BE66:BF66)-(MIN(BE66:BF66)))))</f>
        <v>8.666666666666667E-2</v>
      </c>
      <c r="BH66" s="434">
        <f>(0.03-0)/2</f>
        <v>1.4999999999999999E-2</v>
      </c>
      <c r="BI66" s="985">
        <f>IF(BI63&lt;=BD71,BD71,IF(BI63&lt;=BD72,BD72,IF(BI63&lt;=BD73,BD73,IF(BI63&lt;=BD74,BD74,IF(BI63&lt;=BD75,BD75,IF(BI63&lt;=BD76,BD76))))))</f>
        <v>200</v>
      </c>
      <c r="BJ66" s="435">
        <v>-15</v>
      </c>
      <c r="BK66" s="445">
        <f>'Data Standar'!M193</f>
        <v>9.9999999999999995E-7</v>
      </c>
      <c r="BL66" s="338"/>
      <c r="BM66" s="436">
        <f>IF(OR(BK66=0,BL66=0),'Data Standar'!$M$204/3,((MAX(BK66:BL66)-(MIN(BK66:BL66)))))</f>
        <v>0.26333333333333336</v>
      </c>
      <c r="BN66" s="434">
        <f>(0.03-0)/2</f>
        <v>1.4999999999999999E-2</v>
      </c>
      <c r="BO66" s="985">
        <f>IF(BO63&lt;=BJ71,BJ71,IF(BO63&lt;=BJ72,BJ72,IF(BO63&lt;=BJ73,BJ73,IF(BO63&lt;=BJ74,BJ74,IF(BO63&lt;=BJ75,BJ75,IF(BO63&lt;=BJ76,BJ76))))))</f>
        <v>200</v>
      </c>
      <c r="BP66" s="435">
        <v>-15</v>
      </c>
      <c r="BQ66" s="445">
        <f>'Data Standar'!N193</f>
        <v>-1.04</v>
      </c>
      <c r="BR66" s="338"/>
      <c r="BS66" s="436">
        <f>IF(OR(BQ66=0,BR66=0),'Data Standar'!$N$204/3,((MAX(BQ66:BR66)-(MIN(BQ66:BR66)))))</f>
        <v>8.666666666666667E-2</v>
      </c>
      <c r="BT66" s="434">
        <f>(0.03-0)/2</f>
        <v>1.4999999999999999E-2</v>
      </c>
      <c r="BU66" s="985">
        <f>IF(BU63&lt;=BP71,BP71,IF(BU63&lt;=BP72,BP72,IF(BU63&lt;=BP73,BP73,IF(BU63&lt;=BP74,BP74,IF(BU63&lt;=BP75,BP75,IF(BU63&lt;=BP76,BP76))))))</f>
        <v>200</v>
      </c>
      <c r="BV66" s="435">
        <v>-15</v>
      </c>
      <c r="BW66" s="445">
        <f>'Data Standar'!O193</f>
        <v>-1.1399999999999999</v>
      </c>
      <c r="BX66" s="338"/>
      <c r="BY66" s="436">
        <f>IF(OR(BW66=0,BX66=0),'Data Standar'!$O$204/3,((MAX(BW66:BX66)-(MIN(BW66:BX66)))))</f>
        <v>8.3333333333333329E-2</v>
      </c>
      <c r="BZ66" s="434">
        <f>(0.03-0)/2</f>
        <v>1.4999999999999999E-2</v>
      </c>
      <c r="CA66" s="985">
        <f>IF(CA63&lt;=BV71,BV71,IF(CA63&lt;=BV72,BV72,IF(CA63&lt;=BV73,BV73,IF(CA63&lt;=BV74,BV74,IF(CA63&lt;=BV75,BV75,IF(CA63&lt;=BV76,BV76))))))</f>
        <v>200</v>
      </c>
      <c r="CB66" s="435">
        <v>-15</v>
      </c>
      <c r="CC66" s="445">
        <f t="shared" si="30"/>
        <v>-1.1000000000000001</v>
      </c>
      <c r="CD66" s="338">
        <f t="shared" si="33"/>
        <v>-0.7</v>
      </c>
      <c r="CE66" s="436">
        <f t="shared" si="36"/>
        <v>0.40000000000000013</v>
      </c>
      <c r="CF66" s="434">
        <f>(0.03-0)/2</f>
        <v>1.4999999999999999E-2</v>
      </c>
      <c r="CG66" s="423"/>
      <c r="CH66" s="435">
        <v>-15</v>
      </c>
      <c r="CI66" s="445">
        <f t="shared" si="31"/>
        <v>-0.1</v>
      </c>
      <c r="CJ66" s="338">
        <f t="shared" si="34"/>
        <v>-0.24</v>
      </c>
      <c r="CK66" s="436">
        <f t="shared" si="37"/>
        <v>0.13999999999999999</v>
      </c>
      <c r="CL66" s="434">
        <f>(0.03-0)/2</f>
        <v>1.4999999999999999E-2</v>
      </c>
      <c r="CM66" s="423"/>
      <c r="CN66" s="435">
        <v>-15</v>
      </c>
      <c r="CO66" s="445">
        <f t="shared" si="32"/>
        <v>-1.52</v>
      </c>
      <c r="CP66" s="338">
        <f t="shared" si="35"/>
        <v>-0.39</v>
      </c>
      <c r="CQ66" s="436">
        <f t="shared" si="38"/>
        <v>1.1299999999999999</v>
      </c>
      <c r="CR66" s="434">
        <f>(0.03-0)/2</f>
        <v>1.4999999999999999E-2</v>
      </c>
      <c r="CS66" s="423"/>
    </row>
    <row r="67" spans="1:97" s="427" customFormat="1" ht="13">
      <c r="A67" s="423"/>
      <c r="B67" s="435">
        <v>-10</v>
      </c>
      <c r="C67" s="445">
        <v>-0.3</v>
      </c>
      <c r="D67" s="445">
        <f>'Data Standar'!C194</f>
        <v>-0.46</v>
      </c>
      <c r="E67" s="436">
        <f>IF(OR(C67=0,D67=0),'Data Standar'!$C$204/3,((MAX(C67:D67)-(MIN(C67:D67)))))</f>
        <v>0.16000000000000003</v>
      </c>
      <c r="F67" s="437">
        <f>(-0.48+1.49)/2</f>
        <v>0.505</v>
      </c>
      <c r="G67" s="437"/>
      <c r="H67" s="435">
        <v>-10</v>
      </c>
      <c r="I67" s="338">
        <v>9.9999999999999995E-7</v>
      </c>
      <c r="J67" s="338">
        <f>'Data Standar'!D194</f>
        <v>-0.34</v>
      </c>
      <c r="K67" s="436">
        <f>IF(OR(I67=0,J67=0),'Data Standar'!$D$204/3,((MAX(I67:J67)-(MIN(I67:J67)))))</f>
        <v>0.340001</v>
      </c>
      <c r="L67" s="437">
        <f>(0+0.04)/2</f>
        <v>0.02</v>
      </c>
      <c r="M67" s="437"/>
      <c r="N67" s="435">
        <v>-10</v>
      </c>
      <c r="O67" s="445">
        <v>-0.32</v>
      </c>
      <c r="P67" s="338">
        <f>'Data Standar'!E194</f>
        <v>-0.27</v>
      </c>
      <c r="Q67" s="436">
        <f>IF(OR(O67=0,P67=0),'Data Standar'!$E$204/3,((MAX(O67:P67)-(MIN(O67:P67)))))</f>
        <v>4.9999999999999989E-2</v>
      </c>
      <c r="R67" s="434">
        <f>(0.04-0)/2</f>
        <v>0.02</v>
      </c>
      <c r="S67" s="437"/>
      <c r="T67" s="435">
        <v>-10</v>
      </c>
      <c r="U67" s="445">
        <f>'Data Standar'!F194</f>
        <v>-0.94</v>
      </c>
      <c r="V67" s="338"/>
      <c r="W67" s="436">
        <f>IF(OR(U67=0,V67=0),'Data Standar'!$F$204/3,((MAX(U67:V67)-(MIN(U67:V67)))))</f>
        <v>8.666666666666667E-2</v>
      </c>
      <c r="X67" s="434">
        <f>(0.04-0)/2</f>
        <v>0.02</v>
      </c>
      <c r="Y67" s="437"/>
      <c r="Z67" s="435">
        <v>-10</v>
      </c>
      <c r="AA67" s="445">
        <f>'Data Standar'!G194</f>
        <v>0.16</v>
      </c>
      <c r="AB67" s="338">
        <v>-0.08</v>
      </c>
      <c r="AC67" s="436">
        <f>IF(OR(AA67=0,AB67=0),'Data Standar'!$G$204/3,((MAX(AA67:AB67)-(MIN(AA67:AB67)))))</f>
        <v>0.24</v>
      </c>
      <c r="AD67" s="434">
        <f>(0.04-0)/2</f>
        <v>0.02</v>
      </c>
      <c r="AE67" s="437"/>
      <c r="AF67" s="435">
        <v>-10</v>
      </c>
      <c r="AG67" s="445">
        <f>'Data Standar'!H194</f>
        <v>0.18</v>
      </c>
      <c r="AH67" s="338">
        <v>0.17</v>
      </c>
      <c r="AI67" s="436">
        <f>IF(OR(AG67=0,AH67=0),'Data Standar'!$H$204/3,((MAX(AG67:AH67)-(MIN(AG67:AH67)))))</f>
        <v>9.9999999999999811E-3</v>
      </c>
      <c r="AJ67" s="434">
        <f>(0.04-0)/2</f>
        <v>0.02</v>
      </c>
      <c r="AK67" s="437"/>
      <c r="AL67" s="435">
        <v>-10</v>
      </c>
      <c r="AM67" s="445">
        <f>'Data Standar'!I194</f>
        <v>0.49</v>
      </c>
      <c r="AN67" s="338"/>
      <c r="AO67" s="436">
        <f>IF(OR(AM67=0,AN67=0),'Data Standar'!$I$204/3,((MAX(AM67:AN67)-(MIN(AM67:AN67)))))</f>
        <v>8.3333333333333329E-2</v>
      </c>
      <c r="AP67" s="434">
        <f>(0.04-0)/2</f>
        <v>0.02</v>
      </c>
      <c r="AQ67" s="437"/>
      <c r="AR67" s="435">
        <v>-10</v>
      </c>
      <c r="AS67" s="445">
        <f>'Data Standar'!J194</f>
        <v>0.38</v>
      </c>
      <c r="AT67" s="338"/>
      <c r="AU67" s="436">
        <f>IF(OR(AS67=0,AT67=0),'Data Standar'!$J$204/3,((MAX(AS67:AT67)-(MIN(AS67:AT67)))))</f>
        <v>8.3333333333333329E-2</v>
      </c>
      <c r="AV67" s="434">
        <f>(0.04-0)/2</f>
        <v>0.02</v>
      </c>
      <c r="AW67" s="437"/>
      <c r="AX67" s="435">
        <v>-10</v>
      </c>
      <c r="AY67" s="445">
        <f>'Data Standar'!K194</f>
        <v>0.53</v>
      </c>
      <c r="AZ67" s="338"/>
      <c r="BA67" s="436">
        <f>IF(OR(AY67=0,AZ67=0),'Data Standar'!$K$204/3,((MAX(AY67:AZ67)-(MIN(AY67:AZ67)))))</f>
        <v>0.26333333333333336</v>
      </c>
      <c r="BB67" s="434">
        <f>(0.04-0)/2</f>
        <v>0.02</v>
      </c>
      <c r="BC67" s="437"/>
      <c r="BD67" s="435">
        <v>-10</v>
      </c>
      <c r="BE67" s="445">
        <f>'Data Standar'!L194</f>
        <v>-0.51</v>
      </c>
      <c r="BF67" s="338"/>
      <c r="BG67" s="436">
        <f>IF(OR(BE67=0,BF67=0),'Data Standar'!$L$204/3,((MAX(BE67:BF67)-(MIN(BE67:BF67)))))</f>
        <v>8.666666666666667E-2</v>
      </c>
      <c r="BH67" s="434">
        <f>(0.04-0)/2</f>
        <v>0.02</v>
      </c>
      <c r="BI67" s="437"/>
      <c r="BJ67" s="435">
        <v>-10</v>
      </c>
      <c r="BK67" s="445">
        <f>'Data Standar'!M194</f>
        <v>0.53</v>
      </c>
      <c r="BL67" s="338"/>
      <c r="BM67" s="436">
        <f>IF(OR(BK67=0,BL67=0),'Data Standar'!$M$204/3,((MAX(BK67:BL67)-(MIN(BK67:BL67)))))</f>
        <v>0.26333333333333336</v>
      </c>
      <c r="BN67" s="434">
        <f>(0.04-0)/2</f>
        <v>0.02</v>
      </c>
      <c r="BO67" s="437"/>
      <c r="BP67" s="435">
        <v>-10</v>
      </c>
      <c r="BQ67" s="445">
        <f>'Data Standar'!N194</f>
        <v>-0.84</v>
      </c>
      <c r="BR67" s="338"/>
      <c r="BS67" s="436">
        <f>IF(OR(BQ67=0,BR67=0),'Data Standar'!$N$204/3,((MAX(BQ67:BR67)-(MIN(BQ67:BR67)))))</f>
        <v>8.666666666666667E-2</v>
      </c>
      <c r="BT67" s="434">
        <f>(0.04-0)/2</f>
        <v>0.02</v>
      </c>
      <c r="BU67" s="437"/>
      <c r="BV67" s="435">
        <v>-10</v>
      </c>
      <c r="BW67" s="445">
        <f>'Data Standar'!O194</f>
        <v>-0.91</v>
      </c>
      <c r="BX67" s="338"/>
      <c r="BY67" s="436">
        <f>IF(OR(BW67=0,BX67=0),'Data Standar'!$O$204/3,((MAX(BW67:BX67)-(MIN(BW67:BX67)))))</f>
        <v>8.3333333333333329E-2</v>
      </c>
      <c r="BZ67" s="434">
        <f>(0.04-0)/2</f>
        <v>0.02</v>
      </c>
      <c r="CA67" s="437"/>
      <c r="CB67" s="435">
        <v>-10</v>
      </c>
      <c r="CC67" s="445">
        <f t="shared" si="30"/>
        <v>-1.2</v>
      </c>
      <c r="CD67" s="338">
        <f t="shared" si="33"/>
        <v>-0.7</v>
      </c>
      <c r="CE67" s="436">
        <f t="shared" si="36"/>
        <v>0.5</v>
      </c>
      <c r="CF67" s="434">
        <f>(0.04-0)/2</f>
        <v>0.02</v>
      </c>
      <c r="CG67" s="423"/>
      <c r="CH67" s="435">
        <v>-10</v>
      </c>
      <c r="CI67" s="445">
        <f t="shared" si="31"/>
        <v>-0.05</v>
      </c>
      <c r="CJ67" s="338">
        <f t="shared" si="34"/>
        <v>-0.18</v>
      </c>
      <c r="CK67" s="436">
        <f t="shared" si="37"/>
        <v>0.13</v>
      </c>
      <c r="CL67" s="434">
        <f>(0.04-0)/2</f>
        <v>0.02</v>
      </c>
      <c r="CM67" s="423"/>
      <c r="CN67" s="435">
        <v>-10</v>
      </c>
      <c r="CO67" s="445">
        <f t="shared" si="32"/>
        <v>-1.26</v>
      </c>
      <c r="CP67" s="338">
        <f t="shared" si="35"/>
        <v>-0.28000000000000003</v>
      </c>
      <c r="CQ67" s="436">
        <f t="shared" si="38"/>
        <v>0.98</v>
      </c>
      <c r="CR67" s="434">
        <f>(0.04-0)/2</f>
        <v>0.02</v>
      </c>
      <c r="CS67" s="423"/>
    </row>
    <row r="68" spans="1:97" s="427" customFormat="1" ht="13">
      <c r="A68" s="423"/>
      <c r="B68" s="435">
        <v>9.9999999999999995E-7</v>
      </c>
      <c r="C68" s="445">
        <v>-0.19</v>
      </c>
      <c r="D68" s="445">
        <f>'Data Standar'!C195</f>
        <v>-0.34</v>
      </c>
      <c r="E68" s="436">
        <f>IF(OR(C68=0,D68=0),'Data Standar'!$C$204/3,((MAX(C68:D68)-(MIN(C68:D68)))))</f>
        <v>0.15000000000000002</v>
      </c>
      <c r="F68" s="437">
        <f>(-0.4+1.01)/2</f>
        <v>0.30499999999999999</v>
      </c>
      <c r="G68" s="986">
        <f>VLOOKUP(G64,B71:F76,4)</f>
        <v>0.5</v>
      </c>
      <c r="H68" s="435">
        <v>9.9999999999999995E-7</v>
      </c>
      <c r="I68" s="338">
        <v>-0.2</v>
      </c>
      <c r="J68" s="338">
        <f>'Data Standar'!D195</f>
        <v>-0.22</v>
      </c>
      <c r="K68" s="436">
        <f>IF(OR(I68=0,J68=0),'Data Standar'!$D$204/3,((MAX(I68:J68)-(MIN(I68:J68)))))</f>
        <v>1.999999999999999E-2</v>
      </c>
      <c r="L68" s="437">
        <f>(0+0.04)/2</f>
        <v>0.02</v>
      </c>
      <c r="M68" s="986">
        <f>VLOOKUP(M64,H71:L76,4)</f>
        <v>0.53999999999999992</v>
      </c>
      <c r="N68" s="435">
        <v>9.9999999999999995E-7</v>
      </c>
      <c r="O68" s="445">
        <v>-0.28999999999999998</v>
      </c>
      <c r="P68" s="338">
        <f>'Data Standar'!E195</f>
        <v>-0.16</v>
      </c>
      <c r="Q68" s="436">
        <f>IF(OR(O68=0,P68=0),'Data Standar'!$E$204/3,((MAX(O68:P68)-(MIN(O68:P68)))))</f>
        <v>0.12999999999999998</v>
      </c>
      <c r="R68" s="434">
        <f>(0.06-0)/2</f>
        <v>0.03</v>
      </c>
      <c r="S68" s="986">
        <f>VLOOKUP(S64,N71:R76,4)</f>
        <v>0.16999999999999998</v>
      </c>
      <c r="T68" s="435">
        <v>9.9999999999999995E-7</v>
      </c>
      <c r="U68" s="445">
        <f>'Data Standar'!F195</f>
        <v>-0.3</v>
      </c>
      <c r="V68" s="338"/>
      <c r="W68" s="436">
        <f>IF(OR(U68=0,V68=0),'Data Standar'!$F$204/3,((MAX(U68:V68)-(MIN(U68:V68)))))</f>
        <v>8.666666666666667E-2</v>
      </c>
      <c r="X68" s="434">
        <f>(0.06-0)/2</f>
        <v>0.03</v>
      </c>
      <c r="Y68" s="986">
        <f>VLOOKUP(Y64,T71:X76,4)</f>
        <v>8.666666666666667E-2</v>
      </c>
      <c r="Z68" s="435">
        <v>9.9999999999999995E-7</v>
      </c>
      <c r="AA68" s="445">
        <f>'Data Standar'!G195</f>
        <v>0.14000000000000001</v>
      </c>
      <c r="AB68" s="338">
        <v>-0.04</v>
      </c>
      <c r="AC68" s="436">
        <f>IF(OR(AA68=0,AB68=0),'Data Standar'!$G$204/3,((MAX(AA68:AB68)-(MIN(AA68:AB68)))))</f>
        <v>0.18000000000000002</v>
      </c>
      <c r="AD68" s="434">
        <f>(0.06-0)/2</f>
        <v>0.03</v>
      </c>
      <c r="AE68" s="986">
        <f>VLOOKUP(AE64,Z71:AD76,4)</f>
        <v>0.53</v>
      </c>
      <c r="AF68" s="435">
        <v>9.9999999999999995E-7</v>
      </c>
      <c r="AG68" s="445">
        <f>'Data Standar'!H195</f>
        <v>0.16</v>
      </c>
      <c r="AH68" s="338">
        <v>0.34</v>
      </c>
      <c r="AI68" s="436">
        <f>IF(OR(AG68=0,AH68=0),'Data Standar'!$H$204/3,((MAX(AG68:AH68)-(MIN(AG68:AH68)))))</f>
        <v>0.18000000000000002</v>
      </c>
      <c r="AJ68" s="434">
        <f>(0.06-0)/2</f>
        <v>0.03</v>
      </c>
      <c r="AK68" s="986">
        <f>VLOOKUP(AK64,AF71:AJ76,4)</f>
        <v>0.37</v>
      </c>
      <c r="AL68" s="435">
        <v>9.9999999999999995E-7</v>
      </c>
      <c r="AM68" s="445">
        <f>'Data Standar'!I195</f>
        <v>0.43</v>
      </c>
      <c r="AN68" s="338"/>
      <c r="AO68" s="436">
        <f>IF(OR(AM68=0,AN68=0),'Data Standar'!$I$204/3,((MAX(AM68:AN68)-(MIN(AM68:AN68)))))</f>
        <v>8.3333333333333329E-2</v>
      </c>
      <c r="AP68" s="434">
        <f>(0.06-0)/2</f>
        <v>0.03</v>
      </c>
      <c r="AQ68" s="986">
        <f>VLOOKUP(AQ64,AL71:AP76,4)</f>
        <v>8.3333333333333329E-2</v>
      </c>
      <c r="AR68" s="435">
        <v>9.9999999999999995E-7</v>
      </c>
      <c r="AS68" s="445">
        <f>'Data Standar'!J195</f>
        <v>0.39</v>
      </c>
      <c r="AT68" s="338"/>
      <c r="AU68" s="436">
        <f>IF(OR(AS68=0,AT68=0),'Data Standar'!$J$204/3,((MAX(AS68:AT68)-(MIN(AS68:AT68)))))</f>
        <v>8.3333333333333329E-2</v>
      </c>
      <c r="AV68" s="434">
        <f>(0.06-0)/2</f>
        <v>0.03</v>
      </c>
      <c r="AW68" s="986">
        <f>VLOOKUP(AW64,AR71:AV76,4)</f>
        <v>8.3333333333333329E-2</v>
      </c>
      <c r="AX68" s="435">
        <v>9.9999999999999995E-7</v>
      </c>
      <c r="AY68" s="445">
        <f>'Data Standar'!K195</f>
        <v>0.51</v>
      </c>
      <c r="AZ68" s="338"/>
      <c r="BA68" s="436">
        <f>IF(OR(AY68=0,AZ68=0),'Data Standar'!$K$204/3,((MAX(AY68:AZ68)-(MIN(AY68:AZ68)))))</f>
        <v>0.26333333333333336</v>
      </c>
      <c r="BB68" s="434">
        <f>(0.06-0)/2</f>
        <v>0.03</v>
      </c>
      <c r="BC68" s="986">
        <f>VLOOKUP(BC64,AX71:BB76,4)</f>
        <v>0.26333333333333336</v>
      </c>
      <c r="BD68" s="435">
        <v>9.9999999999999995E-7</v>
      </c>
      <c r="BE68" s="445">
        <f>'Data Standar'!L195</f>
        <v>-0.27</v>
      </c>
      <c r="BF68" s="338"/>
      <c r="BG68" s="436">
        <f>IF(OR(BE68=0,BF68=0),'Data Standar'!$L$204/3,((MAX(BE68:BF68)-(MIN(BE68:BF68)))))</f>
        <v>8.666666666666667E-2</v>
      </c>
      <c r="BH68" s="434">
        <f>(0.06-0)/2</f>
        <v>0.03</v>
      </c>
      <c r="BI68" s="986">
        <f>VLOOKUP(BI64,BD71:BH76,4)</f>
        <v>8.666666666666667E-2</v>
      </c>
      <c r="BJ68" s="435">
        <v>9.9999999999999995E-7</v>
      </c>
      <c r="BK68" s="445">
        <f>'Data Standar'!M195</f>
        <v>0.51</v>
      </c>
      <c r="BL68" s="338"/>
      <c r="BM68" s="436">
        <f>IF(OR(BK68=0,BL68=0),'Data Standar'!$M$204/3,((MAX(BK68:BL68)-(MIN(BK68:BL68)))))</f>
        <v>0.26333333333333336</v>
      </c>
      <c r="BN68" s="434">
        <f>(0.06-0)/2</f>
        <v>0.03</v>
      </c>
      <c r="BO68" s="986">
        <f>VLOOKUP(BO64,BJ71:BN76,4)</f>
        <v>0.26333333333333336</v>
      </c>
      <c r="BP68" s="435">
        <v>9.9999999999999995E-7</v>
      </c>
      <c r="BQ68" s="445">
        <f>'Data Standar'!N195</f>
        <v>-0.56999999999999995</v>
      </c>
      <c r="BR68" s="338"/>
      <c r="BS68" s="436">
        <f>IF(OR(BQ68=0,BR68=0),'Data Standar'!$N$204/3,((MAX(BQ68:BR68)-(MIN(BQ68:BR68)))))</f>
        <v>8.666666666666667E-2</v>
      </c>
      <c r="BT68" s="434">
        <f>(0.06-0)/2</f>
        <v>0.03</v>
      </c>
      <c r="BU68" s="986">
        <f>VLOOKUP(BU64,BP71:BT76,4)</f>
        <v>8.666666666666667E-2</v>
      </c>
      <c r="BV68" s="435">
        <v>9.9999999999999995E-7</v>
      </c>
      <c r="BW68" s="445">
        <f>'Data Standar'!O195</f>
        <v>-0.51</v>
      </c>
      <c r="BX68" s="338"/>
      <c r="BY68" s="436">
        <f>IF(OR(BW68=0,BX68=0),'Data Standar'!$O$204/3,((MAX(BW68:BX68)-(MIN(BW68:BX68)))))</f>
        <v>8.3333333333333329E-2</v>
      </c>
      <c r="BZ68" s="434">
        <f>(0.06-0)/2</f>
        <v>0.03</v>
      </c>
      <c r="CA68" s="986">
        <f>VLOOKUP(CA64,BV71:BZ76,4)</f>
        <v>8.3333333333333329E-2</v>
      </c>
      <c r="CB68" s="435">
        <v>9.9999999999999995E-7</v>
      </c>
      <c r="CC68" s="445">
        <f t="shared" si="30"/>
        <v>-1.4</v>
      </c>
      <c r="CD68" s="338">
        <f t="shared" si="33"/>
        <v>-0.7</v>
      </c>
      <c r="CE68" s="436">
        <f t="shared" si="36"/>
        <v>0.7</v>
      </c>
      <c r="CF68" s="434">
        <f>(0.06-0)/2</f>
        <v>0.03</v>
      </c>
      <c r="CG68" s="423"/>
      <c r="CH68" s="435">
        <v>9.9999999999999995E-7</v>
      </c>
      <c r="CI68" s="445">
        <f t="shared" si="31"/>
        <v>0.03</v>
      </c>
      <c r="CJ68" s="338">
        <f t="shared" si="34"/>
        <v>-0.06</v>
      </c>
      <c r="CK68" s="436">
        <f t="shared" si="37"/>
        <v>0.09</v>
      </c>
      <c r="CL68" s="434">
        <f>(0.06-0)/2</f>
        <v>0.03</v>
      </c>
      <c r="CM68" s="423"/>
      <c r="CN68" s="435">
        <v>9.9999999999999995E-7</v>
      </c>
      <c r="CO68" s="445">
        <f t="shared" si="32"/>
        <v>-0.79</v>
      </c>
      <c r="CP68" s="338">
        <f t="shared" si="35"/>
        <v>-0.08</v>
      </c>
      <c r="CQ68" s="436">
        <f t="shared" si="38"/>
        <v>0.71000000000000008</v>
      </c>
      <c r="CR68" s="434">
        <f>(0.06-0)/2</f>
        <v>0.03</v>
      </c>
      <c r="CS68" s="423"/>
    </row>
    <row r="69" spans="1:97" s="427" customFormat="1" ht="13">
      <c r="A69" s="423"/>
      <c r="B69" s="435">
        <v>2</v>
      </c>
      <c r="C69" s="445">
        <v>-0.17</v>
      </c>
      <c r="D69" s="445">
        <f>'Data Standar'!C196</f>
        <v>-0.31</v>
      </c>
      <c r="E69" s="436">
        <f>IF(OR(C69=0,D69=0),'Data Standar'!$C$204/3,((MAX(C69:D69)-(MIN(C69:D69)))))</f>
        <v>0.13999999999999999</v>
      </c>
      <c r="F69" s="437">
        <f>(-0.38+0.93)/2</f>
        <v>0.27500000000000002</v>
      </c>
      <c r="G69" s="437"/>
      <c r="H69" s="435">
        <v>2</v>
      </c>
      <c r="I69" s="338">
        <v>-0.17</v>
      </c>
      <c r="J69" s="338">
        <f>'Data Standar'!D196</f>
        <v>-0.19</v>
      </c>
      <c r="K69" s="436">
        <f>IF(OR(I69=0,J69=0),'Data Standar'!$D$204/3,((MAX(I69:J69)-(MIN(I69:J69)))))</f>
        <v>1.999999999999999E-2</v>
      </c>
      <c r="L69" s="437">
        <f>(0+0.04)/2</f>
        <v>0.02</v>
      </c>
      <c r="M69" s="437"/>
      <c r="N69" s="435">
        <v>2</v>
      </c>
      <c r="O69" s="445">
        <v>-0.27</v>
      </c>
      <c r="P69" s="338">
        <f>'Data Standar'!E196</f>
        <v>-0.14000000000000001</v>
      </c>
      <c r="Q69" s="436">
        <f>IF(OR(O69=0,P69=0),'Data Standar'!$E$204/3,((MAX(O69:P69)-(MIN(O69:P69)))))</f>
        <v>0.13</v>
      </c>
      <c r="R69" s="434">
        <f>(0.07-0)/2</f>
        <v>3.5000000000000003E-2</v>
      </c>
      <c r="S69" s="437"/>
      <c r="T69" s="435">
        <v>2</v>
      </c>
      <c r="U69" s="445">
        <f>'Data Standar'!F196</f>
        <v>-0.62</v>
      </c>
      <c r="V69" s="338"/>
      <c r="W69" s="436">
        <f>IF(OR(U69=0,V69=0),'Data Standar'!$F$204/3,((MAX(U69:V69)-(MIN(U69:V69)))))</f>
        <v>8.666666666666667E-2</v>
      </c>
      <c r="X69" s="434">
        <f>(0.07-0)/2</f>
        <v>3.5000000000000003E-2</v>
      </c>
      <c r="Y69" s="437"/>
      <c r="Z69" s="435">
        <v>2</v>
      </c>
      <c r="AA69" s="445">
        <f>'Data Standar'!G196</f>
        <v>0.16</v>
      </c>
      <c r="AB69" s="338">
        <v>0.08</v>
      </c>
      <c r="AC69" s="436">
        <f>IF(OR(AA69=0,AB69=0),'Data Standar'!$G$204/3,((MAX(AA69:AB69)-(MIN(AA69:AB69)))))</f>
        <v>0.08</v>
      </c>
      <c r="AD69" s="434">
        <f>(0.07-0)/2</f>
        <v>3.5000000000000003E-2</v>
      </c>
      <c r="AE69" s="437"/>
      <c r="AF69" s="435">
        <v>2</v>
      </c>
      <c r="AG69" s="445">
        <f>'Data Standar'!H196</f>
        <v>0.18</v>
      </c>
      <c r="AH69" s="338">
        <v>0.37</v>
      </c>
      <c r="AI69" s="436">
        <f>IF(OR(AG69=0,AH69=0),'Data Standar'!$H$204/3,((MAX(AG69:AH69)-(MIN(AG69:AH69)))))</f>
        <v>0.19</v>
      </c>
      <c r="AJ69" s="434">
        <f>(0.07-0)/2</f>
        <v>3.5000000000000003E-2</v>
      </c>
      <c r="AK69" s="437"/>
      <c r="AL69" s="435">
        <v>2</v>
      </c>
      <c r="AM69" s="445">
        <f>'Data Standar'!I196</f>
        <v>0.46</v>
      </c>
      <c r="AN69" s="338"/>
      <c r="AO69" s="436">
        <f>IF(OR(AM69=0,AN69=0),'Data Standar'!$I$204/3,((MAX(AM69:AN69)-(MIN(AM69:AN69)))))</f>
        <v>8.3333333333333329E-2</v>
      </c>
      <c r="AP69" s="434">
        <f>(0.07-0)/2</f>
        <v>3.5000000000000003E-2</v>
      </c>
      <c r="AQ69" s="437"/>
      <c r="AR69" s="435">
        <v>2</v>
      </c>
      <c r="AS69" s="445">
        <f>'Data Standar'!J196</f>
        <v>0.38</v>
      </c>
      <c r="AT69" s="338"/>
      <c r="AU69" s="436">
        <f>IF(OR(AS69=0,AT69=0),'Data Standar'!$J$204/3,((MAX(AS69:AT69)-(MIN(AS69:AT69)))))</f>
        <v>8.3333333333333329E-2</v>
      </c>
      <c r="AV69" s="434">
        <f>(0.07-0)/2</f>
        <v>3.5000000000000003E-2</v>
      </c>
      <c r="AW69" s="437"/>
      <c r="AX69" s="435">
        <v>2</v>
      </c>
      <c r="AY69" s="445">
        <f>'Data Standar'!K196</f>
        <v>0.5</v>
      </c>
      <c r="AZ69" s="338"/>
      <c r="BA69" s="436">
        <f>IF(OR(AY69=0,AZ69=0),'Data Standar'!$K$204/3,((MAX(AY69:AZ69)-(MIN(AY69:AZ69)))))</f>
        <v>0.26333333333333336</v>
      </c>
      <c r="BB69" s="434">
        <f>(0.07-0)/2</f>
        <v>3.5000000000000003E-2</v>
      </c>
      <c r="BC69" s="437"/>
      <c r="BD69" s="435">
        <v>2</v>
      </c>
      <c r="BE69" s="445">
        <f>'Data Standar'!L196</f>
        <v>-0.3</v>
      </c>
      <c r="BF69" s="338"/>
      <c r="BG69" s="436">
        <f>IF(OR(BE69=0,BF69=0),'Data Standar'!$L$204/3,((MAX(BE69:BF69)-(MIN(BE69:BF69)))))</f>
        <v>8.666666666666667E-2</v>
      </c>
      <c r="BH69" s="434">
        <f>(0.07-0)/2</f>
        <v>3.5000000000000003E-2</v>
      </c>
      <c r="BI69" s="437"/>
      <c r="BJ69" s="435">
        <v>2</v>
      </c>
      <c r="BK69" s="445">
        <f>'Data Standar'!M196</f>
        <v>0.5</v>
      </c>
      <c r="BL69" s="338"/>
      <c r="BM69" s="436">
        <f>IF(OR(BK69=0,BL69=0),'Data Standar'!$M$204/3,((MAX(BK69:BL69)-(MIN(BK69:BL69)))))</f>
        <v>0.26333333333333336</v>
      </c>
      <c r="BN69" s="434">
        <f>(0.07-0)/2</f>
        <v>3.5000000000000003E-2</v>
      </c>
      <c r="BO69" s="437"/>
      <c r="BP69" s="435">
        <v>2</v>
      </c>
      <c r="BQ69" s="445">
        <f>'Data Standar'!N196</f>
        <v>-0.56000000000000005</v>
      </c>
      <c r="BR69" s="338"/>
      <c r="BS69" s="436">
        <f>IF(OR(BQ69=0,BR69=0),'Data Standar'!$N$204/3,((MAX(BQ69:BR69)-(MIN(BQ69:BR69)))))</f>
        <v>8.666666666666667E-2</v>
      </c>
      <c r="BT69" s="434">
        <f>(0.07-0)/2</f>
        <v>3.5000000000000003E-2</v>
      </c>
      <c r="BU69" s="437"/>
      <c r="BV69" s="435">
        <v>2</v>
      </c>
      <c r="BW69" s="445">
        <f>'Data Standar'!O196</f>
        <v>-0.56999999999999995</v>
      </c>
      <c r="BX69" s="338"/>
      <c r="BY69" s="436">
        <f>IF(OR(BW69=0,BX69=0),'Data Standar'!$O$204/3,((MAX(BW69:BX69)-(MIN(BW69:BX69)))))</f>
        <v>8.3333333333333329E-2</v>
      </c>
      <c r="BZ69" s="434">
        <f>(0.07-0)/2</f>
        <v>3.5000000000000003E-2</v>
      </c>
      <c r="CA69" s="437"/>
      <c r="CB69" s="435">
        <v>2</v>
      </c>
      <c r="CC69" s="445">
        <f t="shared" si="30"/>
        <v>0</v>
      </c>
      <c r="CD69" s="338">
        <f t="shared" si="33"/>
        <v>-0.7</v>
      </c>
      <c r="CE69" s="436">
        <f t="shared" si="36"/>
        <v>0.19999999999999998</v>
      </c>
      <c r="CF69" s="434">
        <f>(0.07-0)/2</f>
        <v>3.5000000000000003E-2</v>
      </c>
      <c r="CG69" s="423"/>
      <c r="CH69" s="435">
        <v>2</v>
      </c>
      <c r="CI69" s="445">
        <f t="shared" si="31"/>
        <v>0.04</v>
      </c>
      <c r="CJ69" s="338">
        <f t="shared" si="34"/>
        <v>-0.04</v>
      </c>
      <c r="CK69" s="436">
        <f t="shared" si="37"/>
        <v>0.08</v>
      </c>
      <c r="CL69" s="434">
        <f>(0.07-0)/2</f>
        <v>3.5000000000000003E-2</v>
      </c>
      <c r="CM69" s="423"/>
      <c r="CN69" s="435">
        <v>2</v>
      </c>
      <c r="CO69" s="445">
        <f t="shared" si="32"/>
        <v>-0.7</v>
      </c>
      <c r="CP69" s="338">
        <f t="shared" si="35"/>
        <v>-0.05</v>
      </c>
      <c r="CQ69" s="436">
        <f t="shared" si="38"/>
        <v>0.64999999999999991</v>
      </c>
      <c r="CR69" s="434">
        <f>(0.07-0)/2</f>
        <v>3.5000000000000003E-2</v>
      </c>
      <c r="CS69" s="423"/>
    </row>
    <row r="70" spans="1:97" s="427" customFormat="1" ht="13">
      <c r="A70" s="423"/>
      <c r="B70" s="435">
        <v>8</v>
      </c>
      <c r="C70" s="445">
        <v>-0.11</v>
      </c>
      <c r="D70" s="445">
        <f>'Data Standar'!C197</f>
        <v>-0.23</v>
      </c>
      <c r="E70" s="436">
        <f>IF(OR(C70=0,D70=0),'Data Standar'!$C$204/3,((MAX(C70:D70)-(MIN(C70:D70)))))</f>
        <v>0.12000000000000001</v>
      </c>
      <c r="F70" s="437">
        <f>(-0.34+0.68)/2</f>
        <v>0.17</v>
      </c>
      <c r="G70" s="986">
        <f>VLOOKUP(G66,B71:F76,4)</f>
        <v>0.44</v>
      </c>
      <c r="H70" s="435">
        <v>8</v>
      </c>
      <c r="I70" s="338">
        <v>-0.08</v>
      </c>
      <c r="J70" s="338">
        <f>'Data Standar'!D197</f>
        <v>-0.12</v>
      </c>
      <c r="K70" s="436">
        <f>IF(OR(I70=0,J70=0),'Data Standar'!$D$204/3,((MAX(I70:J70)-(MIN(I70:J70)))))</f>
        <v>3.9999999999999994E-2</v>
      </c>
      <c r="L70" s="437">
        <f>(0+0.04)/2</f>
        <v>0.02</v>
      </c>
      <c r="M70" s="986">
        <f>VLOOKUP(M66,H71:L76,4)</f>
        <v>0.24</v>
      </c>
      <c r="N70" s="435">
        <v>8</v>
      </c>
      <c r="O70" s="445">
        <v>-0.16</v>
      </c>
      <c r="P70" s="338">
        <f>'Data Standar'!E197</f>
        <v>-0.09</v>
      </c>
      <c r="Q70" s="436">
        <f>IF(OR(O70=0,P70=0),'Data Standar'!$E$204/3,((MAX(O70:P70)-(MIN(O70:P70)))))</f>
        <v>7.0000000000000007E-2</v>
      </c>
      <c r="R70" s="434">
        <f>(0.08-0)/2</f>
        <v>0.04</v>
      </c>
      <c r="S70" s="986">
        <f>VLOOKUP(S66,N71:R76,4)</f>
        <v>0.13</v>
      </c>
      <c r="T70" s="435">
        <v>8</v>
      </c>
      <c r="U70" s="445">
        <f>'Data Standar'!F197</f>
        <v>-0.34</v>
      </c>
      <c r="V70" s="338"/>
      <c r="W70" s="436">
        <f>IF(OR(U70=0,V70=0),'Data Standar'!$F$204/3,((MAX(U70:V70)-(MIN(U70:V70)))))</f>
        <v>8.666666666666667E-2</v>
      </c>
      <c r="X70" s="434">
        <f>(0.08-0)/2</f>
        <v>0.04</v>
      </c>
      <c r="Y70" s="986">
        <f>VLOOKUP(Y66,T71:X76,4)</f>
        <v>8.666666666666667E-2</v>
      </c>
      <c r="Z70" s="435">
        <v>8</v>
      </c>
      <c r="AA70" s="445">
        <f>'Data Standar'!G197</f>
        <v>0.15</v>
      </c>
      <c r="AB70" s="338">
        <v>0.47</v>
      </c>
      <c r="AC70" s="436">
        <f>IF(OR(AA70=0,AB70=0),'Data Standar'!$G$204/3,((MAX(AA70:AB70)-(MIN(AA70:AB70)))))</f>
        <v>0.31999999999999995</v>
      </c>
      <c r="AD70" s="434">
        <f>(0.08-0)/2</f>
        <v>0.04</v>
      </c>
      <c r="AE70" s="986">
        <f>VLOOKUP(AE66,Z71:AD76,4)</f>
        <v>0.73</v>
      </c>
      <c r="AF70" s="435">
        <v>8</v>
      </c>
      <c r="AG70" s="445">
        <f>'Data Standar'!H197</f>
        <v>0.17</v>
      </c>
      <c r="AH70" s="338">
        <v>0.45</v>
      </c>
      <c r="AI70" s="436">
        <f>IF(OR(AG70=0,AH70=0),'Data Standar'!$H$204/3,((MAX(AG70:AH70)-(MIN(AG70:AH70)))))</f>
        <v>0.28000000000000003</v>
      </c>
      <c r="AJ70" s="434">
        <f>(0.08-0)/2</f>
        <v>0.04</v>
      </c>
      <c r="AK70" s="986">
        <f>VLOOKUP(AK66,AF71:AJ76,4)</f>
        <v>1.05</v>
      </c>
      <c r="AL70" s="435">
        <v>8</v>
      </c>
      <c r="AM70" s="445">
        <f>'Data Standar'!I197</f>
        <v>0.45</v>
      </c>
      <c r="AN70" s="338"/>
      <c r="AO70" s="436">
        <f>IF(OR(AM70=0,AN70=0),'Data Standar'!$I$204/3,((MAX(AM70:AN70)-(MIN(AM70:AN70)))))</f>
        <v>8.3333333333333329E-2</v>
      </c>
      <c r="AP70" s="434">
        <f>(0.08-0)/2</f>
        <v>0.04</v>
      </c>
      <c r="AQ70" s="986">
        <f>VLOOKUP(AQ66,AL71:AP76,4)</f>
        <v>8.3333333333333329E-2</v>
      </c>
      <c r="AR70" s="435">
        <v>8</v>
      </c>
      <c r="AS70" s="445">
        <f>'Data Standar'!J197</f>
        <v>0.37</v>
      </c>
      <c r="AT70" s="338"/>
      <c r="AU70" s="436">
        <f>IF(OR(AS70=0,AT70=0),'Data Standar'!$J$204/3,((MAX(AS70:AT70)-(MIN(AS70:AT70)))))</f>
        <v>8.3333333333333329E-2</v>
      </c>
      <c r="AV70" s="434">
        <f>(0.08-0)/2</f>
        <v>0.04</v>
      </c>
      <c r="AW70" s="986">
        <f>VLOOKUP(AW66,AR71:AV76,4)</f>
        <v>8.3333333333333329E-2</v>
      </c>
      <c r="AX70" s="435">
        <v>8</v>
      </c>
      <c r="AY70" s="445">
        <f>'Data Standar'!K197</f>
        <v>0.49</v>
      </c>
      <c r="AZ70" s="338"/>
      <c r="BA70" s="436">
        <f>IF(OR(AY70=0,AZ70=0),'Data Standar'!$K$204/3,((MAX(AY70:AZ70)-(MIN(AY70:AZ70)))))</f>
        <v>0.26333333333333336</v>
      </c>
      <c r="BB70" s="434">
        <f>(0.08-0)/2</f>
        <v>0.04</v>
      </c>
      <c r="BC70" s="986">
        <f>VLOOKUP(BC66,AX71:BB76,4)</f>
        <v>0.26333333333333336</v>
      </c>
      <c r="BD70" s="435">
        <v>8</v>
      </c>
      <c r="BE70" s="445">
        <f>'Data Standar'!L197</f>
        <v>-0.06</v>
      </c>
      <c r="BF70" s="338"/>
      <c r="BG70" s="436">
        <f>IF(OR(BE70=0,BF70=0),'Data Standar'!$L$204/3,((MAX(BE70:BF70)-(MIN(BE70:BF70)))))</f>
        <v>8.666666666666667E-2</v>
      </c>
      <c r="BH70" s="434">
        <f>(0.08-0)/2</f>
        <v>0.04</v>
      </c>
      <c r="BI70" s="986">
        <f>VLOOKUP(BI66,BD71:BH76,4)</f>
        <v>8.666666666666667E-2</v>
      </c>
      <c r="BJ70" s="435">
        <v>8</v>
      </c>
      <c r="BK70" s="445">
        <f>'Data Standar'!M197</f>
        <v>0.49</v>
      </c>
      <c r="BL70" s="338"/>
      <c r="BM70" s="436">
        <f>IF(OR(BK70=0,BL70=0),'Data Standar'!$M$204/3,((MAX(BK70:BL70)-(MIN(BK70:BL70)))))</f>
        <v>0.26333333333333336</v>
      </c>
      <c r="BN70" s="434">
        <f>(0.08-0)/2</f>
        <v>0.04</v>
      </c>
      <c r="BO70" s="986">
        <f>VLOOKUP(BO66,BJ71:BN76,4)</f>
        <v>0.26333333333333336</v>
      </c>
      <c r="BP70" s="435">
        <v>8</v>
      </c>
      <c r="BQ70" s="445">
        <f>'Data Standar'!N197</f>
        <v>-0.3</v>
      </c>
      <c r="BR70" s="338"/>
      <c r="BS70" s="436">
        <f>IF(OR(BQ70=0,BR70=0),'Data Standar'!$N$204/3,((MAX(BQ70:BR70)-(MIN(BQ70:BR70)))))</f>
        <v>8.666666666666667E-2</v>
      </c>
      <c r="BT70" s="434">
        <f>(0.08-0)/2</f>
        <v>0.04</v>
      </c>
      <c r="BU70" s="986">
        <f>VLOOKUP(BU66,BP71:BT76,4)</f>
        <v>8.666666666666667E-2</v>
      </c>
      <c r="BV70" s="435">
        <v>8</v>
      </c>
      <c r="BW70" s="445">
        <f>'Data Standar'!O197</f>
        <v>-0.31</v>
      </c>
      <c r="BX70" s="338"/>
      <c r="BY70" s="436">
        <f>IF(OR(BW70=0,BX70=0),'Data Standar'!$O$204/3,((MAX(BW70:BX70)-(MIN(BW70:BX70)))))</f>
        <v>8.3333333333333329E-2</v>
      </c>
      <c r="BZ70" s="434">
        <f>(0.08-0)/2</f>
        <v>0.04</v>
      </c>
      <c r="CA70" s="986">
        <f>VLOOKUP(CA66,BV71:BZ76,4)</f>
        <v>8.3333333333333329E-2</v>
      </c>
      <c r="CB70" s="435">
        <v>8</v>
      </c>
      <c r="CC70" s="445">
        <f t="shared" si="30"/>
        <v>0</v>
      </c>
      <c r="CD70" s="338">
        <f t="shared" si="33"/>
        <v>-0.7</v>
      </c>
      <c r="CE70" s="436">
        <f t="shared" si="36"/>
        <v>0.19999999999999998</v>
      </c>
      <c r="CF70" s="434">
        <f>(0.08-0)/2</f>
        <v>0.04</v>
      </c>
      <c r="CG70" s="423"/>
      <c r="CH70" s="435">
        <v>8</v>
      </c>
      <c r="CI70" s="445">
        <f t="shared" si="31"/>
        <v>0.08</v>
      </c>
      <c r="CJ70" s="338">
        <f t="shared" si="34"/>
        <v>0.01</v>
      </c>
      <c r="CK70" s="436">
        <f t="shared" si="37"/>
        <v>7.0000000000000007E-2</v>
      </c>
      <c r="CL70" s="434">
        <f>(0.08-0)/2</f>
        <v>0.04</v>
      </c>
      <c r="CM70" s="423"/>
      <c r="CN70" s="435">
        <v>8</v>
      </c>
      <c r="CO70" s="445">
        <f t="shared" si="32"/>
        <v>-0.46</v>
      </c>
      <c r="CP70" s="338">
        <f t="shared" si="35"/>
        <v>0.06</v>
      </c>
      <c r="CQ70" s="436">
        <f t="shared" si="38"/>
        <v>0.52</v>
      </c>
      <c r="CR70" s="434">
        <f>(0.08-0)/2</f>
        <v>0.04</v>
      </c>
      <c r="CS70" s="423"/>
    </row>
    <row r="71" spans="1:97" s="427" customFormat="1" ht="13">
      <c r="A71" s="423"/>
      <c r="B71" s="435">
        <v>37</v>
      </c>
      <c r="C71" s="445">
        <v>0.09</v>
      </c>
      <c r="D71" s="445">
        <f>'Data Standar'!C198</f>
        <v>0.15</v>
      </c>
      <c r="E71" s="436">
        <f>IF(OR(C71=0,D71=0),'Data Standar'!$C$204/3,((MAX(C71:D71)-(MIN(C71:D71)))))</f>
        <v>0.06</v>
      </c>
      <c r="F71" s="437">
        <f>(0.23+0.22)/2</f>
        <v>0.22500000000000001</v>
      </c>
      <c r="G71" s="987"/>
      <c r="H71" s="435">
        <v>37</v>
      </c>
      <c r="I71" s="338">
        <v>0.17</v>
      </c>
      <c r="J71" s="338">
        <f>'Data Standar'!D198</f>
        <v>0.18</v>
      </c>
      <c r="K71" s="436">
        <f>IF(OR(I71=0,J71=0),'Data Standar'!$D$204/3,((MAX(I71:J71)-(MIN(I71:J71)))))</f>
        <v>9.9999999999999811E-3</v>
      </c>
      <c r="L71" s="437">
        <f>(0+0.05)/2</f>
        <v>2.5000000000000001E-2</v>
      </c>
      <c r="M71" s="987"/>
      <c r="N71" s="435">
        <v>37</v>
      </c>
      <c r="O71" s="445">
        <v>-0.13</v>
      </c>
      <c r="P71" s="338">
        <f>'Data Standar'!E198</f>
        <v>0.02</v>
      </c>
      <c r="Q71" s="436">
        <f>IF(OR(O71=0,P71=0),'Data Standar'!$E$204/3,((MAX(O71:P71)-(MIN(O71:P71)))))</f>
        <v>0.15</v>
      </c>
      <c r="R71" s="434">
        <f>(0.13-0)/2</f>
        <v>6.5000000000000002E-2</v>
      </c>
      <c r="S71" s="987"/>
      <c r="T71" s="435">
        <v>37</v>
      </c>
      <c r="U71" s="445">
        <f>'Data Standar'!F198</f>
        <v>0.56000000000000005</v>
      </c>
      <c r="V71" s="338"/>
      <c r="W71" s="436">
        <f>IF(OR(U71=0,V71=0),'Data Standar'!$F$204/3,((MAX(U71:V71)-(MIN(U71:V71)))))</f>
        <v>8.666666666666667E-2</v>
      </c>
      <c r="X71" s="434">
        <f>(0.13-0)/2</f>
        <v>6.5000000000000002E-2</v>
      </c>
      <c r="Y71" s="987"/>
      <c r="Z71" s="435">
        <v>37</v>
      </c>
      <c r="AA71" s="445">
        <f>'Data Standar'!G198</f>
        <v>0.15</v>
      </c>
      <c r="AB71" s="338">
        <v>0.53</v>
      </c>
      <c r="AC71" s="436">
        <f>IF(OR(AA71=0,AB71=0),'Data Standar'!$G$204/3,((MAX(AA71:AB71)-(MIN(AA71:AB71)))))</f>
        <v>0.38</v>
      </c>
      <c r="AD71" s="434">
        <f>(0.13-0)/2</f>
        <v>6.5000000000000002E-2</v>
      </c>
      <c r="AE71" s="987"/>
      <c r="AF71" s="435">
        <v>37</v>
      </c>
      <c r="AG71" s="445">
        <f>'Data Standar'!H198</f>
        <v>0.17</v>
      </c>
      <c r="AH71" s="338">
        <v>0.68</v>
      </c>
      <c r="AI71" s="436">
        <f>IF(OR(AG71=0,AH71=0),'Data Standar'!$H$204/3,((MAX(AG71:AH71)-(MIN(AG71:AH71)))))</f>
        <v>0.51</v>
      </c>
      <c r="AJ71" s="434">
        <f>(0.13-0)/2</f>
        <v>6.5000000000000002E-2</v>
      </c>
      <c r="AK71" s="987"/>
      <c r="AL71" s="435">
        <v>37</v>
      </c>
      <c r="AM71" s="445">
        <f>'Data Standar'!I198</f>
        <v>0.43</v>
      </c>
      <c r="AN71" s="338"/>
      <c r="AO71" s="436">
        <f>IF(OR(AM71=0,AN71=0),'Data Standar'!$I$204/3,((MAX(AM71:AN71)-(MIN(AM71:AN71)))))</f>
        <v>8.3333333333333329E-2</v>
      </c>
      <c r="AP71" s="434">
        <f>(0.13-0)/2</f>
        <v>6.5000000000000002E-2</v>
      </c>
      <c r="AQ71" s="987"/>
      <c r="AR71" s="435">
        <v>37</v>
      </c>
      <c r="AS71" s="445">
        <f>'Data Standar'!J198</f>
        <v>0.33</v>
      </c>
      <c r="AT71" s="338"/>
      <c r="AU71" s="436">
        <f>IF(OR(AS71=0,AT71=0),'Data Standar'!$J$204/3,((MAX(AS71:AT71)-(MIN(AS71:AT71)))))</f>
        <v>8.3333333333333329E-2</v>
      </c>
      <c r="AV71" s="434">
        <f>(0.13-0)/2</f>
        <v>6.5000000000000002E-2</v>
      </c>
      <c r="AW71" s="987"/>
      <c r="AX71" s="435">
        <v>37</v>
      </c>
      <c r="AY71" s="445">
        <f>'Data Standar'!K198</f>
        <v>0.42</v>
      </c>
      <c r="AZ71" s="338"/>
      <c r="BA71" s="436">
        <f>IF(OR(AY71=0,AZ71=0),'Data Standar'!$K$204/3,((MAX(AY71:AZ71)-(MIN(AY71:AZ71)))))</f>
        <v>0.26333333333333336</v>
      </c>
      <c r="BB71" s="434">
        <f>(0.13-0)/2</f>
        <v>6.5000000000000002E-2</v>
      </c>
      <c r="BC71" s="987"/>
      <c r="BD71" s="435">
        <v>37</v>
      </c>
      <c r="BE71" s="445">
        <f>'Data Standar'!L198</f>
        <v>0.69</v>
      </c>
      <c r="BF71" s="338"/>
      <c r="BG71" s="436">
        <f>IF(OR(BE71=0,BF71=0),'Data Standar'!$L$204/3,((MAX(BE71:BF71)-(MIN(BE71:BF71)))))</f>
        <v>8.666666666666667E-2</v>
      </c>
      <c r="BH71" s="434">
        <f>(0.13-0)/2</f>
        <v>6.5000000000000002E-2</v>
      </c>
      <c r="BI71" s="987"/>
      <c r="BJ71" s="435">
        <v>37</v>
      </c>
      <c r="BK71" s="445">
        <f>'Data Standar'!M198</f>
        <v>0.42</v>
      </c>
      <c r="BL71" s="338"/>
      <c r="BM71" s="436">
        <f>IF(OR(BK71=0,BL71=0),'Data Standar'!$M$204/3,((MAX(BK71:BL71)-(MIN(BK71:BL71)))))</f>
        <v>0.26333333333333336</v>
      </c>
      <c r="BN71" s="434">
        <f>(0.13-0)/2</f>
        <v>6.5000000000000002E-2</v>
      </c>
      <c r="BO71" s="987"/>
      <c r="BP71" s="435">
        <v>37</v>
      </c>
      <c r="BQ71" s="445">
        <f>'Data Standar'!N198</f>
        <v>0.47</v>
      </c>
      <c r="BR71" s="338"/>
      <c r="BS71" s="436">
        <f>IF(OR(BQ71=0,BR71=0),'Data Standar'!$N$204/3,((MAX(BQ71:BR71)-(MIN(BQ71:BR71)))))</f>
        <v>8.666666666666667E-2</v>
      </c>
      <c r="BT71" s="434">
        <f>(0.13-0)/2</f>
        <v>6.5000000000000002E-2</v>
      </c>
      <c r="BU71" s="987"/>
      <c r="BV71" s="435">
        <v>37</v>
      </c>
      <c r="BW71" s="445">
        <f>'Data Standar'!O198</f>
        <v>0.55000000000000004</v>
      </c>
      <c r="BX71" s="338"/>
      <c r="BY71" s="436">
        <f>IF(OR(BW71=0,BX71=0),'Data Standar'!$O$204/3,((MAX(BW71:BX71)-(MIN(BW71:BX71)))))</f>
        <v>8.3333333333333329E-2</v>
      </c>
      <c r="BZ71" s="434">
        <f>(0.13-0)/2</f>
        <v>6.5000000000000002E-2</v>
      </c>
      <c r="CA71" s="987"/>
      <c r="CB71" s="435">
        <v>37</v>
      </c>
      <c r="CC71" s="445">
        <f t="shared" si="30"/>
        <v>0</v>
      </c>
      <c r="CD71" s="338">
        <f t="shared" si="33"/>
        <v>-0.6</v>
      </c>
      <c r="CE71" s="436">
        <f t="shared" si="36"/>
        <v>0.19999999999999998</v>
      </c>
      <c r="CF71" s="434">
        <f>(0.13-0)/2</f>
        <v>6.5000000000000002E-2</v>
      </c>
      <c r="CG71" s="423"/>
      <c r="CH71" s="435">
        <v>37</v>
      </c>
      <c r="CI71" s="445">
        <f t="shared" si="31"/>
        <v>0.23</v>
      </c>
      <c r="CJ71" s="338">
        <f t="shared" si="34"/>
        <v>0.19</v>
      </c>
      <c r="CK71" s="436">
        <f t="shared" si="37"/>
        <v>4.0000000000000008E-2</v>
      </c>
      <c r="CL71" s="434">
        <f>(0.13-0)/2</f>
        <v>6.5000000000000002E-2</v>
      </c>
      <c r="CM71" s="423"/>
      <c r="CN71" s="435">
        <v>37</v>
      </c>
      <c r="CO71" s="445">
        <f t="shared" si="32"/>
        <v>0.42</v>
      </c>
      <c r="CP71" s="338">
        <f t="shared" si="35"/>
        <v>0.45</v>
      </c>
      <c r="CQ71" s="436">
        <f t="shared" si="38"/>
        <v>3.0000000000000027E-2</v>
      </c>
      <c r="CR71" s="434">
        <f>(0.13-0)/2</f>
        <v>6.5000000000000002E-2</v>
      </c>
      <c r="CS71" s="423"/>
    </row>
    <row r="72" spans="1:97" s="427" customFormat="1" ht="13">
      <c r="A72" s="423"/>
      <c r="B72" s="435">
        <v>44</v>
      </c>
      <c r="C72" s="445">
        <v>0.12</v>
      </c>
      <c r="D72" s="445">
        <f>'Data Standar'!C199</f>
        <v>0.24</v>
      </c>
      <c r="E72" s="436">
        <f>IF(OR(C72=0,D72=0),'Data Standar'!$C$204/3,((MAX(C72:D72)-(MIN(C72:D72)))))</f>
        <v>0.12</v>
      </c>
      <c r="F72" s="437">
        <f>(0.38+0.2)/2</f>
        <v>0.29000000000000004</v>
      </c>
      <c r="G72" s="988">
        <f>(((G70-G68)/(G66-G64))*(G63-G64))+G68</f>
        <v>0.48624299999999998</v>
      </c>
      <c r="H72" s="435">
        <v>44</v>
      </c>
      <c r="I72" s="338">
        <v>0.19</v>
      </c>
      <c r="J72" s="338">
        <f>'Data Standar'!D199</f>
        <v>0.25</v>
      </c>
      <c r="K72" s="436">
        <f>IF(OR(I72=0,J72=0),'Data Standar'!$D$204/3,((MAX(I72:J72)-(MIN(I72:J72)))))</f>
        <v>0.06</v>
      </c>
      <c r="L72" s="437">
        <f>(0+0.05)/2</f>
        <v>2.5000000000000001E-2</v>
      </c>
      <c r="M72" s="988">
        <f>(((M70-M68)/(M66-M64))*(M63-M64))+M68</f>
        <v>0.47121499999999994</v>
      </c>
      <c r="N72" s="435">
        <v>44</v>
      </c>
      <c r="O72" s="445">
        <v>-0.18</v>
      </c>
      <c r="P72" s="338">
        <f>'Data Standar'!E199</f>
        <v>0.03</v>
      </c>
      <c r="Q72" s="436">
        <f>IF(OR(O72=0,P72=0),'Data Standar'!$E$204/3,((MAX(O72:P72)-(MIN(O72:P72)))))</f>
        <v>0.21</v>
      </c>
      <c r="R72" s="434">
        <f>(0.14-0)/2</f>
        <v>7.0000000000000007E-2</v>
      </c>
      <c r="S72" s="988">
        <f>(((S70-S68)/(S66-S64))*(S63-S64))+S68</f>
        <v>0.16082866666666665</v>
      </c>
      <c r="T72" s="435">
        <v>44</v>
      </c>
      <c r="U72" s="445">
        <f>'Data Standar'!F199</f>
        <v>0.69</v>
      </c>
      <c r="V72" s="338"/>
      <c r="W72" s="436">
        <f>IF(OR(U72=0,V72=0),'Data Standar'!$F$204/3,((MAX(U72:V72)-(MIN(U72:V72)))))</f>
        <v>8.666666666666667E-2</v>
      </c>
      <c r="X72" s="434">
        <f>(0.14-0)/2</f>
        <v>7.0000000000000007E-2</v>
      </c>
      <c r="Y72" s="988">
        <f>(((Y70-Y68)/(Y66-Y64))*(Y63-Y64))+Y68</f>
        <v>8.666666666666667E-2</v>
      </c>
      <c r="Z72" s="435">
        <v>44</v>
      </c>
      <c r="AA72" s="445">
        <f>'Data Standar'!G199</f>
        <v>0.16</v>
      </c>
      <c r="AB72" s="338">
        <v>0.56999999999999995</v>
      </c>
      <c r="AC72" s="436">
        <f>IF(OR(AA72=0,AB72=0),'Data Standar'!$G$204/3,((MAX(AA72:AB72)-(MIN(AA72:AB72)))))</f>
        <v>0.40999999999999992</v>
      </c>
      <c r="AD72" s="434">
        <f>(0.14-0)/2</f>
        <v>7.0000000000000007E-2</v>
      </c>
      <c r="AE72" s="988">
        <f>(((AE70-AE68)/(AE66-AE64))*(AE63-AE64))+AE68</f>
        <v>0.57585666666666668</v>
      </c>
      <c r="AF72" s="435">
        <v>44</v>
      </c>
      <c r="AG72" s="445">
        <f>'Data Standar'!H199</f>
        <v>0.17</v>
      </c>
      <c r="AH72" s="338">
        <v>0.71</v>
      </c>
      <c r="AI72" s="436">
        <f>IF(OR(AG72=0,AH72=0),'Data Standar'!$H$204/3,((MAX(AG72:AH72)-(MIN(AG72:AH72)))))</f>
        <v>0.53999999999999992</v>
      </c>
      <c r="AJ72" s="434">
        <f>(0.14-0)/2</f>
        <v>7.0000000000000007E-2</v>
      </c>
      <c r="AK72" s="988">
        <f>(((AK70-AK68)/(AK66-AK64))*(AK63-AK64))+AK68</f>
        <v>0.52591266666666669</v>
      </c>
      <c r="AL72" s="435">
        <v>44</v>
      </c>
      <c r="AM72" s="445">
        <f>'Data Standar'!I199</f>
        <v>0.44</v>
      </c>
      <c r="AN72" s="338"/>
      <c r="AO72" s="436">
        <f>IF(OR(AM72=0,AN72=0),'Data Standar'!$I$204/3,((MAX(AM72:AN72)-(MIN(AM72:AN72)))))</f>
        <v>8.3333333333333329E-2</v>
      </c>
      <c r="AP72" s="434">
        <f>(0.14-0)/2</f>
        <v>7.0000000000000007E-2</v>
      </c>
      <c r="AQ72" s="988">
        <f>(((AQ70-AQ68)/(AQ66-AQ64))*(AQ63-AQ64))+AQ68</f>
        <v>8.3333333333333329E-2</v>
      </c>
      <c r="AR72" s="435">
        <v>44</v>
      </c>
      <c r="AS72" s="445">
        <f>'Data Standar'!J199</f>
        <v>0.33</v>
      </c>
      <c r="AT72" s="338"/>
      <c r="AU72" s="436">
        <f>IF(OR(AS72=0,AT72=0),'Data Standar'!$J$204/3,((MAX(AS72:AT72)-(MIN(AS72:AT72)))))</f>
        <v>8.3333333333333329E-2</v>
      </c>
      <c r="AV72" s="434">
        <f>(0.14-0)/2</f>
        <v>7.0000000000000007E-2</v>
      </c>
      <c r="AW72" s="988">
        <f>(((AW70-AW68)/(AW66-AW64))*(AW63-AW64))+AW68</f>
        <v>8.3333333333333329E-2</v>
      </c>
      <c r="AX72" s="435">
        <v>44</v>
      </c>
      <c r="AY72" s="445">
        <f>'Data Standar'!K199</f>
        <v>0.4</v>
      </c>
      <c r="AZ72" s="338"/>
      <c r="BA72" s="436">
        <f>IF(OR(AY72=0,AZ72=0),'Data Standar'!$K$204/3,((MAX(AY72:AZ72)-(MIN(AY72:AZ72)))))</f>
        <v>0.26333333333333336</v>
      </c>
      <c r="BB72" s="434">
        <f>(0.14-0)/2</f>
        <v>7.0000000000000007E-2</v>
      </c>
      <c r="BC72" s="988">
        <f>(((BC70-BC68)/(BC66-BC64))*(BC63-BC64))+BC68</f>
        <v>0.26333333333333336</v>
      </c>
      <c r="BD72" s="435">
        <v>44</v>
      </c>
      <c r="BE72" s="445">
        <f>'Data Standar'!L199</f>
        <v>0.78</v>
      </c>
      <c r="BF72" s="338"/>
      <c r="BG72" s="436">
        <f>IF(OR(BE72=0,BF72=0),'Data Standar'!$L$204/3,((MAX(BE72:BF72)-(MIN(BE72:BF72)))))</f>
        <v>8.666666666666667E-2</v>
      </c>
      <c r="BH72" s="434">
        <f>(0.14-0)/2</f>
        <v>7.0000000000000007E-2</v>
      </c>
      <c r="BI72" s="988">
        <f>(((BI70-BI68)/(BI66-BI64))*(BI63-BI64))+BI68</f>
        <v>8.666666666666667E-2</v>
      </c>
      <c r="BJ72" s="435">
        <v>44</v>
      </c>
      <c r="BK72" s="445">
        <f>'Data Standar'!M199</f>
        <v>0.4</v>
      </c>
      <c r="BL72" s="338"/>
      <c r="BM72" s="436">
        <f>IF(OR(BK72=0,BL72=0),'Data Standar'!$M$204/3,((MAX(BK72:BL72)-(MIN(BK72:BL72)))))</f>
        <v>0.26333333333333336</v>
      </c>
      <c r="BN72" s="434">
        <f>(0.14-0)/2</f>
        <v>7.0000000000000007E-2</v>
      </c>
      <c r="BO72" s="988">
        <f>(((BO70-BO68)/(BO66-BO64))*(BO63-BO64))+BO68</f>
        <v>0.26333333333333336</v>
      </c>
      <c r="BP72" s="435">
        <v>44</v>
      </c>
      <c r="BQ72" s="445">
        <f>'Data Standar'!N199</f>
        <v>0.56000000000000005</v>
      </c>
      <c r="BR72" s="338"/>
      <c r="BS72" s="436">
        <f>IF(OR(BQ72=0,BR72=0),'Data Standar'!$N$204/3,((MAX(BQ72:BR72)-(MIN(BQ72:BR72)))))</f>
        <v>8.666666666666667E-2</v>
      </c>
      <c r="BT72" s="434">
        <f>(0.14-0)/2</f>
        <v>7.0000000000000007E-2</v>
      </c>
      <c r="BU72" s="988">
        <f>(((BU70-BU68)/(BU66-BU64))*(BU63-BU64))+BU68</f>
        <v>8.666666666666667E-2</v>
      </c>
      <c r="BV72" s="435">
        <v>44</v>
      </c>
      <c r="BW72" s="445">
        <f>'Data Standar'!O199</f>
        <v>0.67</v>
      </c>
      <c r="BX72" s="338"/>
      <c r="BY72" s="436">
        <f>IF(OR(BW72=0,BX72=0),'Data Standar'!$O$204/3,((MAX(BW72:BX72)-(MIN(BW72:BX72)))))</f>
        <v>8.3333333333333329E-2</v>
      </c>
      <c r="BZ72" s="434">
        <f>(0.14-0)/2</f>
        <v>7.0000000000000007E-2</v>
      </c>
      <c r="CA72" s="988">
        <f>(((CA70-CA68)/(CA66-CA64))*(CA63-CA64))+CA68</f>
        <v>8.3333333333333329E-2</v>
      </c>
      <c r="CB72" s="435">
        <v>44</v>
      </c>
      <c r="CC72" s="445">
        <f t="shared" si="30"/>
        <v>0</v>
      </c>
      <c r="CD72" s="338">
        <f t="shared" si="33"/>
        <v>-0.7</v>
      </c>
      <c r="CE72" s="436">
        <f t="shared" si="36"/>
        <v>0.19999999999999998</v>
      </c>
      <c r="CF72" s="434">
        <f>(0.14-0)/2</f>
        <v>7.0000000000000007E-2</v>
      </c>
      <c r="CG72" s="423"/>
      <c r="CH72" s="435">
        <v>44</v>
      </c>
      <c r="CI72" s="445">
        <f t="shared" si="31"/>
        <v>0.25</v>
      </c>
      <c r="CJ72" s="338">
        <f t="shared" si="34"/>
        <v>0.21</v>
      </c>
      <c r="CK72" s="436">
        <f t="shared" si="37"/>
        <v>4.0000000000000008E-2</v>
      </c>
      <c r="CL72" s="434">
        <f>(0.14-0)/2</f>
        <v>7.0000000000000007E-2</v>
      </c>
      <c r="CM72" s="423"/>
      <c r="CN72" s="435">
        <v>44</v>
      </c>
      <c r="CO72" s="445">
        <f t="shared" si="32"/>
        <v>0.56999999999999995</v>
      </c>
      <c r="CP72" s="338">
        <f t="shared" si="35"/>
        <v>0.52</v>
      </c>
      <c r="CQ72" s="436">
        <f t="shared" si="38"/>
        <v>4.9999999999999933E-2</v>
      </c>
      <c r="CR72" s="434">
        <f>(0.14-0)/2</f>
        <v>7.0000000000000007E-2</v>
      </c>
      <c r="CS72" s="423"/>
    </row>
    <row r="73" spans="1:97" s="427" customFormat="1" ht="13">
      <c r="A73" s="423"/>
      <c r="B73" s="435">
        <v>50</v>
      </c>
      <c r="C73" s="445">
        <v>0.15</v>
      </c>
      <c r="D73" s="445">
        <f>'Data Standar'!C200</f>
        <v>0.31</v>
      </c>
      <c r="E73" s="436">
        <f>IF(OR(C73=0,D73=0),'Data Standar'!$C$204/3,((MAX(C73:D73)-(MIN(C73:D73)))))</f>
        <v>0.16</v>
      </c>
      <c r="F73" s="437">
        <f>(0.5+0.2)/2</f>
        <v>0.35</v>
      </c>
      <c r="G73" s="438"/>
      <c r="H73" s="435">
        <v>50</v>
      </c>
      <c r="I73" s="338">
        <v>0.2</v>
      </c>
      <c r="J73" s="338">
        <f>'Data Standar'!D200</f>
        <v>0.3</v>
      </c>
      <c r="K73" s="436">
        <f>IF(OR(I73=0,J73=0),'Data Standar'!$D$204/3,((MAX(I73:J73)-(MIN(I73:J73)))))</f>
        <v>9.9999999999999978E-2</v>
      </c>
      <c r="L73" s="437">
        <f>(0+0.05)/2</f>
        <v>2.5000000000000001E-2</v>
      </c>
      <c r="M73" s="438"/>
      <c r="N73" s="435">
        <v>50</v>
      </c>
      <c r="O73" s="445">
        <v>0.15</v>
      </c>
      <c r="P73" s="338">
        <f>'Data Standar'!E200</f>
        <v>0.02</v>
      </c>
      <c r="Q73" s="436">
        <f>IF(OR(O73=0,P73=0),'Data Standar'!$E$204/3,((MAX(O73:P73)-(MIN(O73:P73)))))</f>
        <v>0.13</v>
      </c>
      <c r="R73" s="434">
        <f>(0.15-0)/2</f>
        <v>7.4999999999999997E-2</v>
      </c>
      <c r="S73" s="423"/>
      <c r="T73" s="435">
        <v>50</v>
      </c>
      <c r="U73" s="445">
        <f>'Data Standar'!F200</f>
        <v>0.76</v>
      </c>
      <c r="V73" s="338"/>
      <c r="W73" s="436">
        <f>IF(OR(U73=0,V73=0),'Data Standar'!$F$204/3,((MAX(U73:V73)-(MIN(U73:V73)))))</f>
        <v>8.666666666666667E-2</v>
      </c>
      <c r="X73" s="434">
        <f>(0.15-0)/2</f>
        <v>7.4999999999999997E-2</v>
      </c>
      <c r="Y73" s="423"/>
      <c r="Z73" s="435">
        <v>50</v>
      </c>
      <c r="AA73" s="445">
        <f>'Data Standar'!G200</f>
        <v>0.17</v>
      </c>
      <c r="AB73" s="338">
        <v>0.63</v>
      </c>
      <c r="AC73" s="436">
        <f>IF(OR(AA73=0,AB73=0),'Data Standar'!$G$204/3,((MAX(AA73:AB73)-(MIN(AA73:AB73)))))</f>
        <v>0.45999999999999996</v>
      </c>
      <c r="AD73" s="434">
        <f>(0.15-0)/2</f>
        <v>7.4999999999999997E-2</v>
      </c>
      <c r="AE73" s="423"/>
      <c r="AF73" s="435">
        <v>50</v>
      </c>
      <c r="AG73" s="445">
        <f>'Data Standar'!H200</f>
        <v>0.18</v>
      </c>
      <c r="AH73" s="338">
        <v>0.72</v>
      </c>
      <c r="AI73" s="436">
        <f>IF(OR(AG73=0,AH73=0),'Data Standar'!$H$204/3,((MAX(AG73:AH73)-(MIN(AG73:AH73)))))</f>
        <v>0.54</v>
      </c>
      <c r="AJ73" s="434">
        <f>(0.15-0)/2</f>
        <v>7.4999999999999997E-2</v>
      </c>
      <c r="AK73" s="423"/>
      <c r="AL73" s="435">
        <v>50</v>
      </c>
      <c r="AM73" s="445">
        <f>'Data Standar'!I200</f>
        <v>0.44</v>
      </c>
      <c r="AN73" s="338"/>
      <c r="AO73" s="436">
        <f>IF(OR(AM73=0,AN73=0),'Data Standar'!$I$204/3,((MAX(AM73:AN73)-(MIN(AM73:AN73)))))</f>
        <v>8.3333333333333329E-2</v>
      </c>
      <c r="AP73" s="434">
        <f>(0.15-0)/2</f>
        <v>7.4999999999999997E-2</v>
      </c>
      <c r="AQ73" s="423"/>
      <c r="AR73" s="435">
        <v>50</v>
      </c>
      <c r="AS73" s="445">
        <f>'Data Standar'!J200</f>
        <v>0.34</v>
      </c>
      <c r="AT73" s="338"/>
      <c r="AU73" s="436">
        <f>IF(OR(AS73=0,AT73=0),'Data Standar'!$J$204/3,((MAX(AS73:AT73)-(MIN(AS73:AT73)))))</f>
        <v>8.3333333333333329E-2</v>
      </c>
      <c r="AV73" s="434">
        <f>(0.15-0)/2</f>
        <v>7.4999999999999997E-2</v>
      </c>
      <c r="AW73" s="423"/>
      <c r="AX73" s="435">
        <v>50</v>
      </c>
      <c r="AY73" s="445">
        <f>'Data Standar'!K200</f>
        <v>0.38</v>
      </c>
      <c r="AZ73" s="338"/>
      <c r="BA73" s="436">
        <f>IF(OR(AY73=0,AZ73=0),'Data Standar'!$K$204/3,((MAX(AY73:AZ73)-(MIN(AY73:AZ73)))))</f>
        <v>0.26333333333333336</v>
      </c>
      <c r="BB73" s="434">
        <f>(0.15-0)/2</f>
        <v>7.4999999999999997E-2</v>
      </c>
      <c r="BC73" s="423"/>
      <c r="BD73" s="435">
        <v>50</v>
      </c>
      <c r="BE73" s="445">
        <f>'Data Standar'!L200</f>
        <v>0.84</v>
      </c>
      <c r="BF73" s="338"/>
      <c r="BG73" s="436">
        <f>IF(OR(BE73=0,BF73=0),'Data Standar'!$L$204/3,((MAX(BE73:BF73)-(MIN(BE73:BF73)))))</f>
        <v>8.666666666666667E-2</v>
      </c>
      <c r="BH73" s="434">
        <f>(0.15-0)/2</f>
        <v>7.4999999999999997E-2</v>
      </c>
      <c r="BI73" s="423"/>
      <c r="BJ73" s="435">
        <v>50</v>
      </c>
      <c r="BK73" s="445">
        <f>'Data Standar'!M200</f>
        <v>0.38</v>
      </c>
      <c r="BL73" s="338"/>
      <c r="BM73" s="436">
        <f>IF(OR(BK73=0,BL73=0),'Data Standar'!$M$204/3,((MAX(BK73:BL73)-(MIN(BK73:BL73)))))</f>
        <v>0.26333333333333336</v>
      </c>
      <c r="BN73" s="434">
        <f>(0.15-0)/2</f>
        <v>7.4999999999999997E-2</v>
      </c>
      <c r="BO73" s="423"/>
      <c r="BP73" s="435">
        <v>50</v>
      </c>
      <c r="BQ73" s="445">
        <f>'Data Standar'!N200</f>
        <v>0.62</v>
      </c>
      <c r="BR73" s="338"/>
      <c r="BS73" s="436">
        <f>IF(OR(BQ73=0,BR73=0),'Data Standar'!$N$204/3,((MAX(BQ73:BR73)-(MIN(BQ73:BR73)))))</f>
        <v>8.666666666666667E-2</v>
      </c>
      <c r="BT73" s="434">
        <f>(0.15-0)/2</f>
        <v>7.4999999999999997E-2</v>
      </c>
      <c r="BU73" s="423"/>
      <c r="BV73" s="435">
        <v>50</v>
      </c>
      <c r="BW73" s="445">
        <f>'Data Standar'!O200</f>
        <v>0.75</v>
      </c>
      <c r="BX73" s="338"/>
      <c r="BY73" s="436">
        <f>IF(OR(BW73=0,BX73=0),'Data Standar'!$O$204/3,((MAX(BW73:BX73)-(MIN(BW73:BX73)))))</f>
        <v>8.3333333333333329E-2</v>
      </c>
      <c r="BZ73" s="434">
        <f>(0.15-0)/2</f>
        <v>7.4999999999999997E-2</v>
      </c>
      <c r="CA73" s="423"/>
      <c r="CB73" s="435">
        <v>50</v>
      </c>
      <c r="CC73" s="445">
        <f t="shared" si="30"/>
        <v>-1</v>
      </c>
      <c r="CD73" s="338">
        <f t="shared" si="33"/>
        <v>-0.7</v>
      </c>
      <c r="CE73" s="436">
        <f t="shared" si="36"/>
        <v>0.30000000000000004</v>
      </c>
      <c r="CF73" s="434">
        <f>(0.15-0)/2</f>
        <v>7.4999999999999997E-2</v>
      </c>
      <c r="CG73" s="423"/>
      <c r="CH73" s="435">
        <v>50</v>
      </c>
      <c r="CI73" s="445">
        <f t="shared" si="31"/>
        <v>0.27</v>
      </c>
      <c r="CJ73" s="338">
        <f t="shared" si="34"/>
        <v>0.22</v>
      </c>
      <c r="CK73" s="436">
        <f t="shared" si="37"/>
        <v>5.0000000000000017E-2</v>
      </c>
      <c r="CL73" s="434">
        <f>(0.15-0)/2</f>
        <v>7.4999999999999997E-2</v>
      </c>
      <c r="CM73" s="423"/>
      <c r="CN73" s="435">
        <v>50</v>
      </c>
      <c r="CO73" s="445">
        <f t="shared" si="32"/>
        <v>0.67</v>
      </c>
      <c r="CP73" s="338">
        <f t="shared" si="35"/>
        <v>0.56999999999999995</v>
      </c>
      <c r="CQ73" s="436">
        <f t="shared" si="38"/>
        <v>0.10000000000000009</v>
      </c>
      <c r="CR73" s="434">
        <f>(0.15-0)/2</f>
        <v>7.4999999999999997E-2</v>
      </c>
      <c r="CS73" s="423"/>
    </row>
    <row r="74" spans="1:97" s="427" customFormat="1" ht="13">
      <c r="A74" s="423"/>
      <c r="B74" s="435">
        <v>100</v>
      </c>
      <c r="C74" s="445">
        <v>0.25</v>
      </c>
      <c r="D74" s="445">
        <f>'Data Standar'!C201</f>
        <v>0.79</v>
      </c>
      <c r="E74" s="436">
        <f>IF(OR(C74=0,D74=0),'Data Standar'!$C$204/3,((MAX(C74:D74)-(MIN(C74:D74)))))</f>
        <v>0.54</v>
      </c>
      <c r="F74" s="437">
        <f>(0.83+0.24)/2</f>
        <v>0.53499999999999992</v>
      </c>
      <c r="G74" s="438"/>
      <c r="H74" s="435">
        <v>100</v>
      </c>
      <c r="I74" s="338">
        <v>0.13</v>
      </c>
      <c r="J74" s="338">
        <f>'Data Standar'!D201</f>
        <v>0.59</v>
      </c>
      <c r="K74" s="436">
        <f>IF(OR(I74=0,J74=0),'Data Standar'!$D$204/3,((MAX(I74:J74)-(MIN(I74:J74)))))</f>
        <v>0.45999999999999996</v>
      </c>
      <c r="L74" s="437">
        <f>(0.02-0)/2</f>
        <v>0.01</v>
      </c>
      <c r="M74" s="438"/>
      <c r="N74" s="435">
        <v>100</v>
      </c>
      <c r="O74" s="445">
        <v>-0.12</v>
      </c>
      <c r="P74" s="338">
        <f>'Data Standar'!E201</f>
        <v>-0.13</v>
      </c>
      <c r="Q74" s="436">
        <f>IF(OR(O74=0,P74=0),'Data Standar'!$E$204/3,((MAX(O74:P74)-(MIN(O74:P74)))))</f>
        <v>1.0000000000000009E-2</v>
      </c>
      <c r="R74" s="434">
        <f>(0.2-0)/2</f>
        <v>0.1</v>
      </c>
      <c r="S74" s="423"/>
      <c r="T74" s="435">
        <v>100</v>
      </c>
      <c r="U74" s="445">
        <f>'Data Standar'!F201</f>
        <v>0.68</v>
      </c>
      <c r="V74" s="338"/>
      <c r="W74" s="436">
        <f>IF(OR(U74=0,V74=0),'Data Standar'!$F$204/3,((MAX(U74:V74)-(MIN(U74:V74)))))</f>
        <v>8.666666666666667E-2</v>
      </c>
      <c r="X74" s="434">
        <f>(0.2-0)/2</f>
        <v>0.1</v>
      </c>
      <c r="Y74" s="423"/>
      <c r="Z74" s="435">
        <v>100</v>
      </c>
      <c r="AA74" s="445">
        <f>'Data Standar'!G201</f>
        <v>0.28000000000000003</v>
      </c>
      <c r="AB74" s="338">
        <v>0.34</v>
      </c>
      <c r="AC74" s="436">
        <f>IF(OR(AA74=0,AB74=0),'Data Standar'!$G$204/3,((MAX(AA74:AB74)-(MIN(AA74:AB74)))))</f>
        <v>0.06</v>
      </c>
      <c r="AD74" s="434">
        <f>(0.2-0)/2</f>
        <v>0.1</v>
      </c>
      <c r="AE74" s="423"/>
      <c r="AF74" s="435">
        <v>100</v>
      </c>
      <c r="AG74" s="445">
        <f>'Data Standar'!H201</f>
        <v>0.28000000000000003</v>
      </c>
      <c r="AH74" s="338">
        <v>0.54</v>
      </c>
      <c r="AI74" s="436">
        <f>IF(OR(AG74=0,AH74=0),'Data Standar'!$H$204/3,((MAX(AG74:AH74)-(MIN(AG74:AH74)))))</f>
        <v>0.26</v>
      </c>
      <c r="AJ74" s="434">
        <f>(0.2-0)/2</f>
        <v>0.1</v>
      </c>
      <c r="AK74" s="423"/>
      <c r="AL74" s="435">
        <v>100</v>
      </c>
      <c r="AM74" s="445">
        <f>'Data Standar'!I201</f>
        <v>0.53</v>
      </c>
      <c r="AN74" s="338"/>
      <c r="AO74" s="436">
        <f>IF(OR(AM74=0,AN74=0),'Data Standar'!$I$204/3,((MAX(AM74:AN74)-(MIN(AM74:AN74)))))</f>
        <v>8.3333333333333329E-2</v>
      </c>
      <c r="AP74" s="434">
        <f>(0.2-0)/2</f>
        <v>0.1</v>
      </c>
      <c r="AQ74" s="423"/>
      <c r="AR74" s="435">
        <v>100</v>
      </c>
      <c r="AS74" s="445">
        <f>'Data Standar'!J201</f>
        <v>0.46</v>
      </c>
      <c r="AT74" s="338"/>
      <c r="AU74" s="436">
        <f>IF(OR(AS74=0,AT74=0),'Data Standar'!$J$204/3,((MAX(AS74:AT74)-(MIN(AS74:AT74)))))</f>
        <v>8.3333333333333329E-2</v>
      </c>
      <c r="AV74" s="434">
        <f>(0.2-0)/2</f>
        <v>0.1</v>
      </c>
      <c r="AW74" s="423"/>
      <c r="AX74" s="435">
        <v>100</v>
      </c>
      <c r="AY74" s="445">
        <f>'Data Standar'!K201</f>
        <v>0.21</v>
      </c>
      <c r="AZ74" s="338"/>
      <c r="BA74" s="436">
        <f>IF(OR(AY74=0,AZ74=0),'Data Standar'!$K$204/3,((MAX(AY74:AZ74)-(MIN(AY74:AZ74)))))</f>
        <v>0.26333333333333336</v>
      </c>
      <c r="BB74" s="434">
        <f>(0.2-0)/2</f>
        <v>0.1</v>
      </c>
      <c r="BC74" s="423"/>
      <c r="BD74" s="435">
        <v>100</v>
      </c>
      <c r="BE74" s="445">
        <f>'Data Standar'!L201</f>
        <v>0.65</v>
      </c>
      <c r="BF74" s="338"/>
      <c r="BG74" s="436">
        <f>IF(OR(BE74=0,BF74=0),'Data Standar'!$L$204/3,((MAX(BE74:BF74)-(MIN(BE74:BF74)))))</f>
        <v>8.666666666666667E-2</v>
      </c>
      <c r="BH74" s="434">
        <f>(0.2-0)/2</f>
        <v>0.1</v>
      </c>
      <c r="BI74" s="423"/>
      <c r="BJ74" s="435">
        <v>100</v>
      </c>
      <c r="BK74" s="445">
        <f>'Data Standar'!M201</f>
        <v>0.21</v>
      </c>
      <c r="BL74" s="338"/>
      <c r="BM74" s="436">
        <f>IF(OR(BK74=0,BL74=0),'Data Standar'!$M$204/3,((MAX(BK74:BL74)-(MIN(BK74:BL74)))))</f>
        <v>0.26333333333333336</v>
      </c>
      <c r="BN74" s="434">
        <f>(0.2-0)/2</f>
        <v>0.1</v>
      </c>
      <c r="BO74" s="423"/>
      <c r="BP74" s="435">
        <v>100</v>
      </c>
      <c r="BQ74" s="445">
        <f>'Data Standar'!N201</f>
        <v>0.39</v>
      </c>
      <c r="BR74" s="338"/>
      <c r="BS74" s="436">
        <f>IF(OR(BQ74=0,BR74=0),'Data Standar'!$N$204/3,((MAX(BQ74:BR74)-(MIN(BQ74:BR74)))))</f>
        <v>8.666666666666667E-2</v>
      </c>
      <c r="BT74" s="434">
        <f>(0.2-0)/2</f>
        <v>0.1</v>
      </c>
      <c r="BU74" s="423"/>
      <c r="BV74" s="435">
        <v>100</v>
      </c>
      <c r="BW74" s="445">
        <f>'Data Standar'!O201</f>
        <v>0.71</v>
      </c>
      <c r="BX74" s="338"/>
      <c r="BY74" s="436">
        <f>IF(OR(BW74=0,BX74=0),'Data Standar'!$O$204/3,((MAX(BW74:BX74)-(MIN(BW74:BX74)))))</f>
        <v>8.3333333333333329E-2</v>
      </c>
      <c r="BZ74" s="434">
        <f>(0.2-0)/2</f>
        <v>0.1</v>
      </c>
      <c r="CA74" s="423"/>
      <c r="CB74" s="435">
        <v>100</v>
      </c>
      <c r="CC74" s="445">
        <f t="shared" si="30"/>
        <v>-1.6</v>
      </c>
      <c r="CD74" s="338">
        <f t="shared" si="33"/>
        <v>-0.7</v>
      </c>
      <c r="CE74" s="436">
        <f t="shared" si="36"/>
        <v>0.90000000000000013</v>
      </c>
      <c r="CF74" s="434">
        <f>(0.2-0)/2</f>
        <v>0.1</v>
      </c>
      <c r="CG74" s="423"/>
      <c r="CH74" s="435">
        <v>100</v>
      </c>
      <c r="CI74" s="445">
        <f t="shared" si="31"/>
        <v>0.31</v>
      </c>
      <c r="CJ74" s="338">
        <f t="shared" si="34"/>
        <v>0.23</v>
      </c>
      <c r="CK74" s="436">
        <f t="shared" si="37"/>
        <v>7.9999999999999988E-2</v>
      </c>
      <c r="CL74" s="434">
        <f>(0.2-0)/2</f>
        <v>0.1</v>
      </c>
      <c r="CM74" s="423"/>
      <c r="CN74" s="435">
        <v>100</v>
      </c>
      <c r="CO74" s="445">
        <f t="shared" si="32"/>
        <v>0.95</v>
      </c>
      <c r="CP74" s="338">
        <f t="shared" si="35"/>
        <v>0.81</v>
      </c>
      <c r="CQ74" s="436">
        <f t="shared" si="38"/>
        <v>0.1399999999999999</v>
      </c>
      <c r="CR74" s="434">
        <f>(0.2-0)/2</f>
        <v>0.1</v>
      </c>
      <c r="CS74" s="423"/>
    </row>
    <row r="75" spans="1:97" s="427" customFormat="1" ht="13">
      <c r="A75" s="423"/>
      <c r="B75" s="435">
        <v>150</v>
      </c>
      <c r="C75" s="445">
        <v>0.28000000000000003</v>
      </c>
      <c r="D75" s="445">
        <f>'Data Standar'!C202</f>
        <v>0.78</v>
      </c>
      <c r="E75" s="436">
        <f>IF(OR(C75=0,D75=0),'Data Standar'!$C$204/3,((MAX(C75:D75)-(MIN(C75:D75)))))</f>
        <v>0.5</v>
      </c>
      <c r="F75" s="437">
        <f>(0.31+0.29)/2</f>
        <v>0.3</v>
      </c>
      <c r="G75" s="438"/>
      <c r="H75" s="435">
        <v>150</v>
      </c>
      <c r="I75" s="338">
        <v>0.04</v>
      </c>
      <c r="J75" s="338">
        <f>'Data Standar'!D202</f>
        <v>0.57999999999999996</v>
      </c>
      <c r="K75" s="436">
        <f>IF(OR(I75=0,J75=0),'Data Standar'!$D$204/3,((MAX(I75:J75)-(MIN(I75:J75)))))</f>
        <v>0.53999999999999992</v>
      </c>
      <c r="L75" s="437">
        <f>(0.16-0)/2</f>
        <v>0.08</v>
      </c>
      <c r="M75" s="438"/>
      <c r="N75" s="435">
        <v>150</v>
      </c>
      <c r="O75" s="445">
        <v>-0.42</v>
      </c>
      <c r="P75" s="338">
        <f>'Data Standar'!E202</f>
        <v>-0.25</v>
      </c>
      <c r="Q75" s="436">
        <f>IF(OR(O75=0,P75=0),'Data Standar'!$E$204/3,((MAX(O75:P75)-(MIN(O75:P75)))))</f>
        <v>0.16999999999999998</v>
      </c>
      <c r="R75" s="434">
        <f>(0.21-0)/2</f>
        <v>0.105</v>
      </c>
      <c r="S75" s="423"/>
      <c r="T75" s="435">
        <v>150</v>
      </c>
      <c r="U75" s="445">
        <f>'Data Standar'!F202</f>
        <v>-0.13</v>
      </c>
      <c r="V75" s="338"/>
      <c r="W75" s="436">
        <f>IF(OR(U75=0,V75=0),'Data Standar'!$F$204/3,((MAX(U75:V75)-(MIN(U75:V75)))))</f>
        <v>8.666666666666667E-2</v>
      </c>
      <c r="X75" s="434">
        <f>(0.21-0)/2</f>
        <v>0.105</v>
      </c>
      <c r="Y75" s="423"/>
      <c r="Z75" s="435">
        <v>150</v>
      </c>
      <c r="AA75" s="445">
        <f>'Data Standar'!G202</f>
        <v>0.49</v>
      </c>
      <c r="AB75" s="338">
        <v>-0.04</v>
      </c>
      <c r="AC75" s="436">
        <f>IF(OR(AA75=0,AB75=0),'Data Standar'!$G$204/3,((MAX(AA75:AB75)-(MIN(AA75:AB75)))))</f>
        <v>0.53</v>
      </c>
      <c r="AD75" s="434">
        <f>(0.21-0)/2</f>
        <v>0.105</v>
      </c>
      <c r="AE75" s="423"/>
      <c r="AF75" s="435">
        <v>150</v>
      </c>
      <c r="AG75" s="445">
        <f>'Data Standar'!H202</f>
        <v>0.47</v>
      </c>
      <c r="AH75" s="338">
        <v>0.1</v>
      </c>
      <c r="AI75" s="436">
        <f>IF(OR(AG75=0,AH75=0),'Data Standar'!$H$204/3,((MAX(AG75:AH75)-(MIN(AG75:AH75)))))</f>
        <v>0.37</v>
      </c>
      <c r="AJ75" s="434">
        <f>(0.21-0)/2</f>
        <v>0.105</v>
      </c>
      <c r="AK75" s="423"/>
      <c r="AL75" s="435">
        <v>150</v>
      </c>
      <c r="AM75" s="445">
        <f>'Data Standar'!I202</f>
        <v>0.7</v>
      </c>
      <c r="AN75" s="338"/>
      <c r="AO75" s="436">
        <f>IF(OR(AM75=0,AN75=0),'Data Standar'!$I$204/3,((MAX(AM75:AN75)-(MIN(AM75:AN75)))))</f>
        <v>8.3333333333333329E-2</v>
      </c>
      <c r="AP75" s="434">
        <f>(0.21-0)/2</f>
        <v>0.105</v>
      </c>
      <c r="AQ75" s="423"/>
      <c r="AR75" s="435">
        <v>150</v>
      </c>
      <c r="AS75" s="445">
        <f>'Data Standar'!J202</f>
        <v>0.68</v>
      </c>
      <c r="AT75" s="338"/>
      <c r="AU75" s="436">
        <f>IF(OR(AS75=0,AT75=0),'Data Standar'!$J$204/3,((MAX(AS75:AT75)-(MIN(AS75:AT75)))))</f>
        <v>8.3333333333333329E-2</v>
      </c>
      <c r="AV75" s="434">
        <f>(0.21-0)/2</f>
        <v>0.105</v>
      </c>
      <c r="AW75" s="423"/>
      <c r="AX75" s="435">
        <v>150</v>
      </c>
      <c r="AY75" s="445">
        <f>'Data Standar'!K202</f>
        <v>9.9999999999999995E-7</v>
      </c>
      <c r="AZ75" s="338"/>
      <c r="BA75" s="436">
        <f>IF(OR(AY75=0,AZ75=0),'Data Standar'!$K$204/3,((MAX(AY75:AZ75)-(MIN(AY75:AZ75)))))</f>
        <v>0.26333333333333336</v>
      </c>
      <c r="BB75" s="434">
        <f>(0.21-0)/2</f>
        <v>0.105</v>
      </c>
      <c r="BC75" s="423"/>
      <c r="BD75" s="435">
        <v>150</v>
      </c>
      <c r="BE75" s="445">
        <f>'Data Standar'!L202</f>
        <v>0.06</v>
      </c>
      <c r="BF75" s="338"/>
      <c r="BG75" s="436">
        <f>IF(OR(BE75=0,BF75=0),'Data Standar'!$L$204/3,((MAX(BE75:BF75)-(MIN(BE75:BF75)))))</f>
        <v>8.666666666666667E-2</v>
      </c>
      <c r="BH75" s="434">
        <f>(0.21-0)/2</f>
        <v>0.105</v>
      </c>
      <c r="BI75" s="423"/>
      <c r="BJ75" s="435">
        <v>150</v>
      </c>
      <c r="BK75" s="445">
        <f>'Data Standar'!M202</f>
        <v>9.9999999999999995E-7</v>
      </c>
      <c r="BL75" s="338"/>
      <c r="BM75" s="436">
        <f>IF(OR(BK75=0,BL75=0),'Data Standar'!$M$204/3,((MAX(BK75:BL75)-(MIN(BK75:BL75)))))</f>
        <v>0.26333333333333336</v>
      </c>
      <c r="BN75" s="434">
        <f>(0.21-0)/2</f>
        <v>0.105</v>
      </c>
      <c r="BO75" s="423"/>
      <c r="BP75" s="435">
        <v>150</v>
      </c>
      <c r="BQ75" s="445">
        <f>'Data Standar'!N202</f>
        <v>-0.37</v>
      </c>
      <c r="BR75" s="338"/>
      <c r="BS75" s="436">
        <f>IF(OR(BQ75=0,BR75=0),'Data Standar'!$N$204/3,((MAX(BQ75:BR75)-(MIN(BQ75:BR75)))))</f>
        <v>8.666666666666667E-2</v>
      </c>
      <c r="BT75" s="434">
        <f>(0.21-0)/2</f>
        <v>0.105</v>
      </c>
      <c r="BU75" s="423"/>
      <c r="BV75" s="435">
        <v>150</v>
      </c>
      <c r="BW75" s="445">
        <f>'Data Standar'!O202</f>
        <v>-0.11</v>
      </c>
      <c r="BX75" s="338"/>
      <c r="BY75" s="436">
        <f>IF(OR(BW75=0,BX75=0),'Data Standar'!$O$204/3,((MAX(BW75:BX75)-(MIN(BW75:BX75)))))</f>
        <v>8.3333333333333329E-2</v>
      </c>
      <c r="BZ75" s="434">
        <f>(0.21-0)/2</f>
        <v>0.105</v>
      </c>
      <c r="CA75" s="423"/>
      <c r="CB75" s="435">
        <v>150</v>
      </c>
      <c r="CC75" s="445">
        <f t="shared" si="30"/>
        <v>-1.7</v>
      </c>
      <c r="CD75" s="338">
        <f t="shared" si="33"/>
        <v>-0.7</v>
      </c>
      <c r="CE75" s="436">
        <f t="shared" si="36"/>
        <v>1</v>
      </c>
      <c r="CF75" s="434">
        <f>(0.21-0)/2</f>
        <v>0.105</v>
      </c>
      <c r="CG75" s="423"/>
      <c r="CH75" s="435">
        <v>150</v>
      </c>
      <c r="CI75" s="445">
        <f t="shared" si="31"/>
        <v>0.3</v>
      </c>
      <c r="CJ75" s="338">
        <f t="shared" si="34"/>
        <v>0.22</v>
      </c>
      <c r="CK75" s="436">
        <f t="shared" si="37"/>
        <v>7.9999999999999988E-2</v>
      </c>
      <c r="CL75" s="434">
        <f>(0.21-0)/2</f>
        <v>0.105</v>
      </c>
      <c r="CM75" s="423"/>
      <c r="CN75" s="435">
        <v>150</v>
      </c>
      <c r="CO75" s="445">
        <f t="shared" si="32"/>
        <v>0.49</v>
      </c>
      <c r="CP75" s="338">
        <f t="shared" si="35"/>
        <v>0.87</v>
      </c>
      <c r="CQ75" s="436">
        <f t="shared" si="38"/>
        <v>0.38</v>
      </c>
      <c r="CR75" s="434">
        <f>(0.21-0)/2</f>
        <v>0.105</v>
      </c>
      <c r="CS75" s="423"/>
    </row>
    <row r="76" spans="1:97" s="427" customFormat="1" ht="13">
      <c r="A76" s="423"/>
      <c r="B76" s="435">
        <v>200</v>
      </c>
      <c r="C76" s="445">
        <v>0.42</v>
      </c>
      <c r="D76" s="445">
        <f>'Data Standar'!C203</f>
        <v>-0.02</v>
      </c>
      <c r="E76" s="436">
        <f>IF(OR(C76=0,D76=0),'Data Standar'!$C$204/3,((MAX(C76:D76)-(MIN(C76:D76)))))</f>
        <v>0.44</v>
      </c>
      <c r="F76" s="437">
        <f>(-0.09+0.72)/2</f>
        <v>0.315</v>
      </c>
      <c r="G76" s="438"/>
      <c r="H76" s="435">
        <v>200</v>
      </c>
      <c r="I76" s="338">
        <v>0.43</v>
      </c>
      <c r="J76" s="338">
        <f>'Data Standar'!D203</f>
        <v>0.19</v>
      </c>
      <c r="K76" s="436">
        <f>IF(OR(I76=0,J76=0),'Data Standar'!$D$204/3,((MAX(I76:J76)-(MIN(I76:J76)))))</f>
        <v>0.24</v>
      </c>
      <c r="L76" s="437">
        <f>(0.37-0)/2</f>
        <v>0.185</v>
      </c>
      <c r="M76" s="438"/>
      <c r="N76" s="435">
        <v>200</v>
      </c>
      <c r="O76" s="445">
        <v>-0.09</v>
      </c>
      <c r="P76" s="338">
        <f>'Data Standar'!E203</f>
        <v>0.04</v>
      </c>
      <c r="Q76" s="436">
        <f>IF(OR(O76=0,P76=0),'Data Standar'!$E$204/3,((MAX(O76:P76)-(MIN(O76:P76)))))</f>
        <v>0.13</v>
      </c>
      <c r="R76" s="434">
        <f>(0.19-0)/2</f>
        <v>9.5000000000000001E-2</v>
      </c>
      <c r="S76" s="423"/>
      <c r="T76" s="435">
        <v>200</v>
      </c>
      <c r="U76" s="445">
        <f>'Data Standar'!F203</f>
        <v>-0.84</v>
      </c>
      <c r="V76" s="338"/>
      <c r="W76" s="436">
        <f>IF(OR(U76=0,V76=0),'Data Standar'!$F$204/3,((MAX(U76:V76)-(MIN(U76:V76)))))</f>
        <v>8.666666666666667E-2</v>
      </c>
      <c r="X76" s="434">
        <f>(0.19-0)/2</f>
        <v>9.5000000000000001E-2</v>
      </c>
      <c r="Y76" s="423"/>
      <c r="Z76" s="435">
        <v>200</v>
      </c>
      <c r="AA76" s="445">
        <f>'Data Standar'!G203</f>
        <v>0.75</v>
      </c>
      <c r="AB76" s="338">
        <v>0.02</v>
      </c>
      <c r="AC76" s="436">
        <f>IF(OR(AA76=0,AB76=0),'Data Standar'!$G$204/3,((MAX(AA76:AB76)-(MIN(AA76:AB76)))))</f>
        <v>0.73</v>
      </c>
      <c r="AD76" s="434">
        <f>(0.19-0)/2</f>
        <v>9.5000000000000001E-2</v>
      </c>
      <c r="AE76" s="423"/>
      <c r="AF76" s="435">
        <v>200</v>
      </c>
      <c r="AG76" s="445">
        <f>'Data Standar'!H203</f>
        <v>0.76</v>
      </c>
      <c r="AH76" s="338">
        <v>-0.28999999999999998</v>
      </c>
      <c r="AI76" s="436">
        <f>IF(OR(AG76=0,AH76=0),'Data Standar'!$H$204/3,((MAX(AG76:AH76)-(MIN(AG76:AH76)))))</f>
        <v>1.05</v>
      </c>
      <c r="AJ76" s="434">
        <f>(0.19-0)/2</f>
        <v>9.5000000000000001E-2</v>
      </c>
      <c r="AK76" s="423"/>
      <c r="AL76" s="435">
        <v>200</v>
      </c>
      <c r="AM76" s="445">
        <f>'Data Standar'!I203</f>
        <v>0.91</v>
      </c>
      <c r="AN76" s="338"/>
      <c r="AO76" s="436">
        <f>IF(OR(AM76=0,AN76=0),'Data Standar'!$I$204/3,((MAX(AM76:AN76)-(MIN(AM76:AN76)))))</f>
        <v>8.3333333333333329E-2</v>
      </c>
      <c r="AP76" s="434">
        <f>(0.19-0)/2</f>
        <v>9.5000000000000001E-2</v>
      </c>
      <c r="AQ76" s="423"/>
      <c r="AR76" s="435">
        <v>200</v>
      </c>
      <c r="AS76" s="445">
        <f>'Data Standar'!J203</f>
        <v>0.9</v>
      </c>
      <c r="AT76" s="338"/>
      <c r="AU76" s="436">
        <f>IF(OR(AS76=0,AT76=0),'Data Standar'!$J$204/3,((MAX(AS76:AT76)-(MIN(AS76:AT76)))))</f>
        <v>8.3333333333333329E-2</v>
      </c>
      <c r="AV76" s="434">
        <f>(0.19-0)/2</f>
        <v>9.5000000000000001E-2</v>
      </c>
      <c r="AW76" s="423"/>
      <c r="AX76" s="435">
        <v>200</v>
      </c>
      <c r="AY76" s="445">
        <f>'Data Standar'!K203</f>
        <v>-0.26</v>
      </c>
      <c r="AZ76" s="338"/>
      <c r="BA76" s="436">
        <f>IF(OR(AY76=0,AZ76=0),'Data Standar'!$K$204/3,((MAX(AY76:AZ76)-(MIN(AY76:AZ76)))))</f>
        <v>0.26333333333333336</v>
      </c>
      <c r="BB76" s="434">
        <f>(0.19-0)/2</f>
        <v>9.5000000000000001E-2</v>
      </c>
      <c r="BC76" s="423"/>
      <c r="BD76" s="435">
        <v>200</v>
      </c>
      <c r="BE76" s="445">
        <f>'Data Standar'!L203</f>
        <v>0.09</v>
      </c>
      <c r="BF76" s="338"/>
      <c r="BG76" s="436">
        <f>IF(OR(BE76=0,BF76=0),'Data Standar'!$L$204/3,((MAX(BE76:BF76)-(MIN(BE76:BF76)))))</f>
        <v>8.666666666666667E-2</v>
      </c>
      <c r="BH76" s="434">
        <f>(0.19-0)/2</f>
        <v>9.5000000000000001E-2</v>
      </c>
      <c r="BI76" s="423"/>
      <c r="BJ76" s="435">
        <v>200</v>
      </c>
      <c r="BK76" s="445">
        <f>'Data Standar'!M203</f>
        <v>-0.26</v>
      </c>
      <c r="BL76" s="338"/>
      <c r="BM76" s="436">
        <f>IF(OR(BK76=0,BL76=0),'Data Standar'!$M$204/3,((MAX(BK76:BL76)-(MIN(BK76:BL76)))))</f>
        <v>0.26333333333333336</v>
      </c>
      <c r="BN76" s="434">
        <f>(0.19-0)/2</f>
        <v>9.5000000000000001E-2</v>
      </c>
      <c r="BO76" s="423"/>
      <c r="BP76" s="435">
        <v>200</v>
      </c>
      <c r="BQ76" s="445">
        <f>'Data Standar'!N203</f>
        <v>-0.74</v>
      </c>
      <c r="BR76" s="338"/>
      <c r="BS76" s="436">
        <f>IF(OR(BQ76=0,BR76=0),'Data Standar'!$N$204/3,((MAX(BQ76:BR76)-(MIN(BQ76:BR76)))))</f>
        <v>8.666666666666667E-2</v>
      </c>
      <c r="BT76" s="434">
        <f>(0.19-0)/2</f>
        <v>9.5000000000000001E-2</v>
      </c>
      <c r="BU76" s="423"/>
      <c r="BV76" s="435">
        <v>200</v>
      </c>
      <c r="BW76" s="445">
        <f>'Data Standar'!O203</f>
        <v>-1.08</v>
      </c>
      <c r="BX76" s="338"/>
      <c r="BY76" s="436">
        <f>IF(OR(BW76=0,BX76=0),'Data Standar'!$O$204/3,((MAX(BW76:BX76)-(MIN(BW76:BX76)))))</f>
        <v>8.3333333333333329E-2</v>
      </c>
      <c r="BZ76" s="434">
        <f>(0.19-0)/2</f>
        <v>9.5000000000000001E-2</v>
      </c>
      <c r="CA76" s="423"/>
      <c r="CB76" s="435">
        <v>200</v>
      </c>
      <c r="CC76" s="445">
        <f t="shared" si="30"/>
        <v>-0.9</v>
      </c>
      <c r="CD76" s="338">
        <f t="shared" si="33"/>
        <v>-0.6</v>
      </c>
      <c r="CE76" s="436">
        <f t="shared" si="36"/>
        <v>0.30000000000000004</v>
      </c>
      <c r="CF76" s="434">
        <f>(0.19-0)/2</f>
        <v>9.5000000000000001E-2</v>
      </c>
      <c r="CG76" s="423"/>
      <c r="CH76" s="435">
        <v>200</v>
      </c>
      <c r="CI76" s="445">
        <f t="shared" si="31"/>
        <v>0.34</v>
      </c>
      <c r="CJ76" s="338">
        <f t="shared" si="34"/>
        <v>0.47</v>
      </c>
      <c r="CK76" s="436">
        <f t="shared" si="37"/>
        <v>0.12999999999999995</v>
      </c>
      <c r="CL76" s="434">
        <f>(0.19-0)/2</f>
        <v>9.5000000000000001E-2</v>
      </c>
      <c r="CM76" s="423"/>
      <c r="CN76" s="435">
        <v>200</v>
      </c>
      <c r="CO76" s="445">
        <f t="shared" si="32"/>
        <v>-0.26</v>
      </c>
      <c r="CP76" s="338">
        <f t="shared" si="35"/>
        <v>0.99</v>
      </c>
      <c r="CQ76" s="436">
        <f t="shared" si="38"/>
        <v>1.25</v>
      </c>
      <c r="CR76" s="434">
        <f>(0.19-0)/2</f>
        <v>9.5000000000000001E-2</v>
      </c>
      <c r="CS76" s="423"/>
    </row>
    <row r="77" spans="1:97" s="423" customFormat="1" ht="13">
      <c r="B77" s="442"/>
      <c r="C77" s="424"/>
      <c r="D77" s="424"/>
      <c r="E77" s="440"/>
      <c r="F77" s="438"/>
      <c r="G77" s="438"/>
      <c r="H77" s="442"/>
      <c r="I77" s="424"/>
      <c r="J77" s="424"/>
      <c r="K77" s="440"/>
      <c r="L77" s="425"/>
      <c r="M77" s="438"/>
      <c r="N77" s="442"/>
      <c r="O77" s="424"/>
      <c r="P77" s="424"/>
      <c r="Q77" s="440"/>
      <c r="R77" s="425"/>
      <c r="T77" s="442"/>
      <c r="U77" s="424"/>
      <c r="V77" s="424"/>
      <c r="W77" s="440"/>
      <c r="X77" s="425"/>
      <c r="Z77" s="442"/>
      <c r="AA77" s="424"/>
      <c r="AB77" s="424"/>
      <c r="AC77" s="440"/>
      <c r="AD77" s="425"/>
      <c r="AF77" s="442"/>
      <c r="AG77" s="424"/>
      <c r="AH77" s="424"/>
      <c r="AI77" s="440"/>
      <c r="AJ77" s="425"/>
      <c r="AL77" s="442"/>
      <c r="AM77" s="424"/>
      <c r="AN77" s="424"/>
      <c r="AO77" s="440"/>
      <c r="AP77" s="425"/>
      <c r="AR77" s="442"/>
      <c r="AS77" s="424"/>
      <c r="AT77" s="424"/>
      <c r="AU77" s="440"/>
      <c r="AV77" s="425"/>
      <c r="AX77" s="442"/>
      <c r="AY77" s="424"/>
      <c r="AZ77" s="424"/>
      <c r="BA77" s="440"/>
      <c r="BB77" s="425"/>
      <c r="BD77" s="442"/>
      <c r="BE77" s="424"/>
      <c r="BF77" s="424"/>
      <c r="BG77" s="440"/>
      <c r="BH77" s="425"/>
      <c r="BJ77" s="442"/>
      <c r="BK77" s="424"/>
      <c r="BL77" s="424"/>
      <c r="BM77" s="440"/>
      <c r="BN77" s="425"/>
      <c r="BP77" s="442"/>
      <c r="BQ77" s="424"/>
      <c r="BR77" s="424"/>
      <c r="BS77" s="440"/>
      <c r="BT77" s="425"/>
      <c r="BV77" s="442"/>
      <c r="BW77" s="424"/>
      <c r="BX77" s="424"/>
      <c r="BY77" s="440"/>
      <c r="BZ77" s="425"/>
      <c r="CB77" s="442"/>
      <c r="CC77" s="424"/>
      <c r="CD77" s="424"/>
      <c r="CE77" s="440"/>
      <c r="CF77" s="425"/>
      <c r="CH77" s="442"/>
      <c r="CI77" s="424"/>
      <c r="CJ77" s="424"/>
      <c r="CK77" s="440"/>
      <c r="CL77" s="425"/>
      <c r="CN77" s="442"/>
      <c r="CO77" s="424"/>
      <c r="CP77" s="424"/>
      <c r="CQ77" s="440"/>
      <c r="CR77" s="425"/>
    </row>
    <row r="78" spans="1:97" s="427" customFormat="1" ht="42" customHeight="1">
      <c r="A78" s="423"/>
      <c r="B78" s="1317" t="s">
        <v>390</v>
      </c>
      <c r="C78" s="1315" t="str">
        <f>C63</f>
        <v>Thermocouple Data Logger, Merek : MADGETECH, Model : OctTemp 2000, SN : P40270</v>
      </c>
      <c r="D78" s="1315"/>
      <c r="E78" s="1315"/>
      <c r="F78" s="426" t="s">
        <v>383</v>
      </c>
      <c r="G78" s="984">
        <f>Drift!$B$165</f>
        <v>161.46416666666667</v>
      </c>
      <c r="H78" s="1317" t="s">
        <v>390</v>
      </c>
      <c r="I78" s="1315" t="str">
        <f>I63</f>
        <v>Thermocouple Data Logger, Merek : MADGETECH, Model : OctTemp 2000, SN : P41878</v>
      </c>
      <c r="J78" s="1315"/>
      <c r="K78" s="1315"/>
      <c r="L78" s="426" t="s">
        <v>383</v>
      </c>
      <c r="M78" s="984">
        <f>Drift!$B$165</f>
        <v>161.46416666666667</v>
      </c>
      <c r="N78" s="1317" t="s">
        <v>390</v>
      </c>
      <c r="O78" s="1315" t="str">
        <f>O63</f>
        <v>Mobile Corder, Merek : Yokogawa, Model : GP 10, SN : S5T810599</v>
      </c>
      <c r="P78" s="1316"/>
      <c r="Q78" s="1315"/>
      <c r="R78" s="426" t="s">
        <v>383</v>
      </c>
      <c r="S78" s="984">
        <f>Drift!$B$165</f>
        <v>161.46416666666667</v>
      </c>
      <c r="T78" s="1317" t="s">
        <v>390</v>
      </c>
      <c r="U78" s="1315" t="str">
        <f>U63</f>
        <v>Wireless Temperature Recorder : Merek : HIOKI, Model : LR 8510, SN : 200936000</v>
      </c>
      <c r="V78" s="1316"/>
      <c r="W78" s="1315"/>
      <c r="X78" s="426" t="s">
        <v>383</v>
      </c>
      <c r="Y78" s="984">
        <f>Drift!$B$165</f>
        <v>161.46416666666667</v>
      </c>
      <c r="Z78" s="1317" t="s">
        <v>390</v>
      </c>
      <c r="AA78" s="1315" t="str">
        <f>AA63</f>
        <v>Wireless Temperature Recorder : Merek : HIOKI, Model : LR 8510, SN : 200936001</v>
      </c>
      <c r="AB78" s="1316"/>
      <c r="AC78" s="1315"/>
      <c r="AD78" s="426" t="s">
        <v>383</v>
      </c>
      <c r="AE78" s="984">
        <f>Drift!$B$165</f>
        <v>161.46416666666667</v>
      </c>
      <c r="AF78" s="1317" t="s">
        <v>390</v>
      </c>
      <c r="AG78" s="1315" t="str">
        <f>AG63</f>
        <v>Wireless Temperature Recorder : Merek : HIOKI, Model : LR 8510, SN : 200821397</v>
      </c>
      <c r="AH78" s="1316"/>
      <c r="AI78" s="1315"/>
      <c r="AJ78" s="426" t="s">
        <v>383</v>
      </c>
      <c r="AK78" s="984">
        <f>Drift!$B$165</f>
        <v>161.46416666666667</v>
      </c>
      <c r="AL78" s="1317" t="s">
        <v>390</v>
      </c>
      <c r="AM78" s="1315" t="str">
        <f>AM63</f>
        <v>Wireless Temperature Recorder : Merek : HIOKI, Model : LR 8510, SN : 210411983</v>
      </c>
      <c r="AN78" s="1316"/>
      <c r="AO78" s="1315"/>
      <c r="AP78" s="426" t="s">
        <v>383</v>
      </c>
      <c r="AQ78" s="984">
        <f>Drift!$B$165</f>
        <v>161.46416666666667</v>
      </c>
      <c r="AR78" s="1317" t="s">
        <v>390</v>
      </c>
      <c r="AS78" s="1315" t="str">
        <f>AS63</f>
        <v>Wireless Temperature Recorder : Merek : HIOKI, Model : LR 8510, SN : 210411984</v>
      </c>
      <c r="AT78" s="1316"/>
      <c r="AU78" s="1315"/>
      <c r="AV78" s="426" t="s">
        <v>383</v>
      </c>
      <c r="AW78" s="984">
        <f>Drift!$B$165</f>
        <v>161.46416666666667</v>
      </c>
      <c r="AX78" s="1317" t="s">
        <v>390</v>
      </c>
      <c r="AY78" s="1315" t="str">
        <f>AY63</f>
        <v>Wireless Temperature Recorder : Merek : HIOKI, Model : LR 8510, SN : 210411985</v>
      </c>
      <c r="AZ78" s="1316"/>
      <c r="BA78" s="1315"/>
      <c r="BB78" s="426" t="s">
        <v>383</v>
      </c>
      <c r="BC78" s="984">
        <f>Drift!$B$165</f>
        <v>161.46416666666667</v>
      </c>
      <c r="BD78" s="1317" t="s">
        <v>390</v>
      </c>
      <c r="BE78" s="1315" t="str">
        <f>BE63</f>
        <v>Wireless Temperature Recorder : Merek : HIOKI, Model : LR 8510, SN : 210746054</v>
      </c>
      <c r="BF78" s="1316"/>
      <c r="BG78" s="1315"/>
      <c r="BH78" s="426" t="s">
        <v>383</v>
      </c>
      <c r="BI78" s="984">
        <f>Drift!$B$165</f>
        <v>161.46416666666667</v>
      </c>
      <c r="BJ78" s="1317" t="s">
        <v>390</v>
      </c>
      <c r="BK78" s="1315" t="str">
        <f>BK63</f>
        <v>Wireless Temperature Recorder : Merek : HIOKI, Model : LR 8510, SN : 210746055</v>
      </c>
      <c r="BL78" s="1316"/>
      <c r="BM78" s="1315"/>
      <c r="BN78" s="426" t="s">
        <v>383</v>
      </c>
      <c r="BO78" s="984">
        <f>Drift!$B$165</f>
        <v>161.46416666666667</v>
      </c>
      <c r="BP78" s="1319" t="s">
        <v>390</v>
      </c>
      <c r="BQ78" s="1315" t="str">
        <f>BQ63</f>
        <v>Wireless Temperature Recorder : Merek : HIOKI, Model : LR 8510, SN : 210746056</v>
      </c>
      <c r="BR78" s="1316"/>
      <c r="BS78" s="1315"/>
      <c r="BT78" s="426" t="s">
        <v>383</v>
      </c>
      <c r="BU78" s="984">
        <f>Drift!$B$165</f>
        <v>161.46416666666667</v>
      </c>
      <c r="BV78" s="1317" t="s">
        <v>390</v>
      </c>
      <c r="BW78" s="1315" t="str">
        <f>BW63</f>
        <v>Wireless Temperature Recorder : Merek : HIOKI, Model : LR 8510, SN : 200821396</v>
      </c>
      <c r="BX78" s="1316"/>
      <c r="BY78" s="1315"/>
      <c r="BZ78" s="426" t="s">
        <v>383</v>
      </c>
      <c r="CA78" s="984">
        <f>Drift!$B$165</f>
        <v>161.46416666666667</v>
      </c>
      <c r="CB78" s="1317" t="s">
        <v>390</v>
      </c>
      <c r="CC78" s="1315" t="str">
        <f>CC63</f>
        <v>Reference Thermometer, Merek : APPA, Model : APPA51, SN : 03002948</v>
      </c>
      <c r="CD78" s="1316"/>
      <c r="CE78" s="1315"/>
      <c r="CF78" s="426" t="s">
        <v>383</v>
      </c>
      <c r="CG78" s="423"/>
      <c r="CH78" s="1317" t="s">
        <v>390</v>
      </c>
      <c r="CI78" s="1315" t="str">
        <f>CI63</f>
        <v>Reference Thermometer, Merek : FLUKE, Model : 1524, SN : 1803038</v>
      </c>
      <c r="CJ78" s="1316"/>
      <c r="CK78" s="1315"/>
      <c r="CL78" s="426" t="s">
        <v>383</v>
      </c>
      <c r="CM78" s="423"/>
      <c r="CN78" s="1317" t="s">
        <v>390</v>
      </c>
      <c r="CO78" s="1315" t="str">
        <f>CO63</f>
        <v>Reference Thermometer, Merek : FLUKE, Model : 1524, SN : 1803037</v>
      </c>
      <c r="CP78" s="1316"/>
      <c r="CQ78" s="1315"/>
      <c r="CR78" s="426" t="s">
        <v>383</v>
      </c>
      <c r="CS78" s="423"/>
    </row>
    <row r="79" spans="1:97" s="427" customFormat="1" ht="13">
      <c r="A79" s="423"/>
      <c r="B79" s="1318"/>
      <c r="C79" s="432">
        <f>C64</f>
        <v>2021</v>
      </c>
      <c r="D79" s="432">
        <f>D64</f>
        <v>2022</v>
      </c>
      <c r="E79" s="429" t="s">
        <v>385</v>
      </c>
      <c r="F79" s="430"/>
      <c r="G79" s="985">
        <f>IF(G78&lt;=B87,B86,IF(G78&lt;=B88,B87,IF(G78&lt;=B89,B88,IF(G78&lt;=B90,B89,IF(G78&lt;=B91,B90)))))</f>
        <v>150</v>
      </c>
      <c r="H79" s="1318"/>
      <c r="I79" s="431">
        <f>I64</f>
        <v>2021</v>
      </c>
      <c r="J79" s="432">
        <f>J64</f>
        <v>2022</v>
      </c>
      <c r="K79" s="429" t="s">
        <v>385</v>
      </c>
      <c r="L79" s="433"/>
      <c r="M79" s="985">
        <f>IF(M78&lt;=H87,H86,IF(M78&lt;=H88,H87,IF(M78&lt;=H89,H88,IF(M78&lt;=H90,H89,IF(M78&lt;=H91,H90)))))</f>
        <v>150</v>
      </c>
      <c r="N79" s="1318"/>
      <c r="O79" s="431">
        <f>O4</f>
        <v>2021</v>
      </c>
      <c r="P79" s="432">
        <f>P4</f>
        <v>2023</v>
      </c>
      <c r="Q79" s="429" t="s">
        <v>385</v>
      </c>
      <c r="R79" s="434"/>
      <c r="S79" s="985">
        <f>IF(S78&lt;=N87,N86,IF(S78&lt;=N88,N87,IF(S78&lt;=N89,N88,IF(S78&lt;=N90,N89,IF(S78&lt;=N91,N90)))))</f>
        <v>150</v>
      </c>
      <c r="T79" s="1318"/>
      <c r="U79" s="431">
        <f>U64</f>
        <v>2022</v>
      </c>
      <c r="V79" s="432"/>
      <c r="W79" s="429" t="s">
        <v>385</v>
      </c>
      <c r="X79" s="434"/>
      <c r="Y79" s="985">
        <f>IF(Y78&lt;=T87,T86,IF(Y78&lt;=T88,T87,IF(Y78&lt;=T89,T88,IF(Y78&lt;=T90,T89,IF(Y78&lt;=T91,T90)))))</f>
        <v>150</v>
      </c>
      <c r="Z79" s="1318"/>
      <c r="AA79" s="431">
        <f>AA64</f>
        <v>2023</v>
      </c>
      <c r="AB79" s="432">
        <f>AB64</f>
        <v>2021</v>
      </c>
      <c r="AC79" s="429" t="s">
        <v>385</v>
      </c>
      <c r="AD79" s="434"/>
      <c r="AE79" s="985">
        <f>IF(AE78&lt;=Z87,Z86,IF(AE78&lt;=Z88,Z87,IF(AE78&lt;=Z89,Z88,IF(AE78&lt;=Z90,Z89,IF(AE78&lt;=Z91,Z90)))))</f>
        <v>150</v>
      </c>
      <c r="AF79" s="1318"/>
      <c r="AG79" s="431">
        <f>AG64</f>
        <v>2023</v>
      </c>
      <c r="AH79" s="431">
        <f>AH64</f>
        <v>2021</v>
      </c>
      <c r="AI79" s="429" t="s">
        <v>385</v>
      </c>
      <c r="AJ79" s="434"/>
      <c r="AK79" s="985">
        <f>IF(AK78&lt;=AF87,AF86,IF(AK78&lt;=AF88,AF87,IF(AK78&lt;=AF89,AF88,IF(AK78&lt;=AF90,AF89,IF(AK78&lt;=AF91,AF90)))))</f>
        <v>150</v>
      </c>
      <c r="AL79" s="1318"/>
      <c r="AM79" s="431">
        <f>AM64</f>
        <v>2023</v>
      </c>
      <c r="AN79" s="432"/>
      <c r="AO79" s="429" t="s">
        <v>385</v>
      </c>
      <c r="AP79" s="434"/>
      <c r="AQ79" s="985">
        <f>IF(AQ78&lt;=AL87,AL86,IF(AQ78&lt;=AL88,AL87,IF(AQ78&lt;=AL89,AL88,IF(AQ78&lt;=AL90,AL89,IF(AQ78&lt;=AL91,AL90)))))</f>
        <v>150</v>
      </c>
      <c r="AR79" s="1318"/>
      <c r="AS79" s="431">
        <f>AS64</f>
        <v>2023</v>
      </c>
      <c r="AT79" s="432"/>
      <c r="AU79" s="429" t="s">
        <v>385</v>
      </c>
      <c r="AV79" s="434"/>
      <c r="AW79" s="985">
        <f>IF(AW78&lt;=AR87,AR86,IF(AW78&lt;=AR88,AR87,IF(AW78&lt;=AR89,AR88,IF(AW78&lt;=AR90,AR89,IF(AW78&lt;=AR91,AR90)))))</f>
        <v>150</v>
      </c>
      <c r="AX79" s="1318"/>
      <c r="AY79" s="431">
        <f>AY64</f>
        <v>2021</v>
      </c>
      <c r="AZ79" s="432"/>
      <c r="BA79" s="429" t="s">
        <v>385</v>
      </c>
      <c r="BB79" s="434"/>
      <c r="BC79" s="985">
        <f>IF(BC78&lt;=AX87,AX86,IF(BC78&lt;=AX88,AX87,IF(BC78&lt;=AX89,AX88,IF(BC78&lt;=AX90,AX89,IF(BC78&lt;=AX91,AX90)))))</f>
        <v>150</v>
      </c>
      <c r="BD79" s="1318"/>
      <c r="BE79" s="431">
        <f>BE64</f>
        <v>2022</v>
      </c>
      <c r="BF79" s="432"/>
      <c r="BG79" s="429" t="s">
        <v>385</v>
      </c>
      <c r="BH79" s="434"/>
      <c r="BI79" s="985">
        <f>IF(BI78&lt;=BD87,BD86,IF(BI78&lt;=BD88,BD87,IF(BI78&lt;=BD89,BD88,IF(BI78&lt;=BD90,BD89,IF(BI78&lt;=BD91,BD90)))))</f>
        <v>150</v>
      </c>
      <c r="BJ79" s="1318"/>
      <c r="BK79" s="431">
        <f>BK64</f>
        <v>2021</v>
      </c>
      <c r="BL79" s="432"/>
      <c r="BM79" s="429" t="s">
        <v>385</v>
      </c>
      <c r="BN79" s="434"/>
      <c r="BO79" s="985">
        <f>IF(BO78&lt;=BJ87,BJ86,IF(BO78&lt;=BJ88,BJ87,IF(BO78&lt;=BJ89,BJ88,IF(BO78&lt;=BJ90,BJ89,IF(BO78&lt;=BJ91,BJ90)))))</f>
        <v>150</v>
      </c>
      <c r="BP79" s="1320"/>
      <c r="BQ79" s="431">
        <f>BQ64</f>
        <v>2022</v>
      </c>
      <c r="BR79" s="432"/>
      <c r="BS79" s="429" t="s">
        <v>385</v>
      </c>
      <c r="BT79" s="434"/>
      <c r="BU79" s="985">
        <f>IF(BU78&lt;=BP87,BP86,IF(BU78&lt;=BP88,BP87,IF(BU78&lt;=BP89,BP88,IF(BU78&lt;=BP90,BP89,IF(BU78&lt;=BP91,BP90)))))</f>
        <v>150</v>
      </c>
      <c r="BV79" s="1318"/>
      <c r="BW79" s="431">
        <f>BW64</f>
        <v>2022</v>
      </c>
      <c r="BX79" s="432"/>
      <c r="BY79" s="429" t="s">
        <v>385</v>
      </c>
      <c r="BZ79" s="434"/>
      <c r="CA79" s="985">
        <f>IF(CA78&lt;=BV87,BV86,IF(CA78&lt;=BV88,BV87,IF(CA78&lt;=BV89,BV88,IF(CA78&lt;=BV90,BV89,IF(CA78&lt;=BV91,BV90)))))</f>
        <v>150</v>
      </c>
      <c r="CB79" s="1318"/>
      <c r="CC79" s="431">
        <f>CC64</f>
        <v>2022</v>
      </c>
      <c r="CD79" s="432">
        <f t="shared" ref="CD79:CD91" si="39">CD94</f>
        <v>2020</v>
      </c>
      <c r="CE79" s="429" t="s">
        <v>385</v>
      </c>
      <c r="CF79" s="434"/>
      <c r="CG79" s="423"/>
      <c r="CH79" s="1318"/>
      <c r="CI79" s="431">
        <f>CI64</f>
        <v>2021</v>
      </c>
      <c r="CJ79" s="432">
        <f>CJ64</f>
        <v>2019</v>
      </c>
      <c r="CK79" s="429" t="s">
        <v>385</v>
      </c>
      <c r="CL79" s="434"/>
      <c r="CM79" s="423"/>
      <c r="CN79" s="1318"/>
      <c r="CO79" s="431">
        <f>CO64</f>
        <v>2021</v>
      </c>
      <c r="CP79" s="432">
        <f>CP64</f>
        <v>2020</v>
      </c>
      <c r="CQ79" s="429" t="s">
        <v>385</v>
      </c>
      <c r="CR79" s="434"/>
      <c r="CS79" s="423"/>
    </row>
    <row r="80" spans="1:97" s="427" customFormat="1" ht="13">
      <c r="A80" s="423"/>
      <c r="B80" s="435">
        <v>-20</v>
      </c>
      <c r="C80" s="338">
        <v>-0.32</v>
      </c>
      <c r="D80" s="338">
        <f>'Data Standar'!U192</f>
        <v>-0.63</v>
      </c>
      <c r="E80" s="436">
        <f>IF(OR(C80=0,D80=0),'Data Standar'!$U$204/3,((MAX(C80:D80)-(MIN(C80:D80)))))</f>
        <v>0.31</v>
      </c>
      <c r="F80" s="437">
        <v>0.11</v>
      </c>
      <c r="G80" s="437"/>
      <c r="H80" s="435">
        <v>-20</v>
      </c>
      <c r="I80" s="338">
        <v>-0.77</v>
      </c>
      <c r="J80" s="338">
        <f>'Data Standar'!V192</f>
        <v>-0.43</v>
      </c>
      <c r="K80" s="436">
        <f>IF(OR(I80=0,J80=0),'Data Standar'!$V$204/3,((MAX(I80:J80)-(MIN(I80:J80)))))</f>
        <v>0.34</v>
      </c>
      <c r="L80" s="437">
        <v>0.09</v>
      </c>
      <c r="M80" s="437"/>
      <c r="N80" s="435">
        <v>-20</v>
      </c>
      <c r="O80" s="338">
        <v>-0.62</v>
      </c>
      <c r="P80" s="338">
        <f>'Data Standar'!W192</f>
        <v>-0.45</v>
      </c>
      <c r="Q80" s="436">
        <f>IF(OR(O80=0,P80=0),'Data Standar'!$W$204/3,((MAX(O80:P80)-(MIN(O80:P80)))))</f>
        <v>0.16999999999999998</v>
      </c>
      <c r="R80" s="434">
        <v>9.9999999999999995E-7</v>
      </c>
      <c r="S80" s="437"/>
      <c r="T80" s="435">
        <v>-20</v>
      </c>
      <c r="U80" s="338">
        <f>'Data Standar'!X192</f>
        <v>-1.37</v>
      </c>
      <c r="V80" s="338"/>
      <c r="W80" s="436">
        <f>IF(OR(U80=0,V80=0),'Data Standar'!$X$204/3,((MAX(U80:V80)-(MIN(U80:V80)))))</f>
        <v>8.666666666666667E-2</v>
      </c>
      <c r="X80" s="434">
        <v>9.9999999999999995E-7</v>
      </c>
      <c r="Y80" s="437"/>
      <c r="Z80" s="435">
        <v>-20</v>
      </c>
      <c r="AA80" s="338">
        <f>'Data Standar'!Y192</f>
        <v>0.11</v>
      </c>
      <c r="AB80" s="338">
        <v>-0.57999999999999996</v>
      </c>
      <c r="AC80" s="436">
        <f>IF(OR(AA80=0,AB80=0),'Data Standar'!$Y$204/3,((MAX(AA80:AB80)-(MIN(AA80:AB80)))))</f>
        <v>0.69</v>
      </c>
      <c r="AD80" s="434">
        <v>9.9999999999999995E-7</v>
      </c>
      <c r="AE80" s="437"/>
      <c r="AF80" s="435">
        <v>-20</v>
      </c>
      <c r="AG80" s="338">
        <f>'Data Standar'!Z192</f>
        <v>0.15</v>
      </c>
      <c r="AH80" s="338">
        <v>-7.0000000000000007E-2</v>
      </c>
      <c r="AI80" s="436">
        <f>IF(OR(AG80=0,AH80=0),'Data Standar'!$Z$204/3,((MAX(AG80:AH80)-(MIN(AG80:AH80)))))</f>
        <v>0.22</v>
      </c>
      <c r="AJ80" s="434">
        <v>9.9999999999999995E-7</v>
      </c>
      <c r="AK80" s="437"/>
      <c r="AL80" s="435">
        <v>-20</v>
      </c>
      <c r="AM80" s="338">
        <f>'Data Standar'!AA192</f>
        <v>0.48</v>
      </c>
      <c r="AN80" s="338"/>
      <c r="AO80" s="436">
        <f>IF(OR(AM80=0,AN80=0),'Data Standar'!$AA$204/3,((MAX(AM80:AN80)-(MIN(AM80:AN80)))))</f>
        <v>0.08</v>
      </c>
      <c r="AP80" s="434">
        <v>9.9999999999999995E-7</v>
      </c>
      <c r="AQ80" s="437"/>
      <c r="AR80" s="435">
        <v>-20</v>
      </c>
      <c r="AS80" s="338">
        <f>'Data Standar'!AB192</f>
        <v>0.35</v>
      </c>
      <c r="AT80" s="338"/>
      <c r="AU80" s="436">
        <f>IF(OR(AS80=0,AT80=0),'Data Standar'!$AB$204/3,((MAX(AS80:AT80)-(MIN(AS80:AT80)))))</f>
        <v>8.3333333333333329E-2</v>
      </c>
      <c r="AV80" s="434">
        <v>9.9999999999999995E-7</v>
      </c>
      <c r="AW80" s="437"/>
      <c r="AX80" s="435">
        <v>-20</v>
      </c>
      <c r="AY80" s="338">
        <f>'Data Standar'!AC192</f>
        <v>0.57999999999999996</v>
      </c>
      <c r="AZ80" s="338"/>
      <c r="BA80" s="436">
        <f>IF(OR(AY80=0,AZ80=0),'Data Standar'!$AC$204/3,((MAX(AY80:AZ80)-(MIN(AY80:AZ80)))))</f>
        <v>0.26333333333333336</v>
      </c>
      <c r="BB80" s="434">
        <v>9.9999999999999995E-7</v>
      </c>
      <c r="BC80" s="437"/>
      <c r="BD80" s="435">
        <v>-20</v>
      </c>
      <c r="BE80" s="338">
        <f>'Data Standar'!AD192</f>
        <v>-0.91</v>
      </c>
      <c r="BF80" s="338"/>
      <c r="BG80" s="436">
        <f>IF(OR(BE80=0,BF80=0),'Data Standar'!$AD$204/3,((MAX(BE80:BF80)-(MIN(BE80:BF80)))))</f>
        <v>9.0000000000000011E-2</v>
      </c>
      <c r="BH80" s="434">
        <v>9.9999999999999995E-7</v>
      </c>
      <c r="BI80" s="437"/>
      <c r="BJ80" s="435">
        <v>-20</v>
      </c>
      <c r="BK80" s="338">
        <f>'Data Standar'!AE192</f>
        <v>0.57999999999999996</v>
      </c>
      <c r="BL80" s="338"/>
      <c r="BM80" s="436">
        <f>IF(OR(BK80=0,BL80=0),'Data Standar'!$AE$204/3,((MAX(BK80:BL80)-(MIN(BK80:BL80)))))</f>
        <v>0.26333333333333336</v>
      </c>
      <c r="BN80" s="434">
        <v>9.9999999999999995E-7</v>
      </c>
      <c r="BO80" s="437"/>
      <c r="BP80" s="435">
        <v>-20</v>
      </c>
      <c r="BQ80" s="338">
        <f>'Data Standar'!AF192</f>
        <v>-1.27</v>
      </c>
      <c r="BR80" s="338"/>
      <c r="BS80" s="436">
        <f>IF(OR(BQ80=0,BR80=0),'Data Standar'!$AF$204/3,((MAX(BQ80:BR80)-(MIN(BQ80:BR80)))))</f>
        <v>8.666666666666667E-2</v>
      </c>
      <c r="BT80" s="434">
        <v>9.9999999999999995E-7</v>
      </c>
      <c r="BU80" s="437"/>
      <c r="BV80" s="435">
        <v>-20</v>
      </c>
      <c r="BW80" s="338">
        <f>'Data Standar'!AG192</f>
        <v>-1.43</v>
      </c>
      <c r="BX80" s="338"/>
      <c r="BY80" s="436">
        <f>IF(OR(BW80=0,BX80=0),'Data Standar'!$AG$204/3,((MAX(BW80:BX80)-(MIN(BW80:BX80)))))</f>
        <v>8.3333333333333329E-2</v>
      </c>
      <c r="BZ80" s="434">
        <v>9.9999999999999995E-7</v>
      </c>
      <c r="CA80" s="437"/>
      <c r="CB80" s="435">
        <v>-20</v>
      </c>
      <c r="CC80" s="338">
        <f t="shared" ref="CC80:CC91" si="40">CC66</f>
        <v>-1.1000000000000001</v>
      </c>
      <c r="CD80" s="338">
        <f t="shared" si="39"/>
        <v>-0.7</v>
      </c>
      <c r="CE80" s="436">
        <f>CE66</f>
        <v>0.40000000000000013</v>
      </c>
      <c r="CF80" s="434">
        <v>9.9999999999999995E-7</v>
      </c>
      <c r="CG80" s="423"/>
      <c r="CH80" s="435">
        <v>-20</v>
      </c>
      <c r="CI80" s="338">
        <f>CI50</f>
        <v>-0.15</v>
      </c>
      <c r="CJ80" s="338">
        <f>CJ50</f>
        <v>-0.32</v>
      </c>
      <c r="CK80" s="436">
        <f>CK50</f>
        <v>0.17</v>
      </c>
      <c r="CL80" s="434">
        <v>9.9999999999999995E-7</v>
      </c>
      <c r="CM80" s="423"/>
      <c r="CN80" s="435">
        <v>-20</v>
      </c>
      <c r="CO80" s="338">
        <f>CO50</f>
        <v>-1.8</v>
      </c>
      <c r="CP80" s="338">
        <f>CP50</f>
        <v>-0.51</v>
      </c>
      <c r="CQ80" s="436">
        <f>CQ50</f>
        <v>1.29</v>
      </c>
      <c r="CR80" s="434">
        <v>9.9999999999999995E-7</v>
      </c>
      <c r="CS80" s="423"/>
    </row>
    <row r="81" spans="1:97" s="427" customFormat="1" ht="13">
      <c r="A81" s="423"/>
      <c r="B81" s="435">
        <v>-15</v>
      </c>
      <c r="C81" s="338">
        <v>-0.24</v>
      </c>
      <c r="D81" s="338">
        <f>'Data Standar'!U193</f>
        <v>-0.56000000000000005</v>
      </c>
      <c r="E81" s="436">
        <f>IF(OR(C81=0,D81=0),'Data Standar'!$U$204/3,((MAX(C81:D81)-(MIN(C81:D81)))))</f>
        <v>0.32000000000000006</v>
      </c>
      <c r="F81" s="437">
        <f>(-0.51+1.71)/2</f>
        <v>0.6</v>
      </c>
      <c r="G81" s="985">
        <f>IF(G78&lt;=B86,B86,IF(G78&lt;=B87,B87,IF(G78&lt;=B88,B88,IF(G78&lt;=B89,B89,IF(G78&lt;=B90,B90,IF(G78&lt;=B91,B91))))))</f>
        <v>200</v>
      </c>
      <c r="H81" s="435">
        <v>-15</v>
      </c>
      <c r="I81" s="338">
        <v>-0.63</v>
      </c>
      <c r="J81" s="338">
        <f>'Data Standar'!V193</f>
        <v>-0.37</v>
      </c>
      <c r="K81" s="436">
        <f>IF(OR(I81=0,J81=0),'Data Standar'!$V$204/3,((MAX(I81:J81)-(MIN(I81:J81)))))</f>
        <v>0.26</v>
      </c>
      <c r="L81" s="437">
        <f t="shared" ref="L81:L86" si="41">(0+0.07)/2</f>
        <v>3.5000000000000003E-2</v>
      </c>
      <c r="M81" s="985">
        <f>IF(M78&lt;=H86,H86,IF(M78&lt;=H87,H87,IF(M78&lt;=H88,H88,IF(M78&lt;=H89,H89,IF(M78&lt;=H90,H90,IF(M78&lt;=H91,H91))))))</f>
        <v>200</v>
      </c>
      <c r="N81" s="435">
        <v>-15</v>
      </c>
      <c r="O81" s="338">
        <v>-0.5</v>
      </c>
      <c r="P81" s="338">
        <f>'Data Standar'!W193</f>
        <v>-0.38</v>
      </c>
      <c r="Q81" s="436">
        <f>IF(OR(O81=0,P81=0),'Data Standar'!$W$204/3,((MAX(O81:P81)-(MIN(O81:P81)))))</f>
        <v>0.12</v>
      </c>
      <c r="R81" s="434">
        <f>(0.05-0)/2</f>
        <v>2.5000000000000001E-2</v>
      </c>
      <c r="S81" s="985">
        <f>IF(S78&lt;=N86,N86,IF(S78&lt;=N87,N87,IF(S78&lt;=N88,N88,IF(S78&lt;=N89,N89,IF(S78&lt;=N90,N90,IF(S78&lt;=N91,N91))))))</f>
        <v>200</v>
      </c>
      <c r="T81" s="435">
        <v>-15</v>
      </c>
      <c r="U81" s="338">
        <f>'Data Standar'!X193</f>
        <v>-1.1399999999999999</v>
      </c>
      <c r="V81" s="338"/>
      <c r="W81" s="436">
        <f>IF(OR(U81=0,V81=0),'Data Standar'!$X$204/3,((MAX(U81:V81)-(MIN(U81:V81)))))</f>
        <v>8.666666666666667E-2</v>
      </c>
      <c r="X81" s="434">
        <f>(0.05-0)/2</f>
        <v>2.5000000000000001E-2</v>
      </c>
      <c r="Y81" s="985">
        <f>IF(Y78&lt;=T86,T86,IF(Y78&lt;=T87,T87,IF(Y78&lt;=T88,T88,IF(Y78&lt;=T89,T89,IF(Y78&lt;=T90,T90,IF(Y78&lt;=T91,T91))))))</f>
        <v>200</v>
      </c>
      <c r="Z81" s="435">
        <v>-15</v>
      </c>
      <c r="AA81" s="338">
        <f>'Data Standar'!Y193</f>
        <v>0.15</v>
      </c>
      <c r="AB81" s="338">
        <v>9.9999999999999995E-7</v>
      </c>
      <c r="AC81" s="436">
        <f>IF(OR(AA81=0,AB81=0),'Data Standar'!$Y$204/3,((MAX(AA81:AB81)-(MIN(AA81:AB81)))))</f>
        <v>0.14999899999999999</v>
      </c>
      <c r="AD81" s="434">
        <f>(0.05-0)/2</f>
        <v>2.5000000000000001E-2</v>
      </c>
      <c r="AE81" s="985">
        <f>IF(AE78&lt;=Z86,Z86,IF(AE78&lt;=Z87,Z87,IF(AE78&lt;=Z88,Z88,IF(AE78&lt;=Z89,Z89,IF(AE78&lt;=Z90,Z90,IF(AE78&lt;=Z91,Z91))))))</f>
        <v>200</v>
      </c>
      <c r="AF81" s="435">
        <v>-15</v>
      </c>
      <c r="AG81" s="338">
        <f>'Data Standar'!Z193</f>
        <v>0.18</v>
      </c>
      <c r="AH81" s="338">
        <v>9.9999999999999995E-7</v>
      </c>
      <c r="AI81" s="436">
        <f>IF(OR(AG81=0,AH81=0),'Data Standar'!$Z$204/3,((MAX(AG81:AH81)-(MIN(AG81:AH81)))))</f>
        <v>0.17999899999999999</v>
      </c>
      <c r="AJ81" s="434">
        <f>(0.05-0)/2</f>
        <v>2.5000000000000001E-2</v>
      </c>
      <c r="AK81" s="985">
        <f>IF(AK78&lt;=AF86,AF86,IF(AK78&lt;=AF87,AF87,IF(AK78&lt;=AF88,AF88,IF(AK78&lt;=AF89,AF89,IF(AK78&lt;=AF90,AF90,IF(AK78&lt;=AF91,AF91))))))</f>
        <v>200</v>
      </c>
      <c r="AL81" s="435">
        <v>-15</v>
      </c>
      <c r="AM81" s="338">
        <f>'Data Standar'!AA193</f>
        <v>0.49</v>
      </c>
      <c r="AN81" s="338"/>
      <c r="AO81" s="436">
        <f>IF(OR(AM81=0,AN81=0),'Data Standar'!$AA$204/3,((MAX(AM81:AN81)-(MIN(AM81:AN81)))))</f>
        <v>0.08</v>
      </c>
      <c r="AP81" s="434">
        <f>(0.05-0)/2</f>
        <v>2.5000000000000001E-2</v>
      </c>
      <c r="AQ81" s="985">
        <f>IF(AQ78&lt;=AL86,AL86,IF(AQ78&lt;=AL87,AL87,IF(AQ78&lt;=AL88,AL88,IF(AQ78&lt;=AL89,AL89,IF(AQ78&lt;=AL90,AL90,IF(AQ78&lt;=AL91,AL91))))))</f>
        <v>200</v>
      </c>
      <c r="AR81" s="435">
        <v>-15</v>
      </c>
      <c r="AS81" s="338">
        <f>'Data Standar'!AB193</f>
        <v>0.38</v>
      </c>
      <c r="AT81" s="338"/>
      <c r="AU81" s="436">
        <f>IF(OR(AS81=0,AT81=0),'Data Standar'!$AB$204/3,((MAX(AS81:AT81)-(MIN(AS81:AT81)))))</f>
        <v>8.3333333333333329E-2</v>
      </c>
      <c r="AV81" s="434">
        <f>(0.05-0)/2</f>
        <v>2.5000000000000001E-2</v>
      </c>
      <c r="AW81" s="985">
        <f>IF(AW78&lt;=AR86,AR86,IF(AW78&lt;=AR87,AR87,IF(AW78&lt;=AR88,AR88,IF(AW78&lt;=AR89,AR89,IF(AW78&lt;=AR90,AR90,IF(AW78&lt;=AR91,AR91))))))</f>
        <v>200</v>
      </c>
      <c r="AX81" s="435">
        <v>-15</v>
      </c>
      <c r="AY81" s="338">
        <f>'Data Standar'!AC193</f>
        <v>9.9999999999999995E-7</v>
      </c>
      <c r="AZ81" s="338"/>
      <c r="BA81" s="436">
        <f>IF(OR(AY81=0,AZ81=0),'Data Standar'!$AC$204/3,((MAX(AY81:AZ81)-(MIN(AY81:AZ81)))))</f>
        <v>0.26333333333333336</v>
      </c>
      <c r="BB81" s="434">
        <f>(0.05-0)/2</f>
        <v>2.5000000000000001E-2</v>
      </c>
      <c r="BC81" s="985">
        <f>IF(BC78&lt;=AX86,AX86,IF(BC78&lt;=AX87,AX87,IF(BC78&lt;=AX88,AX88,IF(BC78&lt;=AX89,AX89,IF(BC78&lt;=AX90,AX90,IF(BC78&lt;=AX91,AX91))))))</f>
        <v>200</v>
      </c>
      <c r="BD81" s="435">
        <v>-15</v>
      </c>
      <c r="BE81" s="338">
        <f>'Data Standar'!AD193</f>
        <v>-0.65</v>
      </c>
      <c r="BF81" s="338"/>
      <c r="BG81" s="436">
        <f>IF(OR(BE81=0,BF81=0),'Data Standar'!$AD$204/3,((MAX(BE81:BF81)-(MIN(BE81:BF81)))))</f>
        <v>9.0000000000000011E-2</v>
      </c>
      <c r="BH81" s="434">
        <f>(0.05-0)/2</f>
        <v>2.5000000000000001E-2</v>
      </c>
      <c r="BI81" s="985">
        <f>IF(BI78&lt;=BD86,BD86,IF(BI78&lt;=BD87,BD87,IF(BI78&lt;=BD88,BD88,IF(BI78&lt;=BD89,BD89,IF(BI78&lt;=BD90,BD90,IF(BI78&lt;=BD91,BD91))))))</f>
        <v>200</v>
      </c>
      <c r="BJ81" s="435">
        <v>-15</v>
      </c>
      <c r="BK81" s="338">
        <f>'Data Standar'!AE193</f>
        <v>9.9999999999999995E-7</v>
      </c>
      <c r="BL81" s="338"/>
      <c r="BM81" s="436">
        <f>IF(OR(BK81=0,BL81=0),'Data Standar'!$AE$204/3,((MAX(BK81:BL81)-(MIN(BK81:BL81)))))</f>
        <v>0.26333333333333336</v>
      </c>
      <c r="BN81" s="434">
        <f>(0.05-0)/2</f>
        <v>2.5000000000000001E-2</v>
      </c>
      <c r="BO81" s="985">
        <f>IF(BO78&lt;=BJ86,BJ86,IF(BO78&lt;=BJ87,BJ87,IF(BO78&lt;=BJ88,BJ88,IF(BO78&lt;=BJ89,BJ89,IF(BO78&lt;=BJ90,BJ90,IF(BO78&lt;=BJ91,BJ91))))))</f>
        <v>200</v>
      </c>
      <c r="BP81" s="435">
        <v>-15</v>
      </c>
      <c r="BQ81" s="338">
        <f>'Data Standar'!AF193</f>
        <v>-1.01</v>
      </c>
      <c r="BR81" s="338"/>
      <c r="BS81" s="436">
        <f>IF(OR(BQ81=0,BR81=0),'Data Standar'!$AF$204/3,((MAX(BQ81:BR81)-(MIN(BQ81:BR81)))))</f>
        <v>8.666666666666667E-2</v>
      </c>
      <c r="BT81" s="434">
        <f>(0.05-0)/2</f>
        <v>2.5000000000000001E-2</v>
      </c>
      <c r="BU81" s="985">
        <f>IF(BU78&lt;=BP86,BP86,IF(BU78&lt;=BP87,BP87,IF(BU78&lt;=BP88,BP88,IF(BU78&lt;=BP89,BP89,IF(BU78&lt;=BP90,BP90,IF(BU78&lt;=BP91,BP91))))))</f>
        <v>200</v>
      </c>
      <c r="BV81" s="435">
        <v>-15</v>
      </c>
      <c r="BW81" s="338">
        <f>'Data Standar'!AG193</f>
        <v>-1.17</v>
      </c>
      <c r="BX81" s="338"/>
      <c r="BY81" s="436">
        <f>IF(OR(BW81=0,BX81=0),'Data Standar'!$AG$204/3,((MAX(BW81:BX81)-(MIN(BW81:BX81)))))</f>
        <v>8.3333333333333329E-2</v>
      </c>
      <c r="BZ81" s="434">
        <f>(0.05-0)/2</f>
        <v>2.5000000000000001E-2</v>
      </c>
      <c r="CA81" s="985">
        <f>IF(CA78&lt;=BV86,BV86,IF(CA78&lt;=BV87,BV87,IF(CA78&lt;=BV88,BV88,IF(CA78&lt;=BV89,BV89,IF(CA78&lt;=BV90,BV90,IF(CA78&lt;=BV91,BV91))))))</f>
        <v>200</v>
      </c>
      <c r="CB81" s="435">
        <v>-15</v>
      </c>
      <c r="CC81" s="338">
        <f t="shared" si="40"/>
        <v>-1.2</v>
      </c>
      <c r="CD81" s="338">
        <f t="shared" si="39"/>
        <v>-0.7</v>
      </c>
      <c r="CE81" s="436">
        <f t="shared" ref="CE81:CE91" si="42">CE66</f>
        <v>0.40000000000000013</v>
      </c>
      <c r="CF81" s="434">
        <f>(0.05-0)/2</f>
        <v>2.5000000000000001E-2</v>
      </c>
      <c r="CG81" s="423"/>
      <c r="CH81" s="435">
        <v>-15</v>
      </c>
      <c r="CI81" s="338">
        <f t="shared" ref="CI81:CI91" si="43">CI66</f>
        <v>-0.1</v>
      </c>
      <c r="CJ81" s="338">
        <f t="shared" ref="CJ81:CJ91" si="44">CJ51</f>
        <v>-0.24</v>
      </c>
      <c r="CK81" s="436">
        <f t="shared" ref="CK81:CK91" si="45">CK66</f>
        <v>0.13999999999999999</v>
      </c>
      <c r="CL81" s="434">
        <f>(0.05-0)/2</f>
        <v>2.5000000000000001E-2</v>
      </c>
      <c r="CM81" s="423"/>
      <c r="CN81" s="435">
        <v>-15</v>
      </c>
      <c r="CO81" s="338">
        <f t="shared" ref="CO81:CP91" si="46">CO51</f>
        <v>-1.52</v>
      </c>
      <c r="CP81" s="338">
        <f t="shared" si="46"/>
        <v>-0.39</v>
      </c>
      <c r="CQ81" s="436">
        <f t="shared" ref="CQ81:CQ91" si="47">CQ66</f>
        <v>1.1299999999999999</v>
      </c>
      <c r="CR81" s="434">
        <f>(0.05-0)/2</f>
        <v>2.5000000000000001E-2</v>
      </c>
      <c r="CS81" s="423"/>
    </row>
    <row r="82" spans="1:97" s="427" customFormat="1" ht="13">
      <c r="A82" s="423"/>
      <c r="B82" s="435">
        <v>-10</v>
      </c>
      <c r="C82" s="338">
        <v>-0.18</v>
      </c>
      <c r="D82" s="338">
        <f>'Data Standar'!U194</f>
        <v>-0.49</v>
      </c>
      <c r="E82" s="436">
        <f>IF(OR(C82=0,D82=0),'Data Standar'!$U$204/3,((MAX(C82:D82)-(MIN(C82:D82)))))</f>
        <v>0.31</v>
      </c>
      <c r="F82" s="437">
        <f>(-0.45+1.41)/2</f>
        <v>0.48</v>
      </c>
      <c r="G82" s="437"/>
      <c r="H82" s="435">
        <v>-10</v>
      </c>
      <c r="I82" s="338">
        <v>9.9999999999999995E-7</v>
      </c>
      <c r="J82" s="338">
        <f>'Data Standar'!V194</f>
        <v>-0.31</v>
      </c>
      <c r="K82" s="436">
        <f>IF(OR(I82=0,J82=0),'Data Standar'!$V$204/3,((MAX(I82:J82)-(MIN(I82:J82)))))</f>
        <v>0.31000099999999997</v>
      </c>
      <c r="L82" s="437">
        <f t="shared" si="41"/>
        <v>3.5000000000000003E-2</v>
      </c>
      <c r="M82" s="437"/>
      <c r="N82" s="435">
        <v>-10</v>
      </c>
      <c r="O82" s="338">
        <v>-0.41</v>
      </c>
      <c r="P82" s="338">
        <f>'Data Standar'!W194</f>
        <v>-0.31</v>
      </c>
      <c r="Q82" s="436">
        <f>IF(OR(O82=0,P82=0),'Data Standar'!$W$204/3,((MAX(O82:P82)-(MIN(O82:P82)))))</f>
        <v>9.9999999999999978E-2</v>
      </c>
      <c r="R82" s="434">
        <f>(0.06-0)/2</f>
        <v>0.03</v>
      </c>
      <c r="S82" s="437"/>
      <c r="T82" s="435">
        <v>-10</v>
      </c>
      <c r="U82" s="338">
        <f>'Data Standar'!X194</f>
        <v>-0.9</v>
      </c>
      <c r="V82" s="338"/>
      <c r="W82" s="436">
        <f>IF(OR(U82=0,V82=0),'Data Standar'!$X$204/3,((MAX(U82:V82)-(MIN(U82:V82)))))</f>
        <v>8.666666666666667E-2</v>
      </c>
      <c r="X82" s="434">
        <f>(0.06-0)/2</f>
        <v>0.03</v>
      </c>
      <c r="Y82" s="437"/>
      <c r="Z82" s="435">
        <v>-10</v>
      </c>
      <c r="AA82" s="338">
        <f>'Data Standar'!Y194</f>
        <v>0.18</v>
      </c>
      <c r="AB82" s="338">
        <v>-0.31</v>
      </c>
      <c r="AC82" s="436">
        <f>IF(OR(AA82=0,AB82=0),'Data Standar'!$Y$204/3,((MAX(AA82:AB82)-(MIN(AA82:AB82)))))</f>
        <v>0.49</v>
      </c>
      <c r="AD82" s="434">
        <f>(0.06-0)/2</f>
        <v>0.03</v>
      </c>
      <c r="AE82" s="437"/>
      <c r="AF82" s="435">
        <v>-10</v>
      </c>
      <c r="AG82" s="338">
        <f>'Data Standar'!Z194</f>
        <v>0.2</v>
      </c>
      <c r="AH82" s="338">
        <v>0.16</v>
      </c>
      <c r="AI82" s="436">
        <f>IF(OR(AG82=0,AH82=0),'Data Standar'!$Z$204/3,((MAX(AG82:AH82)-(MIN(AG82:AH82)))))</f>
        <v>4.0000000000000008E-2</v>
      </c>
      <c r="AJ82" s="434">
        <f>(0.06-0)/2</f>
        <v>0.03</v>
      </c>
      <c r="AK82" s="437"/>
      <c r="AL82" s="435">
        <v>-10</v>
      </c>
      <c r="AM82" s="338">
        <f>'Data Standar'!AA194</f>
        <v>0.5</v>
      </c>
      <c r="AN82" s="338"/>
      <c r="AO82" s="436">
        <f>IF(OR(AM82=0,AN82=0),'Data Standar'!$AA$204/3,((MAX(AM82:AN82)-(MIN(AM82:AN82)))))</f>
        <v>0.08</v>
      </c>
      <c r="AP82" s="434">
        <f>(0.06-0)/2</f>
        <v>0.03</v>
      </c>
      <c r="AQ82" s="437"/>
      <c r="AR82" s="435">
        <v>-10</v>
      </c>
      <c r="AS82" s="338">
        <f>'Data Standar'!AB194</f>
        <v>0.4</v>
      </c>
      <c r="AT82" s="338"/>
      <c r="AU82" s="436">
        <f>IF(OR(AS82=0,AT82=0),'Data Standar'!$AB$204/3,((MAX(AS82:AT82)-(MIN(AS82:AT82)))))</f>
        <v>8.3333333333333329E-2</v>
      </c>
      <c r="AV82" s="434">
        <f>(0.06-0)/2</f>
        <v>0.03</v>
      </c>
      <c r="AW82" s="437"/>
      <c r="AX82" s="435">
        <v>-10</v>
      </c>
      <c r="AY82" s="338">
        <f>'Data Standar'!AC194</f>
        <v>0.55000000000000004</v>
      </c>
      <c r="AZ82" s="338"/>
      <c r="BA82" s="436">
        <f>IF(OR(AY82=0,AZ82=0),'Data Standar'!$AC$204/3,((MAX(AY82:AZ82)-(MIN(AY82:AZ82)))))</f>
        <v>0.26333333333333336</v>
      </c>
      <c r="BB82" s="434">
        <f>(0.06-0)/2</f>
        <v>0.03</v>
      </c>
      <c r="BC82" s="437"/>
      <c r="BD82" s="435">
        <v>-10</v>
      </c>
      <c r="BE82" s="338">
        <f>'Data Standar'!AD194</f>
        <v>-0.46</v>
      </c>
      <c r="BF82" s="338"/>
      <c r="BG82" s="436">
        <f>IF(OR(BE82=0,BF82=0),'Data Standar'!$AD$204/3,((MAX(BE82:BF82)-(MIN(BE82:BF82)))))</f>
        <v>9.0000000000000011E-2</v>
      </c>
      <c r="BH82" s="434">
        <f>(0.06-0)/2</f>
        <v>0.03</v>
      </c>
      <c r="BI82" s="437"/>
      <c r="BJ82" s="435">
        <v>-10</v>
      </c>
      <c r="BK82" s="338">
        <f>'Data Standar'!AE194</f>
        <v>0.55000000000000004</v>
      </c>
      <c r="BL82" s="338"/>
      <c r="BM82" s="436">
        <f>IF(OR(BK82=0,BL82=0),'Data Standar'!$AE$204/3,((MAX(BK82:BL82)-(MIN(BK82:BL82)))))</f>
        <v>0.26333333333333336</v>
      </c>
      <c r="BN82" s="434">
        <f>(0.06-0)/2</f>
        <v>0.03</v>
      </c>
      <c r="BO82" s="437"/>
      <c r="BP82" s="435">
        <v>-10</v>
      </c>
      <c r="BQ82" s="338">
        <f>'Data Standar'!AF194</f>
        <v>-0.8</v>
      </c>
      <c r="BR82" s="338"/>
      <c r="BS82" s="436">
        <f>IF(OR(BQ82=0,BR82=0),'Data Standar'!$AF$204/3,((MAX(BQ82:BR82)-(MIN(BQ82:BR82)))))</f>
        <v>8.666666666666667E-2</v>
      </c>
      <c r="BT82" s="434">
        <f>(0.06-0)/2</f>
        <v>0.03</v>
      </c>
      <c r="BU82" s="437"/>
      <c r="BV82" s="435">
        <v>-10</v>
      </c>
      <c r="BW82" s="338">
        <f>'Data Standar'!AG194</f>
        <v>-0.94</v>
      </c>
      <c r="BX82" s="338"/>
      <c r="BY82" s="436">
        <f>IF(OR(BW82=0,BX82=0),'Data Standar'!$AG$204/3,((MAX(BW82:BX82)-(MIN(BW82:BX82)))))</f>
        <v>8.3333333333333329E-2</v>
      </c>
      <c r="BZ82" s="434">
        <f>(0.06-0)/2</f>
        <v>0.03</v>
      </c>
      <c r="CA82" s="437"/>
      <c r="CB82" s="435">
        <v>-10</v>
      </c>
      <c r="CC82" s="338">
        <f t="shared" si="40"/>
        <v>-1.4</v>
      </c>
      <c r="CD82" s="338">
        <f t="shared" si="39"/>
        <v>-0.7</v>
      </c>
      <c r="CE82" s="436">
        <f t="shared" si="42"/>
        <v>0.5</v>
      </c>
      <c r="CF82" s="434">
        <f>(0.06-0)/2</f>
        <v>0.03</v>
      </c>
      <c r="CG82" s="423"/>
      <c r="CH82" s="435">
        <v>-10</v>
      </c>
      <c r="CI82" s="338">
        <f t="shared" si="43"/>
        <v>-0.05</v>
      </c>
      <c r="CJ82" s="338">
        <f t="shared" si="44"/>
        <v>-0.18</v>
      </c>
      <c r="CK82" s="436">
        <f t="shared" si="45"/>
        <v>0.13</v>
      </c>
      <c r="CL82" s="434">
        <f>(0.06-0)/2</f>
        <v>0.03</v>
      </c>
      <c r="CM82" s="423"/>
      <c r="CN82" s="435">
        <v>-10</v>
      </c>
      <c r="CO82" s="338">
        <f t="shared" si="46"/>
        <v>-1.26</v>
      </c>
      <c r="CP82" s="338">
        <f t="shared" si="46"/>
        <v>-0.28000000000000003</v>
      </c>
      <c r="CQ82" s="436">
        <f t="shared" si="47"/>
        <v>0.98</v>
      </c>
      <c r="CR82" s="434">
        <f>(0.06-0)/2</f>
        <v>0.03</v>
      </c>
      <c r="CS82" s="423"/>
    </row>
    <row r="83" spans="1:97" s="427" customFormat="1" ht="13">
      <c r="A83" s="423"/>
      <c r="B83" s="435">
        <v>9.9999999999999995E-7</v>
      </c>
      <c r="C83" s="338">
        <v>-0.06</v>
      </c>
      <c r="D83" s="338">
        <f>'Data Standar'!U195</f>
        <v>-0.35</v>
      </c>
      <c r="E83" s="436">
        <f>IF(OR(C83=0,D83=0),'Data Standar'!$U$204/3,((MAX(C83:D83)-(MIN(C83:D83)))))</f>
        <v>0.28999999999999998</v>
      </c>
      <c r="F83" s="437">
        <f>(-0.36+0.9)/2</f>
        <v>0.27</v>
      </c>
      <c r="G83" s="986">
        <f>VLOOKUP(G79,B86:F91,4)</f>
        <v>0.55000000000000004</v>
      </c>
      <c r="H83" s="435">
        <v>9.9999999999999995E-7</v>
      </c>
      <c r="I83" s="338">
        <v>-0.28000000000000003</v>
      </c>
      <c r="J83" s="338">
        <f>'Data Standar'!V195</f>
        <v>-0.19</v>
      </c>
      <c r="K83" s="436">
        <f>IF(OR(I83=0,J83=0),'Data Standar'!$V$204/3,((MAX(I83:J83)-(MIN(I83:J83)))))</f>
        <v>9.0000000000000024E-2</v>
      </c>
      <c r="L83" s="437">
        <f t="shared" si="41"/>
        <v>3.5000000000000003E-2</v>
      </c>
      <c r="M83" s="986">
        <f>VLOOKUP(M79,H86:L91,4)</f>
        <v>0.55999999999999994</v>
      </c>
      <c r="N83" s="435">
        <v>9.9999999999999995E-7</v>
      </c>
      <c r="O83" s="338">
        <v>-0.34</v>
      </c>
      <c r="P83" s="338">
        <f>'Data Standar'!W195</f>
        <v>-0.21</v>
      </c>
      <c r="Q83" s="436">
        <f>IF(OR(O83=0,P83=0),'Data Standar'!$W$204/3,((MAX(O83:P83)-(MIN(O83:P83)))))</f>
        <v>0.13000000000000003</v>
      </c>
      <c r="R83" s="434">
        <f>(0.08-0)/2</f>
        <v>0.04</v>
      </c>
      <c r="S83" s="986">
        <f>VLOOKUP(S79,N86:R91,4)</f>
        <v>6.9999999999999979E-2</v>
      </c>
      <c r="T83" s="435">
        <v>9.9999999999999995E-7</v>
      </c>
      <c r="U83" s="338">
        <f>'Data Standar'!X195</f>
        <v>-0.27</v>
      </c>
      <c r="V83" s="338"/>
      <c r="W83" s="436">
        <f>IF(OR(U83=0,V83=0),'Data Standar'!$X$204/3,((MAX(U83:V83)-(MIN(U83:V83)))))</f>
        <v>8.666666666666667E-2</v>
      </c>
      <c r="X83" s="434">
        <f>(0.08-0)/2</f>
        <v>0.04</v>
      </c>
      <c r="Y83" s="986">
        <f>VLOOKUP(Y79,T86:X91,4)</f>
        <v>8.666666666666667E-2</v>
      </c>
      <c r="Z83" s="435">
        <v>9.9999999999999995E-7</v>
      </c>
      <c r="AA83" s="338">
        <f>'Data Standar'!Y195</f>
        <v>0.16</v>
      </c>
      <c r="AB83" s="338">
        <v>-0.08</v>
      </c>
      <c r="AC83" s="436">
        <f>IF(OR(AA83=0,AB83=0),'Data Standar'!$Y$204/3,((MAX(AA83:AB83)-(MIN(AA83:AB83)))))</f>
        <v>0.24</v>
      </c>
      <c r="AD83" s="434">
        <f>(0.08-0)/2</f>
        <v>0.04</v>
      </c>
      <c r="AE83" s="986">
        <f>VLOOKUP(AE79,Z86:AD91,4)</f>
        <v>0.16999999999999998</v>
      </c>
      <c r="AF83" s="435">
        <v>9.9999999999999995E-7</v>
      </c>
      <c r="AG83" s="338">
        <f>'Data Standar'!Z195</f>
        <v>0.19</v>
      </c>
      <c r="AH83" s="338">
        <v>0.34</v>
      </c>
      <c r="AI83" s="436">
        <f>IF(OR(AG83=0,AH83=0),'Data Standar'!$Z$204/3,((MAX(AG83:AH83)-(MIN(AG83:AH83)))))</f>
        <v>0.15000000000000002</v>
      </c>
      <c r="AJ83" s="434">
        <f>(0.08-0)/2</f>
        <v>0.04</v>
      </c>
      <c r="AK83" s="986">
        <f>VLOOKUP(AK79,AF86:AJ91,4)</f>
        <v>0.30999999999999994</v>
      </c>
      <c r="AL83" s="435">
        <v>9.9999999999999995E-7</v>
      </c>
      <c r="AM83" s="338">
        <f>'Data Standar'!AA195</f>
        <v>0.45</v>
      </c>
      <c r="AN83" s="338"/>
      <c r="AO83" s="436">
        <f>IF(OR(AM83=0,AN83=0),'Data Standar'!$AA$204/3,((MAX(AM83:AN83)-(MIN(AM83:AN83)))))</f>
        <v>0.08</v>
      </c>
      <c r="AP83" s="434">
        <f>(0.08-0)/2</f>
        <v>0.04</v>
      </c>
      <c r="AQ83" s="986">
        <f>VLOOKUP(AQ79,AL86:AP91,4)</f>
        <v>0.08</v>
      </c>
      <c r="AR83" s="435">
        <v>9.9999999999999995E-7</v>
      </c>
      <c r="AS83" s="338">
        <f>'Data Standar'!AB195</f>
        <v>0.38</v>
      </c>
      <c r="AT83" s="338"/>
      <c r="AU83" s="436">
        <f>IF(OR(AS83=0,AT83=0),'Data Standar'!$AB$204/3,((MAX(AS83:AT83)-(MIN(AS83:AT83)))))</f>
        <v>8.3333333333333329E-2</v>
      </c>
      <c r="AV83" s="434">
        <f>(0.08-0)/2</f>
        <v>0.04</v>
      </c>
      <c r="AW83" s="986">
        <f>VLOOKUP(AW79,AR86:AV91,4)</f>
        <v>8.3333333333333329E-2</v>
      </c>
      <c r="AX83" s="435">
        <v>9.9999999999999995E-7</v>
      </c>
      <c r="AY83" s="338">
        <f>'Data Standar'!AC195</f>
        <v>0.52</v>
      </c>
      <c r="AZ83" s="338"/>
      <c r="BA83" s="436">
        <f>IF(OR(AY83=0,AZ83=0),'Data Standar'!$AC$204/3,((MAX(AY83:AZ83)-(MIN(AY83:AZ83)))))</f>
        <v>0.26333333333333336</v>
      </c>
      <c r="BB83" s="434">
        <f>(0.08-0)/2</f>
        <v>0.04</v>
      </c>
      <c r="BC83" s="986">
        <f>VLOOKUP(BC79,AX86:BB91,4)</f>
        <v>0.26333333333333336</v>
      </c>
      <c r="BD83" s="435">
        <v>9.9999999999999995E-7</v>
      </c>
      <c r="BE83" s="338">
        <f>'Data Standar'!AD195</f>
        <v>-0.25</v>
      </c>
      <c r="BF83" s="338"/>
      <c r="BG83" s="436">
        <f>IF(OR(BE83=0,BF83=0),'Data Standar'!$AD$204/3,((MAX(BE83:BF83)-(MIN(BE83:BF83)))))</f>
        <v>9.0000000000000011E-2</v>
      </c>
      <c r="BH83" s="434">
        <f>(0.08-0)/2</f>
        <v>0.04</v>
      </c>
      <c r="BI83" s="986">
        <f>VLOOKUP(BI79,BD86:BH91,4)</f>
        <v>9.0000000000000011E-2</v>
      </c>
      <c r="BJ83" s="435">
        <v>9.9999999999999995E-7</v>
      </c>
      <c r="BK83" s="338">
        <f>'Data Standar'!AE195</f>
        <v>0.52</v>
      </c>
      <c r="BL83" s="338"/>
      <c r="BM83" s="436">
        <f>IF(OR(BK83=0,BL83=0),'Data Standar'!$AE$204/3,((MAX(BK83:BL83)-(MIN(BK83:BL83)))))</f>
        <v>0.26333333333333336</v>
      </c>
      <c r="BN83" s="434">
        <f>(0.08-0)/2</f>
        <v>0.04</v>
      </c>
      <c r="BO83" s="986">
        <f>VLOOKUP(BO79,BJ86:BN91,4)</f>
        <v>0.26333333333333336</v>
      </c>
      <c r="BP83" s="435">
        <v>9.9999999999999995E-7</v>
      </c>
      <c r="BQ83" s="338">
        <f>'Data Standar'!AF195</f>
        <v>-0.61</v>
      </c>
      <c r="BR83" s="338"/>
      <c r="BS83" s="436">
        <f>IF(OR(BQ83=0,BR83=0),'Data Standar'!$AF$204/3,((MAX(BQ83:BR83)-(MIN(BQ83:BR83)))))</f>
        <v>8.666666666666667E-2</v>
      </c>
      <c r="BT83" s="434">
        <f>(0.08-0)/2</f>
        <v>0.04</v>
      </c>
      <c r="BU83" s="986">
        <f>VLOOKUP(BU79,BP86:BT91,4)</f>
        <v>8.666666666666667E-2</v>
      </c>
      <c r="BV83" s="435">
        <v>9.9999999999999995E-7</v>
      </c>
      <c r="BW83" s="338">
        <f>'Data Standar'!AG195</f>
        <v>-0.53</v>
      </c>
      <c r="BX83" s="338"/>
      <c r="BY83" s="436">
        <f>IF(OR(BW83=0,BX83=0),'Data Standar'!$AG$204/3,((MAX(BW83:BX83)-(MIN(BW83:BX83)))))</f>
        <v>8.3333333333333329E-2</v>
      </c>
      <c r="BZ83" s="434">
        <f>(0.08-0)/2</f>
        <v>0.04</v>
      </c>
      <c r="CA83" s="986">
        <f>VLOOKUP(CA79,BV86:BZ91,4)</f>
        <v>8.3333333333333329E-2</v>
      </c>
      <c r="CB83" s="435">
        <v>9.9999999999999995E-7</v>
      </c>
      <c r="CC83" s="338">
        <f t="shared" si="40"/>
        <v>0</v>
      </c>
      <c r="CD83" s="338">
        <f t="shared" si="39"/>
        <v>-0.7</v>
      </c>
      <c r="CE83" s="436">
        <f t="shared" si="42"/>
        <v>0.7</v>
      </c>
      <c r="CF83" s="434">
        <f>(0.08-0)/2</f>
        <v>0.04</v>
      </c>
      <c r="CG83" s="423"/>
      <c r="CH83" s="435">
        <v>9.9999999999999995E-7</v>
      </c>
      <c r="CI83" s="338">
        <f t="shared" si="43"/>
        <v>0.03</v>
      </c>
      <c r="CJ83" s="338">
        <f t="shared" si="44"/>
        <v>-0.06</v>
      </c>
      <c r="CK83" s="436">
        <f t="shared" si="45"/>
        <v>0.09</v>
      </c>
      <c r="CL83" s="434">
        <f>(0.08-0)/2</f>
        <v>0.04</v>
      </c>
      <c r="CM83" s="423"/>
      <c r="CN83" s="435">
        <v>9.9999999999999995E-7</v>
      </c>
      <c r="CO83" s="338">
        <f t="shared" si="46"/>
        <v>-0.79</v>
      </c>
      <c r="CP83" s="338">
        <f t="shared" si="46"/>
        <v>-0.08</v>
      </c>
      <c r="CQ83" s="436">
        <f t="shared" si="47"/>
        <v>0.71000000000000008</v>
      </c>
      <c r="CR83" s="434">
        <f>(0.08-0)/2</f>
        <v>0.04</v>
      </c>
      <c r="CS83" s="423"/>
    </row>
    <row r="84" spans="1:97" s="427" customFormat="1" ht="13">
      <c r="A84" s="423"/>
      <c r="B84" s="435">
        <v>2</v>
      </c>
      <c r="C84" s="338">
        <v>-0.04</v>
      </c>
      <c r="D84" s="338">
        <f>'Data Standar'!U196</f>
        <v>-0.32</v>
      </c>
      <c r="E84" s="436">
        <f>IF(OR(C84=0,D84=0),'Data Standar'!$U$204/3,((MAX(C84:D84)-(MIN(C84:D84)))))</f>
        <v>0.28000000000000003</v>
      </c>
      <c r="F84" s="437">
        <f>(-0.35+0.8)/2</f>
        <v>0.22500000000000003</v>
      </c>
      <c r="G84" s="437"/>
      <c r="H84" s="435">
        <v>2</v>
      </c>
      <c r="I84" s="338">
        <v>-0.25</v>
      </c>
      <c r="J84" s="338">
        <f>'Data Standar'!V196</f>
        <v>-0.17</v>
      </c>
      <c r="K84" s="436">
        <f>IF(OR(I84=0,J84=0),'Data Standar'!$V$204/3,((MAX(I84:J84)-(MIN(I84:J84)))))</f>
        <v>7.9999999999999988E-2</v>
      </c>
      <c r="L84" s="437">
        <f t="shared" si="41"/>
        <v>3.5000000000000003E-2</v>
      </c>
      <c r="M84" s="437"/>
      <c r="N84" s="435">
        <v>2</v>
      </c>
      <c r="O84" s="338">
        <v>-0.33</v>
      </c>
      <c r="P84" s="338">
        <f>'Data Standar'!W196</f>
        <v>-0.19</v>
      </c>
      <c r="Q84" s="436">
        <f>IF(OR(O84=0,P84=0),'Data Standar'!$W$204/3,((MAX(O84:P84)-(MIN(O84:P84)))))</f>
        <v>0.14000000000000001</v>
      </c>
      <c r="R84" s="434">
        <f>(0.08-0)/2</f>
        <v>0.04</v>
      </c>
      <c r="S84" s="437"/>
      <c r="T84" s="435">
        <v>2</v>
      </c>
      <c r="U84" s="338">
        <f>'Data Standar'!X196</f>
        <v>-0.56999999999999995</v>
      </c>
      <c r="V84" s="338"/>
      <c r="W84" s="436">
        <f>IF(OR(U84=0,V84=0),'Data Standar'!$X$204/3,((MAX(U84:V84)-(MIN(U84:V84)))))</f>
        <v>8.666666666666667E-2</v>
      </c>
      <c r="X84" s="434">
        <f>(0.08-0)/2</f>
        <v>0.04</v>
      </c>
      <c r="Y84" s="437"/>
      <c r="Z84" s="435">
        <v>2</v>
      </c>
      <c r="AA84" s="338">
        <f>'Data Standar'!Y196</f>
        <v>0.2</v>
      </c>
      <c r="AB84" s="338">
        <v>-0.04</v>
      </c>
      <c r="AC84" s="436">
        <f>IF(OR(AA84=0,AB84=0),'Data Standar'!$Y$204/3,((MAX(AA84:AB84)-(MIN(AA84:AB84)))))</f>
        <v>0.24000000000000002</v>
      </c>
      <c r="AD84" s="434">
        <f>(0.08-0)/2</f>
        <v>0.04</v>
      </c>
      <c r="AE84" s="437"/>
      <c r="AF84" s="435">
        <v>2</v>
      </c>
      <c r="AG84" s="338">
        <f>'Data Standar'!Z196</f>
        <v>0.2</v>
      </c>
      <c r="AH84" s="338">
        <v>0.38</v>
      </c>
      <c r="AI84" s="436">
        <f>IF(OR(AG84=0,AH84=0),'Data Standar'!$Z$204/3,((MAX(AG84:AH84)-(MIN(AG84:AH84)))))</f>
        <v>0.18</v>
      </c>
      <c r="AJ84" s="434">
        <f>(0.08-0)/2</f>
        <v>0.04</v>
      </c>
      <c r="AK84" s="437"/>
      <c r="AL84" s="435">
        <v>2</v>
      </c>
      <c r="AM84" s="338">
        <f>'Data Standar'!AA196</f>
        <v>0.48</v>
      </c>
      <c r="AN84" s="338"/>
      <c r="AO84" s="436">
        <f>IF(OR(AM84=0,AN84=0),'Data Standar'!$AA$204/3,((MAX(AM84:AN84)-(MIN(AM84:AN84)))))</f>
        <v>0.08</v>
      </c>
      <c r="AP84" s="434">
        <f>(0.08-0)/2</f>
        <v>0.04</v>
      </c>
      <c r="AQ84" s="437"/>
      <c r="AR84" s="435">
        <v>2</v>
      </c>
      <c r="AS84" s="338">
        <f>'Data Standar'!AB196</f>
        <v>0.39</v>
      </c>
      <c r="AT84" s="338"/>
      <c r="AU84" s="436">
        <f>IF(OR(AS84=0,AT84=0),'Data Standar'!$AB$204/3,((MAX(AS84:AT84)-(MIN(AS84:AT84)))))</f>
        <v>8.3333333333333329E-2</v>
      </c>
      <c r="AV84" s="434">
        <f>(0.08-0)/2</f>
        <v>0.04</v>
      </c>
      <c r="AW84" s="437"/>
      <c r="AX84" s="435">
        <v>2</v>
      </c>
      <c r="AY84" s="338">
        <f>'Data Standar'!AC196</f>
        <v>0.51</v>
      </c>
      <c r="AZ84" s="338"/>
      <c r="BA84" s="436">
        <f>IF(OR(AY84=0,AZ84=0),'Data Standar'!$AC$204/3,((MAX(AY84:AZ84)-(MIN(AY84:AZ84)))))</f>
        <v>0.26333333333333336</v>
      </c>
      <c r="BB84" s="434">
        <f>(0.08-0)/2</f>
        <v>0.04</v>
      </c>
      <c r="BC84" s="437"/>
      <c r="BD84" s="435">
        <v>2</v>
      </c>
      <c r="BE84" s="338">
        <f>'Data Standar'!AD196</f>
        <v>-0.27</v>
      </c>
      <c r="BF84" s="338"/>
      <c r="BG84" s="436">
        <f>IF(OR(BE84=0,BF84=0),'Data Standar'!$AD$204/3,((MAX(BE84:BF84)-(MIN(BE84:BF84)))))</f>
        <v>9.0000000000000011E-2</v>
      </c>
      <c r="BH84" s="434">
        <f>(0.08-0)/2</f>
        <v>0.04</v>
      </c>
      <c r="BI84" s="437"/>
      <c r="BJ84" s="435">
        <v>2</v>
      </c>
      <c r="BK84" s="338">
        <f>'Data Standar'!AE196</f>
        <v>0.51</v>
      </c>
      <c r="BL84" s="338"/>
      <c r="BM84" s="436">
        <f>IF(OR(BK84=0,BL84=0),'Data Standar'!$AE$204/3,((MAX(BK84:BL84)-(MIN(BK84:BL84)))))</f>
        <v>0.26333333333333336</v>
      </c>
      <c r="BN84" s="434">
        <f>(0.08-0)/2</f>
        <v>0.04</v>
      </c>
      <c r="BO84" s="437"/>
      <c r="BP84" s="435">
        <v>2</v>
      </c>
      <c r="BQ84" s="338">
        <f>'Data Standar'!AF196</f>
        <v>-0.5</v>
      </c>
      <c r="BR84" s="338"/>
      <c r="BS84" s="436">
        <f>IF(OR(BQ84=0,BR84=0),'Data Standar'!$AF$204/3,((MAX(BQ84:BR84)-(MIN(BQ84:BR84)))))</f>
        <v>8.666666666666667E-2</v>
      </c>
      <c r="BT84" s="434">
        <f>(0.08-0)/2</f>
        <v>0.04</v>
      </c>
      <c r="BU84" s="437"/>
      <c r="BV84" s="435">
        <v>2</v>
      </c>
      <c r="BW84" s="338">
        <f>'Data Standar'!AG196</f>
        <v>-0.6</v>
      </c>
      <c r="BX84" s="338"/>
      <c r="BY84" s="436">
        <f>IF(OR(BW84=0,BX84=0),'Data Standar'!$AG$204/3,((MAX(BW84:BX84)-(MIN(BW84:BX84)))))</f>
        <v>8.3333333333333329E-2</v>
      </c>
      <c r="BZ84" s="434">
        <f>(0.08-0)/2</f>
        <v>0.04</v>
      </c>
      <c r="CA84" s="437"/>
      <c r="CB84" s="435">
        <v>2</v>
      </c>
      <c r="CC84" s="338">
        <f t="shared" si="40"/>
        <v>0</v>
      </c>
      <c r="CD84" s="338">
        <f t="shared" si="39"/>
        <v>-0.7</v>
      </c>
      <c r="CE84" s="436">
        <f t="shared" si="42"/>
        <v>0.19999999999999998</v>
      </c>
      <c r="CF84" s="434">
        <f>(0.08-0)/2</f>
        <v>0.04</v>
      </c>
      <c r="CG84" s="423"/>
      <c r="CH84" s="435">
        <v>2</v>
      </c>
      <c r="CI84" s="338">
        <f t="shared" si="43"/>
        <v>0.04</v>
      </c>
      <c r="CJ84" s="338">
        <f t="shared" si="44"/>
        <v>-0.04</v>
      </c>
      <c r="CK84" s="436">
        <f t="shared" si="45"/>
        <v>0.08</v>
      </c>
      <c r="CL84" s="434">
        <f>(0.08-0)/2</f>
        <v>0.04</v>
      </c>
      <c r="CM84" s="423"/>
      <c r="CN84" s="435">
        <v>2</v>
      </c>
      <c r="CO84" s="338">
        <f t="shared" si="46"/>
        <v>-0.7</v>
      </c>
      <c r="CP84" s="338">
        <f t="shared" si="46"/>
        <v>-0.05</v>
      </c>
      <c r="CQ84" s="436">
        <f t="shared" si="47"/>
        <v>0.64999999999999991</v>
      </c>
      <c r="CR84" s="434">
        <f>(0.08-0)/2</f>
        <v>0.04</v>
      </c>
      <c r="CS84" s="423"/>
    </row>
    <row r="85" spans="1:97" s="427" customFormat="1" ht="13">
      <c r="A85" s="423"/>
      <c r="B85" s="435">
        <v>8</v>
      </c>
      <c r="C85" s="338">
        <v>0.01</v>
      </c>
      <c r="D85" s="338">
        <f>'Data Standar'!U197</f>
        <v>-0.24</v>
      </c>
      <c r="E85" s="436">
        <f>IF(OR(C85=0,D85=0),'Data Standar'!$U$204/3,((MAX(C85:D85)-(MIN(C85:D85)))))</f>
        <v>0.25</v>
      </c>
      <c r="F85" s="437">
        <f>(-0.3+0.54)/2</f>
        <v>0.12000000000000002</v>
      </c>
      <c r="G85" s="986">
        <f>VLOOKUP(G81,B86:F91,4)</f>
        <v>0.41</v>
      </c>
      <c r="H85" s="435">
        <v>8</v>
      </c>
      <c r="I85" s="338">
        <v>-0.14000000000000001</v>
      </c>
      <c r="J85" s="338">
        <f>'Data Standar'!V197</f>
        <v>-0.1</v>
      </c>
      <c r="K85" s="436">
        <f>IF(OR(I85=0,J85=0),'Data Standar'!$V$204/3,((MAX(I85:J85)-(MIN(I85:J85)))))</f>
        <v>4.0000000000000008E-2</v>
      </c>
      <c r="L85" s="437">
        <f t="shared" si="41"/>
        <v>3.5000000000000003E-2</v>
      </c>
      <c r="M85" s="986">
        <f>VLOOKUP(M81,H86:L91,4)</f>
        <v>3.999999999999998E-2</v>
      </c>
      <c r="N85" s="435">
        <v>8</v>
      </c>
      <c r="O85" s="338">
        <v>-0.21</v>
      </c>
      <c r="P85" s="338">
        <f>'Data Standar'!W197</f>
        <v>-0.14000000000000001</v>
      </c>
      <c r="Q85" s="436">
        <f>IF(OR(O85=0,P85=0),'Data Standar'!$W$204/3,((MAX(O85:P85)-(MIN(O85:P85)))))</f>
        <v>6.9999999999999979E-2</v>
      </c>
      <c r="R85" s="434">
        <f>(0.09-0)/2</f>
        <v>4.4999999999999998E-2</v>
      </c>
      <c r="S85" s="986">
        <f>VLOOKUP(S81,N86:R91,4)</f>
        <v>0.18</v>
      </c>
      <c r="T85" s="435">
        <v>8</v>
      </c>
      <c r="U85" s="338">
        <f>'Data Standar'!X197</f>
        <v>-0.3</v>
      </c>
      <c r="V85" s="338"/>
      <c r="W85" s="436">
        <f>IF(OR(U85=0,V85=0),'Data Standar'!$X$204/3,((MAX(U85:V85)-(MIN(U85:V85)))))</f>
        <v>8.666666666666667E-2</v>
      </c>
      <c r="X85" s="434">
        <f>(0.09-0)/2</f>
        <v>4.4999999999999998E-2</v>
      </c>
      <c r="Y85" s="986">
        <f>VLOOKUP(Y81,T86:X91,4)</f>
        <v>8.666666666666667E-2</v>
      </c>
      <c r="Z85" s="435">
        <v>8</v>
      </c>
      <c r="AA85" s="338">
        <f>'Data Standar'!Y197</f>
        <v>0.19</v>
      </c>
      <c r="AB85" s="338">
        <v>0.08</v>
      </c>
      <c r="AC85" s="436">
        <f>IF(OR(AA85=0,AB85=0),'Data Standar'!$Y$204/3,((MAX(AA85:AB85)-(MIN(AA85:AB85)))))</f>
        <v>0.11</v>
      </c>
      <c r="AD85" s="434">
        <f>(0.09-0)/2</f>
        <v>4.4999999999999998E-2</v>
      </c>
      <c r="AE85" s="986">
        <f>VLOOKUP(AE81,Z86:AD91,4)</f>
        <v>0.78999999999999992</v>
      </c>
      <c r="AF85" s="435">
        <v>8</v>
      </c>
      <c r="AG85" s="338">
        <f>'Data Standar'!Z197</f>
        <v>0.19</v>
      </c>
      <c r="AH85" s="338">
        <v>0.47</v>
      </c>
      <c r="AI85" s="436">
        <f>IF(OR(AG85=0,AH85=0),'Data Standar'!$Z$204/3,((MAX(AG85:AH85)-(MIN(AG85:AH85)))))</f>
        <v>0.27999999999999997</v>
      </c>
      <c r="AJ85" s="434">
        <f>(0.09-0)/2</f>
        <v>4.4999999999999998E-2</v>
      </c>
      <c r="AK85" s="986">
        <f>VLOOKUP(AK81,AF86:AJ91,4)</f>
        <v>0.99</v>
      </c>
      <c r="AL85" s="435">
        <v>8</v>
      </c>
      <c r="AM85" s="338">
        <f>'Data Standar'!AA197</f>
        <v>0.47</v>
      </c>
      <c r="AN85" s="338"/>
      <c r="AO85" s="436">
        <f>IF(OR(AM85=0,AN85=0),'Data Standar'!$AA$204/3,((MAX(AM85:AN85)-(MIN(AM85:AN85)))))</f>
        <v>0.08</v>
      </c>
      <c r="AP85" s="434">
        <f>(0.09-0)/2</f>
        <v>4.4999999999999998E-2</v>
      </c>
      <c r="AQ85" s="986">
        <f>VLOOKUP(AQ81,AL86:AP91,4)</f>
        <v>0.08</v>
      </c>
      <c r="AR85" s="435">
        <v>8</v>
      </c>
      <c r="AS85" s="338">
        <f>'Data Standar'!AB197</f>
        <v>0.37</v>
      </c>
      <c r="AT85" s="338"/>
      <c r="AU85" s="436">
        <f>IF(OR(AS85=0,AT85=0),'Data Standar'!$AB$204/3,((MAX(AS85:AT85)-(MIN(AS85:AT85)))))</f>
        <v>8.3333333333333329E-2</v>
      </c>
      <c r="AV85" s="434">
        <f>(0.09-0)/2</f>
        <v>4.4999999999999998E-2</v>
      </c>
      <c r="AW85" s="986">
        <f>VLOOKUP(AW81,AR86:AV91,4)</f>
        <v>8.3333333333333329E-2</v>
      </c>
      <c r="AX85" s="435">
        <v>8</v>
      </c>
      <c r="AY85" s="338">
        <f>'Data Standar'!AC197</f>
        <v>0.5</v>
      </c>
      <c r="AZ85" s="338"/>
      <c r="BA85" s="436">
        <f>IF(OR(AY85=0,AZ85=0),'Data Standar'!$AC$204/3,((MAX(AY85:AZ85)-(MIN(AY85:AZ85)))))</f>
        <v>0.26333333333333336</v>
      </c>
      <c r="BB85" s="434">
        <f>(0.09-0)/2</f>
        <v>4.4999999999999998E-2</v>
      </c>
      <c r="BC85" s="986">
        <f>VLOOKUP(BC81,AX86:BB91,4)</f>
        <v>0.26333333333333336</v>
      </c>
      <c r="BD85" s="435">
        <v>8</v>
      </c>
      <c r="BE85" s="338">
        <f>'Data Standar'!AD197</f>
        <v>-0.03</v>
      </c>
      <c r="BF85" s="338"/>
      <c r="BG85" s="436">
        <f>IF(OR(BE85=0,BF85=0),'Data Standar'!$AD$204/3,((MAX(BE85:BF85)-(MIN(BE85:BF85)))))</f>
        <v>9.0000000000000011E-2</v>
      </c>
      <c r="BH85" s="434">
        <f>(0.09-0)/2</f>
        <v>4.4999999999999998E-2</v>
      </c>
      <c r="BI85" s="986">
        <f>VLOOKUP(BI81,BD86:BH91,4)</f>
        <v>9.0000000000000011E-2</v>
      </c>
      <c r="BJ85" s="435">
        <v>8</v>
      </c>
      <c r="BK85" s="338">
        <f>'Data Standar'!AE197</f>
        <v>0.5</v>
      </c>
      <c r="BL85" s="338"/>
      <c r="BM85" s="436">
        <f>IF(OR(BK85=0,BL85=0),'Data Standar'!$AE$204/3,((MAX(BK85:BL85)-(MIN(BK85:BL85)))))</f>
        <v>0.26333333333333336</v>
      </c>
      <c r="BN85" s="434">
        <f>(0.09-0)/2</f>
        <v>4.4999999999999998E-2</v>
      </c>
      <c r="BO85" s="986">
        <f>VLOOKUP(BO81,BJ86:BN91,4)</f>
        <v>0.26333333333333336</v>
      </c>
      <c r="BP85" s="435">
        <v>8</v>
      </c>
      <c r="BQ85" s="338">
        <f>'Data Standar'!AF197</f>
        <v>-0.27</v>
      </c>
      <c r="BR85" s="338"/>
      <c r="BS85" s="436">
        <f>IF(OR(BQ85=0,BR85=0),'Data Standar'!$AF$204/3,((MAX(BQ85:BR85)-(MIN(BQ85:BR85)))))</f>
        <v>8.666666666666667E-2</v>
      </c>
      <c r="BT85" s="434">
        <f>(0.09-0)/2</f>
        <v>4.4999999999999998E-2</v>
      </c>
      <c r="BU85" s="986">
        <f>VLOOKUP(BU81,BP86:BT91,4)</f>
        <v>8.666666666666667E-2</v>
      </c>
      <c r="BV85" s="435">
        <v>8</v>
      </c>
      <c r="BW85" s="338">
        <f>'Data Standar'!AG197</f>
        <v>-0.34</v>
      </c>
      <c r="BX85" s="338"/>
      <c r="BY85" s="436">
        <f>IF(OR(BW85=0,BX85=0),'Data Standar'!$AG$204/3,((MAX(BW85:BX85)-(MIN(BW85:BX85)))))</f>
        <v>8.3333333333333329E-2</v>
      </c>
      <c r="BZ85" s="434">
        <f>(0.09-0)/2</f>
        <v>4.4999999999999998E-2</v>
      </c>
      <c r="CA85" s="986">
        <f>VLOOKUP(CA81,BV86:BZ91,4)</f>
        <v>8.3333333333333329E-2</v>
      </c>
      <c r="CB85" s="435">
        <v>8</v>
      </c>
      <c r="CC85" s="338">
        <f t="shared" si="40"/>
        <v>0</v>
      </c>
      <c r="CD85" s="338">
        <f t="shared" si="39"/>
        <v>-0.7</v>
      </c>
      <c r="CE85" s="436">
        <f t="shared" si="42"/>
        <v>0.19999999999999998</v>
      </c>
      <c r="CF85" s="434">
        <f>(0.09-0)/2</f>
        <v>4.4999999999999998E-2</v>
      </c>
      <c r="CG85" s="423"/>
      <c r="CH85" s="435">
        <v>8</v>
      </c>
      <c r="CI85" s="338">
        <f t="shared" si="43"/>
        <v>0.08</v>
      </c>
      <c r="CJ85" s="338">
        <f t="shared" si="44"/>
        <v>0.01</v>
      </c>
      <c r="CK85" s="436">
        <f t="shared" si="45"/>
        <v>7.0000000000000007E-2</v>
      </c>
      <c r="CL85" s="434">
        <f>(0.09-0)/2</f>
        <v>4.4999999999999998E-2</v>
      </c>
      <c r="CM85" s="423"/>
      <c r="CN85" s="435">
        <v>8</v>
      </c>
      <c r="CO85" s="338">
        <f t="shared" si="46"/>
        <v>-0.46</v>
      </c>
      <c r="CP85" s="338">
        <f t="shared" si="46"/>
        <v>0.06</v>
      </c>
      <c r="CQ85" s="436">
        <f t="shared" si="47"/>
        <v>0.52</v>
      </c>
      <c r="CR85" s="434">
        <f>(0.09-0)/2</f>
        <v>4.4999999999999998E-2</v>
      </c>
      <c r="CS85" s="423"/>
    </row>
    <row r="86" spans="1:97" s="427" customFormat="1" ht="13">
      <c r="A86" s="423"/>
      <c r="B86" s="435">
        <v>37</v>
      </c>
      <c r="C86" s="338">
        <v>0.19</v>
      </c>
      <c r="D86" s="338">
        <f>'Data Standar'!U198</f>
        <v>0.16</v>
      </c>
      <c r="E86" s="436">
        <f>IF(OR(C86=0,D86=0),'Data Standar'!$U$204/3,((MAX(C86:D86)-(MIN(C86:D86)))))</f>
        <v>0.03</v>
      </c>
      <c r="F86" s="437">
        <f>(0.38+0.17)/2</f>
        <v>0.27500000000000002</v>
      </c>
      <c r="G86" s="987"/>
      <c r="H86" s="435">
        <v>37</v>
      </c>
      <c r="I86" s="338">
        <v>0.18</v>
      </c>
      <c r="J86" s="338">
        <f>'Data Standar'!V198</f>
        <v>0.19</v>
      </c>
      <c r="K86" s="436">
        <f>IF(OR(I86=0,J86=0),'Data Standar'!$V$204/3,((MAX(I86:J86)-(MIN(I86:J86)))))</f>
        <v>1.0000000000000009E-2</v>
      </c>
      <c r="L86" s="437">
        <f t="shared" si="41"/>
        <v>3.5000000000000003E-2</v>
      </c>
      <c r="M86" s="987"/>
      <c r="N86" s="435">
        <v>37</v>
      </c>
      <c r="O86" s="338">
        <v>-0.31</v>
      </c>
      <c r="P86" s="338">
        <f>'Data Standar'!W198</f>
        <v>-0.02</v>
      </c>
      <c r="Q86" s="436">
        <f>IF(OR(O86=0,P86=0),'Data Standar'!$W$204/3,((MAX(O86:P86)-(MIN(O86:P86)))))</f>
        <v>0.28999999999999998</v>
      </c>
      <c r="R86" s="434">
        <f>(0.14-0)/2</f>
        <v>7.0000000000000007E-2</v>
      </c>
      <c r="S86" s="987"/>
      <c r="T86" s="435">
        <v>37</v>
      </c>
      <c r="U86" s="338">
        <f>'Data Standar'!X198</f>
        <v>0.56999999999999995</v>
      </c>
      <c r="V86" s="338"/>
      <c r="W86" s="436">
        <f>IF(OR(U86=0,V86=0),'Data Standar'!$X$204/3,((MAX(U86:V86)-(MIN(U86:V86)))))</f>
        <v>8.666666666666667E-2</v>
      </c>
      <c r="X86" s="434">
        <f>(0.14-0)/2</f>
        <v>7.0000000000000007E-2</v>
      </c>
      <c r="Y86" s="987"/>
      <c r="Z86" s="435">
        <v>37</v>
      </c>
      <c r="AA86" s="338">
        <f>'Data Standar'!Y198</f>
        <v>0.18</v>
      </c>
      <c r="AB86" s="338">
        <v>0.48</v>
      </c>
      <c r="AC86" s="436">
        <f>IF(OR(AA86=0,AB86=0),'Data Standar'!$Y$204/3,((MAX(AA86:AB86)-(MIN(AA86:AB86)))))</f>
        <v>0.3</v>
      </c>
      <c r="AD86" s="434">
        <f>(0.14-0)/2</f>
        <v>7.0000000000000007E-2</v>
      </c>
      <c r="AE86" s="987"/>
      <c r="AF86" s="435">
        <v>37</v>
      </c>
      <c r="AG86" s="338">
        <f>'Data Standar'!Z198</f>
        <v>0.18</v>
      </c>
      <c r="AH86" s="338">
        <v>0.74</v>
      </c>
      <c r="AI86" s="436">
        <f>IF(OR(AG86=0,AH86=0),'Data Standar'!$Z$204/3,((MAX(AG86:AH86)-(MIN(AG86:AH86)))))</f>
        <v>0.56000000000000005</v>
      </c>
      <c r="AJ86" s="434">
        <f>(0.14-0)/2</f>
        <v>7.0000000000000007E-2</v>
      </c>
      <c r="AK86" s="987"/>
      <c r="AL86" s="435">
        <v>37</v>
      </c>
      <c r="AM86" s="338">
        <f>'Data Standar'!AA198</f>
        <v>0.45</v>
      </c>
      <c r="AN86" s="338"/>
      <c r="AO86" s="436">
        <f>IF(OR(AM86=0,AN86=0),'Data Standar'!$AA$204/3,((MAX(AM86:AN86)-(MIN(AM86:AN86)))))</f>
        <v>0.08</v>
      </c>
      <c r="AP86" s="434">
        <f>(0.14-0)/2</f>
        <v>7.0000000000000007E-2</v>
      </c>
      <c r="AQ86" s="987"/>
      <c r="AR86" s="435">
        <v>37</v>
      </c>
      <c r="AS86" s="338">
        <f>'Data Standar'!AB198</f>
        <v>0.33</v>
      </c>
      <c r="AT86" s="338"/>
      <c r="AU86" s="436">
        <f>IF(OR(AS86=0,AT86=0),'Data Standar'!$AB$204/3,((MAX(AS86:AT86)-(MIN(AS86:AT86)))))</f>
        <v>8.3333333333333329E-2</v>
      </c>
      <c r="AV86" s="434">
        <f>(0.14-0)/2</f>
        <v>7.0000000000000007E-2</v>
      </c>
      <c r="AW86" s="987"/>
      <c r="AX86" s="435">
        <v>37</v>
      </c>
      <c r="AY86" s="338">
        <f>'Data Standar'!AC198</f>
        <v>0.4</v>
      </c>
      <c r="AZ86" s="338"/>
      <c r="BA86" s="436">
        <f>IF(OR(AY86=0,AZ86=0),'Data Standar'!$AC$204/3,((MAX(AY86:AZ86)-(MIN(AY86:AZ86)))))</f>
        <v>0.26333333333333336</v>
      </c>
      <c r="BB86" s="434">
        <f>(0.14-0)/2</f>
        <v>7.0000000000000007E-2</v>
      </c>
      <c r="BC86" s="987"/>
      <c r="BD86" s="435">
        <v>37</v>
      </c>
      <c r="BE86" s="338">
        <f>'Data Standar'!AD198</f>
        <v>0.7</v>
      </c>
      <c r="BF86" s="338"/>
      <c r="BG86" s="436">
        <f>IF(OR(BE86=0,BF86=0),'Data Standar'!$AD$204/3,((MAX(BE86:BF86)-(MIN(BE86:BF86)))))</f>
        <v>9.0000000000000011E-2</v>
      </c>
      <c r="BH86" s="434">
        <f>(0.14-0)/2</f>
        <v>7.0000000000000007E-2</v>
      </c>
      <c r="BI86" s="987"/>
      <c r="BJ86" s="435">
        <v>37</v>
      </c>
      <c r="BK86" s="338">
        <f>'Data Standar'!AE198</f>
        <v>0.4</v>
      </c>
      <c r="BL86" s="338"/>
      <c r="BM86" s="436">
        <f>IF(OR(BK86=0,BL86=0),'Data Standar'!$AE$204/3,((MAX(BK86:BL86)-(MIN(BK86:BL86)))))</f>
        <v>0.26333333333333336</v>
      </c>
      <c r="BN86" s="434">
        <f>(0.14-0)/2</f>
        <v>7.0000000000000007E-2</v>
      </c>
      <c r="BO86" s="987"/>
      <c r="BP86" s="435">
        <v>37</v>
      </c>
      <c r="BQ86" s="338">
        <f>'Data Standar'!AF198</f>
        <v>0.49</v>
      </c>
      <c r="BR86" s="338"/>
      <c r="BS86" s="436">
        <f>IF(OR(BQ86=0,BR86=0),'Data Standar'!$AF$204/3,((MAX(BQ86:BR86)-(MIN(BQ86:BR86)))))</f>
        <v>8.666666666666667E-2</v>
      </c>
      <c r="BT86" s="434">
        <f>(0.14-0)/2</f>
        <v>7.0000000000000007E-2</v>
      </c>
      <c r="BU86" s="987"/>
      <c r="BV86" s="435">
        <v>37</v>
      </c>
      <c r="BW86" s="338">
        <f>'Data Standar'!AG198</f>
        <v>0.56000000000000005</v>
      </c>
      <c r="BX86" s="338"/>
      <c r="BY86" s="436">
        <f>IF(OR(BW86=0,BX86=0),'Data Standar'!$AG$204/3,((MAX(BW86:BX86)-(MIN(BW86:BX86)))))</f>
        <v>8.3333333333333329E-2</v>
      </c>
      <c r="BZ86" s="434">
        <f>(0.14-0)/2</f>
        <v>7.0000000000000007E-2</v>
      </c>
      <c r="CA86" s="987"/>
      <c r="CB86" s="435">
        <v>37</v>
      </c>
      <c r="CC86" s="338">
        <f t="shared" si="40"/>
        <v>0</v>
      </c>
      <c r="CD86" s="338">
        <f t="shared" si="39"/>
        <v>-0.6</v>
      </c>
      <c r="CE86" s="436">
        <f t="shared" si="42"/>
        <v>0.19999999999999998</v>
      </c>
      <c r="CF86" s="434">
        <f>(0.14-0)/2</f>
        <v>7.0000000000000007E-2</v>
      </c>
      <c r="CG86" s="423"/>
      <c r="CH86" s="435">
        <v>37</v>
      </c>
      <c r="CI86" s="338">
        <f t="shared" si="43"/>
        <v>0.23</v>
      </c>
      <c r="CJ86" s="338">
        <f t="shared" si="44"/>
        <v>0.19</v>
      </c>
      <c r="CK86" s="436">
        <f t="shared" si="45"/>
        <v>4.0000000000000008E-2</v>
      </c>
      <c r="CL86" s="434">
        <f>(0.14-0)/2</f>
        <v>7.0000000000000007E-2</v>
      </c>
      <c r="CM86" s="423"/>
      <c r="CN86" s="435">
        <v>37</v>
      </c>
      <c r="CO86" s="338">
        <f t="shared" si="46"/>
        <v>0.42</v>
      </c>
      <c r="CP86" s="338">
        <f t="shared" si="46"/>
        <v>0.45</v>
      </c>
      <c r="CQ86" s="436">
        <f t="shared" si="47"/>
        <v>3.0000000000000027E-2</v>
      </c>
      <c r="CR86" s="434">
        <f>(0.14-0)/2</f>
        <v>7.0000000000000007E-2</v>
      </c>
      <c r="CS86" s="423"/>
    </row>
    <row r="87" spans="1:97" s="427" customFormat="1" ht="13">
      <c r="A87" s="423"/>
      <c r="B87" s="435">
        <v>44</v>
      </c>
      <c r="C87" s="338">
        <v>0.21</v>
      </c>
      <c r="D87" s="338">
        <f>'Data Standar'!U199</f>
        <v>0.25</v>
      </c>
      <c r="E87" s="436">
        <f>IF(OR(C87=0,D87=0),'Data Standar'!$U$204/3,((MAX(C87:D87)-(MIN(C87:D87)))))</f>
        <v>4.0000000000000008E-2</v>
      </c>
      <c r="F87" s="437">
        <f>(0.52+0.15)/2</f>
        <v>0.33500000000000002</v>
      </c>
      <c r="G87" s="988">
        <f>(((G85-G83)/(G81-G79))*(G78-G79))+G83</f>
        <v>0.51790033333333341</v>
      </c>
      <c r="H87" s="435">
        <v>44</v>
      </c>
      <c r="I87" s="338">
        <v>0.21</v>
      </c>
      <c r="J87" s="338">
        <f>'Data Standar'!V199</f>
        <v>0.25</v>
      </c>
      <c r="K87" s="436">
        <f>IF(OR(I87=0,J87=0),'Data Standar'!$V$204/3,((MAX(I87:J87)-(MIN(I87:J87)))))</f>
        <v>4.0000000000000008E-2</v>
      </c>
      <c r="L87" s="437">
        <f>(0+0.09)/2</f>
        <v>4.4999999999999998E-2</v>
      </c>
      <c r="M87" s="988">
        <f>(((M85-M83)/(M81-M79))*(M78-M79))+M83</f>
        <v>0.44077266666666659</v>
      </c>
      <c r="N87" s="435">
        <v>44</v>
      </c>
      <c r="O87" s="338">
        <v>-0.15</v>
      </c>
      <c r="P87" s="338">
        <f>'Data Standar'!W199</f>
        <v>-0.01</v>
      </c>
      <c r="Q87" s="436">
        <f>IF(OR(O87=0,P87=0),'Data Standar'!$W$204/3,((MAX(O87:P87)-(MIN(O87:P87)))))</f>
        <v>0.13999999999999999</v>
      </c>
      <c r="R87" s="434">
        <f>(0.15-0)/2</f>
        <v>7.4999999999999997E-2</v>
      </c>
      <c r="S87" s="988">
        <f>(((S85-S83)/(S81-S79))*(S78-S79))+S83</f>
        <v>9.5221166666666662E-2</v>
      </c>
      <c r="T87" s="435">
        <v>44</v>
      </c>
      <c r="U87" s="338">
        <f>'Data Standar'!X199</f>
        <v>0.68</v>
      </c>
      <c r="V87" s="338"/>
      <c r="W87" s="436">
        <f>IF(OR(U87=0,V87=0),'Data Standar'!$X$204/3,((MAX(U87:V87)-(MIN(U87:V87)))))</f>
        <v>8.666666666666667E-2</v>
      </c>
      <c r="X87" s="434">
        <f>(0.15-0)/2</f>
        <v>7.4999999999999997E-2</v>
      </c>
      <c r="Y87" s="988">
        <f>(((Y85-Y83)/(Y81-Y79))*(Y78-Y79))+Y83</f>
        <v>8.666666666666667E-2</v>
      </c>
      <c r="Z87" s="435">
        <v>44</v>
      </c>
      <c r="AA87" s="338">
        <f>'Data Standar'!Y199</f>
        <v>0.18</v>
      </c>
      <c r="AB87" s="338">
        <v>0.54</v>
      </c>
      <c r="AC87" s="436">
        <f>IF(OR(AA87=0,AB87=0),'Data Standar'!$Y$204/3,((MAX(AA87:AB87)-(MIN(AA87:AB87)))))</f>
        <v>0.36000000000000004</v>
      </c>
      <c r="AD87" s="434">
        <f>(0.15-0)/2</f>
        <v>7.4999999999999997E-2</v>
      </c>
      <c r="AE87" s="988">
        <f>(((AE85-AE83)/(AE81-AE79))*(AE78-AE79))+AE83</f>
        <v>0.31215566666666666</v>
      </c>
      <c r="AF87" s="435">
        <v>44</v>
      </c>
      <c r="AG87" s="338">
        <f>'Data Standar'!Z199</f>
        <v>0.18</v>
      </c>
      <c r="AH87" s="338">
        <v>0.77</v>
      </c>
      <c r="AI87" s="436">
        <f>IF(OR(AG87=0,AH87=0),'Data Standar'!$Z$204/3,((MAX(AG87:AH87)-(MIN(AG87:AH87)))))</f>
        <v>0.59000000000000008</v>
      </c>
      <c r="AJ87" s="434">
        <f>(0.15-0)/2</f>
        <v>7.4999999999999997E-2</v>
      </c>
      <c r="AK87" s="988">
        <f>(((AK85-AK83)/(AK81-AK79))*(AK78-AK79))+AK83</f>
        <v>0.46591266666666664</v>
      </c>
      <c r="AL87" s="435">
        <v>44</v>
      </c>
      <c r="AM87" s="338">
        <f>'Data Standar'!AA199</f>
        <v>0.46</v>
      </c>
      <c r="AN87" s="338"/>
      <c r="AO87" s="436">
        <f>IF(OR(AM87=0,AN87=0),'Data Standar'!$AA$204/3,((MAX(AM87:AN87)-(MIN(AM87:AN87)))))</f>
        <v>0.08</v>
      </c>
      <c r="AP87" s="434">
        <f>(0.15-0)/2</f>
        <v>7.4999999999999997E-2</v>
      </c>
      <c r="AQ87" s="988">
        <f>(((AQ85-AQ83)/(AQ81-AQ79))*(AQ78-AQ79))+AQ83</f>
        <v>0.08</v>
      </c>
      <c r="AR87" s="435">
        <v>44</v>
      </c>
      <c r="AS87" s="338">
        <f>'Data Standar'!AB199</f>
        <v>0.33</v>
      </c>
      <c r="AT87" s="338"/>
      <c r="AU87" s="436">
        <f>IF(OR(AS87=0,AT87=0),'Data Standar'!$AB$204/3,((MAX(AS87:AT87)-(MIN(AS87:AT87)))))</f>
        <v>8.3333333333333329E-2</v>
      </c>
      <c r="AV87" s="434">
        <f>(0.15-0)/2</f>
        <v>7.4999999999999997E-2</v>
      </c>
      <c r="AW87" s="988">
        <f>(((AW85-AW83)/(AW81-AW79))*(AW78-AW79))+AW83</f>
        <v>8.3333333333333329E-2</v>
      </c>
      <c r="AX87" s="435">
        <v>44</v>
      </c>
      <c r="AY87" s="338">
        <f>'Data Standar'!AC199</f>
        <v>0.38</v>
      </c>
      <c r="AZ87" s="338"/>
      <c r="BA87" s="436">
        <f>IF(OR(AY87=0,AZ87=0),'Data Standar'!$AC$204/3,((MAX(AY87:AZ87)-(MIN(AY87:AZ87)))))</f>
        <v>0.26333333333333336</v>
      </c>
      <c r="BB87" s="434">
        <f>(0.15-0)/2</f>
        <v>7.4999999999999997E-2</v>
      </c>
      <c r="BC87" s="988">
        <f>(((BC85-BC83)/(BC81-BC79))*(BC78-BC79))+BC83</f>
        <v>0.26333333333333336</v>
      </c>
      <c r="BD87" s="435">
        <v>44</v>
      </c>
      <c r="BE87" s="338">
        <f>'Data Standar'!AD199</f>
        <v>0.79</v>
      </c>
      <c r="BF87" s="338"/>
      <c r="BG87" s="436">
        <f>IF(OR(BE87=0,BF87=0),'Data Standar'!$AD$204/3,((MAX(BE87:BF87)-(MIN(BE87:BF87)))))</f>
        <v>9.0000000000000011E-2</v>
      </c>
      <c r="BH87" s="434">
        <f>(0.15-0)/2</f>
        <v>7.4999999999999997E-2</v>
      </c>
      <c r="BI87" s="988">
        <f>(((BI85-BI83)/(BI81-BI79))*(BI78-BI79))+BI83</f>
        <v>9.0000000000000011E-2</v>
      </c>
      <c r="BJ87" s="435">
        <v>44</v>
      </c>
      <c r="BK87" s="338">
        <f>'Data Standar'!AE199</f>
        <v>0.38</v>
      </c>
      <c r="BL87" s="338"/>
      <c r="BM87" s="436">
        <f>IF(OR(BK87=0,BL87=0),'Data Standar'!$AE$204/3,((MAX(BK87:BL87)-(MIN(BK87:BL87)))))</f>
        <v>0.26333333333333336</v>
      </c>
      <c r="BN87" s="434">
        <f>(0.15-0)/2</f>
        <v>7.4999999999999997E-2</v>
      </c>
      <c r="BO87" s="988">
        <f>(((BO85-BO83)/(BO81-BO79))*(BO78-BO79))+BO83</f>
        <v>0.26333333333333336</v>
      </c>
      <c r="BP87" s="435">
        <v>44</v>
      </c>
      <c r="BQ87" s="338">
        <f>'Data Standar'!AF199</f>
        <v>0.59</v>
      </c>
      <c r="BR87" s="338"/>
      <c r="BS87" s="436">
        <f>IF(OR(BQ87=0,BR87=0),'Data Standar'!$AF$204/3,((MAX(BQ87:BR87)-(MIN(BQ87:BR87)))))</f>
        <v>8.666666666666667E-2</v>
      </c>
      <c r="BT87" s="434">
        <f>(0.15-0)/2</f>
        <v>7.4999999999999997E-2</v>
      </c>
      <c r="BU87" s="988">
        <f>(((BU85-BU83)/(BU81-BU79))*(BU78-BU79))+BU83</f>
        <v>8.666666666666667E-2</v>
      </c>
      <c r="BV87" s="435">
        <v>44</v>
      </c>
      <c r="BW87" s="338">
        <f>'Data Standar'!AG199</f>
        <v>0.7</v>
      </c>
      <c r="BX87" s="338"/>
      <c r="BY87" s="436">
        <f>IF(OR(BW87=0,BX87=0),'Data Standar'!$AG$204/3,((MAX(BW87:BX87)-(MIN(BW87:BX87)))))</f>
        <v>8.3333333333333329E-2</v>
      </c>
      <c r="BZ87" s="434">
        <f>(0.15-0)/2</f>
        <v>7.4999999999999997E-2</v>
      </c>
      <c r="CA87" s="988">
        <f>(((CA85-CA83)/(CA81-CA79))*(CA78-CA79))+CA83</f>
        <v>8.3333333333333329E-2</v>
      </c>
      <c r="CB87" s="435">
        <v>44</v>
      </c>
      <c r="CC87" s="338">
        <f t="shared" si="40"/>
        <v>-1</v>
      </c>
      <c r="CD87" s="338">
        <f t="shared" si="39"/>
        <v>-0.7</v>
      </c>
      <c r="CE87" s="436">
        <f t="shared" si="42"/>
        <v>0.19999999999999998</v>
      </c>
      <c r="CF87" s="434">
        <f>(0.15-0)/2</f>
        <v>7.4999999999999997E-2</v>
      </c>
      <c r="CG87" s="423"/>
      <c r="CH87" s="435">
        <v>44</v>
      </c>
      <c r="CI87" s="338">
        <f t="shared" si="43"/>
        <v>0.25</v>
      </c>
      <c r="CJ87" s="338">
        <f t="shared" si="44"/>
        <v>0.21</v>
      </c>
      <c r="CK87" s="436">
        <f t="shared" si="45"/>
        <v>4.0000000000000008E-2</v>
      </c>
      <c r="CL87" s="434">
        <f>(0.15-0)/2</f>
        <v>7.4999999999999997E-2</v>
      </c>
      <c r="CM87" s="423"/>
      <c r="CN87" s="435">
        <v>44</v>
      </c>
      <c r="CO87" s="338">
        <f t="shared" si="46"/>
        <v>0.56999999999999995</v>
      </c>
      <c r="CP87" s="338">
        <f t="shared" si="46"/>
        <v>0.52</v>
      </c>
      <c r="CQ87" s="436">
        <f t="shared" si="47"/>
        <v>4.9999999999999933E-2</v>
      </c>
      <c r="CR87" s="434">
        <f>(0.15-0)/2</f>
        <v>7.4999999999999997E-2</v>
      </c>
      <c r="CS87" s="423"/>
    </row>
    <row r="88" spans="1:97" s="427" customFormat="1" ht="13">
      <c r="A88" s="423"/>
      <c r="B88" s="435">
        <v>50</v>
      </c>
      <c r="C88" s="338">
        <v>0.22</v>
      </c>
      <c r="D88" s="338">
        <f>'Data Standar'!U200</f>
        <v>0.32</v>
      </c>
      <c r="E88" s="436">
        <f>IF(OR(C88=0,D88=0),'Data Standar'!$U$204/3,((MAX(C88:D88)-(MIN(C88:D88)))))</f>
        <v>0.1</v>
      </c>
      <c r="F88" s="437">
        <f>(0.62+0.14)/2</f>
        <v>0.38</v>
      </c>
      <c r="G88" s="438"/>
      <c r="H88" s="435">
        <v>50</v>
      </c>
      <c r="I88" s="338">
        <v>0.24</v>
      </c>
      <c r="J88" s="338">
        <f>'Data Standar'!V200</f>
        <v>0.3</v>
      </c>
      <c r="K88" s="436">
        <f>IF(OR(I88=0,J88=0),'Data Standar'!$V$204/3,((MAX(I88:J88)-(MIN(I88:J88)))))</f>
        <v>0.06</v>
      </c>
      <c r="L88" s="437">
        <f>(0+0.08)/2</f>
        <v>0.04</v>
      </c>
      <c r="M88" s="438"/>
      <c r="N88" s="435">
        <v>50</v>
      </c>
      <c r="O88" s="338">
        <v>0.2</v>
      </c>
      <c r="P88" s="338">
        <f>'Data Standar'!W200</f>
        <v>-0.02</v>
      </c>
      <c r="Q88" s="436">
        <f>IF(OR(O88=0,P88=0),'Data Standar'!$W$204/3,((MAX(O88:P88)-(MIN(O88:P88)))))</f>
        <v>0.22</v>
      </c>
      <c r="R88" s="434">
        <f>(0.16-0)/2</f>
        <v>0.08</v>
      </c>
      <c r="S88" s="423"/>
      <c r="T88" s="435">
        <v>50</v>
      </c>
      <c r="U88" s="338">
        <f>'Data Standar'!X200</f>
        <v>0.76</v>
      </c>
      <c r="V88" s="338"/>
      <c r="W88" s="436">
        <f>IF(OR(U88=0,V88=0),'Data Standar'!$X$204/3,((MAX(U88:V88)-(MIN(U88:V88)))))</f>
        <v>8.666666666666667E-2</v>
      </c>
      <c r="X88" s="434">
        <f>(0.16-0)/2</f>
        <v>0.08</v>
      </c>
      <c r="Y88" s="423"/>
      <c r="Z88" s="435">
        <v>50</v>
      </c>
      <c r="AA88" s="338">
        <f>'Data Standar'!Y200</f>
        <v>0.19</v>
      </c>
      <c r="AB88" s="338">
        <v>0.57999999999999996</v>
      </c>
      <c r="AC88" s="436">
        <f>IF(OR(AA88=0,AB88=0),'Data Standar'!$Y$204/3,((MAX(AA88:AB88)-(MIN(AA88:AB88)))))</f>
        <v>0.38999999999999996</v>
      </c>
      <c r="AD88" s="434">
        <f>(0.16-0)/2</f>
        <v>0.08</v>
      </c>
      <c r="AE88" s="423"/>
      <c r="AF88" s="435">
        <v>50</v>
      </c>
      <c r="AG88" s="338">
        <f>'Data Standar'!Z200</f>
        <v>0.19</v>
      </c>
      <c r="AH88" s="338">
        <v>0.78</v>
      </c>
      <c r="AI88" s="436">
        <f>IF(OR(AG88=0,AH88=0),'Data Standar'!$Z$204/3,((MAX(AG88:AH88)-(MIN(AG88:AH88)))))</f>
        <v>0.59000000000000008</v>
      </c>
      <c r="AJ88" s="434">
        <f>(0.16-0)/2</f>
        <v>0.08</v>
      </c>
      <c r="AK88" s="423"/>
      <c r="AL88" s="435">
        <v>50</v>
      </c>
      <c r="AM88" s="338">
        <f>'Data Standar'!AA200</f>
        <v>0.46</v>
      </c>
      <c r="AN88" s="338"/>
      <c r="AO88" s="436">
        <f>IF(OR(AM88=0,AN88=0),'Data Standar'!$AA$204/3,((MAX(AM88:AN88)-(MIN(AM88:AN88)))))</f>
        <v>0.08</v>
      </c>
      <c r="AP88" s="434">
        <f>(0.16-0)/2</f>
        <v>0.08</v>
      </c>
      <c r="AQ88" s="423"/>
      <c r="AR88" s="435">
        <v>50</v>
      </c>
      <c r="AS88" s="338">
        <f>'Data Standar'!AB200</f>
        <v>0.34</v>
      </c>
      <c r="AT88" s="338"/>
      <c r="AU88" s="436">
        <f>IF(OR(AS88=0,AT88=0),'Data Standar'!$AB$204/3,((MAX(AS88:AT88)-(MIN(AS88:AT88)))))</f>
        <v>8.3333333333333329E-2</v>
      </c>
      <c r="AV88" s="434">
        <f>(0.16-0)/2</f>
        <v>0.08</v>
      </c>
      <c r="AW88" s="423"/>
      <c r="AX88" s="435">
        <v>50</v>
      </c>
      <c r="AY88" s="338">
        <f>'Data Standar'!AC200</f>
        <v>0.36</v>
      </c>
      <c r="AZ88" s="338"/>
      <c r="BA88" s="436">
        <f>IF(OR(AY88=0,AZ88=0),'Data Standar'!$AC$204/3,((MAX(AY88:AZ88)-(MIN(AY88:AZ88)))))</f>
        <v>0.26333333333333336</v>
      </c>
      <c r="BB88" s="434">
        <f>(0.16-0)/2</f>
        <v>0.08</v>
      </c>
      <c r="BC88" s="423"/>
      <c r="BD88" s="435">
        <v>50</v>
      </c>
      <c r="BE88" s="338">
        <f>'Data Standar'!AD200</f>
        <v>0.84</v>
      </c>
      <c r="BF88" s="338"/>
      <c r="BG88" s="436">
        <f>IF(OR(BE88=0,BF88=0),'Data Standar'!$AD$204/3,((MAX(BE88:BF88)-(MIN(BE88:BF88)))))</f>
        <v>9.0000000000000011E-2</v>
      </c>
      <c r="BH88" s="434">
        <f>(0.16-0)/2</f>
        <v>0.08</v>
      </c>
      <c r="BI88" s="423"/>
      <c r="BJ88" s="435">
        <v>50</v>
      </c>
      <c r="BK88" s="338">
        <f>'Data Standar'!AE200</f>
        <v>0.36</v>
      </c>
      <c r="BL88" s="338"/>
      <c r="BM88" s="436">
        <f>IF(OR(BK88=0,BL88=0),'Data Standar'!$AE$204/3,((MAX(BK88:BL88)-(MIN(BK88:BL88)))))</f>
        <v>0.26333333333333336</v>
      </c>
      <c r="BN88" s="434">
        <f>(0.16-0)/2</f>
        <v>0.08</v>
      </c>
      <c r="BO88" s="423"/>
      <c r="BP88" s="435">
        <v>50</v>
      </c>
      <c r="BQ88" s="338">
        <f>'Data Standar'!AF200</f>
        <v>0.66</v>
      </c>
      <c r="BR88" s="338"/>
      <c r="BS88" s="436">
        <f>IF(OR(BQ88=0,BR88=0),'Data Standar'!$AF$204/3,((MAX(BQ88:BR88)-(MIN(BQ88:BR88)))))</f>
        <v>8.666666666666667E-2</v>
      </c>
      <c r="BT88" s="434">
        <f>(0.16-0)/2</f>
        <v>0.08</v>
      </c>
      <c r="BU88" s="423"/>
      <c r="BV88" s="435">
        <v>50</v>
      </c>
      <c r="BW88" s="338">
        <f>'Data Standar'!AG200</f>
        <v>0.79</v>
      </c>
      <c r="BX88" s="338"/>
      <c r="BY88" s="436">
        <f>IF(OR(BW88=0,BX88=0),'Data Standar'!$AG$204/3,((MAX(BW88:BX88)-(MIN(BW88:BX88)))))</f>
        <v>8.3333333333333329E-2</v>
      </c>
      <c r="BZ88" s="434">
        <f>(0.16-0)/2</f>
        <v>0.08</v>
      </c>
      <c r="CA88" s="423"/>
      <c r="CB88" s="435">
        <v>50</v>
      </c>
      <c r="CC88" s="338">
        <f t="shared" si="40"/>
        <v>-1.6</v>
      </c>
      <c r="CD88" s="338">
        <f t="shared" si="39"/>
        <v>-0.7</v>
      </c>
      <c r="CE88" s="436">
        <f t="shared" si="42"/>
        <v>0.30000000000000004</v>
      </c>
      <c r="CF88" s="434">
        <f>(0.16-0)/2</f>
        <v>0.08</v>
      </c>
      <c r="CG88" s="423"/>
      <c r="CH88" s="435">
        <v>50</v>
      </c>
      <c r="CI88" s="338">
        <f t="shared" si="43"/>
        <v>0.27</v>
      </c>
      <c r="CJ88" s="338">
        <f t="shared" si="44"/>
        <v>0.22</v>
      </c>
      <c r="CK88" s="436">
        <f t="shared" si="45"/>
        <v>5.0000000000000017E-2</v>
      </c>
      <c r="CL88" s="434">
        <f>(0.16-0)/2</f>
        <v>0.08</v>
      </c>
      <c r="CM88" s="423"/>
      <c r="CN88" s="435">
        <v>50</v>
      </c>
      <c r="CO88" s="338">
        <f t="shared" si="46"/>
        <v>0.67</v>
      </c>
      <c r="CP88" s="338">
        <f t="shared" si="46"/>
        <v>0.56999999999999995</v>
      </c>
      <c r="CQ88" s="436">
        <f t="shared" si="47"/>
        <v>0.10000000000000009</v>
      </c>
      <c r="CR88" s="434">
        <f>(0.16-0)/2</f>
        <v>0.08</v>
      </c>
      <c r="CS88" s="423"/>
    </row>
    <row r="89" spans="1:97" s="427" customFormat="1" ht="13">
      <c r="A89" s="423"/>
      <c r="B89" s="435">
        <v>100</v>
      </c>
      <c r="C89" s="338">
        <v>0.23</v>
      </c>
      <c r="D89" s="338">
        <f>'Data Standar'!U201</f>
        <v>0.78</v>
      </c>
      <c r="E89" s="436">
        <f>IF(OR(C89=0,D89=0),'Data Standar'!$U$204/3,((MAX(C89:D89)-(MIN(C89:D89)))))</f>
        <v>0.55000000000000004</v>
      </c>
      <c r="F89" s="437">
        <f>(0.8+0.13)/2</f>
        <v>0.46500000000000002</v>
      </c>
      <c r="G89" s="438"/>
      <c r="H89" s="435">
        <v>100</v>
      </c>
      <c r="I89" s="338">
        <v>0.17</v>
      </c>
      <c r="J89" s="338">
        <f>'Data Standar'!V201</f>
        <v>0.57999999999999996</v>
      </c>
      <c r="K89" s="436">
        <f>IF(OR(I89=0,J89=0),'Data Standar'!$V$204/3,((MAX(I89:J89)-(MIN(I89:J89)))))</f>
        <v>0.40999999999999992</v>
      </c>
      <c r="L89" s="437">
        <f>(0.03-0)/2</f>
        <v>1.4999999999999999E-2</v>
      </c>
      <c r="M89" s="438"/>
      <c r="N89" s="435">
        <v>100</v>
      </c>
      <c r="O89" s="338">
        <v>0.05</v>
      </c>
      <c r="P89" s="338">
        <f>'Data Standar'!W201</f>
        <v>-0.14000000000000001</v>
      </c>
      <c r="Q89" s="436">
        <f>IF(OR(O89=0,P89=0),'Data Standar'!$W$204/3,((MAX(O89:P89)-(MIN(O89:P89)))))</f>
        <v>0.19</v>
      </c>
      <c r="R89" s="434">
        <f>(0.2-0)/2</f>
        <v>0.1</v>
      </c>
      <c r="S89" s="423"/>
      <c r="T89" s="435">
        <v>100</v>
      </c>
      <c r="U89" s="338">
        <f>'Data Standar'!X201</f>
        <v>0.65</v>
      </c>
      <c r="V89" s="338"/>
      <c r="W89" s="436">
        <f>IF(OR(U89=0,V89=0),'Data Standar'!$X$204/3,((MAX(U89:V89)-(MIN(U89:V89)))))</f>
        <v>8.666666666666667E-2</v>
      </c>
      <c r="X89" s="434">
        <f>(0.2-0)/2</f>
        <v>0.1</v>
      </c>
      <c r="Y89" s="423"/>
      <c r="Z89" s="435">
        <v>100</v>
      </c>
      <c r="AA89" s="338">
        <f>'Data Standar'!Y201</f>
        <v>0.28999999999999998</v>
      </c>
      <c r="AB89" s="338">
        <v>0.61</v>
      </c>
      <c r="AC89" s="436">
        <f>IF(OR(AA89=0,AB89=0),'Data Standar'!$Y$204/3,((MAX(AA89:AB89)-(MIN(AA89:AB89)))))</f>
        <v>0.32</v>
      </c>
      <c r="AD89" s="434">
        <f>(0.2-0)/2</f>
        <v>0.1</v>
      </c>
      <c r="AE89" s="423"/>
      <c r="AF89" s="435">
        <v>100</v>
      </c>
      <c r="AG89" s="338">
        <f>'Data Standar'!Z201</f>
        <v>0.28000000000000003</v>
      </c>
      <c r="AH89" s="338">
        <v>0.62</v>
      </c>
      <c r="AI89" s="436">
        <f>IF(OR(AG89=0,AH89=0),'Data Standar'!$Z$204/3,((MAX(AG89:AH89)-(MIN(AG89:AH89)))))</f>
        <v>0.33999999999999997</v>
      </c>
      <c r="AJ89" s="434">
        <f>(0.2-0)/2</f>
        <v>0.1</v>
      </c>
      <c r="AK89" s="423"/>
      <c r="AL89" s="435">
        <v>100</v>
      </c>
      <c r="AM89" s="338">
        <f>'Data Standar'!AA201</f>
        <v>0.53</v>
      </c>
      <c r="AN89" s="338"/>
      <c r="AO89" s="436">
        <f>IF(OR(AM89=0,AN89=0),'Data Standar'!$AA$204/3,((MAX(AM89:AN89)-(MIN(AM89:AN89)))))</f>
        <v>0.08</v>
      </c>
      <c r="AP89" s="434">
        <f>(0.2-0)/2</f>
        <v>0.1</v>
      </c>
      <c r="AQ89" s="423"/>
      <c r="AR89" s="435">
        <v>100</v>
      </c>
      <c r="AS89" s="338">
        <f>'Data Standar'!AB201</f>
        <v>0.46</v>
      </c>
      <c r="AT89" s="338"/>
      <c r="AU89" s="436">
        <f>IF(OR(AS89=0,AT89=0),'Data Standar'!$AB$204/3,((MAX(AS89:AT89)-(MIN(AS89:AT89)))))</f>
        <v>8.3333333333333329E-2</v>
      </c>
      <c r="AV89" s="434">
        <f>(0.2-0)/2</f>
        <v>0.1</v>
      </c>
      <c r="AW89" s="423"/>
      <c r="AX89" s="435">
        <v>100</v>
      </c>
      <c r="AY89" s="338">
        <f>'Data Standar'!AC201</f>
        <v>0.17</v>
      </c>
      <c r="AZ89" s="338"/>
      <c r="BA89" s="436">
        <f>IF(OR(AY89=0,AZ89=0),'Data Standar'!$AC$204/3,((MAX(AY89:AZ89)-(MIN(AY89:AZ89)))))</f>
        <v>0.26333333333333336</v>
      </c>
      <c r="BB89" s="434">
        <f>(0.2-0)/2</f>
        <v>0.1</v>
      </c>
      <c r="BC89" s="423"/>
      <c r="BD89" s="435">
        <v>100</v>
      </c>
      <c r="BE89" s="338">
        <f>'Data Standar'!AD201</f>
        <v>0.63</v>
      </c>
      <c r="BF89" s="338"/>
      <c r="BG89" s="436">
        <f>IF(OR(BE89=0,BF89=0),'Data Standar'!$AD$204/3,((MAX(BE89:BF89)-(MIN(BE89:BF89)))))</f>
        <v>9.0000000000000011E-2</v>
      </c>
      <c r="BH89" s="434">
        <f>(0.2-0)/2</f>
        <v>0.1</v>
      </c>
      <c r="BI89" s="423"/>
      <c r="BJ89" s="435">
        <v>100</v>
      </c>
      <c r="BK89" s="338">
        <f>'Data Standar'!AE201</f>
        <v>0.17</v>
      </c>
      <c r="BL89" s="338"/>
      <c r="BM89" s="436">
        <f>IF(OR(BK89=0,BL89=0),'Data Standar'!$AE$204/3,((MAX(BK89:BL89)-(MIN(BK89:BL89)))))</f>
        <v>0.26333333333333336</v>
      </c>
      <c r="BN89" s="434">
        <f>(0.2-0)/2</f>
        <v>0.1</v>
      </c>
      <c r="BO89" s="423"/>
      <c r="BP89" s="435">
        <v>100</v>
      </c>
      <c r="BQ89" s="338">
        <f>'Data Standar'!AF201</f>
        <v>0.63</v>
      </c>
      <c r="BR89" s="338"/>
      <c r="BS89" s="436">
        <f>IF(OR(BQ89=0,BR89=0),'Data Standar'!$AF$204/3,((MAX(BQ89:BR89)-(MIN(BQ89:BR89)))))</f>
        <v>8.666666666666667E-2</v>
      </c>
      <c r="BT89" s="434">
        <f>(0.2-0)/2</f>
        <v>0.1</v>
      </c>
      <c r="BU89" s="423"/>
      <c r="BV89" s="435">
        <v>100</v>
      </c>
      <c r="BW89" s="338">
        <f>'Data Standar'!AG201</f>
        <v>0.87</v>
      </c>
      <c r="BX89" s="338"/>
      <c r="BY89" s="436">
        <f>IF(OR(BW89=0,BX89=0),'Data Standar'!$AG$204/3,((MAX(BW89:BX89)-(MIN(BW89:BX89)))))</f>
        <v>8.3333333333333329E-2</v>
      </c>
      <c r="BZ89" s="434">
        <f>(0.2-0)/2</f>
        <v>0.1</v>
      </c>
      <c r="CA89" s="423"/>
      <c r="CB89" s="435">
        <v>100</v>
      </c>
      <c r="CC89" s="338">
        <f t="shared" si="40"/>
        <v>-1.7</v>
      </c>
      <c r="CD89" s="338">
        <f t="shared" si="39"/>
        <v>-0.7</v>
      </c>
      <c r="CE89" s="436">
        <f t="shared" si="42"/>
        <v>0.90000000000000013</v>
      </c>
      <c r="CF89" s="434">
        <f>(0.2-0)/2</f>
        <v>0.1</v>
      </c>
      <c r="CG89" s="423"/>
      <c r="CH89" s="435">
        <v>100</v>
      </c>
      <c r="CI89" s="338">
        <f t="shared" si="43"/>
        <v>0.31</v>
      </c>
      <c r="CJ89" s="338">
        <f t="shared" si="44"/>
        <v>0.23</v>
      </c>
      <c r="CK89" s="436">
        <f t="shared" si="45"/>
        <v>7.9999999999999988E-2</v>
      </c>
      <c r="CL89" s="434">
        <f>(0.2-0)/2</f>
        <v>0.1</v>
      </c>
      <c r="CM89" s="423"/>
      <c r="CN89" s="435">
        <v>100</v>
      </c>
      <c r="CO89" s="338">
        <f t="shared" si="46"/>
        <v>0.95</v>
      </c>
      <c r="CP89" s="338">
        <f t="shared" si="46"/>
        <v>0.81</v>
      </c>
      <c r="CQ89" s="436">
        <f t="shared" si="47"/>
        <v>0.1399999999999999</v>
      </c>
      <c r="CR89" s="434">
        <f>(0.2-0)/2</f>
        <v>0.1</v>
      </c>
      <c r="CS89" s="423"/>
    </row>
    <row r="90" spans="1:97" s="427" customFormat="1" ht="13">
      <c r="A90" s="423"/>
      <c r="B90" s="435">
        <v>150</v>
      </c>
      <c r="C90" s="338">
        <v>0.22</v>
      </c>
      <c r="D90" s="338">
        <f>'Data Standar'!U202</f>
        <v>0.77</v>
      </c>
      <c r="E90" s="436">
        <f>IF(OR(C90=0,D90=0),'Data Standar'!$U$204/3,((MAX(C90:D90)-(MIN(C90:D90)))))</f>
        <v>0.55000000000000004</v>
      </c>
      <c r="F90" s="437">
        <f>(0.26+0.06)/2</f>
        <v>0.16</v>
      </c>
      <c r="G90" s="438"/>
      <c r="H90" s="435">
        <v>150</v>
      </c>
      <c r="I90" s="338">
        <v>0.02</v>
      </c>
      <c r="J90" s="338">
        <f>'Data Standar'!V202</f>
        <v>0.57999999999999996</v>
      </c>
      <c r="K90" s="436">
        <f>IF(OR(I90=0,J90=0),'Data Standar'!$V$204/3,((MAX(I90:J90)-(MIN(I90:J90)))))</f>
        <v>0.55999999999999994</v>
      </c>
      <c r="L90" s="437">
        <f>(0.28-0)/2</f>
        <v>0.14000000000000001</v>
      </c>
      <c r="M90" s="438"/>
      <c r="N90" s="435">
        <v>150</v>
      </c>
      <c r="O90" s="338">
        <v>-0.17</v>
      </c>
      <c r="P90" s="338">
        <f>'Data Standar'!W202</f>
        <v>-0.24</v>
      </c>
      <c r="Q90" s="436">
        <f>IF(OR(O90=0,P90=0),'Data Standar'!$W$204/3,((MAX(O90:P90)-(MIN(O90:P90)))))</f>
        <v>6.9999999999999979E-2</v>
      </c>
      <c r="R90" s="434">
        <f>(0.21-0)/2</f>
        <v>0.105</v>
      </c>
      <c r="S90" s="423"/>
      <c r="T90" s="435">
        <v>150</v>
      </c>
      <c r="U90" s="338">
        <f>'Data Standar'!X202</f>
        <v>-0.23</v>
      </c>
      <c r="V90" s="338"/>
      <c r="W90" s="436">
        <f>IF(OR(U90=0,V90=0),'Data Standar'!$X$204/3,((MAX(U90:V90)-(MIN(U90:V90)))))</f>
        <v>8.666666666666667E-2</v>
      </c>
      <c r="X90" s="434">
        <f>(0.21-0)/2</f>
        <v>0.105</v>
      </c>
      <c r="Y90" s="423"/>
      <c r="Z90" s="435">
        <v>150</v>
      </c>
      <c r="AA90" s="338">
        <f>'Data Standar'!Y202</f>
        <v>0.47</v>
      </c>
      <c r="AB90" s="338">
        <v>0.3</v>
      </c>
      <c r="AC90" s="436">
        <f>IF(OR(AA90=0,AB90=0),'Data Standar'!$Y$204/3,((MAX(AA90:AB90)-(MIN(AA90:AB90)))))</f>
        <v>0.16999999999999998</v>
      </c>
      <c r="AD90" s="434">
        <f>(0.21-0)/2</f>
        <v>0.105</v>
      </c>
      <c r="AE90" s="423"/>
      <c r="AF90" s="435">
        <v>150</v>
      </c>
      <c r="AG90" s="338">
        <f>'Data Standar'!Z202</f>
        <v>0.48</v>
      </c>
      <c r="AH90" s="338">
        <v>0.17</v>
      </c>
      <c r="AI90" s="436">
        <f>IF(OR(AG90=0,AH90=0),'Data Standar'!$Z$204/3,((MAX(AG90:AH90)-(MIN(AG90:AH90)))))</f>
        <v>0.30999999999999994</v>
      </c>
      <c r="AJ90" s="434">
        <f>(0.21-0)/2</f>
        <v>0.105</v>
      </c>
      <c r="AK90" s="423"/>
      <c r="AL90" s="435">
        <v>150</v>
      </c>
      <c r="AM90" s="338">
        <f>'Data Standar'!AA202</f>
        <v>0.69</v>
      </c>
      <c r="AN90" s="338"/>
      <c r="AO90" s="436">
        <f>IF(OR(AM90=0,AN90=0),'Data Standar'!$AA$204/3,((MAX(AM90:AN90)-(MIN(AM90:AN90)))))</f>
        <v>0.08</v>
      </c>
      <c r="AP90" s="434">
        <f>(0.21-0)/2</f>
        <v>0.105</v>
      </c>
      <c r="AQ90" s="423"/>
      <c r="AR90" s="435">
        <v>150</v>
      </c>
      <c r="AS90" s="338">
        <f>'Data Standar'!AB202</f>
        <v>0.68</v>
      </c>
      <c r="AT90" s="338"/>
      <c r="AU90" s="436">
        <f>IF(OR(AS90=0,AT90=0),'Data Standar'!$AB$204/3,((MAX(AS90:AT90)-(MIN(AS90:AT90)))))</f>
        <v>8.3333333333333329E-2</v>
      </c>
      <c r="AV90" s="434">
        <f>(0.21-0)/2</f>
        <v>0.105</v>
      </c>
      <c r="AW90" s="423"/>
      <c r="AX90" s="435">
        <v>150</v>
      </c>
      <c r="AY90" s="338">
        <f>'Data Standar'!AC202</f>
        <v>-0.05</v>
      </c>
      <c r="AZ90" s="338"/>
      <c r="BA90" s="436">
        <f>IF(OR(AY90=0,AZ90=0),'Data Standar'!$AC$204/3,((MAX(AY90:AZ90)-(MIN(AY90:AZ90)))))</f>
        <v>0.26333333333333336</v>
      </c>
      <c r="BB90" s="434">
        <f>(0.21-0)/2</f>
        <v>0.105</v>
      </c>
      <c r="BC90" s="423"/>
      <c r="BD90" s="435">
        <v>150</v>
      </c>
      <c r="BE90" s="338">
        <f>'Data Standar'!AD202</f>
        <v>-0.04</v>
      </c>
      <c r="BF90" s="338"/>
      <c r="BG90" s="436">
        <f>IF(OR(BE90=0,BF90=0),'Data Standar'!$AD$204/3,((MAX(BE90:BF90)-(MIN(BE90:BF90)))))</f>
        <v>9.0000000000000011E-2</v>
      </c>
      <c r="BH90" s="434">
        <f>(0.21-0)/2</f>
        <v>0.105</v>
      </c>
      <c r="BI90" s="423"/>
      <c r="BJ90" s="435">
        <v>150</v>
      </c>
      <c r="BK90" s="338">
        <f>'Data Standar'!AE202</f>
        <v>-0.05</v>
      </c>
      <c r="BL90" s="338"/>
      <c r="BM90" s="436">
        <f>IF(OR(BK90=0,BL90=0),'Data Standar'!$AE$204/3,((MAX(BK90:BL90)-(MIN(BK90:BL90)))))</f>
        <v>0.26333333333333336</v>
      </c>
      <c r="BN90" s="434">
        <f>(0.21-0)/2</f>
        <v>0.105</v>
      </c>
      <c r="BO90" s="423"/>
      <c r="BP90" s="435">
        <v>150</v>
      </c>
      <c r="BQ90" s="338">
        <f>'Data Standar'!AF202</f>
        <v>-0.1</v>
      </c>
      <c r="BR90" s="338"/>
      <c r="BS90" s="436">
        <f>IF(OR(BQ90=0,BR90=0),'Data Standar'!$AF$204/3,((MAX(BQ90:BR90)-(MIN(BQ90:BR90)))))</f>
        <v>8.666666666666667E-2</v>
      </c>
      <c r="BT90" s="434">
        <f>(0.21-0)/2</f>
        <v>0.105</v>
      </c>
      <c r="BU90" s="423"/>
      <c r="BV90" s="435">
        <v>150</v>
      </c>
      <c r="BW90" s="338">
        <f>'Data Standar'!AG202</f>
        <v>7.0000000000000007E-2</v>
      </c>
      <c r="BX90" s="338"/>
      <c r="BY90" s="436">
        <f>IF(OR(BW90=0,BX90=0),'Data Standar'!$AG$204/3,((MAX(BW90:BX90)-(MIN(BW90:BX90)))))</f>
        <v>8.3333333333333329E-2</v>
      </c>
      <c r="BZ90" s="434">
        <f>(0.21-0)/2</f>
        <v>0.105</v>
      </c>
      <c r="CA90" s="423"/>
      <c r="CB90" s="435">
        <v>150</v>
      </c>
      <c r="CC90" s="338">
        <f t="shared" si="40"/>
        <v>-0.9</v>
      </c>
      <c r="CD90" s="338">
        <f t="shared" si="39"/>
        <v>-0.7</v>
      </c>
      <c r="CE90" s="436">
        <f t="shared" si="42"/>
        <v>1</v>
      </c>
      <c r="CF90" s="434">
        <f>(0.21-0)/2</f>
        <v>0.105</v>
      </c>
      <c r="CG90" s="423"/>
      <c r="CH90" s="435">
        <v>150</v>
      </c>
      <c r="CI90" s="338">
        <f t="shared" si="43"/>
        <v>0.3</v>
      </c>
      <c r="CJ90" s="338">
        <f t="shared" si="44"/>
        <v>0.22</v>
      </c>
      <c r="CK90" s="436">
        <f t="shared" si="45"/>
        <v>7.9999999999999988E-2</v>
      </c>
      <c r="CL90" s="434">
        <f>(0.21-0)/2</f>
        <v>0.105</v>
      </c>
      <c r="CM90" s="423"/>
      <c r="CN90" s="435">
        <v>150</v>
      </c>
      <c r="CO90" s="338">
        <f t="shared" si="46"/>
        <v>0.49</v>
      </c>
      <c r="CP90" s="338">
        <f t="shared" si="46"/>
        <v>0.87</v>
      </c>
      <c r="CQ90" s="436">
        <f t="shared" si="47"/>
        <v>0.38</v>
      </c>
      <c r="CR90" s="434">
        <f>(0.21-0)/2</f>
        <v>0.105</v>
      </c>
      <c r="CS90" s="423"/>
    </row>
    <row r="91" spans="1:97" s="427" customFormat="1" ht="13">
      <c r="A91" s="423"/>
      <c r="B91" s="435">
        <v>200</v>
      </c>
      <c r="C91" s="338">
        <v>0.47</v>
      </c>
      <c r="D91" s="338">
        <f>'Data Standar'!U203</f>
        <v>0.06</v>
      </c>
      <c r="E91" s="436">
        <f>IF(OR(C91=0,D91=0),'Data Standar'!$U$204/3,((MAX(C91:D91)-(MIN(C91:D91)))))</f>
        <v>0.41</v>
      </c>
      <c r="F91" s="437">
        <f>(0.31+0.37)/2</f>
        <v>0.33999999999999997</v>
      </c>
      <c r="G91" s="438"/>
      <c r="H91" s="435">
        <v>200</v>
      </c>
      <c r="I91" s="338">
        <v>0.3</v>
      </c>
      <c r="J91" s="338">
        <f>'Data Standar'!V203</f>
        <v>0.26</v>
      </c>
      <c r="K91" s="436">
        <f>IF(OR(I91=0,J91=0),'Data Standar'!$V$204/3,((MAX(I91:J91)-(MIN(I91:J91)))))</f>
        <v>3.999999999999998E-2</v>
      </c>
      <c r="L91" s="437">
        <f>(0.67-0)/2</f>
        <v>0.33500000000000002</v>
      </c>
      <c r="M91" s="438"/>
      <c r="N91" s="435">
        <v>200</v>
      </c>
      <c r="O91" s="338">
        <v>0.21</v>
      </c>
      <c r="P91" s="338">
        <f>'Data Standar'!W203</f>
        <v>0.03</v>
      </c>
      <c r="Q91" s="436">
        <f>IF(OR(O91=0,P91=0),'Data Standar'!$W$204/3,((MAX(O91:P91)-(MIN(O91:P91)))))</f>
        <v>0.18</v>
      </c>
      <c r="R91" s="434">
        <f>(0.18-0)/2</f>
        <v>0.09</v>
      </c>
      <c r="S91" s="423"/>
      <c r="T91" s="435">
        <v>200</v>
      </c>
      <c r="U91" s="338">
        <f>'Data Standar'!X203</f>
        <v>-1.1299999999999999</v>
      </c>
      <c r="V91" s="338"/>
      <c r="W91" s="436">
        <f>IF(OR(U91=0,V91=0),'Data Standar'!$X$204/3,((MAX(U91:V91)-(MIN(U91:V91)))))</f>
        <v>8.666666666666667E-2</v>
      </c>
      <c r="X91" s="434">
        <f>(0.18-0)/2</f>
        <v>0.09</v>
      </c>
      <c r="Y91" s="423"/>
      <c r="Z91" s="435">
        <v>200</v>
      </c>
      <c r="AA91" s="338">
        <f>'Data Standar'!Y203</f>
        <v>0.71</v>
      </c>
      <c r="AB91" s="338">
        <v>-0.08</v>
      </c>
      <c r="AC91" s="436">
        <f>IF(OR(AA91=0,AB91=0),'Data Standar'!$Y$204/3,((MAX(AA91:AB91)-(MIN(AA91:AB91)))))</f>
        <v>0.78999999999999992</v>
      </c>
      <c r="AD91" s="434">
        <f>(0.18-0)/2</f>
        <v>0.09</v>
      </c>
      <c r="AE91" s="423"/>
      <c r="AF91" s="435">
        <v>200</v>
      </c>
      <c r="AG91" s="338">
        <f>'Data Standar'!Z203</f>
        <v>0.75</v>
      </c>
      <c r="AH91" s="338">
        <v>-0.24</v>
      </c>
      <c r="AI91" s="436">
        <f>IF(OR(AG91=0,AH91=0),'Data Standar'!$Z$204/3,((MAX(AG91:AH91)-(MIN(AG91:AH91)))))</f>
        <v>0.99</v>
      </c>
      <c r="AJ91" s="434">
        <f>(0.18-0)/2</f>
        <v>0.09</v>
      </c>
      <c r="AK91" s="423"/>
      <c r="AL91" s="435">
        <v>200</v>
      </c>
      <c r="AM91" s="338">
        <f>'Data Standar'!AA203</f>
        <v>0.92</v>
      </c>
      <c r="AN91" s="338"/>
      <c r="AO91" s="436">
        <f>IF(OR(AM91=0,AN91=0),'Data Standar'!$AA$204/3,((MAX(AM91:AN91)-(MIN(AM91:AN91)))))</f>
        <v>0.08</v>
      </c>
      <c r="AP91" s="434">
        <f>(0.18-0)/2</f>
        <v>0.09</v>
      </c>
      <c r="AQ91" s="423"/>
      <c r="AR91" s="435">
        <v>200</v>
      </c>
      <c r="AS91" s="338">
        <f>'Data Standar'!AB203</f>
        <v>0.91</v>
      </c>
      <c r="AT91" s="338"/>
      <c r="AU91" s="436">
        <f>IF(OR(AS91=0,AT91=0),'Data Standar'!$AB$204/3,((MAX(AS91:AT91)-(MIN(AS91:AT91)))))</f>
        <v>8.3333333333333329E-2</v>
      </c>
      <c r="AV91" s="434">
        <f>(0.18-0)/2</f>
        <v>0.09</v>
      </c>
      <c r="AW91" s="423"/>
      <c r="AX91" s="435">
        <v>200</v>
      </c>
      <c r="AY91" s="338">
        <f>'Data Standar'!AC203</f>
        <v>-0.28999999999999998</v>
      </c>
      <c r="AZ91" s="338"/>
      <c r="BA91" s="436">
        <f>IF(OR(AY91=0,AZ91=0),'Data Standar'!$AC$204/3,((MAX(AY91:AZ91)-(MIN(AY91:AZ91)))))</f>
        <v>0.26333333333333336</v>
      </c>
      <c r="BB91" s="434">
        <f>(0.18-0)/2</f>
        <v>0.09</v>
      </c>
      <c r="BC91" s="423"/>
      <c r="BD91" s="435">
        <v>200</v>
      </c>
      <c r="BE91" s="338">
        <f>'Data Standar'!AD203</f>
        <v>-0.26</v>
      </c>
      <c r="BF91" s="338"/>
      <c r="BG91" s="436">
        <f>IF(OR(BE91=0,BF91=0),'Data Standar'!$AD$204/3,((MAX(BE91:BF91)-(MIN(BE91:BF91)))))</f>
        <v>9.0000000000000011E-2</v>
      </c>
      <c r="BH91" s="434">
        <f>(0.18-0)/2</f>
        <v>0.09</v>
      </c>
      <c r="BI91" s="423"/>
      <c r="BJ91" s="435">
        <v>200</v>
      </c>
      <c r="BK91" s="338">
        <f>'Data Standar'!AE203</f>
        <v>-0.28999999999999998</v>
      </c>
      <c r="BL91" s="338"/>
      <c r="BM91" s="436">
        <f>IF(OR(BK91=0,BL91=0),'Data Standar'!$AE$204/3,((MAX(BK91:BL91)-(MIN(BK91:BL91)))))</f>
        <v>0.26333333333333336</v>
      </c>
      <c r="BN91" s="434">
        <f>(0.18-0)/2</f>
        <v>0.09</v>
      </c>
      <c r="BO91" s="423"/>
      <c r="BP91" s="435">
        <v>200</v>
      </c>
      <c r="BQ91" s="338">
        <f>'Data Standar'!AF203</f>
        <v>-0.93</v>
      </c>
      <c r="BR91" s="338"/>
      <c r="BS91" s="436">
        <f>IF(OR(BQ91=0,BR91=0),'Data Standar'!$AF$204/3,((MAX(BQ91:BR91)-(MIN(BQ91:BR91)))))</f>
        <v>8.666666666666667E-2</v>
      </c>
      <c r="BT91" s="434">
        <f>(0.18-0)/2</f>
        <v>0.09</v>
      </c>
      <c r="BU91" s="423"/>
      <c r="BV91" s="435">
        <v>200</v>
      </c>
      <c r="BW91" s="338">
        <f>'Data Standar'!AG203</f>
        <v>-1.1000000000000001</v>
      </c>
      <c r="BX91" s="338"/>
      <c r="BY91" s="436">
        <f>IF(OR(BW91=0,BX91=0),'Data Standar'!$AG$204/3,((MAX(BW91:BX91)-(MIN(BW91:BX91)))))</f>
        <v>8.3333333333333329E-2</v>
      </c>
      <c r="BZ91" s="434">
        <f>(0.18-0)/2</f>
        <v>0.09</v>
      </c>
      <c r="CA91" s="423"/>
      <c r="CB91" s="435">
        <v>200</v>
      </c>
      <c r="CC91" s="338">
        <f t="shared" si="40"/>
        <v>0</v>
      </c>
      <c r="CD91" s="338">
        <f t="shared" si="39"/>
        <v>-0.6</v>
      </c>
      <c r="CE91" s="436">
        <f t="shared" si="42"/>
        <v>0.30000000000000004</v>
      </c>
      <c r="CF91" s="434">
        <f>(0.18-0)/2</f>
        <v>0.09</v>
      </c>
      <c r="CG91" s="423"/>
      <c r="CH91" s="435">
        <v>200</v>
      </c>
      <c r="CI91" s="338">
        <f t="shared" si="43"/>
        <v>0.34</v>
      </c>
      <c r="CJ91" s="338">
        <f t="shared" si="44"/>
        <v>0.47</v>
      </c>
      <c r="CK91" s="436">
        <f t="shared" si="45"/>
        <v>0.12999999999999995</v>
      </c>
      <c r="CL91" s="434">
        <f>(0.18-0)/2</f>
        <v>0.09</v>
      </c>
      <c r="CM91" s="423"/>
      <c r="CN91" s="435">
        <v>200</v>
      </c>
      <c r="CO91" s="338">
        <f t="shared" si="46"/>
        <v>-0.26</v>
      </c>
      <c r="CP91" s="338">
        <f t="shared" si="46"/>
        <v>0.99</v>
      </c>
      <c r="CQ91" s="436">
        <f t="shared" si="47"/>
        <v>1.25</v>
      </c>
      <c r="CR91" s="434">
        <f>(0.18-0)/2</f>
        <v>0.09</v>
      </c>
      <c r="CS91" s="423"/>
    </row>
    <row r="92" spans="1:97" s="423" customFormat="1" ht="13">
      <c r="B92" s="442"/>
      <c r="C92" s="424"/>
      <c r="D92" s="424"/>
      <c r="E92" s="440"/>
      <c r="F92" s="438"/>
      <c r="G92" s="438"/>
      <c r="H92" s="442"/>
      <c r="I92" s="424"/>
      <c r="J92" s="424"/>
      <c r="K92" s="440"/>
      <c r="L92" s="425"/>
      <c r="M92" s="438"/>
      <c r="N92" s="442"/>
      <c r="O92" s="424"/>
      <c r="P92" s="424"/>
      <c r="Q92" s="440"/>
      <c r="R92" s="425"/>
      <c r="T92" s="442"/>
      <c r="U92" s="424"/>
      <c r="V92" s="424"/>
      <c r="W92" s="440"/>
      <c r="X92" s="425"/>
      <c r="Z92" s="442"/>
      <c r="AA92" s="424"/>
      <c r="AB92" s="424"/>
      <c r="AC92" s="440"/>
      <c r="AD92" s="425"/>
      <c r="AF92" s="442"/>
      <c r="AG92" s="424"/>
      <c r="AH92" s="424"/>
      <c r="AI92" s="440"/>
      <c r="AJ92" s="425"/>
      <c r="AL92" s="442"/>
      <c r="AM92" s="424"/>
      <c r="AN92" s="424"/>
      <c r="AO92" s="440"/>
      <c r="AP92" s="425"/>
      <c r="AR92" s="442"/>
      <c r="AS92" s="424"/>
      <c r="AT92" s="424"/>
      <c r="AU92" s="440"/>
      <c r="AV92" s="425"/>
      <c r="AX92" s="442"/>
      <c r="AY92" s="424"/>
      <c r="AZ92" s="424"/>
      <c r="BA92" s="440"/>
      <c r="BB92" s="425"/>
      <c r="BD92" s="442"/>
      <c r="BE92" s="424"/>
      <c r="BF92" s="424"/>
      <c r="BG92" s="440"/>
      <c r="BH92" s="425"/>
      <c r="BJ92" s="442"/>
      <c r="BK92" s="424"/>
      <c r="BL92" s="424"/>
      <c r="BM92" s="440"/>
      <c r="BN92" s="425"/>
      <c r="BP92" s="442"/>
      <c r="BQ92" s="424"/>
      <c r="BR92" s="424"/>
      <c r="BS92" s="440"/>
      <c r="BT92" s="425"/>
      <c r="BV92" s="442"/>
      <c r="BW92" s="424"/>
      <c r="BX92" s="424"/>
      <c r="BY92" s="440"/>
      <c r="BZ92" s="425"/>
      <c r="CB92" s="442"/>
      <c r="CC92" s="424"/>
      <c r="CD92" s="424"/>
      <c r="CE92" s="440"/>
      <c r="CF92" s="425"/>
      <c r="CH92" s="442"/>
      <c r="CI92" s="424"/>
      <c r="CJ92" s="424"/>
      <c r="CK92" s="440"/>
      <c r="CL92" s="425"/>
      <c r="CN92" s="442"/>
      <c r="CO92" s="424"/>
      <c r="CP92" s="424"/>
      <c r="CQ92" s="440"/>
      <c r="CR92" s="425"/>
    </row>
    <row r="93" spans="1:97" s="427" customFormat="1" ht="38.5" customHeight="1">
      <c r="A93" s="423"/>
      <c r="B93" s="1317" t="s">
        <v>391</v>
      </c>
      <c r="C93" s="1315" t="str">
        <f>C78</f>
        <v>Thermocouple Data Logger, Merek : MADGETECH, Model : OctTemp 2000, SN : P40270</v>
      </c>
      <c r="D93" s="1315"/>
      <c r="E93" s="1315"/>
      <c r="F93" s="426" t="s">
        <v>383</v>
      </c>
      <c r="G93" s="984">
        <f>Drift!$B$165</f>
        <v>161.46416666666667</v>
      </c>
      <c r="H93" s="1317" t="s">
        <v>391</v>
      </c>
      <c r="I93" s="1315" t="str">
        <f>I78</f>
        <v>Thermocouple Data Logger, Merek : MADGETECH, Model : OctTemp 2000, SN : P41878</v>
      </c>
      <c r="J93" s="1315"/>
      <c r="K93" s="1315"/>
      <c r="L93" s="426" t="s">
        <v>383</v>
      </c>
      <c r="M93" s="984">
        <f>Drift!$B$165</f>
        <v>161.46416666666667</v>
      </c>
      <c r="N93" s="1317" t="s">
        <v>391</v>
      </c>
      <c r="O93" s="1315" t="str">
        <f>O78</f>
        <v>Mobile Corder, Merek : Yokogawa, Model : GP 10, SN : S5T810599</v>
      </c>
      <c r="P93" s="1316"/>
      <c r="Q93" s="1315"/>
      <c r="R93" s="426" t="s">
        <v>383</v>
      </c>
      <c r="S93" s="984">
        <f>Drift!$B$165</f>
        <v>161.46416666666667</v>
      </c>
      <c r="T93" s="1317" t="s">
        <v>391</v>
      </c>
      <c r="U93" s="1315" t="str">
        <f>U78</f>
        <v>Wireless Temperature Recorder : Merek : HIOKI, Model : LR 8510, SN : 200936000</v>
      </c>
      <c r="V93" s="1316"/>
      <c r="W93" s="1315"/>
      <c r="X93" s="426" t="s">
        <v>383</v>
      </c>
      <c r="Y93" s="984">
        <f>Drift!$B$165</f>
        <v>161.46416666666667</v>
      </c>
      <c r="Z93" s="1317" t="s">
        <v>391</v>
      </c>
      <c r="AA93" s="1315" t="str">
        <f>AA78</f>
        <v>Wireless Temperature Recorder : Merek : HIOKI, Model : LR 8510, SN : 200936001</v>
      </c>
      <c r="AB93" s="1316"/>
      <c r="AC93" s="1315"/>
      <c r="AD93" s="426" t="s">
        <v>383</v>
      </c>
      <c r="AE93" s="984">
        <f>Drift!$B$165</f>
        <v>161.46416666666667</v>
      </c>
      <c r="AF93" s="1317" t="s">
        <v>391</v>
      </c>
      <c r="AG93" s="1315" t="str">
        <f>AG78</f>
        <v>Wireless Temperature Recorder : Merek : HIOKI, Model : LR 8510, SN : 200821397</v>
      </c>
      <c r="AH93" s="1316"/>
      <c r="AI93" s="1315"/>
      <c r="AJ93" s="426" t="s">
        <v>383</v>
      </c>
      <c r="AK93" s="984">
        <f>Drift!$B$165</f>
        <v>161.46416666666667</v>
      </c>
      <c r="AL93" s="1317" t="s">
        <v>391</v>
      </c>
      <c r="AM93" s="1315" t="str">
        <f>AM78</f>
        <v>Wireless Temperature Recorder : Merek : HIOKI, Model : LR 8510, SN : 210411983</v>
      </c>
      <c r="AN93" s="1316"/>
      <c r="AO93" s="1315"/>
      <c r="AP93" s="426" t="s">
        <v>383</v>
      </c>
      <c r="AQ93" s="984">
        <f>Drift!$B$165</f>
        <v>161.46416666666667</v>
      </c>
      <c r="AR93" s="1317" t="s">
        <v>391</v>
      </c>
      <c r="AS93" s="1315" t="str">
        <f>AS78</f>
        <v>Wireless Temperature Recorder : Merek : HIOKI, Model : LR 8510, SN : 210411984</v>
      </c>
      <c r="AT93" s="1316"/>
      <c r="AU93" s="1315"/>
      <c r="AV93" s="426" t="s">
        <v>383</v>
      </c>
      <c r="AW93" s="984">
        <f>Drift!$B$165</f>
        <v>161.46416666666667</v>
      </c>
      <c r="AX93" s="1317" t="s">
        <v>391</v>
      </c>
      <c r="AY93" s="1315" t="str">
        <f>AY78</f>
        <v>Wireless Temperature Recorder : Merek : HIOKI, Model : LR 8510, SN : 210411985</v>
      </c>
      <c r="AZ93" s="1316"/>
      <c r="BA93" s="1315"/>
      <c r="BB93" s="426" t="s">
        <v>383</v>
      </c>
      <c r="BC93" s="984">
        <f>Drift!$B$165</f>
        <v>161.46416666666667</v>
      </c>
      <c r="BD93" s="1317" t="s">
        <v>391</v>
      </c>
      <c r="BE93" s="1315" t="str">
        <f>BE78</f>
        <v>Wireless Temperature Recorder : Merek : HIOKI, Model : LR 8510, SN : 210746054</v>
      </c>
      <c r="BF93" s="1316"/>
      <c r="BG93" s="1315"/>
      <c r="BH93" s="426" t="s">
        <v>383</v>
      </c>
      <c r="BI93" s="984">
        <f>Drift!$B$165</f>
        <v>161.46416666666667</v>
      </c>
      <c r="BJ93" s="1317" t="s">
        <v>391</v>
      </c>
      <c r="BK93" s="1315" t="str">
        <f>BK78</f>
        <v>Wireless Temperature Recorder : Merek : HIOKI, Model : LR 8510, SN : 210746055</v>
      </c>
      <c r="BL93" s="1316"/>
      <c r="BM93" s="1315"/>
      <c r="BN93" s="426" t="s">
        <v>383</v>
      </c>
      <c r="BO93" s="984">
        <f>Drift!$B$165</f>
        <v>161.46416666666667</v>
      </c>
      <c r="BP93" s="1319" t="s">
        <v>391</v>
      </c>
      <c r="BQ93" s="1315" t="str">
        <f>BQ78</f>
        <v>Wireless Temperature Recorder : Merek : HIOKI, Model : LR 8510, SN : 210746056</v>
      </c>
      <c r="BR93" s="1316"/>
      <c r="BS93" s="1315"/>
      <c r="BT93" s="426" t="s">
        <v>383</v>
      </c>
      <c r="BU93" s="984">
        <f>Drift!$B$165</f>
        <v>161.46416666666667</v>
      </c>
      <c r="BV93" s="1317" t="s">
        <v>391</v>
      </c>
      <c r="BW93" s="1315" t="str">
        <f>BW78</f>
        <v>Wireless Temperature Recorder : Merek : HIOKI, Model : LR 8510, SN : 200821396</v>
      </c>
      <c r="BX93" s="1316"/>
      <c r="BY93" s="1315"/>
      <c r="BZ93" s="426" t="s">
        <v>383</v>
      </c>
      <c r="CA93" s="984">
        <f>Drift!$B$165</f>
        <v>161.46416666666667</v>
      </c>
      <c r="CB93" s="1317" t="s">
        <v>391</v>
      </c>
      <c r="CC93" s="1315" t="str">
        <f t="shared" ref="CC93:CC106" si="48">CC78</f>
        <v>Reference Thermometer, Merek : APPA, Model : APPA51, SN : 03002948</v>
      </c>
      <c r="CD93" s="1316"/>
      <c r="CE93" s="1315"/>
      <c r="CF93" s="426" t="s">
        <v>383</v>
      </c>
      <c r="CG93" s="423"/>
      <c r="CH93" s="1317" t="s">
        <v>391</v>
      </c>
      <c r="CI93" s="1315" t="str">
        <f t="shared" ref="CI93:CI106" si="49">CI78</f>
        <v>Reference Thermometer, Merek : FLUKE, Model : 1524, SN : 1803038</v>
      </c>
      <c r="CJ93" s="1316"/>
      <c r="CK93" s="1315"/>
      <c r="CL93" s="426" t="s">
        <v>383</v>
      </c>
      <c r="CM93" s="423"/>
      <c r="CN93" s="1317" t="s">
        <v>391</v>
      </c>
      <c r="CO93" s="1315" t="str">
        <f t="shared" ref="CO93:CO106" si="50">CO78</f>
        <v>Reference Thermometer, Merek : FLUKE, Model : 1524, SN : 1803037</v>
      </c>
      <c r="CP93" s="1316"/>
      <c r="CQ93" s="1315"/>
      <c r="CR93" s="426" t="s">
        <v>383</v>
      </c>
      <c r="CS93" s="423"/>
    </row>
    <row r="94" spans="1:97" s="427" customFormat="1" ht="13">
      <c r="A94" s="423"/>
      <c r="B94" s="1318"/>
      <c r="C94" s="432">
        <f>C79</f>
        <v>2021</v>
      </c>
      <c r="D94" s="432">
        <f>D79</f>
        <v>2022</v>
      </c>
      <c r="E94" s="429" t="s">
        <v>385</v>
      </c>
      <c r="F94" s="430"/>
      <c r="G94" s="985">
        <f>IF(G93&lt;=B102,B101,IF(G93&lt;=B103,B102,IF(G93&lt;=B104,B103,IF(G93&lt;=B105,B104,IF(G93&lt;=B106,B105)))))</f>
        <v>150</v>
      </c>
      <c r="H94" s="1318"/>
      <c r="I94" s="431">
        <f>I79</f>
        <v>2021</v>
      </c>
      <c r="J94" s="432">
        <f>J79</f>
        <v>2022</v>
      </c>
      <c r="K94" s="429" t="s">
        <v>385</v>
      </c>
      <c r="L94" s="433"/>
      <c r="M94" s="985">
        <f>IF(M93&lt;=H102,H101,IF(M93&lt;=H103,H102,IF(M93&lt;=H104,H103,IF(M93&lt;=H105,H104,IF(M93&lt;=H106,H105)))))</f>
        <v>150</v>
      </c>
      <c r="N94" s="1318"/>
      <c r="O94" s="431">
        <f>O4</f>
        <v>2021</v>
      </c>
      <c r="P94" s="432">
        <f>P4</f>
        <v>2023</v>
      </c>
      <c r="Q94" s="429" t="s">
        <v>385</v>
      </c>
      <c r="R94" s="434"/>
      <c r="S94" s="985">
        <f>IF(S93&lt;=N102,N101,IF(S93&lt;=N103,N102,IF(S93&lt;=N104,N103,IF(S93&lt;=N105,N104,IF(S93&lt;=N106,N105)))))</f>
        <v>150</v>
      </c>
      <c r="T94" s="1318"/>
      <c r="U94" s="431">
        <f>U79</f>
        <v>2022</v>
      </c>
      <c r="V94" s="432"/>
      <c r="W94" s="429" t="s">
        <v>385</v>
      </c>
      <c r="X94" s="434"/>
      <c r="Y94" s="985">
        <f>IF(Y93&lt;=T102,T101,IF(Y93&lt;=T103,T102,IF(Y93&lt;=T104,T103,IF(Y93&lt;=T105,T104,IF(Y93&lt;=T106,T105)))))</f>
        <v>150</v>
      </c>
      <c r="Z94" s="1318"/>
      <c r="AA94" s="431">
        <f>AA79</f>
        <v>2023</v>
      </c>
      <c r="AB94" s="432">
        <f>AB79</f>
        <v>2021</v>
      </c>
      <c r="AC94" s="429" t="s">
        <v>385</v>
      </c>
      <c r="AD94" s="434"/>
      <c r="AE94" s="985">
        <f>IF(AE93&lt;=Z102,Z101,IF(AE93&lt;=Z103,Z102,IF(AE93&lt;=Z104,Z103,IF(AE93&lt;=Z105,Z104,IF(AE93&lt;=Z106,Z105)))))</f>
        <v>150</v>
      </c>
      <c r="AF94" s="1318"/>
      <c r="AG94" s="431">
        <f>AG79</f>
        <v>2023</v>
      </c>
      <c r="AH94" s="431">
        <f>AH79</f>
        <v>2021</v>
      </c>
      <c r="AI94" s="429" t="s">
        <v>385</v>
      </c>
      <c r="AJ94" s="434"/>
      <c r="AK94" s="985">
        <f>IF(AK93&lt;=AF102,AF101,IF(AK93&lt;=AF103,AF102,IF(AK93&lt;=AF104,AF103,IF(AK93&lt;=AF105,AF104,IF(AK93&lt;=AF106,AF105)))))</f>
        <v>150</v>
      </c>
      <c r="AL94" s="1318"/>
      <c r="AM94" s="431">
        <f>AM79</f>
        <v>2023</v>
      </c>
      <c r="AN94" s="432"/>
      <c r="AO94" s="429" t="s">
        <v>385</v>
      </c>
      <c r="AP94" s="434"/>
      <c r="AQ94" s="985">
        <f>IF(AQ93&lt;=AL102,AL101,IF(AQ93&lt;=AL103,AL102,IF(AQ93&lt;=AL104,AL103,IF(AQ93&lt;=AL105,AL104,IF(AQ93&lt;=AL106,AL105)))))</f>
        <v>150</v>
      </c>
      <c r="AR94" s="1318"/>
      <c r="AS94" s="431">
        <f>AS79</f>
        <v>2023</v>
      </c>
      <c r="AT94" s="432"/>
      <c r="AU94" s="429" t="s">
        <v>385</v>
      </c>
      <c r="AV94" s="434"/>
      <c r="AW94" s="985">
        <f>IF(AW93&lt;=AR102,AR101,IF(AW93&lt;=AR103,AR102,IF(AW93&lt;=AR104,AR103,IF(AW93&lt;=AR105,AR104,IF(AW93&lt;=AR106,AR105)))))</f>
        <v>150</v>
      </c>
      <c r="AX94" s="1318"/>
      <c r="AY94" s="431">
        <f>AY79</f>
        <v>2021</v>
      </c>
      <c r="AZ94" s="432"/>
      <c r="BA94" s="429" t="s">
        <v>385</v>
      </c>
      <c r="BB94" s="434"/>
      <c r="BC94" s="985">
        <f>IF(BC93&lt;=AX102,AX101,IF(BC93&lt;=AX103,AX102,IF(BC93&lt;=AX104,AX103,IF(BC93&lt;=AX105,AX104,IF(BC93&lt;=AX106,AX105)))))</f>
        <v>150</v>
      </c>
      <c r="BD94" s="1318"/>
      <c r="BE94" s="431">
        <f>BE79</f>
        <v>2022</v>
      </c>
      <c r="BF94" s="432"/>
      <c r="BG94" s="429" t="s">
        <v>385</v>
      </c>
      <c r="BH94" s="434"/>
      <c r="BI94" s="985">
        <f>IF(BI93&lt;=BD102,BD101,IF(BI93&lt;=BD103,BD102,IF(BI93&lt;=BD104,BD103,IF(BI93&lt;=BD105,BD104,IF(BI93&lt;=BD106,BD105)))))</f>
        <v>150</v>
      </c>
      <c r="BJ94" s="1318"/>
      <c r="BK94" s="431">
        <f>BK79</f>
        <v>2021</v>
      </c>
      <c r="BL94" s="432"/>
      <c r="BM94" s="429" t="s">
        <v>385</v>
      </c>
      <c r="BN94" s="434"/>
      <c r="BO94" s="985">
        <f>IF(BO93&lt;=BJ102,BJ101,IF(BO93&lt;=BJ103,BJ102,IF(BO93&lt;=BJ104,BJ103,IF(BO93&lt;=BJ105,BJ104,IF(BO93&lt;=BJ106,BJ105)))))</f>
        <v>150</v>
      </c>
      <c r="BP94" s="1320"/>
      <c r="BQ94" s="431">
        <f>BQ79</f>
        <v>2022</v>
      </c>
      <c r="BR94" s="432"/>
      <c r="BS94" s="429" t="s">
        <v>385</v>
      </c>
      <c r="BT94" s="434"/>
      <c r="BU94" s="985">
        <f>IF(BU93&lt;=BP102,BP101,IF(BU93&lt;=BP103,BP102,IF(BU93&lt;=BP104,BP103,IF(BU93&lt;=BP105,BP104,IF(BU93&lt;=BP106,BP105)))))</f>
        <v>150</v>
      </c>
      <c r="BV94" s="1318"/>
      <c r="BW94" s="431">
        <f>BW79</f>
        <v>2022</v>
      </c>
      <c r="BX94" s="432"/>
      <c r="BY94" s="429" t="s">
        <v>385</v>
      </c>
      <c r="BZ94" s="434"/>
      <c r="CA94" s="985">
        <f>IF(CA93&lt;=BV102,BV101,IF(CA93&lt;=BV103,BV102,IF(CA93&lt;=BV104,BV103,IF(CA93&lt;=BV105,BV104,IF(CA93&lt;=BV106,BV105)))))</f>
        <v>150</v>
      </c>
      <c r="CB94" s="1318"/>
      <c r="CC94" s="431">
        <f t="shared" si="48"/>
        <v>2022</v>
      </c>
      <c r="CD94" s="432">
        <f t="shared" ref="CD94:CD106" si="51">CD109</f>
        <v>2020</v>
      </c>
      <c r="CE94" s="429" t="s">
        <v>385</v>
      </c>
      <c r="CF94" s="434"/>
      <c r="CG94" s="423"/>
      <c r="CH94" s="1318"/>
      <c r="CI94" s="431">
        <f t="shared" si="49"/>
        <v>2021</v>
      </c>
      <c r="CJ94" s="432">
        <f t="shared" ref="CJ94:CJ106" si="52">CJ79</f>
        <v>2019</v>
      </c>
      <c r="CK94" s="429" t="s">
        <v>385</v>
      </c>
      <c r="CL94" s="434"/>
      <c r="CM94" s="423"/>
      <c r="CN94" s="1318"/>
      <c r="CO94" s="431">
        <f t="shared" si="50"/>
        <v>2021</v>
      </c>
      <c r="CP94" s="432">
        <f t="shared" ref="CP94:CP106" si="53">CP79</f>
        <v>2020</v>
      </c>
      <c r="CQ94" s="429" t="s">
        <v>385</v>
      </c>
      <c r="CR94" s="434"/>
      <c r="CS94" s="423"/>
    </row>
    <row r="95" spans="1:97" s="427" customFormat="1" ht="13">
      <c r="A95" s="423"/>
      <c r="B95" s="435">
        <v>-20</v>
      </c>
      <c r="C95" s="338">
        <v>-0.41</v>
      </c>
      <c r="D95" s="338">
        <f>'Data Standar'!C209</f>
        <v>-0.56999999999999995</v>
      </c>
      <c r="E95" s="436">
        <f>IF(OR(C95=0,D95=0),'Data Standar'!$C$221/3,((MAX(C95:D95)-(MIN(C95:D95)))))</f>
        <v>0.15999999999999998</v>
      </c>
      <c r="F95" s="437">
        <v>0.1</v>
      </c>
      <c r="G95" s="437"/>
      <c r="H95" s="435">
        <v>-20</v>
      </c>
      <c r="I95" s="338">
        <v>-0.75</v>
      </c>
      <c r="J95" s="338">
        <f>'Data Standar'!D209</f>
        <v>-0.49</v>
      </c>
      <c r="K95" s="436">
        <f>IF(OR(I95=0,J95=0),'Data Standar'!$D$221/3,((MAX(I95:J95)-(MIN(I95:J95)))))</f>
        <v>0.26</v>
      </c>
      <c r="L95" s="437">
        <v>0.09</v>
      </c>
      <c r="M95" s="437"/>
      <c r="N95" s="435">
        <v>-20</v>
      </c>
      <c r="O95" s="338">
        <v>-0.67</v>
      </c>
      <c r="P95" s="338">
        <f>'Data Standar'!E209</f>
        <v>-0.36</v>
      </c>
      <c r="Q95" s="436">
        <f>IF(OR(O95=0,P95=0),'Data Standar'!$E$221/3,((MAX(O95:P95)-(MIN(O95:P95)))))</f>
        <v>0.31000000000000005</v>
      </c>
      <c r="R95" s="434">
        <v>9.9999999999999995E-7</v>
      </c>
      <c r="S95" s="437"/>
      <c r="T95" s="435">
        <v>-20</v>
      </c>
      <c r="U95" s="338">
        <f>'Data Standar'!F209</f>
        <v>-1.33</v>
      </c>
      <c r="V95" s="338"/>
      <c r="W95" s="436">
        <f>IF(OR(U95=0,V95=0),'Data Standar'!$F$221/3,((MAX(U95:V95)-(MIN(U95:V95)))))</f>
        <v>8.3333333333333329E-2</v>
      </c>
      <c r="X95" s="434">
        <v>9.9999999999999995E-7</v>
      </c>
      <c r="Y95" s="437"/>
      <c r="Z95" s="435">
        <v>-20</v>
      </c>
      <c r="AA95" s="338">
        <f>'Data Standar'!G209</f>
        <v>0.13</v>
      </c>
      <c r="AB95" s="338">
        <v>-0.52</v>
      </c>
      <c r="AC95" s="436">
        <f>IF(OR(AA95=0,AB95=0),'Data Standar'!$G$221/3,((MAX(AA95:AB95)-(MIN(AA95:AB95)))))</f>
        <v>0.65</v>
      </c>
      <c r="AD95" s="434">
        <v>9.9999999999999995E-7</v>
      </c>
      <c r="AE95" s="437"/>
      <c r="AF95" s="435">
        <v>-20</v>
      </c>
      <c r="AG95" s="338">
        <f>'Data Standar'!H209</f>
        <v>0.16</v>
      </c>
      <c r="AH95" s="338">
        <v>-0.09</v>
      </c>
      <c r="AI95" s="436">
        <f>IF(OR(AG95=0,AH95=0),'Data Standar'!$H$221/3,((MAX(AG95:AH95)-(MIN(AG95:AH95)))))</f>
        <v>0.25</v>
      </c>
      <c r="AJ95" s="434">
        <v>9.9999999999999995E-7</v>
      </c>
      <c r="AK95" s="437"/>
      <c r="AL95" s="435">
        <v>-20</v>
      </c>
      <c r="AM95" s="338">
        <f>'Data Standar'!I209</f>
        <v>0.45</v>
      </c>
      <c r="AN95" s="338"/>
      <c r="AO95" s="436">
        <f>IF(OR(AM95=0,AN95=0),'Data Standar'!$I$221/3,((MAX(AM95:AN95)-(MIN(AM95:AN95)))))</f>
        <v>8.3333333333333329E-2</v>
      </c>
      <c r="AP95" s="434">
        <v>9.9999999999999995E-7</v>
      </c>
      <c r="AQ95" s="437"/>
      <c r="AR95" s="435">
        <v>-20</v>
      </c>
      <c r="AS95" s="338">
        <f>'Data Standar'!J209</f>
        <v>0.37</v>
      </c>
      <c r="AT95" s="338"/>
      <c r="AU95" s="436">
        <f>IF(OR(AS95=0,AT95=0),'Data Standar'!$J$221/3,((MAX(AS95:AT95)-(MIN(AS95:AT95)))))</f>
        <v>8.3333333333333329E-2</v>
      </c>
      <c r="AV95" s="434">
        <v>9.9999999999999995E-7</v>
      </c>
      <c r="AW95" s="437"/>
      <c r="AX95" s="435">
        <v>-20</v>
      </c>
      <c r="AY95" s="338">
        <f>'Data Standar'!K209</f>
        <v>0.54</v>
      </c>
      <c r="AZ95" s="338"/>
      <c r="BA95" s="436">
        <f>IF(OR(AY95=0,AZ95=0),'Data Standar'!$K$221/3,((MAX(AY95:AZ95)-(MIN(AY95:AZ95)))))</f>
        <v>0.26333333333333336</v>
      </c>
      <c r="BB95" s="434">
        <v>9.9999999999999995E-7</v>
      </c>
      <c r="BC95" s="437"/>
      <c r="BD95" s="435">
        <v>-20</v>
      </c>
      <c r="BE95" s="338">
        <f>'Data Standar'!L209</f>
        <v>-0.91</v>
      </c>
      <c r="BF95" s="338"/>
      <c r="BG95" s="436">
        <f>IF(OR(BE95=0,BF95=0),'Data Standar'!$L$221/3,((MAX(BE95:BF95)-(MIN(BE95:BF95)))))</f>
        <v>9.0000000000000011E-2</v>
      </c>
      <c r="BH95" s="434">
        <v>9.9999999999999995E-7</v>
      </c>
      <c r="BI95" s="437"/>
      <c r="BJ95" s="435">
        <v>-20</v>
      </c>
      <c r="BK95" s="338">
        <f>'Data Standar'!M209</f>
        <v>0.54</v>
      </c>
      <c r="BL95" s="338"/>
      <c r="BM95" s="436">
        <f>IF(OR(BK95=0,BL95=0),'Data Standar'!$M$221/3,((MAX(BK95:BL95)-(MIN(BK95:BL95)))))</f>
        <v>0.26333333333333336</v>
      </c>
      <c r="BN95" s="434">
        <v>9.9999999999999995E-7</v>
      </c>
      <c r="BO95" s="437"/>
      <c r="BP95" s="435">
        <v>-20</v>
      </c>
      <c r="BQ95" s="338">
        <f>'Data Standar'!N209</f>
        <v>-1.3</v>
      </c>
      <c r="BR95" s="338"/>
      <c r="BS95" s="436">
        <f>IF(OR(BQ95=0,BR95=0),'Data Standar'!$N$221/3,((MAX(BQ95:BR95)-(MIN(BQ95:BR95)))))</f>
        <v>8.666666666666667E-2</v>
      </c>
      <c r="BT95" s="434">
        <v>9.9999999999999995E-7</v>
      </c>
      <c r="BU95" s="437"/>
      <c r="BV95" s="435">
        <v>-20</v>
      </c>
      <c r="BW95" s="338">
        <f>'Data Standar'!O209</f>
        <v>-1.34</v>
      </c>
      <c r="BX95" s="338"/>
      <c r="BY95" s="436">
        <f>IF(OR(BW95=0,BX95=0),'Data Standar'!$O$221/3,((MAX(BW95:BX95)-(MIN(BW95:BX95)))))</f>
        <v>9.0000000000000011E-2</v>
      </c>
      <c r="BZ95" s="434">
        <v>9.9999999999999995E-7</v>
      </c>
      <c r="CA95" s="437"/>
      <c r="CB95" s="435">
        <v>-20</v>
      </c>
      <c r="CC95" s="338">
        <f t="shared" si="48"/>
        <v>-1.1000000000000001</v>
      </c>
      <c r="CD95" s="338">
        <f t="shared" si="51"/>
        <v>-0.7</v>
      </c>
      <c r="CE95" s="436">
        <f t="shared" ref="CE95:CE106" si="54">CE80</f>
        <v>0.40000000000000013</v>
      </c>
      <c r="CF95" s="434">
        <v>9.9999999999999995E-7</v>
      </c>
      <c r="CG95" s="423"/>
      <c r="CH95" s="435">
        <v>-20</v>
      </c>
      <c r="CI95" s="338">
        <f t="shared" si="49"/>
        <v>-0.15</v>
      </c>
      <c r="CJ95" s="338">
        <f t="shared" si="52"/>
        <v>-0.32</v>
      </c>
      <c r="CK95" s="436">
        <f t="shared" ref="CK95:CK106" si="55">CK80</f>
        <v>0.17</v>
      </c>
      <c r="CL95" s="434">
        <v>9.9999999999999995E-7</v>
      </c>
      <c r="CM95" s="423"/>
      <c r="CN95" s="435">
        <v>-20</v>
      </c>
      <c r="CO95" s="338">
        <f t="shared" si="50"/>
        <v>-1.8</v>
      </c>
      <c r="CP95" s="338">
        <f t="shared" si="53"/>
        <v>-0.51</v>
      </c>
      <c r="CQ95" s="436">
        <f t="shared" ref="CQ95:CQ106" si="56">CQ80</f>
        <v>1.29</v>
      </c>
      <c r="CR95" s="434">
        <v>9.9999999999999995E-7</v>
      </c>
      <c r="CS95" s="423"/>
    </row>
    <row r="96" spans="1:97" s="427" customFormat="1" ht="13">
      <c r="A96" s="423"/>
      <c r="B96" s="435">
        <v>-15</v>
      </c>
      <c r="C96" s="338">
        <v>-0.36</v>
      </c>
      <c r="D96" s="338">
        <f>'Data Standar'!C210</f>
        <v>-0.52</v>
      </c>
      <c r="E96" s="436">
        <f>IF(OR(C96=0,D96=0),'Data Standar'!$C$221/3,((MAX(C96:D96)-(MIN(C96:D96)))))</f>
        <v>0.16000000000000003</v>
      </c>
      <c r="F96" s="437">
        <f>(-0.81+1.76)/2</f>
        <v>0.47499999999999998</v>
      </c>
      <c r="G96" s="985">
        <f>IF(G93&lt;=B101,B101,IF(G93&lt;=B102,B102,IF(G93&lt;=B103,B103,IF(G93&lt;=B104,B104,IF(G93&lt;=B105,B105,IF(G93&lt;=B106,B106))))))</f>
        <v>200</v>
      </c>
      <c r="H96" s="435">
        <v>-15</v>
      </c>
      <c r="I96" s="338">
        <v>-0.62</v>
      </c>
      <c r="J96" s="338">
        <f>'Data Standar'!D210</f>
        <v>-0.42</v>
      </c>
      <c r="K96" s="436">
        <f>IF(OR(I96=0,J96=0),'Data Standar'!$D$221/3,((MAX(I96:J96)-(MIN(I96:J96)))))</f>
        <v>0.2</v>
      </c>
      <c r="L96" s="437">
        <f t="shared" ref="L96:L101" si="57">(0+0.11)/2</f>
        <v>5.5E-2</v>
      </c>
      <c r="M96" s="985">
        <f>IF(M93&lt;=H101,H101,IF(M93&lt;=H102,H102,IF(M93&lt;=H103,H103,IF(M93&lt;=H104,H104,IF(M93&lt;=H105,H105,IF(M93&lt;=H106,H106))))))</f>
        <v>200</v>
      </c>
      <c r="N96" s="435">
        <v>-15</v>
      </c>
      <c r="O96" s="338">
        <v>-0.53</v>
      </c>
      <c r="P96" s="338">
        <f>'Data Standar'!E210</f>
        <v>-0.3</v>
      </c>
      <c r="Q96" s="436">
        <f>IF(OR(O96=0,P96=0),'Data Standar'!$E$221/3,((MAX(O96:P96)-(MIN(O96:P96)))))</f>
        <v>0.23000000000000004</v>
      </c>
      <c r="R96" s="434">
        <f>(0.08-0)/2</f>
        <v>0.04</v>
      </c>
      <c r="S96" s="985">
        <f>IF(S93&lt;=N101,N101,IF(S93&lt;=N102,N102,IF(S93&lt;=N103,N103,IF(S93&lt;=N104,N104,IF(S93&lt;=N105,N105,IF(S93&lt;=N106,N106))))))</f>
        <v>200</v>
      </c>
      <c r="T96" s="435">
        <v>-15</v>
      </c>
      <c r="U96" s="338">
        <f>'Data Standar'!F210</f>
        <v>-1.1000000000000001</v>
      </c>
      <c r="V96" s="338"/>
      <c r="W96" s="436">
        <f>IF(OR(U96=0,V96=0),'Data Standar'!$F$221/3,((MAX(U96:V96)-(MIN(U96:V96)))))</f>
        <v>8.3333333333333329E-2</v>
      </c>
      <c r="X96" s="434">
        <f>(0.08-0)/2</f>
        <v>0.04</v>
      </c>
      <c r="Y96" s="985">
        <f>IF(Y93&lt;=T101,T101,IF(Y93&lt;=T102,T102,IF(Y93&lt;=T103,T103,IF(Y93&lt;=T104,T104,IF(Y93&lt;=T105,T105,IF(Y93&lt;=T106,T106))))))</f>
        <v>200</v>
      </c>
      <c r="Z96" s="435">
        <v>-15</v>
      </c>
      <c r="AA96" s="338">
        <f>'Data Standar'!G210</f>
        <v>0.18</v>
      </c>
      <c r="AB96" s="338">
        <v>0</v>
      </c>
      <c r="AC96" s="436">
        <f>IF(OR(AA96=0,AB96=0),'Data Standar'!$G$221/3,((MAX(AA96:AB96)-(MIN(AA96:AB96)))))</f>
        <v>8.666666666666667E-2</v>
      </c>
      <c r="AD96" s="434">
        <f>(0.08-0)/2</f>
        <v>0.04</v>
      </c>
      <c r="AE96" s="985">
        <f>IF(AE93&lt;=Z101,Z101,IF(AE93&lt;=Z102,Z102,IF(AE93&lt;=Z103,Z103,IF(AE93&lt;=Z104,Z104,IF(AE93&lt;=Z105,Z105,IF(AE93&lt;=Z106,Z106))))))</f>
        <v>200</v>
      </c>
      <c r="AF96" s="435">
        <v>-15</v>
      </c>
      <c r="AG96" s="338">
        <f>'Data Standar'!H210</f>
        <v>0.2</v>
      </c>
      <c r="AH96" s="338">
        <v>9.9999999999999995E-7</v>
      </c>
      <c r="AI96" s="436">
        <f>IF(OR(AG96=0,AH96=0),'Data Standar'!$H$221/3,((MAX(AG96:AH96)-(MIN(AG96:AH96)))))</f>
        <v>0.19999900000000001</v>
      </c>
      <c r="AJ96" s="434">
        <f>(0.08-0)/2</f>
        <v>0.04</v>
      </c>
      <c r="AK96" s="985">
        <f>IF(AK93&lt;=AF101,AF101,IF(AK93&lt;=AF102,AF102,IF(AK93&lt;=AF103,AF103,IF(AK93&lt;=AF104,AF104,IF(AK93&lt;=AF105,AF105,IF(AK93&lt;=AF106,AF106))))))</f>
        <v>200</v>
      </c>
      <c r="AL96" s="435">
        <v>-15</v>
      </c>
      <c r="AM96" s="338">
        <f>'Data Standar'!I210</f>
        <v>0.46</v>
      </c>
      <c r="AN96" s="338"/>
      <c r="AO96" s="436">
        <f>IF(OR(AM96=0,AN96=0),'Data Standar'!$I$221/3,((MAX(AM96:AN96)-(MIN(AM96:AN96)))))</f>
        <v>8.3333333333333329E-2</v>
      </c>
      <c r="AP96" s="434">
        <f>(0.08-0)/2</f>
        <v>0.04</v>
      </c>
      <c r="AQ96" s="985">
        <f>IF(AQ93&lt;=AL101,AL101,IF(AQ93&lt;=AL102,AL102,IF(AQ93&lt;=AL103,AL103,IF(AQ93&lt;=AL104,AL104,IF(AQ93&lt;=AL105,AL105,IF(AQ93&lt;=AL106,AL106))))))</f>
        <v>200</v>
      </c>
      <c r="AR96" s="435">
        <v>-15</v>
      </c>
      <c r="AS96" s="338">
        <f>'Data Standar'!J210</f>
        <v>0.39</v>
      </c>
      <c r="AT96" s="338"/>
      <c r="AU96" s="436">
        <f>IF(OR(AS96=0,AT96=0),'Data Standar'!$J$221/3,((MAX(AS96:AT96)-(MIN(AS96:AT96)))))</f>
        <v>8.3333333333333329E-2</v>
      </c>
      <c r="AV96" s="434">
        <f>(0.08-0)/2</f>
        <v>0.04</v>
      </c>
      <c r="AW96" s="985">
        <f>IF(AW93&lt;=AR101,AR101,IF(AW93&lt;=AR102,AR102,IF(AW93&lt;=AR103,AR103,IF(AW93&lt;=AR104,AR104,IF(AW93&lt;=AR105,AR105,IF(AW93&lt;=AR106,AR106))))))</f>
        <v>200</v>
      </c>
      <c r="AX96" s="435">
        <v>-15</v>
      </c>
      <c r="AY96" s="338">
        <f>'Data Standar'!K210</f>
        <v>9.9999999999999995E-7</v>
      </c>
      <c r="AZ96" s="338"/>
      <c r="BA96" s="436">
        <f>IF(OR(AY96=0,AZ96=0),'Data Standar'!$K$221/3,((MAX(AY96:AZ96)-(MIN(AY96:AZ96)))))</f>
        <v>0.26333333333333336</v>
      </c>
      <c r="BB96" s="434">
        <f>(0.08-0)/2</f>
        <v>0.04</v>
      </c>
      <c r="BC96" s="985">
        <f>IF(BC93&lt;=AX101,AX101,IF(BC93&lt;=AX102,AX102,IF(BC93&lt;=AX103,AX103,IF(BC93&lt;=AX104,AX104,IF(BC93&lt;=AX105,AX105,IF(BC93&lt;=AX106,AX106))))))</f>
        <v>200</v>
      </c>
      <c r="BD96" s="435">
        <v>-15</v>
      </c>
      <c r="BE96" s="338">
        <f>'Data Standar'!L210</f>
        <v>-0.66</v>
      </c>
      <c r="BF96" s="338"/>
      <c r="BG96" s="436">
        <f>IF(OR(BE96=0,BF96=0),'Data Standar'!$L$221/3,((MAX(BE96:BF96)-(MIN(BE96:BF96)))))</f>
        <v>9.0000000000000011E-2</v>
      </c>
      <c r="BH96" s="434">
        <f>(0.08-0)/2</f>
        <v>0.04</v>
      </c>
      <c r="BI96" s="985">
        <f>IF(BI93&lt;=BD101,BD101,IF(BI93&lt;=BD102,BD102,IF(BI93&lt;=BD103,BD103,IF(BI93&lt;=BD104,BD104,IF(BI93&lt;=BD105,BD105,IF(BI93&lt;=BD106,BD106))))))</f>
        <v>200</v>
      </c>
      <c r="BJ96" s="435">
        <v>-15</v>
      </c>
      <c r="BK96" s="338">
        <f>'Data Standar'!M210</f>
        <v>9.9999999999999995E-7</v>
      </c>
      <c r="BL96" s="338"/>
      <c r="BM96" s="436">
        <f>IF(OR(BK96=0,BL96=0),'Data Standar'!$M$221/3,((MAX(BK96:BL96)-(MIN(BK96:BL96)))))</f>
        <v>0.26333333333333336</v>
      </c>
      <c r="BN96" s="434">
        <f>(0.08-0)/2</f>
        <v>0.04</v>
      </c>
      <c r="BO96" s="985">
        <f>IF(BO93&lt;=BJ101,BJ101,IF(BO93&lt;=BJ102,BJ102,IF(BO93&lt;=BJ103,BJ103,IF(BO93&lt;=BJ104,BJ104,IF(BO93&lt;=BJ105,BJ105,IF(BO93&lt;=BJ106,BJ106))))))</f>
        <v>200</v>
      </c>
      <c r="BP96" s="435">
        <v>-15</v>
      </c>
      <c r="BQ96" s="338">
        <f>'Data Standar'!N210</f>
        <v>-1.05</v>
      </c>
      <c r="BR96" s="338"/>
      <c r="BS96" s="436">
        <f>IF(OR(BQ96=0,BR96=0),'Data Standar'!$N$221/3,((MAX(BQ96:BR96)-(MIN(BQ96:BR96)))))</f>
        <v>8.666666666666667E-2</v>
      </c>
      <c r="BT96" s="434">
        <f>(0.08-0)/2</f>
        <v>0.04</v>
      </c>
      <c r="BU96" s="985">
        <f>IF(BU93&lt;=BP101,BP101,IF(BU93&lt;=BP102,BP102,IF(BU93&lt;=BP103,BP103,IF(BU93&lt;=BP104,BP104,IF(BU93&lt;=BP105,BP105,IF(BU93&lt;=BP106,BP106))))))</f>
        <v>200</v>
      </c>
      <c r="BV96" s="435">
        <v>-15</v>
      </c>
      <c r="BW96" s="338">
        <f>'Data Standar'!O210</f>
        <v>-1.05</v>
      </c>
      <c r="BX96" s="338"/>
      <c r="BY96" s="436">
        <f>IF(OR(BW96=0,BX96=0),'Data Standar'!$O$221/3,((MAX(BW96:BX96)-(MIN(BW96:BX96)))))</f>
        <v>9.0000000000000011E-2</v>
      </c>
      <c r="BZ96" s="434">
        <f>(0.08-0)/2</f>
        <v>0.04</v>
      </c>
      <c r="CA96" s="985">
        <f>IF(CA93&lt;=BV101,BV101,IF(CA93&lt;=BV102,BV102,IF(CA93&lt;=BV103,BV103,IF(CA93&lt;=BV104,BV104,IF(CA93&lt;=BV105,BV105,IF(CA93&lt;=BV106,BV106))))))</f>
        <v>200</v>
      </c>
      <c r="CB96" s="435">
        <v>-15</v>
      </c>
      <c r="CC96" s="338">
        <f t="shared" si="48"/>
        <v>-1.2</v>
      </c>
      <c r="CD96" s="338">
        <f t="shared" si="51"/>
        <v>-0.7</v>
      </c>
      <c r="CE96" s="436">
        <f t="shared" si="54"/>
        <v>0.40000000000000013</v>
      </c>
      <c r="CF96" s="434">
        <f>(0.08-0)/2</f>
        <v>0.04</v>
      </c>
      <c r="CG96" s="423"/>
      <c r="CH96" s="435">
        <v>-15</v>
      </c>
      <c r="CI96" s="338">
        <f t="shared" si="49"/>
        <v>-0.1</v>
      </c>
      <c r="CJ96" s="338">
        <f t="shared" si="52"/>
        <v>-0.24</v>
      </c>
      <c r="CK96" s="436">
        <f t="shared" si="55"/>
        <v>0.13999999999999999</v>
      </c>
      <c r="CL96" s="434">
        <f>(0.08-0)/2</f>
        <v>0.04</v>
      </c>
      <c r="CM96" s="423"/>
      <c r="CN96" s="435">
        <v>-15</v>
      </c>
      <c r="CO96" s="338">
        <f t="shared" si="50"/>
        <v>-1.52</v>
      </c>
      <c r="CP96" s="338">
        <f t="shared" si="53"/>
        <v>-0.39</v>
      </c>
      <c r="CQ96" s="436">
        <f t="shared" si="56"/>
        <v>1.1299999999999999</v>
      </c>
      <c r="CR96" s="434">
        <f>(0.08-0)/2</f>
        <v>0.04</v>
      </c>
      <c r="CS96" s="423"/>
    </row>
    <row r="97" spans="1:97" s="427" customFormat="1" ht="13">
      <c r="A97" s="423"/>
      <c r="B97" s="435">
        <v>-10</v>
      </c>
      <c r="C97" s="338">
        <v>-0.31</v>
      </c>
      <c r="D97" s="338">
        <f>'Data Standar'!C211</f>
        <v>-0.46</v>
      </c>
      <c r="E97" s="436">
        <f>IF(OR(C97=0,D97=0),'Data Standar'!$C$221/3,((MAX(C97:D97)-(MIN(C97:D97)))))</f>
        <v>0.15000000000000002</v>
      </c>
      <c r="F97" s="437">
        <f>(-0.73+1.54)/2</f>
        <v>0.40500000000000003</v>
      </c>
      <c r="G97" s="437"/>
      <c r="H97" s="435">
        <v>-10</v>
      </c>
      <c r="I97" s="338">
        <v>9.9999999999999995E-7</v>
      </c>
      <c r="J97" s="338">
        <f>'Data Standar'!D211</f>
        <v>-0.35</v>
      </c>
      <c r="K97" s="436">
        <f>IF(OR(I97=0,J97=0),'Data Standar'!$D$221/3,((MAX(I97:J97)-(MIN(I97:J97)))))</f>
        <v>0.35000099999999995</v>
      </c>
      <c r="L97" s="437">
        <f t="shared" si="57"/>
        <v>5.5E-2</v>
      </c>
      <c r="M97" s="437"/>
      <c r="N97" s="435">
        <v>-10</v>
      </c>
      <c r="O97" s="338">
        <v>-0.44</v>
      </c>
      <c r="P97" s="338">
        <f>'Data Standar'!E211</f>
        <v>-0.25</v>
      </c>
      <c r="Q97" s="436">
        <f>IF(OR(O97=0,P97=0),'Data Standar'!$E$221/3,((MAX(O97:P97)-(MIN(O97:P97)))))</f>
        <v>0.19</v>
      </c>
      <c r="R97" s="434">
        <f>(0.09-0)/2</f>
        <v>4.4999999999999998E-2</v>
      </c>
      <c r="S97" s="437"/>
      <c r="T97" s="435">
        <v>-10</v>
      </c>
      <c r="U97" s="338">
        <f>'Data Standar'!F211</f>
        <v>-0.85</v>
      </c>
      <c r="V97" s="338"/>
      <c r="W97" s="436">
        <f>IF(OR(U97=0,V97=0),'Data Standar'!$F$221/3,((MAX(U97:V97)-(MIN(U97:V97)))))</f>
        <v>8.3333333333333329E-2</v>
      </c>
      <c r="X97" s="434">
        <f>(0.09-0)/2</f>
        <v>4.4999999999999998E-2</v>
      </c>
      <c r="Y97" s="437"/>
      <c r="Z97" s="435">
        <v>-10</v>
      </c>
      <c r="AA97" s="338">
        <f>'Data Standar'!G211</f>
        <v>0.21</v>
      </c>
      <c r="AB97" s="338">
        <v>-0.23</v>
      </c>
      <c r="AC97" s="436">
        <f>IF(OR(AA97=0,AB97=0),'Data Standar'!$G$221/3,((MAX(AA97:AB97)-(MIN(AA97:AB97)))))</f>
        <v>0.44</v>
      </c>
      <c r="AD97" s="434">
        <f>(0.09-0)/2</f>
        <v>4.4999999999999998E-2</v>
      </c>
      <c r="AE97" s="437"/>
      <c r="AF97" s="435">
        <v>-10</v>
      </c>
      <c r="AG97" s="338">
        <f>'Data Standar'!H211</f>
        <v>0.2</v>
      </c>
      <c r="AH97" s="338">
        <v>0.12</v>
      </c>
      <c r="AI97" s="436">
        <f>IF(OR(AG97=0,AH97=0),'Data Standar'!$H$221/3,((MAX(AG97:AH97)-(MIN(AG97:AH97)))))</f>
        <v>8.0000000000000016E-2</v>
      </c>
      <c r="AJ97" s="434">
        <f>(0.09-0)/2</f>
        <v>4.4999999999999998E-2</v>
      </c>
      <c r="AK97" s="437"/>
      <c r="AL97" s="435">
        <v>-10</v>
      </c>
      <c r="AM97" s="338">
        <f>'Data Standar'!I211</f>
        <v>0.47</v>
      </c>
      <c r="AN97" s="338"/>
      <c r="AO97" s="436">
        <f>IF(OR(AM97=0,AN97=0),'Data Standar'!$I$221/3,((MAX(AM97:AN97)-(MIN(AM97:AN97)))))</f>
        <v>8.3333333333333329E-2</v>
      </c>
      <c r="AP97" s="434">
        <f>(0.09-0)/2</f>
        <v>4.4999999999999998E-2</v>
      </c>
      <c r="AQ97" s="437"/>
      <c r="AR97" s="435">
        <v>-10</v>
      </c>
      <c r="AS97" s="338">
        <f>'Data Standar'!J211</f>
        <v>0.4</v>
      </c>
      <c r="AT97" s="338"/>
      <c r="AU97" s="436">
        <f>IF(OR(AS97=0,AT97=0),'Data Standar'!$J$221/3,((MAX(AS97:AT97)-(MIN(AS97:AT97)))))</f>
        <v>8.3333333333333329E-2</v>
      </c>
      <c r="AV97" s="434">
        <f>(0.09-0)/2</f>
        <v>4.4999999999999998E-2</v>
      </c>
      <c r="AW97" s="437"/>
      <c r="AX97" s="435">
        <v>-10</v>
      </c>
      <c r="AY97" s="338">
        <f>'Data Standar'!K211</f>
        <v>0.52</v>
      </c>
      <c r="AZ97" s="338"/>
      <c r="BA97" s="436">
        <f>IF(OR(AY97=0,AZ97=0),'Data Standar'!$K$221/3,((MAX(AY97:AZ97)-(MIN(AY97:AZ97)))))</f>
        <v>0.26333333333333336</v>
      </c>
      <c r="BB97" s="434">
        <f>(0.09-0)/2</f>
        <v>4.4999999999999998E-2</v>
      </c>
      <c r="BC97" s="437"/>
      <c r="BD97" s="435">
        <v>-10</v>
      </c>
      <c r="BE97" s="338">
        <f>'Data Standar'!L211</f>
        <v>-0.47</v>
      </c>
      <c r="BF97" s="338"/>
      <c r="BG97" s="436">
        <f>IF(OR(BE97=0,BF97=0),'Data Standar'!$L$221/3,((MAX(BE97:BF97)-(MIN(BE97:BF97)))))</f>
        <v>9.0000000000000011E-2</v>
      </c>
      <c r="BH97" s="434">
        <f>(0.09-0)/2</f>
        <v>4.4999999999999998E-2</v>
      </c>
      <c r="BI97" s="437"/>
      <c r="BJ97" s="435">
        <v>-10</v>
      </c>
      <c r="BK97" s="338">
        <f>'Data Standar'!M211</f>
        <v>0.52</v>
      </c>
      <c r="BL97" s="338"/>
      <c r="BM97" s="436">
        <f>IF(OR(BK97=0,BL97=0),'Data Standar'!$M$221/3,((MAX(BK97:BL97)-(MIN(BK97:BL97)))))</f>
        <v>0.26333333333333336</v>
      </c>
      <c r="BN97" s="434">
        <f>(0.09-0)/2</f>
        <v>4.4999999999999998E-2</v>
      </c>
      <c r="BO97" s="437"/>
      <c r="BP97" s="435">
        <v>-10</v>
      </c>
      <c r="BQ97" s="338">
        <f>'Data Standar'!N211</f>
        <v>-0.84</v>
      </c>
      <c r="BR97" s="338"/>
      <c r="BS97" s="436">
        <f>IF(OR(BQ97=0,BR97=0),'Data Standar'!$N$221/3,((MAX(BQ97:BR97)-(MIN(BQ97:BR97)))))</f>
        <v>8.666666666666667E-2</v>
      </c>
      <c r="BT97" s="434">
        <f>(0.09-0)/2</f>
        <v>4.4999999999999998E-2</v>
      </c>
      <c r="BU97" s="437"/>
      <c r="BV97" s="435">
        <v>-10</v>
      </c>
      <c r="BW97" s="338">
        <f>'Data Standar'!O211</f>
        <v>-0.81</v>
      </c>
      <c r="BX97" s="338"/>
      <c r="BY97" s="436">
        <f>IF(OR(BW97=0,BX97=0),'Data Standar'!$O$221/3,((MAX(BW97:BX97)-(MIN(BW97:BX97)))))</f>
        <v>9.0000000000000011E-2</v>
      </c>
      <c r="BZ97" s="434">
        <f>(0.09-0)/2</f>
        <v>4.4999999999999998E-2</v>
      </c>
      <c r="CA97" s="437"/>
      <c r="CB97" s="435">
        <v>-10</v>
      </c>
      <c r="CC97" s="338">
        <f t="shared" si="48"/>
        <v>-1.4</v>
      </c>
      <c r="CD97" s="338">
        <f t="shared" si="51"/>
        <v>-0.7</v>
      </c>
      <c r="CE97" s="436">
        <f t="shared" si="54"/>
        <v>0.5</v>
      </c>
      <c r="CF97" s="434">
        <f>(0.09-0)/2</f>
        <v>4.4999999999999998E-2</v>
      </c>
      <c r="CG97" s="423"/>
      <c r="CH97" s="435">
        <v>-10</v>
      </c>
      <c r="CI97" s="338">
        <f t="shared" si="49"/>
        <v>-0.05</v>
      </c>
      <c r="CJ97" s="338">
        <f t="shared" si="52"/>
        <v>-0.18</v>
      </c>
      <c r="CK97" s="436">
        <f t="shared" si="55"/>
        <v>0.13</v>
      </c>
      <c r="CL97" s="434">
        <f>(0.09-0)/2</f>
        <v>4.4999999999999998E-2</v>
      </c>
      <c r="CM97" s="423"/>
      <c r="CN97" s="435">
        <v>-10</v>
      </c>
      <c r="CO97" s="338">
        <f t="shared" si="50"/>
        <v>-1.26</v>
      </c>
      <c r="CP97" s="338">
        <f t="shared" si="53"/>
        <v>-0.28000000000000003</v>
      </c>
      <c r="CQ97" s="436">
        <f t="shared" si="56"/>
        <v>0.98</v>
      </c>
      <c r="CR97" s="434">
        <f>(0.09-0)/2</f>
        <v>4.4999999999999998E-2</v>
      </c>
      <c r="CS97" s="423"/>
    </row>
    <row r="98" spans="1:97" s="427" customFormat="1" ht="13">
      <c r="A98" s="423"/>
      <c r="B98" s="435">
        <v>9.9999999999999995E-7</v>
      </c>
      <c r="C98" s="338">
        <v>-0.22</v>
      </c>
      <c r="D98" s="338">
        <f>'Data Standar'!C212</f>
        <v>-0.33</v>
      </c>
      <c r="E98" s="436">
        <f>IF(OR(C98=0,D98=0),'Data Standar'!$C$221/3,((MAX(C98:D98)-(MIN(C98:D98)))))</f>
        <v>0.11000000000000001</v>
      </c>
      <c r="F98" s="437">
        <f>(-0.59+1.12)/2</f>
        <v>0.26500000000000007</v>
      </c>
      <c r="G98" s="986">
        <f>VLOOKUP(G94,B101:F106,4)</f>
        <v>0.49</v>
      </c>
      <c r="H98" s="435">
        <v>9.9999999999999995E-7</v>
      </c>
      <c r="I98" s="338">
        <v>-0.28000000000000003</v>
      </c>
      <c r="J98" s="338">
        <f>'Data Standar'!D212</f>
        <v>-0.22</v>
      </c>
      <c r="K98" s="436">
        <f>IF(OR(I98=0,J98=0),'Data Standar'!$D$221/3,((MAX(I98:J98)-(MIN(I98:J98)))))</f>
        <v>6.0000000000000026E-2</v>
      </c>
      <c r="L98" s="437">
        <f t="shared" si="57"/>
        <v>5.5E-2</v>
      </c>
      <c r="M98" s="986">
        <f>VLOOKUP(M94,H101:L106,4)</f>
        <v>0.53</v>
      </c>
      <c r="N98" s="435">
        <v>9.9999999999999995E-7</v>
      </c>
      <c r="O98" s="338">
        <v>-0.36</v>
      </c>
      <c r="P98" s="338">
        <f>'Data Standar'!E212</f>
        <v>-0.16</v>
      </c>
      <c r="Q98" s="436">
        <f>IF(OR(O98=0,P98=0),'Data Standar'!$E$221/3,((MAX(O98:P98)-(MIN(O98:P98)))))</f>
        <v>0.19999999999999998</v>
      </c>
      <c r="R98" s="434">
        <f>(0.12-0)/2</f>
        <v>0.06</v>
      </c>
      <c r="S98" s="986">
        <f>VLOOKUP(S94,N101:R106,4)</f>
        <v>0.32</v>
      </c>
      <c r="T98" s="435">
        <v>9.9999999999999995E-7</v>
      </c>
      <c r="U98" s="338">
        <f>'Data Standar'!F212</f>
        <v>-0.28000000000000003</v>
      </c>
      <c r="V98" s="338"/>
      <c r="W98" s="436">
        <f>IF(OR(U98=0,V98=0),'Data Standar'!$F$221/3,((MAX(U98:V98)-(MIN(U98:V98)))))</f>
        <v>8.3333333333333329E-2</v>
      </c>
      <c r="X98" s="434">
        <f>(0.12-0)/2</f>
        <v>0.06</v>
      </c>
      <c r="Y98" s="986">
        <f>VLOOKUP(Y94,T101:X106,4)</f>
        <v>8.3333333333333329E-2</v>
      </c>
      <c r="Z98" s="435">
        <v>9.9999999999999995E-7</v>
      </c>
      <c r="AA98" s="338">
        <f>'Data Standar'!G212</f>
        <v>0.18</v>
      </c>
      <c r="AB98" s="338">
        <v>0.01</v>
      </c>
      <c r="AC98" s="436">
        <f>IF(OR(AA98=0,AB98=0),'Data Standar'!$G$221/3,((MAX(AA98:AB98)-(MIN(AA98:AB98)))))</f>
        <v>0.16999999999999998</v>
      </c>
      <c r="AD98" s="434">
        <f>(0.12-0)/2</f>
        <v>0.06</v>
      </c>
      <c r="AE98" s="986">
        <f>VLOOKUP(AE94,Z101:AD106,4)</f>
        <v>8.9999999999999969E-2</v>
      </c>
      <c r="AF98" s="435">
        <v>9.9999999999999995E-7</v>
      </c>
      <c r="AG98" s="338">
        <f>'Data Standar'!H212</f>
        <v>0.21</v>
      </c>
      <c r="AH98" s="338">
        <v>0.28999999999999998</v>
      </c>
      <c r="AI98" s="436">
        <f>IF(OR(AG98=0,AH98=0),'Data Standar'!$H$221/3,((MAX(AG98:AH98)-(MIN(AG98:AH98)))))</f>
        <v>7.9999999999999988E-2</v>
      </c>
      <c r="AJ98" s="434">
        <f>(0.12-0)/2</f>
        <v>0.06</v>
      </c>
      <c r="AK98" s="986">
        <f>VLOOKUP(AK94,AF101:AJ106,4)</f>
        <v>0.33</v>
      </c>
      <c r="AL98" s="435">
        <v>9.9999999999999995E-7</v>
      </c>
      <c r="AM98" s="338">
        <f>'Data Standar'!I212</f>
        <v>0.44</v>
      </c>
      <c r="AN98" s="338"/>
      <c r="AO98" s="436">
        <f>IF(OR(AM98=0,AN98=0),'Data Standar'!$I$221/3,((MAX(AM98:AN98)-(MIN(AM98:AN98)))))</f>
        <v>8.3333333333333329E-2</v>
      </c>
      <c r="AP98" s="434">
        <f>(0.12-0)/2</f>
        <v>0.06</v>
      </c>
      <c r="AQ98" s="986">
        <f>VLOOKUP(AQ94,AL101:AP106,4)</f>
        <v>8.3333333333333329E-2</v>
      </c>
      <c r="AR98" s="435">
        <v>9.9999999999999995E-7</v>
      </c>
      <c r="AS98" s="338">
        <f>'Data Standar'!J212</f>
        <v>0.39</v>
      </c>
      <c r="AT98" s="338"/>
      <c r="AU98" s="436">
        <f>IF(OR(AS98=0,AT98=0),'Data Standar'!$J$221/3,((MAX(AS98:AT98)-(MIN(AS98:AT98)))))</f>
        <v>8.3333333333333329E-2</v>
      </c>
      <c r="AV98" s="434">
        <f>(0.12-0)/2</f>
        <v>0.06</v>
      </c>
      <c r="AW98" s="986">
        <f>VLOOKUP(AW94,AR101:AV106,4)</f>
        <v>8.3333333333333329E-2</v>
      </c>
      <c r="AX98" s="435">
        <v>9.9999999999999995E-7</v>
      </c>
      <c r="AY98" s="338">
        <f>'Data Standar'!K212</f>
        <v>0.5</v>
      </c>
      <c r="AZ98" s="338"/>
      <c r="BA98" s="436">
        <f>IF(OR(AY98=0,AZ98=0),'Data Standar'!$K$221/3,((MAX(AY98:AZ98)-(MIN(AY98:AZ98)))))</f>
        <v>0.26333333333333336</v>
      </c>
      <c r="BB98" s="434">
        <f>(0.12-0)/2</f>
        <v>0.06</v>
      </c>
      <c r="BC98" s="986">
        <f>VLOOKUP(BC94,AX101:BB106,4)</f>
        <v>0.26333333333333336</v>
      </c>
      <c r="BD98" s="435">
        <v>9.9999999999999995E-7</v>
      </c>
      <c r="BE98" s="338">
        <f>'Data Standar'!L212</f>
        <v>-0.25</v>
      </c>
      <c r="BF98" s="338"/>
      <c r="BG98" s="436">
        <f>IF(OR(BE98=0,BF98=0),'Data Standar'!$L$221/3,((MAX(BE98:BF98)-(MIN(BE98:BF98)))))</f>
        <v>9.0000000000000011E-2</v>
      </c>
      <c r="BH98" s="434">
        <f>(0.12-0)/2</f>
        <v>0.06</v>
      </c>
      <c r="BI98" s="986">
        <f>VLOOKUP(BI94,BD101:BH106,4)</f>
        <v>9.0000000000000011E-2</v>
      </c>
      <c r="BJ98" s="435">
        <v>9.9999999999999995E-7</v>
      </c>
      <c r="BK98" s="338">
        <f>'Data Standar'!M212</f>
        <v>0.5</v>
      </c>
      <c r="BL98" s="338"/>
      <c r="BM98" s="436">
        <f>IF(OR(BK98=0,BL98=0),'Data Standar'!$M$221/3,((MAX(BK98:BL98)-(MIN(BK98:BL98)))))</f>
        <v>0.26333333333333336</v>
      </c>
      <c r="BN98" s="434">
        <f>(0.12-0)/2</f>
        <v>0.06</v>
      </c>
      <c r="BO98" s="986">
        <f>VLOOKUP(BO94,BJ101:BN106,4)</f>
        <v>0.26333333333333336</v>
      </c>
      <c r="BP98" s="435">
        <v>9.9999999999999995E-7</v>
      </c>
      <c r="BQ98" s="338">
        <f>'Data Standar'!N212</f>
        <v>-0.57999999999999996</v>
      </c>
      <c r="BR98" s="338"/>
      <c r="BS98" s="436">
        <f>IF(OR(BQ98=0,BR98=0),'Data Standar'!$N$221/3,((MAX(BQ98:BR98)-(MIN(BQ98:BR98)))))</f>
        <v>8.666666666666667E-2</v>
      </c>
      <c r="BT98" s="434">
        <f>(0.12-0)/2</f>
        <v>0.06</v>
      </c>
      <c r="BU98" s="986">
        <f>VLOOKUP(BU94,BP101:BT106,4)</f>
        <v>8.666666666666667E-2</v>
      </c>
      <c r="BV98" s="435">
        <v>9.9999999999999995E-7</v>
      </c>
      <c r="BW98" s="338">
        <f>'Data Standar'!O212</f>
        <v>-0.46</v>
      </c>
      <c r="BX98" s="338"/>
      <c r="BY98" s="436">
        <f>IF(OR(BW98=0,BX98=0),'Data Standar'!$O$221/3,((MAX(BW98:BX98)-(MIN(BW98:BX98)))))</f>
        <v>9.0000000000000011E-2</v>
      </c>
      <c r="BZ98" s="434">
        <f>(0.12-0)/2</f>
        <v>0.06</v>
      </c>
      <c r="CA98" s="986">
        <f>VLOOKUP(CA94,BV101:BZ106,4)</f>
        <v>9.0000000000000011E-2</v>
      </c>
      <c r="CB98" s="435">
        <v>9.9999999999999995E-7</v>
      </c>
      <c r="CC98" s="338">
        <f t="shared" si="48"/>
        <v>0</v>
      </c>
      <c r="CD98" s="338">
        <f t="shared" si="51"/>
        <v>-0.7</v>
      </c>
      <c r="CE98" s="436">
        <f t="shared" si="54"/>
        <v>0.7</v>
      </c>
      <c r="CF98" s="434">
        <f>(0.12-0)/2</f>
        <v>0.06</v>
      </c>
      <c r="CG98" s="423"/>
      <c r="CH98" s="435">
        <v>9.9999999999999995E-7</v>
      </c>
      <c r="CI98" s="338">
        <f t="shared" si="49"/>
        <v>0.03</v>
      </c>
      <c r="CJ98" s="338">
        <f t="shared" si="52"/>
        <v>-0.06</v>
      </c>
      <c r="CK98" s="436">
        <f t="shared" si="55"/>
        <v>0.09</v>
      </c>
      <c r="CL98" s="434">
        <f>(0.12-0)/2</f>
        <v>0.06</v>
      </c>
      <c r="CM98" s="423"/>
      <c r="CN98" s="435">
        <v>9.9999999999999995E-7</v>
      </c>
      <c r="CO98" s="338">
        <f t="shared" si="50"/>
        <v>-0.79</v>
      </c>
      <c r="CP98" s="338">
        <f t="shared" si="53"/>
        <v>-0.08</v>
      </c>
      <c r="CQ98" s="436">
        <f t="shared" si="56"/>
        <v>0.71000000000000008</v>
      </c>
      <c r="CR98" s="434">
        <f>(0.12-0)/2</f>
        <v>0.06</v>
      </c>
      <c r="CS98" s="423"/>
    </row>
    <row r="99" spans="1:97" s="427" customFormat="1" ht="13">
      <c r="A99" s="423"/>
      <c r="B99" s="435">
        <v>2</v>
      </c>
      <c r="C99" s="338">
        <v>-0.21</v>
      </c>
      <c r="D99" s="338">
        <f>'Data Standar'!C213</f>
        <v>-0.3</v>
      </c>
      <c r="E99" s="436">
        <f>IF(OR(C99=0,D99=0),'Data Standar'!$C$221/3,((MAX(C99:D99)-(MIN(C99:D99)))))</f>
        <v>0.09</v>
      </c>
      <c r="F99" s="437">
        <f>(-0.56+1.04)/2</f>
        <v>0.24</v>
      </c>
      <c r="G99" s="437"/>
      <c r="H99" s="435">
        <v>2</v>
      </c>
      <c r="I99" s="338">
        <v>-0.24</v>
      </c>
      <c r="J99" s="338">
        <f>'Data Standar'!D213</f>
        <v>-0.19</v>
      </c>
      <c r="K99" s="436">
        <f>IF(OR(I99=0,J99=0),'Data Standar'!$D$221/3,((MAX(I99:J99)-(MIN(I99:J99)))))</f>
        <v>4.9999999999999989E-2</v>
      </c>
      <c r="L99" s="437">
        <f t="shared" si="57"/>
        <v>5.5E-2</v>
      </c>
      <c r="M99" s="437"/>
      <c r="N99" s="435">
        <v>2</v>
      </c>
      <c r="O99" s="338">
        <v>-0.33</v>
      </c>
      <c r="P99" s="338">
        <f>'Data Standar'!E213</f>
        <v>-0.15</v>
      </c>
      <c r="Q99" s="436">
        <f>IF(OR(O99=0,P99=0),'Data Standar'!$E$221/3,((MAX(O99:P99)-(MIN(O99:P99)))))</f>
        <v>0.18000000000000002</v>
      </c>
      <c r="R99" s="434">
        <f>(0.12-0)/2</f>
        <v>0.06</v>
      </c>
      <c r="S99" s="437"/>
      <c r="T99" s="435">
        <v>2</v>
      </c>
      <c r="U99" s="338">
        <f>'Data Standar'!F213</f>
        <v>-0.49</v>
      </c>
      <c r="V99" s="338"/>
      <c r="W99" s="436">
        <f>IF(OR(U99=0,V99=0),'Data Standar'!$F$221/3,((MAX(U99:V99)-(MIN(U99:V99)))))</f>
        <v>8.3333333333333329E-2</v>
      </c>
      <c r="X99" s="434">
        <f>(0.12-0)/2</f>
        <v>0.06</v>
      </c>
      <c r="Y99" s="437"/>
      <c r="Z99" s="435">
        <v>2</v>
      </c>
      <c r="AA99" s="338">
        <f>'Data Standar'!G213</f>
        <v>0.23</v>
      </c>
      <c r="AB99" s="338">
        <v>0.05</v>
      </c>
      <c r="AC99" s="436">
        <f>IF(OR(AA99=0,AB99=0),'Data Standar'!$G$221/3,((MAX(AA99:AB99)-(MIN(AA99:AB99)))))</f>
        <v>0.18</v>
      </c>
      <c r="AD99" s="434">
        <f>(0.12-0)/2</f>
        <v>0.06</v>
      </c>
      <c r="AE99" s="437"/>
      <c r="AF99" s="435">
        <v>2</v>
      </c>
      <c r="AG99" s="338">
        <f>'Data Standar'!H213</f>
        <v>0.23</v>
      </c>
      <c r="AH99" s="338">
        <v>0.33</v>
      </c>
      <c r="AI99" s="436">
        <f>IF(OR(AG99=0,AH99=0),'Data Standar'!$H$221/3,((MAX(AG99:AH99)-(MIN(AG99:AH99)))))</f>
        <v>0.1</v>
      </c>
      <c r="AJ99" s="434">
        <f>(0.12-0)/2</f>
        <v>0.06</v>
      </c>
      <c r="AK99" s="437"/>
      <c r="AL99" s="435">
        <v>2</v>
      </c>
      <c r="AM99" s="338">
        <f>'Data Standar'!I213</f>
        <v>0.46</v>
      </c>
      <c r="AN99" s="338"/>
      <c r="AO99" s="436">
        <f>IF(OR(AM99=0,AN99=0),'Data Standar'!$I$221/3,((MAX(AM99:AN99)-(MIN(AM99:AN99)))))</f>
        <v>8.3333333333333329E-2</v>
      </c>
      <c r="AP99" s="434">
        <f>(0.12-0)/2</f>
        <v>0.06</v>
      </c>
      <c r="AQ99" s="437"/>
      <c r="AR99" s="435">
        <v>2</v>
      </c>
      <c r="AS99" s="338">
        <f>'Data Standar'!J213</f>
        <v>0.4</v>
      </c>
      <c r="AT99" s="338"/>
      <c r="AU99" s="436">
        <f>IF(OR(AS99=0,AT99=0),'Data Standar'!$J$221/3,((MAX(AS99:AT99)-(MIN(AS99:AT99)))))</f>
        <v>8.3333333333333329E-2</v>
      </c>
      <c r="AV99" s="434">
        <f>(0.12-0)/2</f>
        <v>0.06</v>
      </c>
      <c r="AW99" s="437"/>
      <c r="AX99" s="435">
        <v>2</v>
      </c>
      <c r="AY99" s="338">
        <f>'Data Standar'!K213</f>
        <v>0.5</v>
      </c>
      <c r="AZ99" s="338"/>
      <c r="BA99" s="436">
        <f>IF(OR(AY99=0,AZ99=0),'Data Standar'!$K$221/3,((MAX(AY99:AZ99)-(MIN(AY99:AZ99)))))</f>
        <v>0.26333333333333336</v>
      </c>
      <c r="BB99" s="434">
        <f>(0.12-0)/2</f>
        <v>0.06</v>
      </c>
      <c r="BC99" s="437"/>
      <c r="BD99" s="435">
        <v>2</v>
      </c>
      <c r="BE99" s="338">
        <f>'Data Standar'!L213</f>
        <v>-0.28000000000000003</v>
      </c>
      <c r="BF99" s="338"/>
      <c r="BG99" s="436">
        <f>IF(OR(BE99=0,BF99=0),'Data Standar'!$L$221/3,((MAX(BE99:BF99)-(MIN(BE99:BF99)))))</f>
        <v>9.0000000000000011E-2</v>
      </c>
      <c r="BH99" s="434">
        <f>(0.12-0)/2</f>
        <v>0.06</v>
      </c>
      <c r="BI99" s="437"/>
      <c r="BJ99" s="435">
        <v>2</v>
      </c>
      <c r="BK99" s="338">
        <f>'Data Standar'!M213</f>
        <v>0.5</v>
      </c>
      <c r="BL99" s="338"/>
      <c r="BM99" s="436">
        <f>IF(OR(BK99=0,BL99=0),'Data Standar'!$M$221/3,((MAX(BK99:BL99)-(MIN(BK99:BL99)))))</f>
        <v>0.26333333333333336</v>
      </c>
      <c r="BN99" s="434">
        <f>(0.12-0)/2</f>
        <v>0.06</v>
      </c>
      <c r="BO99" s="437"/>
      <c r="BP99" s="435">
        <v>2</v>
      </c>
      <c r="BQ99" s="338">
        <f>'Data Standar'!N213</f>
        <v>-0.54</v>
      </c>
      <c r="BR99" s="338"/>
      <c r="BS99" s="436">
        <f>IF(OR(BQ99=0,BR99=0),'Data Standar'!$N$221/3,((MAX(BQ99:BR99)-(MIN(BQ99:BR99)))))</f>
        <v>8.666666666666667E-2</v>
      </c>
      <c r="BT99" s="434">
        <f>(0.12-0)/2</f>
        <v>0.06</v>
      </c>
      <c r="BU99" s="437"/>
      <c r="BV99" s="435">
        <v>2</v>
      </c>
      <c r="BW99" s="338">
        <f>'Data Standar'!O213</f>
        <v>-0.56000000000000005</v>
      </c>
      <c r="BX99" s="338"/>
      <c r="BY99" s="436">
        <f>IF(OR(BW99=0,BX99=0),'Data Standar'!$O$221/3,((MAX(BW99:BX99)-(MIN(BW99:BX99)))))</f>
        <v>9.0000000000000011E-2</v>
      </c>
      <c r="BZ99" s="434">
        <f>(0.12-0)/2</f>
        <v>0.06</v>
      </c>
      <c r="CA99" s="437"/>
      <c r="CB99" s="435">
        <v>2</v>
      </c>
      <c r="CC99" s="338">
        <f t="shared" si="48"/>
        <v>0</v>
      </c>
      <c r="CD99" s="338">
        <f t="shared" si="51"/>
        <v>-0.7</v>
      </c>
      <c r="CE99" s="436">
        <f t="shared" si="54"/>
        <v>0.19999999999999998</v>
      </c>
      <c r="CF99" s="434">
        <f>(0.12-0)/2</f>
        <v>0.06</v>
      </c>
      <c r="CG99" s="423"/>
      <c r="CH99" s="435">
        <v>2</v>
      </c>
      <c r="CI99" s="338">
        <f t="shared" si="49"/>
        <v>0.04</v>
      </c>
      <c r="CJ99" s="338">
        <f t="shared" si="52"/>
        <v>-0.04</v>
      </c>
      <c r="CK99" s="436">
        <f t="shared" si="55"/>
        <v>0.08</v>
      </c>
      <c r="CL99" s="434">
        <f>(0.12-0)/2</f>
        <v>0.06</v>
      </c>
      <c r="CM99" s="423"/>
      <c r="CN99" s="435">
        <v>2</v>
      </c>
      <c r="CO99" s="338">
        <f t="shared" si="50"/>
        <v>-0.7</v>
      </c>
      <c r="CP99" s="338">
        <f t="shared" si="53"/>
        <v>-0.05</v>
      </c>
      <c r="CQ99" s="436">
        <f t="shared" si="56"/>
        <v>0.64999999999999991</v>
      </c>
      <c r="CR99" s="434">
        <f>(0.12-0)/2</f>
        <v>0.06</v>
      </c>
      <c r="CS99" s="423"/>
    </row>
    <row r="100" spans="1:97" s="427" customFormat="1" ht="13">
      <c r="A100" s="423"/>
      <c r="B100" s="435">
        <v>8</v>
      </c>
      <c r="C100" s="338">
        <v>-0.16</v>
      </c>
      <c r="D100" s="338">
        <f>'Data Standar'!C214</f>
        <v>-0.23</v>
      </c>
      <c r="E100" s="436">
        <f>IF(OR(C100=0,D100=0),'Data Standar'!$C$221/3,((MAX(C100:D100)-(MIN(C100:D100)))))</f>
        <v>7.0000000000000007E-2</v>
      </c>
      <c r="F100" s="437">
        <f>(-0.49+0.81)/2</f>
        <v>0.16000000000000003</v>
      </c>
      <c r="G100" s="986">
        <f>VLOOKUP(G96,B101:F106,4)</f>
        <v>0.42</v>
      </c>
      <c r="H100" s="435">
        <v>8</v>
      </c>
      <c r="I100" s="338">
        <v>-0.14000000000000001</v>
      </c>
      <c r="J100" s="338">
        <f>'Data Standar'!D214</f>
        <v>-0.12</v>
      </c>
      <c r="K100" s="436">
        <f>IF(OR(I100=0,J100=0),'Data Standar'!$D$221/3,((MAX(I100:J100)-(MIN(I100:J100)))))</f>
        <v>2.0000000000000018E-2</v>
      </c>
      <c r="L100" s="437">
        <f t="shared" si="57"/>
        <v>5.5E-2</v>
      </c>
      <c r="M100" s="986">
        <f>VLOOKUP(M96,H101:L106,4)</f>
        <v>0.14000000000000001</v>
      </c>
      <c r="N100" s="435">
        <v>8</v>
      </c>
      <c r="O100" s="338">
        <v>-0.21</v>
      </c>
      <c r="P100" s="338">
        <f>'Data Standar'!E214</f>
        <v>-0.11</v>
      </c>
      <c r="Q100" s="436">
        <f>IF(OR(O100=0,P100=0),'Data Standar'!$E$221/3,((MAX(O100:P100)-(MIN(O100:P100)))))</f>
        <v>9.9999999999999992E-2</v>
      </c>
      <c r="R100" s="434">
        <f>(0.14-0)/2</f>
        <v>7.0000000000000007E-2</v>
      </c>
      <c r="S100" s="986">
        <f>VLOOKUP(S96,N101:R106,4)</f>
        <v>0.47000000000000003</v>
      </c>
      <c r="T100" s="435">
        <v>8</v>
      </c>
      <c r="U100" s="338">
        <f>'Data Standar'!F214</f>
        <v>-0.26</v>
      </c>
      <c r="V100" s="338"/>
      <c r="W100" s="436">
        <f>IF(OR(U100=0,V100=0),'Data Standar'!$F$221/3,((MAX(U100:V100)-(MIN(U100:V100)))))</f>
        <v>8.3333333333333329E-2</v>
      </c>
      <c r="X100" s="434">
        <f>(0.14-0)/2</f>
        <v>7.0000000000000007E-2</v>
      </c>
      <c r="Y100" s="986">
        <f>VLOOKUP(Y96,T101:X106,4)</f>
        <v>8.3333333333333329E-2</v>
      </c>
      <c r="Z100" s="435">
        <v>8</v>
      </c>
      <c r="AA100" s="338">
        <f>'Data Standar'!G214</f>
        <v>0.22</v>
      </c>
      <c r="AB100" s="338">
        <v>0.18</v>
      </c>
      <c r="AC100" s="436">
        <f>IF(OR(AA100=0,AB100=0),'Data Standar'!$G$221/3,((MAX(AA100:AB100)-(MIN(AA100:AB100)))))</f>
        <v>4.0000000000000008E-2</v>
      </c>
      <c r="AD100" s="434">
        <f>(0.14-0)/2</f>
        <v>7.0000000000000007E-2</v>
      </c>
      <c r="AE100" s="986">
        <f>VLOOKUP(AE96,Z101:AD106,4)</f>
        <v>0.74</v>
      </c>
      <c r="AF100" s="435">
        <v>8</v>
      </c>
      <c r="AG100" s="338">
        <f>'Data Standar'!H214</f>
        <v>0.22</v>
      </c>
      <c r="AH100" s="338">
        <v>0.41</v>
      </c>
      <c r="AI100" s="436">
        <f>IF(OR(AG100=0,AH100=0),'Data Standar'!$H$221/3,((MAX(AG100:AH100)-(MIN(AG100:AH100)))))</f>
        <v>0.18999999999999997</v>
      </c>
      <c r="AJ100" s="434">
        <f>(0.14-0)/2</f>
        <v>7.0000000000000007E-2</v>
      </c>
      <c r="AK100" s="986">
        <f>VLOOKUP(AK96,AF101:AJ106,4)</f>
        <v>0.92</v>
      </c>
      <c r="AL100" s="435">
        <v>8</v>
      </c>
      <c r="AM100" s="338">
        <f>'Data Standar'!I214</f>
        <v>0.46</v>
      </c>
      <c r="AN100" s="338"/>
      <c r="AO100" s="436">
        <f>IF(OR(AM100=0,AN100=0),'Data Standar'!$I$221/3,((MAX(AM100:AN100)-(MIN(AM100:AN100)))))</f>
        <v>8.3333333333333329E-2</v>
      </c>
      <c r="AP100" s="434">
        <f>(0.14-0)/2</f>
        <v>7.0000000000000007E-2</v>
      </c>
      <c r="AQ100" s="986">
        <f>VLOOKUP(AQ96,AL101:AP106,4)</f>
        <v>8.3333333333333329E-2</v>
      </c>
      <c r="AR100" s="435">
        <v>8</v>
      </c>
      <c r="AS100" s="338">
        <f>'Data Standar'!J214</f>
        <v>0.38</v>
      </c>
      <c r="AT100" s="338"/>
      <c r="AU100" s="436">
        <f>IF(OR(AS100=0,AT100=0),'Data Standar'!$J$221/3,((MAX(AS100:AT100)-(MIN(AS100:AT100)))))</f>
        <v>8.3333333333333329E-2</v>
      </c>
      <c r="AV100" s="434">
        <f>(0.14-0)/2</f>
        <v>7.0000000000000007E-2</v>
      </c>
      <c r="AW100" s="986">
        <f>VLOOKUP(AW96,AR101:AV106,4)</f>
        <v>8.3333333333333329E-2</v>
      </c>
      <c r="AX100" s="435">
        <v>8</v>
      </c>
      <c r="AY100" s="338">
        <f>'Data Standar'!K214</f>
        <v>0.48</v>
      </c>
      <c r="AZ100" s="338"/>
      <c r="BA100" s="436">
        <f>IF(OR(AY100=0,AZ100=0),'Data Standar'!$K$221/3,((MAX(AY100:AZ100)-(MIN(AY100:AZ100)))))</f>
        <v>0.26333333333333336</v>
      </c>
      <c r="BB100" s="434">
        <f>(0.14-0)/2</f>
        <v>7.0000000000000007E-2</v>
      </c>
      <c r="BC100" s="986">
        <f>VLOOKUP(BC96,AX101:BB106,4)</f>
        <v>0.26333333333333336</v>
      </c>
      <c r="BD100" s="435">
        <v>8</v>
      </c>
      <c r="BE100" s="338">
        <f>'Data Standar'!L214</f>
        <v>-0.04</v>
      </c>
      <c r="BF100" s="338"/>
      <c r="BG100" s="436">
        <f>IF(OR(BE100=0,BF100=0),'Data Standar'!$L$221/3,((MAX(BE100:BF100)-(MIN(BE100:BF100)))))</f>
        <v>9.0000000000000011E-2</v>
      </c>
      <c r="BH100" s="434">
        <f>(0.14-0)/2</f>
        <v>7.0000000000000007E-2</v>
      </c>
      <c r="BI100" s="986">
        <f>VLOOKUP(BI96,BD101:BH106,4)</f>
        <v>9.0000000000000011E-2</v>
      </c>
      <c r="BJ100" s="435">
        <v>8</v>
      </c>
      <c r="BK100" s="338">
        <f>'Data Standar'!M214</f>
        <v>0.48</v>
      </c>
      <c r="BL100" s="338"/>
      <c r="BM100" s="436">
        <f>IF(OR(BK100=0,BL100=0),'Data Standar'!$M$221/3,((MAX(BK100:BL100)-(MIN(BK100:BL100)))))</f>
        <v>0.26333333333333336</v>
      </c>
      <c r="BN100" s="434">
        <f>(0.14-0)/2</f>
        <v>7.0000000000000007E-2</v>
      </c>
      <c r="BO100" s="986">
        <f>VLOOKUP(BO96,BJ101:BN106,4)</f>
        <v>0.26333333333333336</v>
      </c>
      <c r="BP100" s="435">
        <v>8</v>
      </c>
      <c r="BQ100" s="338">
        <f>'Data Standar'!N214</f>
        <v>-0.3</v>
      </c>
      <c r="BR100" s="338"/>
      <c r="BS100" s="436">
        <f>IF(OR(BQ100=0,BR100=0),'Data Standar'!$N$221/3,((MAX(BQ100:BR100)-(MIN(BQ100:BR100)))))</f>
        <v>8.666666666666667E-2</v>
      </c>
      <c r="BT100" s="434">
        <f>(0.14-0)/2</f>
        <v>7.0000000000000007E-2</v>
      </c>
      <c r="BU100" s="986">
        <f>VLOOKUP(BU96,BP101:BT106,4)</f>
        <v>8.666666666666667E-2</v>
      </c>
      <c r="BV100" s="435">
        <v>8</v>
      </c>
      <c r="BW100" s="338">
        <f>'Data Standar'!O214</f>
        <v>-0.28999999999999998</v>
      </c>
      <c r="BX100" s="338"/>
      <c r="BY100" s="436">
        <f>IF(OR(BW100=0,BX100=0),'Data Standar'!$O$221/3,((MAX(BW100:BX100)-(MIN(BW100:BX100)))))</f>
        <v>9.0000000000000011E-2</v>
      </c>
      <c r="BZ100" s="434">
        <f>(0.14-0)/2</f>
        <v>7.0000000000000007E-2</v>
      </c>
      <c r="CA100" s="986">
        <f>VLOOKUP(CA96,BV101:BZ106,4)</f>
        <v>9.0000000000000011E-2</v>
      </c>
      <c r="CB100" s="435">
        <v>8</v>
      </c>
      <c r="CC100" s="338">
        <f t="shared" si="48"/>
        <v>0</v>
      </c>
      <c r="CD100" s="338">
        <f t="shared" si="51"/>
        <v>-0.7</v>
      </c>
      <c r="CE100" s="436">
        <f t="shared" si="54"/>
        <v>0.19999999999999998</v>
      </c>
      <c r="CF100" s="434">
        <f>(0.14-0)/2</f>
        <v>7.0000000000000007E-2</v>
      </c>
      <c r="CG100" s="423"/>
      <c r="CH100" s="435">
        <v>8</v>
      </c>
      <c r="CI100" s="338">
        <f t="shared" si="49"/>
        <v>0.08</v>
      </c>
      <c r="CJ100" s="338">
        <f t="shared" si="52"/>
        <v>0.01</v>
      </c>
      <c r="CK100" s="436">
        <f t="shared" si="55"/>
        <v>7.0000000000000007E-2</v>
      </c>
      <c r="CL100" s="434">
        <f>(0.14-0)/2</f>
        <v>7.0000000000000007E-2</v>
      </c>
      <c r="CM100" s="423"/>
      <c r="CN100" s="435">
        <v>8</v>
      </c>
      <c r="CO100" s="338">
        <f t="shared" si="50"/>
        <v>-0.46</v>
      </c>
      <c r="CP100" s="338">
        <f t="shared" si="53"/>
        <v>0.06</v>
      </c>
      <c r="CQ100" s="436">
        <f t="shared" si="56"/>
        <v>0.52</v>
      </c>
      <c r="CR100" s="434">
        <f>(0.14-0)/2</f>
        <v>7.0000000000000007E-2</v>
      </c>
      <c r="CS100" s="423"/>
    </row>
    <row r="101" spans="1:97" s="427" customFormat="1" ht="13">
      <c r="A101" s="423"/>
      <c r="B101" s="435">
        <v>37</v>
      </c>
      <c r="C101" s="338">
        <v>0.01</v>
      </c>
      <c r="D101" s="338">
        <f>'Data Standar'!C215</f>
        <v>0.15</v>
      </c>
      <c r="E101" s="436">
        <f>IF(OR(C101=0,D101=0),'Data Standar'!$C$221/3,((MAX(C101:D101)-(MIN(C101:D101)))))</f>
        <v>0.13999999999999999</v>
      </c>
      <c r="F101" s="437">
        <f>(0.09+0.26)/2</f>
        <v>0.17499999999999999</v>
      </c>
      <c r="G101" s="987"/>
      <c r="H101" s="435">
        <v>37</v>
      </c>
      <c r="I101" s="338">
        <v>0.16</v>
      </c>
      <c r="J101" s="338">
        <f>'Data Standar'!D215</f>
        <v>0.2</v>
      </c>
      <c r="K101" s="436">
        <f>IF(OR(I101=0,J101=0),'Data Standar'!$D$221/3,((MAX(I101:J101)-(MIN(I101:J101)))))</f>
        <v>4.0000000000000008E-2</v>
      </c>
      <c r="L101" s="437">
        <f t="shared" si="57"/>
        <v>5.5E-2</v>
      </c>
      <c r="M101" s="987"/>
      <c r="N101" s="435">
        <v>37</v>
      </c>
      <c r="O101" s="338">
        <v>-0.09</v>
      </c>
      <c r="P101" s="338">
        <f>'Data Standar'!E215</f>
        <v>-0.04</v>
      </c>
      <c r="Q101" s="436">
        <f>IF(OR(O101=0,P101=0),'Data Standar'!$E$221/3,((MAX(O101:P101)-(MIN(O101:P101)))))</f>
        <v>4.9999999999999996E-2</v>
      </c>
      <c r="R101" s="434">
        <f>(0.19-0)/2</f>
        <v>9.5000000000000001E-2</v>
      </c>
      <c r="S101" s="987"/>
      <c r="T101" s="435">
        <v>37</v>
      </c>
      <c r="U101" s="338">
        <f>'Data Standar'!F215</f>
        <v>0.55000000000000004</v>
      </c>
      <c r="V101" s="338"/>
      <c r="W101" s="436">
        <f>IF(OR(U101=0,V101=0),'Data Standar'!$F$221/3,((MAX(U101:V101)-(MIN(U101:V101)))))</f>
        <v>8.3333333333333329E-2</v>
      </c>
      <c r="X101" s="434">
        <f>(0.19-0)/2</f>
        <v>9.5000000000000001E-2</v>
      </c>
      <c r="Y101" s="987"/>
      <c r="Z101" s="435">
        <v>37</v>
      </c>
      <c r="AA101" s="338">
        <f>'Data Standar'!G215</f>
        <v>0.19</v>
      </c>
      <c r="AB101" s="338">
        <v>0.59</v>
      </c>
      <c r="AC101" s="436">
        <f>IF(OR(AA101=0,AB101=0),'Data Standar'!$G$221/3,((MAX(AA101:AB101)-(MIN(AA101:AB101)))))</f>
        <v>0.39999999999999997</v>
      </c>
      <c r="AD101" s="434">
        <f>(0.19-0)/2</f>
        <v>9.5000000000000001E-2</v>
      </c>
      <c r="AE101" s="987"/>
      <c r="AF101" s="435">
        <v>37</v>
      </c>
      <c r="AG101" s="338">
        <f>'Data Standar'!H215</f>
        <v>0.21</v>
      </c>
      <c r="AH101" s="338">
        <v>0.67</v>
      </c>
      <c r="AI101" s="436">
        <f>IF(OR(AG101=0,AH101=0),'Data Standar'!$H$221/3,((MAX(AG101:AH101)-(MIN(AG101:AH101)))))</f>
        <v>0.46000000000000008</v>
      </c>
      <c r="AJ101" s="434">
        <f>(0.19-0)/2</f>
        <v>9.5000000000000001E-2</v>
      </c>
      <c r="AK101" s="987"/>
      <c r="AL101" s="435">
        <v>37</v>
      </c>
      <c r="AM101" s="338">
        <f>'Data Standar'!I215</f>
        <v>0.46</v>
      </c>
      <c r="AN101" s="338"/>
      <c r="AO101" s="436">
        <f>IF(OR(AM101=0,AN101=0),'Data Standar'!$I$221/3,((MAX(AM101:AN101)-(MIN(AM101:AN101)))))</f>
        <v>8.3333333333333329E-2</v>
      </c>
      <c r="AP101" s="434">
        <f>(0.19-0)/2</f>
        <v>9.5000000000000001E-2</v>
      </c>
      <c r="AQ101" s="987"/>
      <c r="AR101" s="435">
        <v>37</v>
      </c>
      <c r="AS101" s="338">
        <f>'Data Standar'!J215</f>
        <v>0.33</v>
      </c>
      <c r="AT101" s="338"/>
      <c r="AU101" s="436">
        <f>IF(OR(AS101=0,AT101=0),'Data Standar'!$J$221/3,((MAX(AS101:AT101)-(MIN(AS101:AT101)))))</f>
        <v>8.3333333333333329E-2</v>
      </c>
      <c r="AV101" s="434">
        <f>(0.19-0)/2</f>
        <v>9.5000000000000001E-2</v>
      </c>
      <c r="AW101" s="987"/>
      <c r="AX101" s="435">
        <v>37</v>
      </c>
      <c r="AY101" s="338">
        <f>'Data Standar'!K215</f>
        <v>0.41</v>
      </c>
      <c r="AZ101" s="338"/>
      <c r="BA101" s="436">
        <f>IF(OR(AY101=0,AZ101=0),'Data Standar'!$K$221/3,((MAX(AY101:AZ101)-(MIN(AY101:AZ101)))))</f>
        <v>0.26333333333333336</v>
      </c>
      <c r="BB101" s="434">
        <f>(0.19-0)/2</f>
        <v>9.5000000000000001E-2</v>
      </c>
      <c r="BC101" s="987"/>
      <c r="BD101" s="435">
        <v>37</v>
      </c>
      <c r="BE101" s="338">
        <f>'Data Standar'!L215</f>
        <v>0.7</v>
      </c>
      <c r="BF101" s="338"/>
      <c r="BG101" s="436">
        <f>IF(OR(BE101=0,BF101=0),'Data Standar'!$L$221/3,((MAX(BE101:BF101)-(MIN(BE101:BF101)))))</f>
        <v>9.0000000000000011E-2</v>
      </c>
      <c r="BH101" s="434">
        <f>(0.19-0)/2</f>
        <v>9.5000000000000001E-2</v>
      </c>
      <c r="BI101" s="987"/>
      <c r="BJ101" s="435">
        <v>37</v>
      </c>
      <c r="BK101" s="338">
        <f>'Data Standar'!M215</f>
        <v>0.41</v>
      </c>
      <c r="BL101" s="338"/>
      <c r="BM101" s="436">
        <f>IF(OR(BK101=0,BL101=0),'Data Standar'!$M$221/3,((MAX(BK101:BL101)-(MIN(BK101:BL101)))))</f>
        <v>0.26333333333333336</v>
      </c>
      <c r="BN101" s="434">
        <f>(0.19-0)/2</f>
        <v>9.5000000000000001E-2</v>
      </c>
      <c r="BO101" s="987"/>
      <c r="BP101" s="435">
        <v>37</v>
      </c>
      <c r="BQ101" s="338">
        <f>'Data Standar'!N215</f>
        <v>0.5</v>
      </c>
      <c r="BR101" s="338"/>
      <c r="BS101" s="436">
        <f>IF(OR(BQ101=0,BR101=0),'Data Standar'!$N$221/3,((MAX(BQ101:BR101)-(MIN(BQ101:BR101)))))</f>
        <v>8.666666666666667E-2</v>
      </c>
      <c r="BT101" s="434">
        <f>(0.19-0)/2</f>
        <v>9.5000000000000001E-2</v>
      </c>
      <c r="BU101" s="987"/>
      <c r="BV101" s="435">
        <v>37</v>
      </c>
      <c r="BW101" s="338">
        <f>'Data Standar'!O215</f>
        <v>0.6</v>
      </c>
      <c r="BX101" s="338"/>
      <c r="BY101" s="436">
        <f>IF(OR(BW101=0,BX101=0),'Data Standar'!$O$221/3,((MAX(BW101:BX101)-(MIN(BW101:BX101)))))</f>
        <v>9.0000000000000011E-2</v>
      </c>
      <c r="BZ101" s="434">
        <f>(0.19-0)/2</f>
        <v>9.5000000000000001E-2</v>
      </c>
      <c r="CA101" s="987"/>
      <c r="CB101" s="435">
        <v>37</v>
      </c>
      <c r="CC101" s="338">
        <f t="shared" si="48"/>
        <v>0</v>
      </c>
      <c r="CD101" s="338">
        <f t="shared" si="51"/>
        <v>-0.6</v>
      </c>
      <c r="CE101" s="436">
        <f t="shared" si="54"/>
        <v>0.19999999999999998</v>
      </c>
      <c r="CF101" s="434">
        <f>(0.19-0)/2</f>
        <v>9.5000000000000001E-2</v>
      </c>
      <c r="CG101" s="423"/>
      <c r="CH101" s="435">
        <v>37</v>
      </c>
      <c r="CI101" s="338">
        <f t="shared" si="49"/>
        <v>0.23</v>
      </c>
      <c r="CJ101" s="338">
        <f t="shared" si="52"/>
        <v>0.19</v>
      </c>
      <c r="CK101" s="436">
        <f t="shared" si="55"/>
        <v>4.0000000000000008E-2</v>
      </c>
      <c r="CL101" s="434">
        <f>(0.19-0)/2</f>
        <v>9.5000000000000001E-2</v>
      </c>
      <c r="CM101" s="423"/>
      <c r="CN101" s="435">
        <v>37</v>
      </c>
      <c r="CO101" s="338">
        <f t="shared" si="50"/>
        <v>0.42</v>
      </c>
      <c r="CP101" s="338">
        <f t="shared" si="53"/>
        <v>0.45</v>
      </c>
      <c r="CQ101" s="436">
        <f t="shared" si="56"/>
        <v>3.0000000000000027E-2</v>
      </c>
      <c r="CR101" s="434">
        <f>(0.19-0)/2</f>
        <v>9.5000000000000001E-2</v>
      </c>
      <c r="CS101" s="423"/>
    </row>
    <row r="102" spans="1:97" s="427" customFormat="1" ht="13">
      <c r="A102" s="423"/>
      <c r="B102" s="435">
        <v>44</v>
      </c>
      <c r="C102" s="338">
        <v>0.04</v>
      </c>
      <c r="D102" s="338">
        <f>'Data Standar'!C216</f>
        <v>0.24</v>
      </c>
      <c r="E102" s="436">
        <f>IF(OR(C102=0,D102=0),'Data Standar'!$C$221/3,((MAX(C102:D102)-(MIN(C102:D102)))))</f>
        <v>0.19999999999999998</v>
      </c>
      <c r="F102" s="437">
        <f>(0.26+0.23)/2</f>
        <v>0.245</v>
      </c>
      <c r="G102" s="988">
        <f>(((G100-G98)/(G96-G94))*(G93-G94))+G98</f>
        <v>0.47395016666666667</v>
      </c>
      <c r="H102" s="435">
        <v>44</v>
      </c>
      <c r="I102" s="338">
        <v>0.19</v>
      </c>
      <c r="J102" s="338">
        <f>'Data Standar'!D216</f>
        <v>0.26</v>
      </c>
      <c r="K102" s="436">
        <f>IF(OR(I102=0,J102=0),'Data Standar'!$D$221/3,((MAX(I102:J102)-(MIN(I102:J102)))))</f>
        <v>7.0000000000000007E-2</v>
      </c>
      <c r="L102" s="437">
        <f>(0+0.1)/2</f>
        <v>0.05</v>
      </c>
      <c r="M102" s="988">
        <f>(((M100-M98)/(M96-M94))*(M93-M94))+M98</f>
        <v>0.44057950000000001</v>
      </c>
      <c r="N102" s="435">
        <v>44</v>
      </c>
      <c r="O102" s="338">
        <v>-0.11</v>
      </c>
      <c r="P102" s="338">
        <f>'Data Standar'!E216</f>
        <v>-0.04</v>
      </c>
      <c r="Q102" s="436">
        <f>IF(OR(O102=0,P102=0),'Data Standar'!$E$221/3,((MAX(O102:P102)-(MIN(O102:P102)))))</f>
        <v>7.0000000000000007E-2</v>
      </c>
      <c r="R102" s="434">
        <f>(0.13-0)/2</f>
        <v>6.5000000000000002E-2</v>
      </c>
      <c r="S102" s="988">
        <f>(((S100-S98)/(S96-S94))*(S93-S94))+S98</f>
        <v>0.3543925</v>
      </c>
      <c r="T102" s="435">
        <v>44</v>
      </c>
      <c r="U102" s="338">
        <f>'Data Standar'!F216</f>
        <v>0.67</v>
      </c>
      <c r="V102" s="338"/>
      <c r="W102" s="436">
        <f>IF(OR(U102=0,V102=0),'Data Standar'!$F$221/3,((MAX(U102:V102)-(MIN(U102:V102)))))</f>
        <v>8.3333333333333329E-2</v>
      </c>
      <c r="X102" s="434">
        <f>(0.13-0)/2</f>
        <v>6.5000000000000002E-2</v>
      </c>
      <c r="Y102" s="988">
        <f>(((Y100-Y98)/(Y96-Y94))*(Y93-Y94))+Y98</f>
        <v>8.3333333333333329E-2</v>
      </c>
      <c r="Z102" s="435">
        <v>44</v>
      </c>
      <c r="AA102" s="338">
        <f>'Data Standar'!G216</f>
        <v>0.2</v>
      </c>
      <c r="AB102" s="338">
        <v>0.66</v>
      </c>
      <c r="AC102" s="436">
        <f>IF(OR(AA102=0,AB102=0),'Data Standar'!$G$221/3,((MAX(AA102:AB102)-(MIN(AA102:AB102)))))</f>
        <v>0.46</v>
      </c>
      <c r="AD102" s="434">
        <f>(0.13-0)/2</f>
        <v>6.5000000000000002E-2</v>
      </c>
      <c r="AE102" s="988">
        <f>(((AE100-AE98)/(AE96-AE94))*(AE93-AE94))+AE98</f>
        <v>0.23903416666666671</v>
      </c>
      <c r="AF102" s="435">
        <v>44</v>
      </c>
      <c r="AG102" s="338">
        <f>'Data Standar'!H216</f>
        <v>0.21</v>
      </c>
      <c r="AH102" s="338">
        <v>0.7</v>
      </c>
      <c r="AI102" s="436">
        <f>IF(OR(AG102=0,AH102=0),'Data Standar'!$H$221/3,((MAX(AG102:AH102)-(MIN(AG102:AH102)))))</f>
        <v>0.49</v>
      </c>
      <c r="AJ102" s="434">
        <f>(0.13-0)/2</f>
        <v>6.5000000000000002E-2</v>
      </c>
      <c r="AK102" s="988">
        <f>(((AK100-AK98)/(AK96-AK94))*(AK93-AK94))+AK98</f>
        <v>0.46527716666666674</v>
      </c>
      <c r="AL102" s="435">
        <v>44</v>
      </c>
      <c r="AM102" s="338">
        <f>'Data Standar'!I216</f>
        <v>0.47</v>
      </c>
      <c r="AN102" s="338"/>
      <c r="AO102" s="436">
        <f>IF(OR(AM102=0,AN102=0),'Data Standar'!$I$221/3,((MAX(AM102:AN102)-(MIN(AM102:AN102)))))</f>
        <v>8.3333333333333329E-2</v>
      </c>
      <c r="AP102" s="434">
        <f>(0.13-0)/2</f>
        <v>6.5000000000000002E-2</v>
      </c>
      <c r="AQ102" s="988">
        <f>(((AQ100-AQ98)/(AQ96-AQ94))*(AQ93-AQ94))+AQ98</f>
        <v>8.3333333333333329E-2</v>
      </c>
      <c r="AR102" s="435">
        <v>44</v>
      </c>
      <c r="AS102" s="338">
        <f>'Data Standar'!J216</f>
        <v>0.33</v>
      </c>
      <c r="AT102" s="338"/>
      <c r="AU102" s="436">
        <f>IF(OR(AS102=0,AT102=0),'Data Standar'!$J$221/3,((MAX(AS102:AT102)-(MIN(AS102:AT102)))))</f>
        <v>8.3333333333333329E-2</v>
      </c>
      <c r="AV102" s="434">
        <f>(0.13-0)/2</f>
        <v>6.5000000000000002E-2</v>
      </c>
      <c r="AW102" s="988">
        <f>(((AW100-AW98)/(AW96-AW94))*(AW93-AW94))+AW98</f>
        <v>8.3333333333333329E-2</v>
      </c>
      <c r="AX102" s="435">
        <v>44</v>
      </c>
      <c r="AY102" s="338">
        <f>'Data Standar'!K216</f>
        <v>0.39</v>
      </c>
      <c r="AZ102" s="338"/>
      <c r="BA102" s="436">
        <f>IF(OR(AY102=0,AZ102=0),'Data Standar'!$K$221/3,((MAX(AY102:AZ102)-(MIN(AY102:AZ102)))))</f>
        <v>0.26333333333333336</v>
      </c>
      <c r="BB102" s="434">
        <f>(0.13-0)/2</f>
        <v>6.5000000000000002E-2</v>
      </c>
      <c r="BC102" s="988">
        <f>(((BC100-BC98)/(BC96-BC94))*(BC93-BC94))+BC98</f>
        <v>0.26333333333333336</v>
      </c>
      <c r="BD102" s="435">
        <v>44</v>
      </c>
      <c r="BE102" s="338">
        <f>'Data Standar'!L216</f>
        <v>0.79</v>
      </c>
      <c r="BF102" s="338"/>
      <c r="BG102" s="436">
        <f>IF(OR(BE102=0,BF102=0),'Data Standar'!$L$221/3,((MAX(BE102:BF102)-(MIN(BE102:BF102)))))</f>
        <v>9.0000000000000011E-2</v>
      </c>
      <c r="BH102" s="434">
        <f>(0.13-0)/2</f>
        <v>6.5000000000000002E-2</v>
      </c>
      <c r="BI102" s="988">
        <f>(((BI100-BI98)/(BI96-BI94))*(BI93-BI94))+BI98</f>
        <v>9.0000000000000011E-2</v>
      </c>
      <c r="BJ102" s="435">
        <v>44</v>
      </c>
      <c r="BK102" s="338">
        <f>'Data Standar'!M216</f>
        <v>0.39</v>
      </c>
      <c r="BL102" s="338"/>
      <c r="BM102" s="436">
        <f>IF(OR(BK102=0,BL102=0),'Data Standar'!$M$221/3,((MAX(BK102:BL102)-(MIN(BK102:BL102)))))</f>
        <v>0.26333333333333336</v>
      </c>
      <c r="BN102" s="434">
        <f>(0.13-0)/2</f>
        <v>6.5000000000000002E-2</v>
      </c>
      <c r="BO102" s="988">
        <f>(((BO100-BO98)/(BO96-BO94))*(BO93-BO94))+BO98</f>
        <v>0.26333333333333336</v>
      </c>
      <c r="BP102" s="435">
        <v>44</v>
      </c>
      <c r="BQ102" s="338">
        <f>'Data Standar'!N216</f>
        <v>0.61</v>
      </c>
      <c r="BR102" s="338"/>
      <c r="BS102" s="436">
        <f>IF(OR(BQ102=0,BR102=0),'Data Standar'!$N$221/3,((MAX(BQ102:BR102)-(MIN(BQ102:BR102)))))</f>
        <v>8.666666666666667E-2</v>
      </c>
      <c r="BT102" s="434">
        <f>(0.13-0)/2</f>
        <v>6.5000000000000002E-2</v>
      </c>
      <c r="BU102" s="988">
        <f>(((BU100-BU98)/(BU96-BU94))*(BU93-BU94))+BU98</f>
        <v>8.666666666666667E-2</v>
      </c>
      <c r="BV102" s="435">
        <v>44</v>
      </c>
      <c r="BW102" s="338">
        <f>'Data Standar'!O216</f>
        <v>0.72</v>
      </c>
      <c r="BX102" s="338"/>
      <c r="BY102" s="436">
        <f>IF(OR(BW102=0,BX102=0),'Data Standar'!$O$221/3,((MAX(BW102:BX102)-(MIN(BW102:BX102)))))</f>
        <v>9.0000000000000011E-2</v>
      </c>
      <c r="BZ102" s="434">
        <f>(0.13-0)/2</f>
        <v>6.5000000000000002E-2</v>
      </c>
      <c r="CA102" s="988">
        <f>(((CA100-CA98)/(CA96-CA94))*(CA93-CA94))+CA98</f>
        <v>9.0000000000000011E-2</v>
      </c>
      <c r="CB102" s="435">
        <v>44</v>
      </c>
      <c r="CC102" s="338">
        <f t="shared" si="48"/>
        <v>-1</v>
      </c>
      <c r="CD102" s="338">
        <f t="shared" si="51"/>
        <v>-0.7</v>
      </c>
      <c r="CE102" s="436">
        <f t="shared" si="54"/>
        <v>0.19999999999999998</v>
      </c>
      <c r="CF102" s="434">
        <f>(0.13-0)/2</f>
        <v>6.5000000000000002E-2</v>
      </c>
      <c r="CG102" s="423"/>
      <c r="CH102" s="435">
        <v>44</v>
      </c>
      <c r="CI102" s="338">
        <f t="shared" si="49"/>
        <v>0.25</v>
      </c>
      <c r="CJ102" s="338">
        <f t="shared" si="52"/>
        <v>0.21</v>
      </c>
      <c r="CK102" s="436">
        <f t="shared" si="55"/>
        <v>4.0000000000000008E-2</v>
      </c>
      <c r="CL102" s="434">
        <f>(0.13-0)/2</f>
        <v>6.5000000000000002E-2</v>
      </c>
      <c r="CM102" s="423"/>
      <c r="CN102" s="435">
        <v>44</v>
      </c>
      <c r="CO102" s="338">
        <f t="shared" si="50"/>
        <v>0.56999999999999995</v>
      </c>
      <c r="CP102" s="338">
        <f t="shared" si="53"/>
        <v>0.52</v>
      </c>
      <c r="CQ102" s="436">
        <f t="shared" si="56"/>
        <v>4.9999999999999933E-2</v>
      </c>
      <c r="CR102" s="434">
        <f>(0.13-0)/2</f>
        <v>6.5000000000000002E-2</v>
      </c>
      <c r="CS102" s="423"/>
    </row>
    <row r="103" spans="1:97" s="427" customFormat="1" ht="13">
      <c r="A103" s="423"/>
      <c r="B103" s="435">
        <v>50</v>
      </c>
      <c r="C103" s="338">
        <v>7.0000000000000007E-2</v>
      </c>
      <c r="D103" s="338">
        <f>'Data Standar'!C217</f>
        <v>0.31</v>
      </c>
      <c r="E103" s="436">
        <f>IF(OR(C103=0,D103=0),'Data Standar'!$C$221/3,((MAX(C103:D103)-(MIN(C103:D103)))))</f>
        <v>0.24</v>
      </c>
      <c r="F103" s="437">
        <f>(0.4+0.21)/2</f>
        <v>0.30499999999999999</v>
      </c>
      <c r="G103" s="438"/>
      <c r="H103" s="435">
        <v>50</v>
      </c>
      <c r="I103" s="338">
        <v>0.21</v>
      </c>
      <c r="J103" s="338">
        <f>'Data Standar'!D217</f>
        <v>0.31</v>
      </c>
      <c r="K103" s="436">
        <f>IF(OR(I103=0,J103=0),'Data Standar'!$D$221/3,((MAX(I103:J103)-(MIN(I103:J103)))))</f>
        <v>0.1</v>
      </c>
      <c r="L103" s="437">
        <f>(0+0.08)/2</f>
        <v>0.04</v>
      </c>
      <c r="M103" s="438"/>
      <c r="N103" s="435">
        <v>50</v>
      </c>
      <c r="O103" s="338">
        <v>0.25</v>
      </c>
      <c r="P103" s="338">
        <f>'Data Standar'!E217</f>
        <v>-0.05</v>
      </c>
      <c r="Q103" s="436">
        <f>IF(OR(O103=0,P103=0),'Data Standar'!$E$221/3,((MAX(O103:P103)-(MIN(O103:P103)))))</f>
        <v>0.3</v>
      </c>
      <c r="R103" s="434">
        <f>(0.21-0)/2</f>
        <v>0.105</v>
      </c>
      <c r="S103" s="423"/>
      <c r="T103" s="435">
        <v>50</v>
      </c>
      <c r="U103" s="338">
        <f>'Data Standar'!F217</f>
        <v>0.75</v>
      </c>
      <c r="V103" s="338"/>
      <c r="W103" s="436">
        <f>IF(OR(U103=0,V103=0),'Data Standar'!$F$221/3,((MAX(U103:V103)-(MIN(U103:V103)))))</f>
        <v>8.3333333333333329E-2</v>
      </c>
      <c r="X103" s="434">
        <f>(0.21-0)/2</f>
        <v>0.105</v>
      </c>
      <c r="Y103" s="423"/>
      <c r="Z103" s="435">
        <v>50</v>
      </c>
      <c r="AA103" s="338">
        <f>'Data Standar'!G217</f>
        <v>0.2</v>
      </c>
      <c r="AB103" s="338">
        <v>0.7</v>
      </c>
      <c r="AC103" s="436">
        <f>IF(OR(AA103=0,AB103=0),'Data Standar'!$G$221/3,((MAX(AA103:AB103)-(MIN(AA103:AB103)))))</f>
        <v>0.49999999999999994</v>
      </c>
      <c r="AD103" s="434">
        <f>(0.21-0)/2</f>
        <v>0.105</v>
      </c>
      <c r="AE103" s="423"/>
      <c r="AF103" s="435">
        <v>50</v>
      </c>
      <c r="AG103" s="338">
        <f>'Data Standar'!H217</f>
        <v>0.22</v>
      </c>
      <c r="AH103" s="338">
        <v>0.71</v>
      </c>
      <c r="AI103" s="436">
        <f>IF(OR(AG103=0,AH103=0),'Data Standar'!$H$221/3,((MAX(AG103:AH103)-(MIN(AG103:AH103)))))</f>
        <v>0.49</v>
      </c>
      <c r="AJ103" s="434">
        <f>(0.21-0)/2</f>
        <v>0.105</v>
      </c>
      <c r="AK103" s="423"/>
      <c r="AL103" s="435">
        <v>50</v>
      </c>
      <c r="AM103" s="338">
        <f>'Data Standar'!I217</f>
        <v>0.47</v>
      </c>
      <c r="AN103" s="338"/>
      <c r="AO103" s="436">
        <f>IF(OR(AM103=0,AN103=0),'Data Standar'!$I$221/3,((MAX(AM103:AN103)-(MIN(AM103:AN103)))))</f>
        <v>8.3333333333333329E-2</v>
      </c>
      <c r="AP103" s="434">
        <f>(0.21-0)/2</f>
        <v>0.105</v>
      </c>
      <c r="AQ103" s="423"/>
      <c r="AR103" s="435">
        <v>50</v>
      </c>
      <c r="AS103" s="338">
        <f>'Data Standar'!J217</f>
        <v>0.33</v>
      </c>
      <c r="AT103" s="338"/>
      <c r="AU103" s="436">
        <f>IF(OR(AS103=0,AT103=0),'Data Standar'!$J$221/3,((MAX(AS103:AT103)-(MIN(AS103:AT103)))))</f>
        <v>8.3333333333333329E-2</v>
      </c>
      <c r="AV103" s="434">
        <f>(0.21-0)/2</f>
        <v>0.105</v>
      </c>
      <c r="AW103" s="423"/>
      <c r="AX103" s="435">
        <v>50</v>
      </c>
      <c r="AY103" s="338">
        <f>'Data Standar'!K217</f>
        <v>0.37</v>
      </c>
      <c r="AZ103" s="338"/>
      <c r="BA103" s="436">
        <f>IF(OR(AY103=0,AZ103=0),'Data Standar'!$K$221/3,((MAX(AY103:AZ103)-(MIN(AY103:AZ103)))))</f>
        <v>0.26333333333333336</v>
      </c>
      <c r="BB103" s="434">
        <f>(0.21-0)/2</f>
        <v>0.105</v>
      </c>
      <c r="BC103" s="423"/>
      <c r="BD103" s="435">
        <v>50</v>
      </c>
      <c r="BE103" s="338">
        <f>'Data Standar'!L217</f>
        <v>0.84</v>
      </c>
      <c r="BF103" s="338"/>
      <c r="BG103" s="436">
        <f>IF(OR(BE103=0,BF103=0),'Data Standar'!$L$221/3,((MAX(BE103:BF103)-(MIN(BE103:BF103)))))</f>
        <v>9.0000000000000011E-2</v>
      </c>
      <c r="BH103" s="434">
        <f>(0.21-0)/2</f>
        <v>0.105</v>
      </c>
      <c r="BI103" s="423"/>
      <c r="BJ103" s="435">
        <v>50</v>
      </c>
      <c r="BK103" s="338">
        <f>'Data Standar'!M217</f>
        <v>0.37</v>
      </c>
      <c r="BL103" s="338"/>
      <c r="BM103" s="436">
        <f>IF(OR(BK103=0,BL103=0),'Data Standar'!$M$221/3,((MAX(BK103:BL103)-(MIN(BK103:BL103)))))</f>
        <v>0.26333333333333336</v>
      </c>
      <c r="BN103" s="434">
        <f>(0.21-0)/2</f>
        <v>0.105</v>
      </c>
      <c r="BO103" s="423"/>
      <c r="BP103" s="435">
        <v>50</v>
      </c>
      <c r="BQ103" s="338">
        <f>'Data Standar'!N217</f>
        <v>0.68</v>
      </c>
      <c r="BR103" s="338"/>
      <c r="BS103" s="436">
        <f>IF(OR(BQ103=0,BR103=0),'Data Standar'!$N$221/3,((MAX(BQ103:BR103)-(MIN(BQ103:BR103)))))</f>
        <v>8.666666666666667E-2</v>
      </c>
      <c r="BT103" s="434">
        <f>(0.21-0)/2</f>
        <v>0.105</v>
      </c>
      <c r="BU103" s="423"/>
      <c r="BV103" s="435">
        <v>50</v>
      </c>
      <c r="BW103" s="338">
        <f>'Data Standar'!O217</f>
        <v>0.8</v>
      </c>
      <c r="BX103" s="338"/>
      <c r="BY103" s="436">
        <f>IF(OR(BW103=0,BX103=0),'Data Standar'!$O$221/3,((MAX(BW103:BX103)-(MIN(BW103:BX103)))))</f>
        <v>9.0000000000000011E-2</v>
      </c>
      <c r="BZ103" s="434">
        <f>(0.21-0)/2</f>
        <v>0.105</v>
      </c>
      <c r="CA103" s="423"/>
      <c r="CB103" s="435">
        <v>50</v>
      </c>
      <c r="CC103" s="338">
        <f t="shared" si="48"/>
        <v>-1.6</v>
      </c>
      <c r="CD103" s="338">
        <f t="shared" si="51"/>
        <v>-0.7</v>
      </c>
      <c r="CE103" s="436">
        <f t="shared" si="54"/>
        <v>0.30000000000000004</v>
      </c>
      <c r="CF103" s="434">
        <f>(0.21-0)/2</f>
        <v>0.105</v>
      </c>
      <c r="CG103" s="423"/>
      <c r="CH103" s="435">
        <v>50</v>
      </c>
      <c r="CI103" s="338">
        <f t="shared" si="49"/>
        <v>0.27</v>
      </c>
      <c r="CJ103" s="338">
        <f t="shared" si="52"/>
        <v>0.22</v>
      </c>
      <c r="CK103" s="436">
        <f t="shared" si="55"/>
        <v>5.0000000000000017E-2</v>
      </c>
      <c r="CL103" s="434">
        <f>(0.21-0)/2</f>
        <v>0.105</v>
      </c>
      <c r="CM103" s="423"/>
      <c r="CN103" s="435">
        <v>50</v>
      </c>
      <c r="CO103" s="338">
        <f t="shared" si="50"/>
        <v>0.67</v>
      </c>
      <c r="CP103" s="338">
        <f t="shared" si="53"/>
        <v>0.56999999999999995</v>
      </c>
      <c r="CQ103" s="436">
        <f t="shared" si="56"/>
        <v>0.10000000000000009</v>
      </c>
      <c r="CR103" s="434">
        <f>(0.21-0)/2</f>
        <v>0.105</v>
      </c>
      <c r="CS103" s="423"/>
    </row>
    <row r="104" spans="1:97" s="427" customFormat="1" ht="13">
      <c r="A104" s="423"/>
      <c r="B104" s="435">
        <v>100</v>
      </c>
      <c r="C104" s="338">
        <v>0.2</v>
      </c>
      <c r="D104" s="338">
        <f>'Data Standar'!C218</f>
        <v>0.77</v>
      </c>
      <c r="E104" s="436">
        <f>IF(OR(C104=0,D104=0),'Data Standar'!$C$221/3,((MAX(C104:D104)-(MIN(C104:D104)))))</f>
        <v>0.57000000000000006</v>
      </c>
      <c r="F104" s="437">
        <f>(0.95+0.15)/2</f>
        <v>0.54999999999999993</v>
      </c>
      <c r="G104" s="438"/>
      <c r="H104" s="435">
        <v>100</v>
      </c>
      <c r="I104" s="338">
        <v>0.14000000000000001</v>
      </c>
      <c r="J104" s="338">
        <f>'Data Standar'!D218</f>
        <v>0.56999999999999995</v>
      </c>
      <c r="K104" s="436">
        <f>IF(OR(I104=0,J104=0),'Data Standar'!$D$221/3,((MAX(I104:J104)-(MIN(I104:J104)))))</f>
        <v>0.42999999999999994</v>
      </c>
      <c r="L104" s="437">
        <f>(0.01-0)/2</f>
        <v>5.0000000000000001E-3</v>
      </c>
      <c r="M104" s="438"/>
      <c r="N104" s="435">
        <v>100</v>
      </c>
      <c r="O104" s="338">
        <v>0.18</v>
      </c>
      <c r="P104" s="338">
        <f>'Data Standar'!E218</f>
        <v>-0.19</v>
      </c>
      <c r="Q104" s="436">
        <f>IF(OR(O104=0,P104=0),'Data Standar'!$E$221/3,((MAX(O104:P104)-(MIN(O104:P104)))))</f>
        <v>0.37</v>
      </c>
      <c r="R104" s="434">
        <f>(0.26-0)/2</f>
        <v>0.13</v>
      </c>
      <c r="S104" s="423"/>
      <c r="T104" s="435">
        <v>100</v>
      </c>
      <c r="U104" s="338">
        <f>'Data Standar'!F218</f>
        <v>0.79</v>
      </c>
      <c r="V104" s="338"/>
      <c r="W104" s="436">
        <f>IF(OR(U104=0,V104=0),'Data Standar'!$F$221/3,((MAX(U104:V104)-(MIN(U104:V104)))))</f>
        <v>8.3333333333333329E-2</v>
      </c>
      <c r="X104" s="434">
        <f>(0.26-0)/2</f>
        <v>0.13</v>
      </c>
      <c r="Y104" s="423"/>
      <c r="Z104" s="435">
        <v>100</v>
      </c>
      <c r="AA104" s="338">
        <f>'Data Standar'!G218</f>
        <v>0.28999999999999998</v>
      </c>
      <c r="AB104" s="338">
        <v>0.73</v>
      </c>
      <c r="AC104" s="436">
        <f>IF(OR(AA104=0,AB104=0),'Data Standar'!$G$221/3,((MAX(AA104:AB104)-(MIN(AA104:AB104)))))</f>
        <v>0.44</v>
      </c>
      <c r="AD104" s="434">
        <f>(0.26-0)/2</f>
        <v>0.13</v>
      </c>
      <c r="AE104" s="423"/>
      <c r="AF104" s="435">
        <v>100</v>
      </c>
      <c r="AG104" s="338">
        <f>'Data Standar'!H218</f>
        <v>0.32</v>
      </c>
      <c r="AH104" s="338">
        <v>0.57999999999999996</v>
      </c>
      <c r="AI104" s="436">
        <f>IF(OR(AG104=0,AH104=0),'Data Standar'!$H$221/3,((MAX(AG104:AH104)-(MIN(AG104:AH104)))))</f>
        <v>0.25999999999999995</v>
      </c>
      <c r="AJ104" s="434">
        <f>(0.26-0)/2</f>
        <v>0.13</v>
      </c>
      <c r="AK104" s="423"/>
      <c r="AL104" s="435">
        <v>100</v>
      </c>
      <c r="AM104" s="338">
        <f>'Data Standar'!I218</f>
        <v>0.57999999999999996</v>
      </c>
      <c r="AN104" s="338"/>
      <c r="AO104" s="436">
        <f>IF(OR(AM104=0,AN104=0),'Data Standar'!$I$221/3,((MAX(AM104:AN104)-(MIN(AM104:AN104)))))</f>
        <v>8.3333333333333329E-2</v>
      </c>
      <c r="AP104" s="434">
        <f>(0.26-0)/2</f>
        <v>0.13</v>
      </c>
      <c r="AQ104" s="423"/>
      <c r="AR104" s="435">
        <v>100</v>
      </c>
      <c r="AS104" s="338">
        <f>'Data Standar'!J218</f>
        <v>0.42</v>
      </c>
      <c r="AT104" s="338"/>
      <c r="AU104" s="436">
        <f>IF(OR(AS104=0,AT104=0),'Data Standar'!$J$221/3,((MAX(AS104:AT104)-(MIN(AS104:AT104)))))</f>
        <v>8.3333333333333329E-2</v>
      </c>
      <c r="AV104" s="434">
        <f>(0.26-0)/2</f>
        <v>0.13</v>
      </c>
      <c r="AW104" s="423"/>
      <c r="AX104" s="435">
        <v>100</v>
      </c>
      <c r="AY104" s="338">
        <f>'Data Standar'!K218</f>
        <v>0.2</v>
      </c>
      <c r="AZ104" s="338"/>
      <c r="BA104" s="436">
        <f>IF(OR(AY104=0,AZ104=0),'Data Standar'!$K$221/3,((MAX(AY104:AZ104)-(MIN(AY104:AZ104)))))</f>
        <v>0.26333333333333336</v>
      </c>
      <c r="BB104" s="434">
        <f>(0.26-0)/2</f>
        <v>0.13</v>
      </c>
      <c r="BC104" s="423"/>
      <c r="BD104" s="435">
        <v>100</v>
      </c>
      <c r="BE104" s="338">
        <f>'Data Standar'!L218</f>
        <v>0.6</v>
      </c>
      <c r="BF104" s="338"/>
      <c r="BG104" s="436">
        <f>IF(OR(BE104=0,BF104=0),'Data Standar'!$L$221/3,((MAX(BE104:BF104)-(MIN(BE104:BF104)))))</f>
        <v>9.0000000000000011E-2</v>
      </c>
      <c r="BH104" s="434">
        <f>(0.26-0)/2</f>
        <v>0.13</v>
      </c>
      <c r="BI104" s="423"/>
      <c r="BJ104" s="435">
        <v>100</v>
      </c>
      <c r="BK104" s="338">
        <f>'Data Standar'!M218</f>
        <v>0.2</v>
      </c>
      <c r="BL104" s="338"/>
      <c r="BM104" s="436">
        <f>IF(OR(BK104=0,BL104=0),'Data Standar'!$M$221/3,((MAX(BK104:BL104)-(MIN(BK104:BL104)))))</f>
        <v>0.26333333333333336</v>
      </c>
      <c r="BN104" s="434">
        <f>(0.26-0)/2</f>
        <v>0.13</v>
      </c>
      <c r="BO104" s="423"/>
      <c r="BP104" s="435">
        <v>100</v>
      </c>
      <c r="BQ104" s="338">
        <f>'Data Standar'!N218</f>
        <v>0.63</v>
      </c>
      <c r="BR104" s="338"/>
      <c r="BS104" s="436">
        <f>IF(OR(BQ104=0,BR104=0),'Data Standar'!$N$221/3,((MAX(BQ104:BR104)-(MIN(BQ104:BR104)))))</f>
        <v>8.666666666666667E-2</v>
      </c>
      <c r="BT104" s="434">
        <f>(0.26-0)/2</f>
        <v>0.13</v>
      </c>
      <c r="BU104" s="423"/>
      <c r="BV104" s="435">
        <v>100</v>
      </c>
      <c r="BW104" s="338">
        <f>'Data Standar'!O218</f>
        <v>0.68</v>
      </c>
      <c r="BX104" s="338"/>
      <c r="BY104" s="436">
        <f>IF(OR(BW104=0,BX104=0),'Data Standar'!$O$221/3,((MAX(BW104:BX104)-(MIN(BW104:BX104)))))</f>
        <v>9.0000000000000011E-2</v>
      </c>
      <c r="BZ104" s="434">
        <f>(0.26-0)/2</f>
        <v>0.13</v>
      </c>
      <c r="CA104" s="423"/>
      <c r="CB104" s="435">
        <v>100</v>
      </c>
      <c r="CC104" s="338">
        <f t="shared" si="48"/>
        <v>-1.7</v>
      </c>
      <c r="CD104" s="338">
        <f t="shared" si="51"/>
        <v>-0.7</v>
      </c>
      <c r="CE104" s="436">
        <f t="shared" si="54"/>
        <v>0.90000000000000013</v>
      </c>
      <c r="CF104" s="434">
        <f>(0.26-0)/2</f>
        <v>0.13</v>
      </c>
      <c r="CG104" s="423"/>
      <c r="CH104" s="435">
        <v>100</v>
      </c>
      <c r="CI104" s="338">
        <f t="shared" si="49"/>
        <v>0.31</v>
      </c>
      <c r="CJ104" s="338">
        <f t="shared" si="52"/>
        <v>0.23</v>
      </c>
      <c r="CK104" s="436">
        <f t="shared" si="55"/>
        <v>7.9999999999999988E-2</v>
      </c>
      <c r="CL104" s="434">
        <f>(0.26-0)/2</f>
        <v>0.13</v>
      </c>
      <c r="CM104" s="423"/>
      <c r="CN104" s="435">
        <v>100</v>
      </c>
      <c r="CO104" s="338">
        <f t="shared" si="50"/>
        <v>0.95</v>
      </c>
      <c r="CP104" s="338">
        <f t="shared" si="53"/>
        <v>0.81</v>
      </c>
      <c r="CQ104" s="436">
        <f t="shared" si="56"/>
        <v>0.1399999999999999</v>
      </c>
      <c r="CR104" s="434">
        <f>(0.26-0)/2</f>
        <v>0.13</v>
      </c>
      <c r="CS104" s="423"/>
    </row>
    <row r="105" spans="1:97" s="427" customFormat="1" ht="13">
      <c r="A105" s="423"/>
      <c r="B105" s="435">
        <v>150</v>
      </c>
      <c r="C105" s="338">
        <v>0.28000000000000003</v>
      </c>
      <c r="D105" s="338">
        <f>'Data Standar'!C219</f>
        <v>0.77</v>
      </c>
      <c r="E105" s="436">
        <f>IF(OR(C105=0,D105=0),'Data Standar'!$C$221/3,((MAX(C105:D105)-(MIN(C105:D105)))))</f>
        <v>0.49</v>
      </c>
      <c r="F105" s="437">
        <f>(0.56+0.1)/2</f>
        <v>0.33</v>
      </c>
      <c r="G105" s="438"/>
      <c r="H105" s="435">
        <v>150</v>
      </c>
      <c r="I105" s="338">
        <v>0.02</v>
      </c>
      <c r="J105" s="338">
        <f>'Data Standar'!D219</f>
        <v>0.55000000000000004</v>
      </c>
      <c r="K105" s="436">
        <f>IF(OR(I105=0,J105=0),'Data Standar'!$D$221/3,((MAX(I105:J105)-(MIN(I105:J105)))))</f>
        <v>0.53</v>
      </c>
      <c r="L105" s="437">
        <f>(0.15-0)/2</f>
        <v>7.4999999999999997E-2</v>
      </c>
      <c r="M105" s="438"/>
      <c r="N105" s="435">
        <v>150</v>
      </c>
      <c r="O105" s="338">
        <v>0.05</v>
      </c>
      <c r="P105" s="338">
        <f>'Data Standar'!E219</f>
        <v>-0.27</v>
      </c>
      <c r="Q105" s="436">
        <f>IF(OR(O105=0,P105=0),'Data Standar'!$E$221/3,((MAX(O105:P105)-(MIN(O105:P105)))))</f>
        <v>0.32</v>
      </c>
      <c r="R105" s="434">
        <f>(0.25-0)/2</f>
        <v>0.125</v>
      </c>
      <c r="S105" s="423"/>
      <c r="T105" s="435">
        <v>150</v>
      </c>
      <c r="U105" s="338">
        <f>'Data Standar'!F219</f>
        <v>0.06</v>
      </c>
      <c r="V105" s="338"/>
      <c r="W105" s="436">
        <f>IF(OR(U105=0,V105=0),'Data Standar'!$F$221/3,((MAX(U105:V105)-(MIN(U105:V105)))))</f>
        <v>8.3333333333333329E-2</v>
      </c>
      <c r="X105" s="434">
        <f>(0.25-0)/2</f>
        <v>0.125</v>
      </c>
      <c r="Y105" s="423"/>
      <c r="Z105" s="435">
        <v>150</v>
      </c>
      <c r="AA105" s="338">
        <f>'Data Standar'!G219</f>
        <v>0.47</v>
      </c>
      <c r="AB105" s="338">
        <v>0.38</v>
      </c>
      <c r="AC105" s="436">
        <f>IF(OR(AA105=0,AB105=0),'Data Standar'!$G$221/3,((MAX(AA105:AB105)-(MIN(AA105:AB105)))))</f>
        <v>8.9999999999999969E-2</v>
      </c>
      <c r="AD105" s="434">
        <f>(0.25-0)/2</f>
        <v>0.125</v>
      </c>
      <c r="AE105" s="423"/>
      <c r="AF105" s="435">
        <v>150</v>
      </c>
      <c r="AG105" s="338">
        <f>'Data Standar'!H219</f>
        <v>0.52</v>
      </c>
      <c r="AH105" s="338">
        <v>0.19</v>
      </c>
      <c r="AI105" s="436">
        <f>IF(OR(AG105=0,AH105=0),'Data Standar'!$H$221/3,((MAX(AG105:AH105)-(MIN(AG105:AH105)))))</f>
        <v>0.33</v>
      </c>
      <c r="AJ105" s="434">
        <f>(0.25-0)/2</f>
        <v>0.125</v>
      </c>
      <c r="AK105" s="423"/>
      <c r="AL105" s="435">
        <v>150</v>
      </c>
      <c r="AM105" s="338">
        <f>'Data Standar'!I219</f>
        <v>0.76</v>
      </c>
      <c r="AN105" s="338"/>
      <c r="AO105" s="436">
        <f>IF(OR(AM105=0,AN105=0),'Data Standar'!$I$221/3,((MAX(AM105:AN105)-(MIN(AM105:AN105)))))</f>
        <v>8.3333333333333329E-2</v>
      </c>
      <c r="AP105" s="434">
        <f>(0.25-0)/2</f>
        <v>0.125</v>
      </c>
      <c r="AQ105" s="423"/>
      <c r="AR105" s="435">
        <v>150</v>
      </c>
      <c r="AS105" s="338">
        <f>'Data Standar'!J219</f>
        <v>0.62</v>
      </c>
      <c r="AT105" s="338"/>
      <c r="AU105" s="436">
        <f>IF(OR(AS105=0,AT105=0),'Data Standar'!$J$221/3,((MAX(AS105:AT105)-(MIN(AS105:AT105)))))</f>
        <v>8.3333333333333329E-2</v>
      </c>
      <c r="AV105" s="434">
        <f>(0.25-0)/2</f>
        <v>0.125</v>
      </c>
      <c r="AW105" s="423"/>
      <c r="AX105" s="435">
        <v>150</v>
      </c>
      <c r="AY105" s="338">
        <f>'Data Standar'!K219</f>
        <v>-0.02</v>
      </c>
      <c r="AZ105" s="338"/>
      <c r="BA105" s="436">
        <f>IF(OR(AY105=0,AZ105=0),'Data Standar'!$K$221/3,((MAX(AY105:AZ105)-(MIN(AY105:AZ105)))))</f>
        <v>0.26333333333333336</v>
      </c>
      <c r="BB105" s="434">
        <f>(0.25-0)/2</f>
        <v>0.125</v>
      </c>
      <c r="BC105" s="423"/>
      <c r="BD105" s="435">
        <v>150</v>
      </c>
      <c r="BE105" s="338">
        <f>'Data Standar'!L219</f>
        <v>-0.1</v>
      </c>
      <c r="BF105" s="338"/>
      <c r="BG105" s="436">
        <f>IF(OR(BE105=0,BF105=0),'Data Standar'!$L$221/3,((MAX(BE105:BF105)-(MIN(BE105:BF105)))))</f>
        <v>9.0000000000000011E-2</v>
      </c>
      <c r="BH105" s="434">
        <f>(0.25-0)/2</f>
        <v>0.125</v>
      </c>
      <c r="BI105" s="423"/>
      <c r="BJ105" s="435">
        <v>150</v>
      </c>
      <c r="BK105" s="338">
        <f>'Data Standar'!M219</f>
        <v>-0.02</v>
      </c>
      <c r="BL105" s="338"/>
      <c r="BM105" s="436">
        <f>IF(OR(BK105=0,BL105=0),'Data Standar'!$M$221/3,((MAX(BK105:BL105)-(MIN(BK105:BL105)))))</f>
        <v>0.26333333333333336</v>
      </c>
      <c r="BN105" s="434">
        <f>(0.25-0)/2</f>
        <v>0.125</v>
      </c>
      <c r="BO105" s="423"/>
      <c r="BP105" s="435">
        <v>150</v>
      </c>
      <c r="BQ105" s="338">
        <f>'Data Standar'!N219</f>
        <v>-7.0000000000000007E-2</v>
      </c>
      <c r="BR105" s="338"/>
      <c r="BS105" s="436">
        <f>IF(OR(BQ105=0,BR105=0),'Data Standar'!$N$221/3,((MAX(BQ105:BR105)-(MIN(BQ105:BR105)))))</f>
        <v>8.666666666666667E-2</v>
      </c>
      <c r="BT105" s="434">
        <f>(0.25-0)/2</f>
        <v>0.125</v>
      </c>
      <c r="BU105" s="423"/>
      <c r="BV105" s="435">
        <v>150</v>
      </c>
      <c r="BW105" s="338">
        <f>'Data Standar'!O219</f>
        <v>-0.3</v>
      </c>
      <c r="BX105" s="338"/>
      <c r="BY105" s="436">
        <f>IF(OR(BW105=0,BX105=0),'Data Standar'!$O$221/3,((MAX(BW105:BX105)-(MIN(BW105:BX105)))))</f>
        <v>9.0000000000000011E-2</v>
      </c>
      <c r="BZ105" s="434">
        <f>(0.25-0)/2</f>
        <v>0.125</v>
      </c>
      <c r="CA105" s="423"/>
      <c r="CB105" s="435">
        <v>150</v>
      </c>
      <c r="CC105" s="338">
        <f t="shared" si="48"/>
        <v>-0.9</v>
      </c>
      <c r="CD105" s="338">
        <f t="shared" si="51"/>
        <v>-0.7</v>
      </c>
      <c r="CE105" s="436">
        <f t="shared" si="54"/>
        <v>1</v>
      </c>
      <c r="CF105" s="434">
        <f>(0.25-0)/2</f>
        <v>0.125</v>
      </c>
      <c r="CG105" s="423"/>
      <c r="CH105" s="435">
        <v>150</v>
      </c>
      <c r="CI105" s="338">
        <f t="shared" si="49"/>
        <v>0.3</v>
      </c>
      <c r="CJ105" s="338">
        <f t="shared" si="52"/>
        <v>0.22</v>
      </c>
      <c r="CK105" s="436">
        <f t="shared" si="55"/>
        <v>7.9999999999999988E-2</v>
      </c>
      <c r="CL105" s="434">
        <f>(0.25-0)/2</f>
        <v>0.125</v>
      </c>
      <c r="CM105" s="423"/>
      <c r="CN105" s="435">
        <v>150</v>
      </c>
      <c r="CO105" s="338">
        <f t="shared" si="50"/>
        <v>0.49</v>
      </c>
      <c r="CP105" s="338">
        <f t="shared" si="53"/>
        <v>0.87</v>
      </c>
      <c r="CQ105" s="436">
        <f t="shared" si="56"/>
        <v>0.38</v>
      </c>
      <c r="CR105" s="434">
        <f>(0.25-0)/2</f>
        <v>0.125</v>
      </c>
      <c r="CS105" s="423"/>
    </row>
    <row r="106" spans="1:97" s="427" customFormat="1" ht="13">
      <c r="A106" s="423"/>
      <c r="B106" s="435">
        <v>200</v>
      </c>
      <c r="C106" s="338">
        <v>0.44</v>
      </c>
      <c r="D106" s="338">
        <f>'Data Standar'!C220</f>
        <v>0.02</v>
      </c>
      <c r="E106" s="436">
        <f>IF(OR(C106=0,D106=0),'Data Standar'!$C$221/3,((MAX(C106:D106)-(MIN(C106:D106)))))</f>
        <v>0.42</v>
      </c>
      <c r="F106" s="437">
        <f>(0.23+0.79)/2</f>
        <v>0.51</v>
      </c>
      <c r="G106" s="438"/>
      <c r="H106" s="435">
        <v>200</v>
      </c>
      <c r="I106" s="338">
        <v>0.38</v>
      </c>
      <c r="J106" s="338">
        <f>'Data Standar'!D220</f>
        <v>0.24</v>
      </c>
      <c r="K106" s="436">
        <f>IF(OR(I106=0,J106=0),'Data Standar'!$D$221/3,((MAX(I106:J106)-(MIN(I106:J106)))))</f>
        <v>0.14000000000000001</v>
      </c>
      <c r="L106" s="437">
        <f>(0.35-0)/2</f>
        <v>0.17499999999999999</v>
      </c>
      <c r="M106" s="438"/>
      <c r="N106" s="435">
        <v>200</v>
      </c>
      <c r="O106" s="338">
        <v>0.51</v>
      </c>
      <c r="P106" s="338">
        <f>'Data Standar'!E220</f>
        <v>0.04</v>
      </c>
      <c r="Q106" s="436">
        <f>IF(OR(O106=0,P106=0),'Data Standar'!$E$221/3,((MAX(O106:P106)-(MIN(O106:P106)))))</f>
        <v>0.47000000000000003</v>
      </c>
      <c r="R106" s="434">
        <f>(0.19-0)/2</f>
        <v>9.5000000000000001E-2</v>
      </c>
      <c r="S106" s="423"/>
      <c r="T106" s="435">
        <v>200</v>
      </c>
      <c r="U106" s="338">
        <f>'Data Standar'!F220</f>
        <v>-0.9</v>
      </c>
      <c r="V106" s="338"/>
      <c r="W106" s="436">
        <f>IF(OR(U106=0,V106=0),'Data Standar'!$F$221/3,((MAX(U106:V106)-(MIN(U106:V106)))))</f>
        <v>8.3333333333333329E-2</v>
      </c>
      <c r="X106" s="434">
        <f>(0.19-0)/2</f>
        <v>9.5000000000000001E-2</v>
      </c>
      <c r="Y106" s="423"/>
      <c r="Z106" s="435">
        <v>200</v>
      </c>
      <c r="AA106" s="338">
        <f>'Data Standar'!G220</f>
        <v>0.7</v>
      </c>
      <c r="AB106" s="338">
        <v>-0.04</v>
      </c>
      <c r="AC106" s="436">
        <f>IF(OR(AA106=0,AB106=0),'Data Standar'!$G$221/3,((MAX(AA106:AB106)-(MIN(AA106:AB106)))))</f>
        <v>0.74</v>
      </c>
      <c r="AD106" s="434">
        <f>(0.19-0)/2</f>
        <v>9.5000000000000001E-2</v>
      </c>
      <c r="AE106" s="423"/>
      <c r="AF106" s="435">
        <v>200</v>
      </c>
      <c r="AG106" s="338">
        <f>'Data Standar'!H220</f>
        <v>0.76</v>
      </c>
      <c r="AH106" s="338">
        <v>-0.16</v>
      </c>
      <c r="AI106" s="436">
        <f>IF(OR(AG106=0,AH106=0),'Data Standar'!$H$221/3,((MAX(AG106:AH106)-(MIN(AG106:AH106)))))</f>
        <v>0.92</v>
      </c>
      <c r="AJ106" s="434">
        <f>(0.19-0)/2</f>
        <v>9.5000000000000001E-2</v>
      </c>
      <c r="AK106" s="423"/>
      <c r="AL106" s="435">
        <v>200</v>
      </c>
      <c r="AM106" s="338">
        <f>'Data Standar'!I220</f>
        <v>0.98</v>
      </c>
      <c r="AN106" s="338"/>
      <c r="AO106" s="436">
        <f>IF(OR(AM106=0,AN106=0),'Data Standar'!$I$221/3,((MAX(AM106:AN106)-(MIN(AM106:AN106)))))</f>
        <v>8.3333333333333329E-2</v>
      </c>
      <c r="AP106" s="434">
        <f>(0.19-0)/2</f>
        <v>9.5000000000000001E-2</v>
      </c>
      <c r="AQ106" s="423"/>
      <c r="AR106" s="435">
        <v>200</v>
      </c>
      <c r="AS106" s="338">
        <f>'Data Standar'!J220</f>
        <v>0.83</v>
      </c>
      <c r="AT106" s="338"/>
      <c r="AU106" s="436">
        <f>IF(OR(AS106=0,AT106=0),'Data Standar'!$J$221/3,((MAX(AS106:AT106)-(MIN(AS106:AT106)))))</f>
        <v>8.3333333333333329E-2</v>
      </c>
      <c r="AV106" s="434">
        <f>(0.19-0)/2</f>
        <v>9.5000000000000001E-2</v>
      </c>
      <c r="AW106" s="423"/>
      <c r="AX106" s="435">
        <v>200</v>
      </c>
      <c r="AY106" s="338">
        <f>'Data Standar'!K220</f>
        <v>-0.28000000000000003</v>
      </c>
      <c r="AZ106" s="338"/>
      <c r="BA106" s="436">
        <f>IF(OR(AY106=0,AZ106=0),'Data Standar'!$K$221/3,((MAX(AY106:AZ106)-(MIN(AY106:AZ106)))))</f>
        <v>0.26333333333333336</v>
      </c>
      <c r="BB106" s="434">
        <f>(0.19-0)/2</f>
        <v>9.5000000000000001E-2</v>
      </c>
      <c r="BC106" s="423"/>
      <c r="BD106" s="435">
        <v>200</v>
      </c>
      <c r="BE106" s="338">
        <f>'Data Standar'!L220</f>
        <v>-0.31</v>
      </c>
      <c r="BF106" s="338"/>
      <c r="BG106" s="436">
        <f>IF(OR(BE106=0,BF106=0),'Data Standar'!$L$221/3,((MAX(BE106:BF106)-(MIN(BE106:BF106)))))</f>
        <v>9.0000000000000011E-2</v>
      </c>
      <c r="BH106" s="434">
        <f>(0.19-0)/2</f>
        <v>9.5000000000000001E-2</v>
      </c>
      <c r="BI106" s="423"/>
      <c r="BJ106" s="435">
        <v>200</v>
      </c>
      <c r="BK106" s="338">
        <f>'Data Standar'!M220</f>
        <v>-0.28000000000000003</v>
      </c>
      <c r="BL106" s="338"/>
      <c r="BM106" s="436">
        <f>IF(OR(BK106=0,BL106=0),'Data Standar'!$M$221/3,((MAX(BK106:BL106)-(MIN(BK106:BL106)))))</f>
        <v>0.26333333333333336</v>
      </c>
      <c r="BN106" s="434">
        <f>(0.19-0)/2</f>
        <v>9.5000000000000001E-2</v>
      </c>
      <c r="BO106" s="423"/>
      <c r="BP106" s="435">
        <v>200</v>
      </c>
      <c r="BQ106" s="338">
        <f>'Data Standar'!N220</f>
        <v>-0.74</v>
      </c>
      <c r="BR106" s="338"/>
      <c r="BS106" s="436">
        <f>IF(OR(BQ106=0,BR106=0),'Data Standar'!$N$221/3,((MAX(BQ106:BR106)-(MIN(BQ106:BR106)))))</f>
        <v>8.666666666666667E-2</v>
      </c>
      <c r="BT106" s="434">
        <f>(0.19-0)/2</f>
        <v>9.5000000000000001E-2</v>
      </c>
      <c r="BU106" s="423"/>
      <c r="BV106" s="435">
        <v>200</v>
      </c>
      <c r="BW106" s="338">
        <f>'Data Standar'!O220</f>
        <v>-1.43</v>
      </c>
      <c r="BX106" s="338"/>
      <c r="BY106" s="436">
        <f>IF(OR(BW106=0,BX106=0),'Data Standar'!$O$221/3,((MAX(BW106:BX106)-(MIN(BW106:BX106)))))</f>
        <v>9.0000000000000011E-2</v>
      </c>
      <c r="BZ106" s="434">
        <f>(0.19-0)/2</f>
        <v>9.5000000000000001E-2</v>
      </c>
      <c r="CA106" s="423"/>
      <c r="CB106" s="435">
        <v>200</v>
      </c>
      <c r="CC106" s="338">
        <f t="shared" si="48"/>
        <v>0</v>
      </c>
      <c r="CD106" s="338">
        <f t="shared" si="51"/>
        <v>-0.6</v>
      </c>
      <c r="CE106" s="436">
        <f t="shared" si="54"/>
        <v>0.30000000000000004</v>
      </c>
      <c r="CF106" s="434">
        <f>(0.19-0)/2</f>
        <v>9.5000000000000001E-2</v>
      </c>
      <c r="CG106" s="423"/>
      <c r="CH106" s="435">
        <v>200</v>
      </c>
      <c r="CI106" s="338">
        <f t="shared" si="49"/>
        <v>0.34</v>
      </c>
      <c r="CJ106" s="338">
        <f t="shared" si="52"/>
        <v>0.47</v>
      </c>
      <c r="CK106" s="436">
        <f t="shared" si="55"/>
        <v>0.12999999999999995</v>
      </c>
      <c r="CL106" s="434">
        <f>(0.19-0)/2</f>
        <v>9.5000000000000001E-2</v>
      </c>
      <c r="CM106" s="423"/>
      <c r="CN106" s="435">
        <v>200</v>
      </c>
      <c r="CO106" s="338">
        <f t="shared" si="50"/>
        <v>-0.26</v>
      </c>
      <c r="CP106" s="338">
        <f t="shared" si="53"/>
        <v>0.99</v>
      </c>
      <c r="CQ106" s="436">
        <f t="shared" si="56"/>
        <v>1.25</v>
      </c>
      <c r="CR106" s="434">
        <f>(0.19-0)/2</f>
        <v>9.5000000000000001E-2</v>
      </c>
      <c r="CS106" s="423"/>
    </row>
    <row r="107" spans="1:97" s="423" customFormat="1" ht="13">
      <c r="B107" s="442"/>
      <c r="C107" s="424"/>
      <c r="D107" s="424"/>
      <c r="E107" s="440"/>
      <c r="F107" s="438"/>
      <c r="G107" s="438"/>
      <c r="H107" s="442"/>
      <c r="I107" s="424"/>
      <c r="J107" s="424"/>
      <c r="K107" s="440"/>
      <c r="L107" s="425"/>
      <c r="M107" s="438"/>
      <c r="N107" s="442"/>
      <c r="O107" s="424"/>
      <c r="P107" s="424"/>
      <c r="Q107" s="440"/>
      <c r="R107" s="425"/>
      <c r="T107" s="442"/>
      <c r="U107" s="424"/>
      <c r="V107" s="424"/>
      <c r="W107" s="440"/>
      <c r="X107" s="425"/>
      <c r="Z107" s="442"/>
      <c r="AA107" s="424"/>
      <c r="AB107" s="424"/>
      <c r="AC107" s="440"/>
      <c r="AD107" s="425"/>
      <c r="AF107" s="442"/>
      <c r="AG107" s="424"/>
      <c r="AH107" s="424"/>
      <c r="AI107" s="440"/>
      <c r="AJ107" s="425"/>
      <c r="AL107" s="442"/>
      <c r="AM107" s="424"/>
      <c r="AN107" s="424"/>
      <c r="AO107" s="440"/>
      <c r="AP107" s="425"/>
      <c r="AR107" s="442"/>
      <c r="AS107" s="424"/>
      <c r="AT107" s="424"/>
      <c r="AU107" s="440"/>
      <c r="AV107" s="425"/>
      <c r="AX107" s="442"/>
      <c r="AY107" s="424"/>
      <c r="AZ107" s="424"/>
      <c r="BA107" s="440"/>
      <c r="BB107" s="425"/>
      <c r="BD107" s="442"/>
      <c r="BE107" s="424"/>
      <c r="BF107" s="424"/>
      <c r="BG107" s="440"/>
      <c r="BH107" s="425"/>
      <c r="BJ107" s="442"/>
      <c r="BK107" s="424"/>
      <c r="BL107" s="424"/>
      <c r="BM107" s="440"/>
      <c r="BN107" s="425"/>
      <c r="BP107" s="442"/>
      <c r="BQ107" s="424"/>
      <c r="BR107" s="424"/>
      <c r="BS107" s="440"/>
      <c r="BT107" s="425"/>
      <c r="BV107" s="442"/>
      <c r="BW107" s="424"/>
      <c r="BX107" s="424"/>
      <c r="BY107" s="440"/>
      <c r="BZ107" s="425"/>
      <c r="CB107" s="442"/>
      <c r="CC107" s="424"/>
      <c r="CD107" s="424"/>
      <c r="CE107" s="440"/>
      <c r="CF107" s="425"/>
      <c r="CH107" s="442"/>
      <c r="CI107" s="424"/>
      <c r="CJ107" s="424"/>
      <c r="CK107" s="440"/>
      <c r="CL107" s="425"/>
      <c r="CN107" s="442"/>
      <c r="CO107" s="424"/>
      <c r="CP107" s="424"/>
      <c r="CQ107" s="440"/>
      <c r="CR107" s="425"/>
    </row>
    <row r="108" spans="1:97" s="427" customFormat="1" ht="44.5" customHeight="1">
      <c r="A108" s="423"/>
      <c r="B108" s="1317" t="s">
        <v>392</v>
      </c>
      <c r="C108" s="1315" t="str">
        <f>C93</f>
        <v>Thermocouple Data Logger, Merek : MADGETECH, Model : OctTemp 2000, SN : P40270</v>
      </c>
      <c r="D108" s="1315"/>
      <c r="E108" s="1315"/>
      <c r="F108" s="426" t="s">
        <v>383</v>
      </c>
      <c r="G108" s="984">
        <f>Drift!$B$165</f>
        <v>161.46416666666667</v>
      </c>
      <c r="H108" s="1317" t="s">
        <v>392</v>
      </c>
      <c r="I108" s="1315" t="str">
        <f>I93</f>
        <v>Thermocouple Data Logger, Merek : MADGETECH, Model : OctTemp 2000, SN : P41878</v>
      </c>
      <c r="J108" s="1315"/>
      <c r="K108" s="1315"/>
      <c r="L108" s="426" t="s">
        <v>383</v>
      </c>
      <c r="M108" s="984">
        <f>Drift!$B$165</f>
        <v>161.46416666666667</v>
      </c>
      <c r="N108" s="1317" t="s">
        <v>392</v>
      </c>
      <c r="O108" s="1315" t="str">
        <f>O93</f>
        <v>Mobile Corder, Merek : Yokogawa, Model : GP 10, SN : S5T810599</v>
      </c>
      <c r="P108" s="1316"/>
      <c r="Q108" s="1315"/>
      <c r="R108" s="426" t="s">
        <v>383</v>
      </c>
      <c r="S108" s="984">
        <f>Drift!$B$165</f>
        <v>161.46416666666667</v>
      </c>
      <c r="T108" s="1317" t="s">
        <v>392</v>
      </c>
      <c r="U108" s="1315" t="str">
        <f>U93</f>
        <v>Wireless Temperature Recorder : Merek : HIOKI, Model : LR 8510, SN : 200936000</v>
      </c>
      <c r="V108" s="1316"/>
      <c r="W108" s="1315"/>
      <c r="X108" s="426" t="s">
        <v>383</v>
      </c>
      <c r="Y108" s="984">
        <f>Drift!$B$165</f>
        <v>161.46416666666667</v>
      </c>
      <c r="Z108" s="1317" t="s">
        <v>392</v>
      </c>
      <c r="AA108" s="1315" t="str">
        <f>AA93</f>
        <v>Wireless Temperature Recorder : Merek : HIOKI, Model : LR 8510, SN : 200936001</v>
      </c>
      <c r="AB108" s="1316"/>
      <c r="AC108" s="1315"/>
      <c r="AD108" s="426" t="s">
        <v>383</v>
      </c>
      <c r="AE108" s="984">
        <f>Drift!$B$165</f>
        <v>161.46416666666667</v>
      </c>
      <c r="AF108" s="1317" t="s">
        <v>392</v>
      </c>
      <c r="AG108" s="1315" t="str">
        <f>AG93</f>
        <v>Wireless Temperature Recorder : Merek : HIOKI, Model : LR 8510, SN : 200821397</v>
      </c>
      <c r="AH108" s="1316"/>
      <c r="AI108" s="1315"/>
      <c r="AJ108" s="426" t="s">
        <v>383</v>
      </c>
      <c r="AK108" s="984">
        <f>Drift!$B$165</f>
        <v>161.46416666666667</v>
      </c>
      <c r="AL108" s="1317" t="s">
        <v>392</v>
      </c>
      <c r="AM108" s="1315" t="str">
        <f>AM93</f>
        <v>Wireless Temperature Recorder : Merek : HIOKI, Model : LR 8510, SN : 210411983</v>
      </c>
      <c r="AN108" s="1316"/>
      <c r="AO108" s="1315"/>
      <c r="AP108" s="426" t="s">
        <v>383</v>
      </c>
      <c r="AQ108" s="984">
        <f>Drift!$B$165</f>
        <v>161.46416666666667</v>
      </c>
      <c r="AR108" s="1317" t="s">
        <v>392</v>
      </c>
      <c r="AS108" s="1315" t="str">
        <f>AS93</f>
        <v>Wireless Temperature Recorder : Merek : HIOKI, Model : LR 8510, SN : 210411984</v>
      </c>
      <c r="AT108" s="1316"/>
      <c r="AU108" s="1315"/>
      <c r="AV108" s="426" t="s">
        <v>383</v>
      </c>
      <c r="AW108" s="984">
        <f>Drift!$B$165</f>
        <v>161.46416666666667</v>
      </c>
      <c r="AX108" s="1317" t="s">
        <v>392</v>
      </c>
      <c r="AY108" s="1315" t="str">
        <f>AY93</f>
        <v>Wireless Temperature Recorder : Merek : HIOKI, Model : LR 8510, SN : 210411985</v>
      </c>
      <c r="AZ108" s="1316"/>
      <c r="BA108" s="1315"/>
      <c r="BB108" s="426" t="s">
        <v>383</v>
      </c>
      <c r="BC108" s="984">
        <f>Drift!$B$165</f>
        <v>161.46416666666667</v>
      </c>
      <c r="BD108" s="1317" t="s">
        <v>392</v>
      </c>
      <c r="BE108" s="1321" t="str">
        <f>BE93</f>
        <v>Wireless Temperature Recorder : Merek : HIOKI, Model : LR 8510, SN : 210746054</v>
      </c>
      <c r="BF108" s="1322"/>
      <c r="BG108" s="1323"/>
      <c r="BH108" s="426" t="s">
        <v>383</v>
      </c>
      <c r="BI108" s="984">
        <f>Drift!$B$165</f>
        <v>161.46416666666667</v>
      </c>
      <c r="BJ108" s="1317" t="s">
        <v>392</v>
      </c>
      <c r="BK108" s="1315" t="str">
        <f>BK93</f>
        <v>Wireless Temperature Recorder : Merek : HIOKI, Model : LR 8510, SN : 210746055</v>
      </c>
      <c r="BL108" s="1316"/>
      <c r="BM108" s="1315"/>
      <c r="BN108" s="426" t="s">
        <v>383</v>
      </c>
      <c r="BO108" s="984">
        <f>Drift!$B$165</f>
        <v>161.46416666666667</v>
      </c>
      <c r="BP108" s="1319" t="s">
        <v>392</v>
      </c>
      <c r="BQ108" s="1315" t="str">
        <f>BQ93</f>
        <v>Wireless Temperature Recorder : Merek : HIOKI, Model : LR 8510, SN : 210746056</v>
      </c>
      <c r="BR108" s="1316"/>
      <c r="BS108" s="1315"/>
      <c r="BT108" s="426" t="s">
        <v>383</v>
      </c>
      <c r="BU108" s="984">
        <f>Drift!$B$165</f>
        <v>161.46416666666667</v>
      </c>
      <c r="BV108" s="1317" t="s">
        <v>392</v>
      </c>
      <c r="BW108" s="1315" t="str">
        <f>BW93</f>
        <v>Wireless Temperature Recorder : Merek : HIOKI, Model : LR 8510, SN : 200821396</v>
      </c>
      <c r="BX108" s="1316"/>
      <c r="BY108" s="1315"/>
      <c r="BZ108" s="426" t="s">
        <v>383</v>
      </c>
      <c r="CA108" s="984">
        <f>Drift!$B$165</f>
        <v>161.46416666666667</v>
      </c>
      <c r="CB108" s="1317" t="s">
        <v>392</v>
      </c>
      <c r="CC108" s="1315" t="str">
        <f t="shared" ref="CC108:CC121" si="58">CC93</f>
        <v>Reference Thermometer, Merek : APPA, Model : APPA51, SN : 03002948</v>
      </c>
      <c r="CD108" s="1316"/>
      <c r="CE108" s="1315"/>
      <c r="CF108" s="426" t="s">
        <v>383</v>
      </c>
      <c r="CG108" s="423"/>
      <c r="CH108" s="1317" t="s">
        <v>392</v>
      </c>
      <c r="CI108" s="1315" t="str">
        <f t="shared" ref="CI108:CI121" si="59">CI93</f>
        <v>Reference Thermometer, Merek : FLUKE, Model : 1524, SN : 1803038</v>
      </c>
      <c r="CJ108" s="1316"/>
      <c r="CK108" s="1315"/>
      <c r="CL108" s="426" t="s">
        <v>383</v>
      </c>
      <c r="CM108" s="423"/>
      <c r="CN108" s="1317" t="s">
        <v>392</v>
      </c>
      <c r="CO108" s="1315" t="str">
        <f t="shared" ref="CO108:CO121" si="60">CO93</f>
        <v>Reference Thermometer, Merek : FLUKE, Model : 1524, SN : 1803037</v>
      </c>
      <c r="CP108" s="1316"/>
      <c r="CQ108" s="1315"/>
      <c r="CR108" s="426" t="s">
        <v>383</v>
      </c>
      <c r="CS108" s="423"/>
    </row>
    <row r="109" spans="1:97" s="427" customFormat="1" ht="13">
      <c r="A109" s="423"/>
      <c r="B109" s="1318"/>
      <c r="C109" s="432">
        <f>C94</f>
        <v>2021</v>
      </c>
      <c r="D109" s="432">
        <f>D94</f>
        <v>2022</v>
      </c>
      <c r="E109" s="429" t="s">
        <v>385</v>
      </c>
      <c r="F109" s="430"/>
      <c r="G109" s="985">
        <f>IF(G108&lt;=B117,B116,IF(G108&lt;=B118,B117,IF(G108&lt;=B119,B118,IF(G108&lt;=B120,B119,IF(G108&lt;=B121,B120)))))</f>
        <v>150</v>
      </c>
      <c r="H109" s="1318"/>
      <c r="I109" s="431">
        <f>I94</f>
        <v>2021</v>
      </c>
      <c r="J109" s="432">
        <f>J94</f>
        <v>2022</v>
      </c>
      <c r="K109" s="429" t="s">
        <v>385</v>
      </c>
      <c r="L109" s="433"/>
      <c r="M109" s="985">
        <f>IF(M108&lt;=H117,H116,IF(M108&lt;=H118,H117,IF(M108&lt;=H119,H118,IF(M108&lt;=H120,H119,IF(M108&lt;=H121,H120)))))</f>
        <v>150</v>
      </c>
      <c r="N109" s="1318"/>
      <c r="O109" s="431">
        <f>O4</f>
        <v>2021</v>
      </c>
      <c r="P109" s="432">
        <f>P4</f>
        <v>2023</v>
      </c>
      <c r="Q109" s="429" t="s">
        <v>385</v>
      </c>
      <c r="R109" s="434"/>
      <c r="S109" s="985">
        <f>IF(S108&lt;=N117,N116,IF(S108&lt;=N118,N117,IF(S108&lt;=N119,N118,IF(S108&lt;=N120,N119,IF(S108&lt;=N121,N120)))))</f>
        <v>150</v>
      </c>
      <c r="T109" s="1318"/>
      <c r="U109" s="431">
        <f>U94</f>
        <v>2022</v>
      </c>
      <c r="V109" s="432"/>
      <c r="W109" s="429" t="s">
        <v>385</v>
      </c>
      <c r="X109" s="434"/>
      <c r="Y109" s="985">
        <f>IF(Y108&lt;=T117,T116,IF(Y108&lt;=T118,T117,IF(Y108&lt;=T119,T118,IF(Y108&lt;=T120,T119,IF(Y108&lt;=T121,T120)))))</f>
        <v>150</v>
      </c>
      <c r="Z109" s="1318"/>
      <c r="AA109" s="431">
        <f>AA94</f>
        <v>2023</v>
      </c>
      <c r="AB109" s="432">
        <f>AB94</f>
        <v>2021</v>
      </c>
      <c r="AC109" s="429" t="s">
        <v>385</v>
      </c>
      <c r="AD109" s="434"/>
      <c r="AE109" s="985">
        <f>IF(AE108&lt;=Z117,Z116,IF(AE108&lt;=Z118,Z117,IF(AE108&lt;=Z119,Z118,IF(AE108&lt;=Z120,Z119,IF(AE108&lt;=Z121,Z120)))))</f>
        <v>150</v>
      </c>
      <c r="AF109" s="1318"/>
      <c r="AG109" s="431">
        <f>AG94</f>
        <v>2023</v>
      </c>
      <c r="AH109" s="431">
        <f>AH94</f>
        <v>2021</v>
      </c>
      <c r="AI109" s="429" t="s">
        <v>385</v>
      </c>
      <c r="AJ109" s="434"/>
      <c r="AK109" s="985">
        <f>IF(AK108&lt;=AF117,AF116,IF(AK108&lt;=AF118,AF117,IF(AK108&lt;=AF119,AF118,IF(AK108&lt;=AF120,AF119,IF(AK108&lt;=AF121,AF120)))))</f>
        <v>150</v>
      </c>
      <c r="AL109" s="1318"/>
      <c r="AM109" s="431">
        <f>AM94</f>
        <v>2023</v>
      </c>
      <c r="AN109" s="432"/>
      <c r="AO109" s="429" t="s">
        <v>385</v>
      </c>
      <c r="AP109" s="434"/>
      <c r="AQ109" s="985">
        <f>IF(AQ108&lt;=AL117,AL116,IF(AQ108&lt;=AL118,AL117,IF(AQ108&lt;=AL119,AL118,IF(AQ108&lt;=AL120,AL119,IF(AQ108&lt;=AL121,AL120)))))</f>
        <v>150</v>
      </c>
      <c r="AR109" s="1318"/>
      <c r="AS109" s="431">
        <f>AS94</f>
        <v>2023</v>
      </c>
      <c r="AT109" s="432"/>
      <c r="AU109" s="429" t="s">
        <v>385</v>
      </c>
      <c r="AV109" s="434"/>
      <c r="AW109" s="985">
        <f>IF(AW108&lt;=AR117,AR116,IF(AW108&lt;=AR118,AR117,IF(AW108&lt;=AR119,AR118,IF(AW108&lt;=AR120,AR119,IF(AW108&lt;=AR121,AR120)))))</f>
        <v>150</v>
      </c>
      <c r="AX109" s="1318"/>
      <c r="AY109" s="431">
        <f>AY94</f>
        <v>2021</v>
      </c>
      <c r="AZ109" s="432"/>
      <c r="BA109" s="429" t="s">
        <v>385</v>
      </c>
      <c r="BB109" s="434"/>
      <c r="BC109" s="985">
        <f>IF(BC108&lt;=AX117,AX116,IF(BC108&lt;=AX118,AX117,IF(BC108&lt;=AX119,AX118,IF(BC108&lt;=AX120,AX119,IF(BC108&lt;=AX121,AX120)))))</f>
        <v>150</v>
      </c>
      <c r="BD109" s="1318"/>
      <c r="BE109" s="431">
        <f>BE94</f>
        <v>2022</v>
      </c>
      <c r="BF109" s="432"/>
      <c r="BG109" s="429" t="s">
        <v>385</v>
      </c>
      <c r="BH109" s="434"/>
      <c r="BI109" s="985">
        <f>IF(BI108&lt;=BD117,BD116,IF(BI108&lt;=BD118,BD117,IF(BI108&lt;=BD119,BD118,IF(BI108&lt;=BD120,BD119,IF(BI108&lt;=BD121,BD120)))))</f>
        <v>150</v>
      </c>
      <c r="BJ109" s="1318"/>
      <c r="BK109" s="431">
        <f>BK94</f>
        <v>2021</v>
      </c>
      <c r="BL109" s="432"/>
      <c r="BM109" s="429" t="s">
        <v>385</v>
      </c>
      <c r="BN109" s="434"/>
      <c r="BO109" s="985">
        <f>IF(BO108&lt;=BJ117,BJ116,IF(BO108&lt;=BJ118,BJ117,IF(BO108&lt;=BJ119,BJ118,IF(BO108&lt;=BJ120,BJ119,IF(BO108&lt;=BJ121,BJ120)))))</f>
        <v>150</v>
      </c>
      <c r="BP109" s="1320"/>
      <c r="BQ109" s="431">
        <f>BQ94</f>
        <v>2022</v>
      </c>
      <c r="BR109" s="432"/>
      <c r="BS109" s="429" t="s">
        <v>385</v>
      </c>
      <c r="BT109" s="434"/>
      <c r="BU109" s="985">
        <f>IF(BU108&lt;=BP117,BP116,IF(BU108&lt;=BP118,BP117,IF(BU108&lt;=BP119,BP118,IF(BU108&lt;=BP120,BP119,IF(BU108&lt;=BP121,BP120)))))</f>
        <v>150</v>
      </c>
      <c r="BV109" s="1318"/>
      <c r="BW109" s="431">
        <f>BW94</f>
        <v>2022</v>
      </c>
      <c r="BX109" s="432"/>
      <c r="BY109" s="429" t="s">
        <v>385</v>
      </c>
      <c r="BZ109" s="434"/>
      <c r="CA109" s="985">
        <f>IF(CA108&lt;=BV117,BV116,IF(CA108&lt;=BV118,BV117,IF(CA108&lt;=BV119,BV118,IF(CA108&lt;=BV120,BV119,IF(CA108&lt;=BV121,BV120)))))</f>
        <v>150</v>
      </c>
      <c r="CB109" s="1318"/>
      <c r="CC109" s="431">
        <f t="shared" si="58"/>
        <v>2022</v>
      </c>
      <c r="CD109" s="432">
        <f t="shared" ref="CD109:CD121" si="61">CD124</f>
        <v>2020</v>
      </c>
      <c r="CE109" s="429" t="s">
        <v>385</v>
      </c>
      <c r="CF109" s="434"/>
      <c r="CG109" s="446"/>
      <c r="CH109" s="1318"/>
      <c r="CI109" s="431">
        <f t="shared" si="59"/>
        <v>2021</v>
      </c>
      <c r="CJ109" s="432">
        <f t="shared" ref="CJ109:CJ121" si="62">CJ94</f>
        <v>2019</v>
      </c>
      <c r="CK109" s="429" t="s">
        <v>385</v>
      </c>
      <c r="CL109" s="434"/>
      <c r="CM109" s="423"/>
      <c r="CN109" s="1318"/>
      <c r="CO109" s="431">
        <f t="shared" si="60"/>
        <v>2021</v>
      </c>
      <c r="CP109" s="432">
        <f t="shared" ref="CP109:CP121" si="63">CP94</f>
        <v>2020</v>
      </c>
      <c r="CQ109" s="429" t="s">
        <v>385</v>
      </c>
      <c r="CR109" s="434"/>
      <c r="CS109" s="423"/>
    </row>
    <row r="110" spans="1:97" s="427" customFormat="1" ht="13">
      <c r="A110" s="423"/>
      <c r="B110" s="435">
        <v>-20</v>
      </c>
      <c r="C110" s="338">
        <v>-0.48</v>
      </c>
      <c r="D110" s="337">
        <f>'Data Standar'!U209</f>
        <v>-0.65</v>
      </c>
      <c r="E110" s="436">
        <f>IF(OR(C110=0,D110=0),'Data Standar'!$U$221/3,((MAX(C110:D110)-(MIN(C110:D110)))))</f>
        <v>0.17000000000000004</v>
      </c>
      <c r="F110" s="437">
        <v>0.08</v>
      </c>
      <c r="G110" s="437"/>
      <c r="H110" s="435">
        <v>-20</v>
      </c>
      <c r="I110" s="338">
        <v>-0.74</v>
      </c>
      <c r="J110" s="338">
        <f>'Data Standar'!V209</f>
        <v>-0.47</v>
      </c>
      <c r="K110" s="436">
        <f>IF(OR(I110=0,J110=0),'Data Standar'!$V$221/3,((MAX(I110:J110)-(MIN(I110:J110)))))</f>
        <v>0.27</v>
      </c>
      <c r="L110" s="437">
        <v>0.1</v>
      </c>
      <c r="M110" s="437"/>
      <c r="N110" s="435">
        <v>-20</v>
      </c>
      <c r="O110" s="707">
        <v>-0.6</v>
      </c>
      <c r="P110" s="338">
        <f>'Data Standar'!W209</f>
        <v>-0.43</v>
      </c>
      <c r="Q110" s="436">
        <f>IF(OR(O110=0,P110=0),'Data Standar'!$W$221/3,((MAX(O110:P110)-(MIN(O110:P110)))))</f>
        <v>0.16999999999999998</v>
      </c>
      <c r="R110" s="434">
        <v>9.9999999999999995E-7</v>
      </c>
      <c r="S110" s="437"/>
      <c r="T110" s="435">
        <v>-20</v>
      </c>
      <c r="U110" s="337">
        <f>'Data Standar'!X209</f>
        <v>-1.31</v>
      </c>
      <c r="V110" s="338"/>
      <c r="W110" s="436">
        <f>IF(OR(U110=0,V110=0),'Data Standar'!$X$221/3,((MAX(U110:V110)-(MIN(U110:V110)))))</f>
        <v>8.666666666666667E-2</v>
      </c>
      <c r="X110" s="434">
        <v>9.9999999999999995E-7</v>
      </c>
      <c r="Y110" s="437"/>
      <c r="Z110" s="435">
        <v>-20</v>
      </c>
      <c r="AA110" s="337">
        <f>'Data Standar'!Y209</f>
        <v>0.19</v>
      </c>
      <c r="AB110" s="338">
        <v>-0.63</v>
      </c>
      <c r="AC110" s="436">
        <f>IF(OR(AA110=0,AB110=0),'Data Standar'!$Y$221/3,((MAX(AA110:AB110)-(MIN(AA110:AB110)))))</f>
        <v>0.82000000000000006</v>
      </c>
      <c r="AD110" s="434">
        <v>9.9999999999999995E-7</v>
      </c>
      <c r="AE110" s="437"/>
      <c r="AF110" s="435">
        <v>-20</v>
      </c>
      <c r="AG110" s="337">
        <f>'Data Standar'!Z209</f>
        <v>0.2</v>
      </c>
      <c r="AH110" s="338">
        <v>-0.1</v>
      </c>
      <c r="AI110" s="436">
        <f>IF(OR(AG110=0,AH110=0),'Data Standar'!$Z$221/3,((MAX(AG110:AH110)-(MIN(AG110:AH110)))))</f>
        <v>0.30000000000000004</v>
      </c>
      <c r="AJ110" s="434">
        <v>9.9999999999999995E-7</v>
      </c>
      <c r="AK110" s="437"/>
      <c r="AL110" s="435">
        <v>-20</v>
      </c>
      <c r="AM110" s="337">
        <f>'Data Standar'!AA209</f>
        <v>0.46</v>
      </c>
      <c r="AN110" s="338"/>
      <c r="AO110" s="436">
        <f>IF(OR(AM110=0,AN110=0),'Data Standar'!$AA$221/3,((MAX(AM110:AN110)-(MIN(AM110:AN110)))))</f>
        <v>8.3333333333333329E-2</v>
      </c>
      <c r="AP110" s="434">
        <v>9.9999999999999995E-7</v>
      </c>
      <c r="AQ110" s="437"/>
      <c r="AR110" s="435">
        <v>-20</v>
      </c>
      <c r="AS110" s="337">
        <f>'Data Standar'!AB209</f>
        <v>0.36</v>
      </c>
      <c r="AT110" s="338"/>
      <c r="AU110" s="436">
        <f>IF(OR(AS110=0,AT110=0),'Data Standar'!$AB$221/3,((MAX(AS110:AT110)-(MIN(AS110:AT110)))))</f>
        <v>8.3333333333333329E-2</v>
      </c>
      <c r="AV110" s="434">
        <v>9.9999999999999995E-7</v>
      </c>
      <c r="AW110" s="437"/>
      <c r="AX110" s="435">
        <v>-20</v>
      </c>
      <c r="AY110" s="337">
        <f>'Data Standar'!AC209</f>
        <v>0.52</v>
      </c>
      <c r="AZ110" s="338"/>
      <c r="BA110" s="436">
        <f>IF(OR(AY110=0,AZ110=0),'Data Standar'!$AC$221/3,((MAX(AY110:AZ110)-(MIN(AY110:AZ110)))))</f>
        <v>0.26333333333333336</v>
      </c>
      <c r="BB110" s="434">
        <v>9.9999999999999995E-7</v>
      </c>
      <c r="BC110" s="437"/>
      <c r="BD110" s="435">
        <v>-20</v>
      </c>
      <c r="BE110" s="337">
        <f>'Data Standar'!AD209</f>
        <v>-0.95</v>
      </c>
      <c r="BF110" s="338"/>
      <c r="BG110" s="436">
        <f>IF(OR(BE110=0,BF110=0),'Data Standar'!$AD$221/3,((MAX(BE110:BF110)-(MIN(BE110:BF110)))))</f>
        <v>9.0000000000000011E-2</v>
      </c>
      <c r="BH110" s="434">
        <v>9.9999999999999995E-7</v>
      </c>
      <c r="BI110" s="437"/>
      <c r="BJ110" s="435">
        <v>-20</v>
      </c>
      <c r="BK110" s="337">
        <f>'Data Standar'!AE209</f>
        <v>0.52</v>
      </c>
      <c r="BL110" s="338"/>
      <c r="BM110" s="436">
        <f>IF(OR(BK110=0,BL110=0),'Data Standar'!$AE$221/3,((MAX(BK110:BL110)-(MIN(BK110:BL110)))))</f>
        <v>0.26333333333333336</v>
      </c>
      <c r="BN110" s="434">
        <v>9.9999999999999995E-7</v>
      </c>
      <c r="BO110" s="437"/>
      <c r="BP110" s="435">
        <v>-20</v>
      </c>
      <c r="BQ110" s="337">
        <f>'Data Standar'!AF209</f>
        <v>-1.22</v>
      </c>
      <c r="BR110" s="338"/>
      <c r="BS110" s="436">
        <f>IF(OR(BQ110=0,BR110=0),'Data Standar'!$AF$221/3,((MAX(BQ110:BR110)-(MIN(BQ110:BR110)))))</f>
        <v>8.666666666666667E-2</v>
      </c>
      <c r="BT110" s="434">
        <v>9.9999999999999995E-7</v>
      </c>
      <c r="BU110" s="437"/>
      <c r="BV110" s="435">
        <v>-20</v>
      </c>
      <c r="BW110" s="337">
        <f>'Data Standar'!AG209</f>
        <v>-1.36</v>
      </c>
      <c r="BX110" s="338"/>
      <c r="BY110" s="436">
        <f>IF(OR(BW110=0,BX110=0),'Data Standar'!$AG$221/3,((MAX(BW110:BX110)-(MIN(BW110:BX110)))))</f>
        <v>9.3333333333333338E-2</v>
      </c>
      <c r="BZ110" s="434">
        <v>9.9999999999999995E-7</v>
      </c>
      <c r="CA110" s="437"/>
      <c r="CB110" s="435">
        <v>-20</v>
      </c>
      <c r="CC110" s="337">
        <f t="shared" si="58"/>
        <v>-1.1000000000000001</v>
      </c>
      <c r="CD110" s="338">
        <f t="shared" si="61"/>
        <v>-0.7</v>
      </c>
      <c r="CE110" s="436">
        <f t="shared" ref="CE110:CE121" si="64">CE95</f>
        <v>0.40000000000000013</v>
      </c>
      <c r="CF110" s="434">
        <v>9.9999999999999995E-7</v>
      </c>
      <c r="CG110" s="446"/>
      <c r="CH110" s="435">
        <v>-20</v>
      </c>
      <c r="CI110" s="337">
        <f t="shared" si="59"/>
        <v>-0.15</v>
      </c>
      <c r="CJ110" s="338">
        <f t="shared" si="62"/>
        <v>-0.32</v>
      </c>
      <c r="CK110" s="436">
        <f t="shared" ref="CK110:CK121" si="65">CK95</f>
        <v>0.17</v>
      </c>
      <c r="CL110" s="434">
        <v>9.9999999999999995E-7</v>
      </c>
      <c r="CM110" s="423"/>
      <c r="CN110" s="435">
        <v>-20</v>
      </c>
      <c r="CO110" s="337">
        <f t="shared" si="60"/>
        <v>-1.8</v>
      </c>
      <c r="CP110" s="338">
        <f t="shared" si="63"/>
        <v>-0.51</v>
      </c>
      <c r="CQ110" s="436">
        <f t="shared" ref="CQ110:CQ121" si="66">CQ95</f>
        <v>1.29</v>
      </c>
      <c r="CR110" s="434">
        <v>9.9999999999999995E-7</v>
      </c>
      <c r="CS110" s="423"/>
    </row>
    <row r="111" spans="1:97" s="427" customFormat="1" ht="13">
      <c r="A111" s="423"/>
      <c r="B111" s="435">
        <v>-15</v>
      </c>
      <c r="C111" s="338">
        <v>-0.4</v>
      </c>
      <c r="D111" s="337">
        <f>'Data Standar'!U210</f>
        <v>-0.56999999999999995</v>
      </c>
      <c r="E111" s="436">
        <f>IF(OR(C111=0,D111=0),'Data Standar'!$U$221/3,((MAX(C111:D111)-(MIN(C111:D111)))))</f>
        <v>0.16999999999999993</v>
      </c>
      <c r="F111" s="437">
        <f>(-0.51+1.57)/2</f>
        <v>0.53</v>
      </c>
      <c r="G111" s="985">
        <f>IF(G108&lt;=B116,B116,IF(G108&lt;=B117,B117,IF(G108&lt;=B118,B118,IF(G108&lt;=B119,B119,IF(G108&lt;=B120,B120,IF(G108&lt;=B121,B121))))))</f>
        <v>200</v>
      </c>
      <c r="H111" s="435">
        <v>-15</v>
      </c>
      <c r="I111" s="338">
        <v>-0.61</v>
      </c>
      <c r="J111" s="338">
        <f>'Data Standar'!V210</f>
        <v>-0.4</v>
      </c>
      <c r="K111" s="436">
        <f>IF(OR(I111=0,J111=0),'Data Standar'!$V$221/3,((MAX(I111:J111)-(MIN(I111:J111)))))</f>
        <v>0.20999999999999996</v>
      </c>
      <c r="L111" s="437">
        <f>(0+0.07)/2</f>
        <v>3.5000000000000003E-2</v>
      </c>
      <c r="M111" s="985">
        <f>IF(M108&lt;=H116,H116,IF(M108&lt;=H117,H117,IF(M108&lt;=H118,H118,IF(M108&lt;=H119,H119,IF(M108&lt;=H120,H120,IF(M108&lt;=H121,H121))))))</f>
        <v>200</v>
      </c>
      <c r="N111" s="435">
        <v>-15</v>
      </c>
      <c r="O111" s="707">
        <v>-0.47</v>
      </c>
      <c r="P111" s="338">
        <f>'Data Standar'!W210</f>
        <v>-0.37</v>
      </c>
      <c r="Q111" s="436">
        <f>IF(OR(O111=0,P111=0),'Data Standar'!$W$221/3,((MAX(O111:P111)-(MIN(O111:P111)))))</f>
        <v>9.9999999999999978E-2</v>
      </c>
      <c r="R111" s="434">
        <f>(0.08-0)/2</f>
        <v>0.04</v>
      </c>
      <c r="S111" s="985">
        <f>IF(S108&lt;=N116,N116,IF(S108&lt;=N117,N117,IF(S108&lt;=N118,N118,IF(S108&lt;=N119,N119,IF(S108&lt;=N120,N120,IF(S108&lt;=N121,N121))))))</f>
        <v>200</v>
      </c>
      <c r="T111" s="435">
        <v>-15</v>
      </c>
      <c r="U111" s="337">
        <f>'Data Standar'!X210</f>
        <v>-1.07</v>
      </c>
      <c r="V111" s="338"/>
      <c r="W111" s="436">
        <f>IF(OR(U111=0,V111=0),'Data Standar'!$X$221/3,((MAX(U111:V111)-(MIN(U111:V111)))))</f>
        <v>8.666666666666667E-2</v>
      </c>
      <c r="X111" s="434">
        <f>(0.08-0)/2</f>
        <v>0.04</v>
      </c>
      <c r="Y111" s="985">
        <f>IF(Y108&lt;=T116,T116,IF(Y108&lt;=T117,T117,IF(Y108&lt;=T118,T118,IF(Y108&lt;=T119,T119,IF(Y108&lt;=T120,T120,IF(Y108&lt;=T121,T121))))))</f>
        <v>200</v>
      </c>
      <c r="Z111" s="435">
        <v>-15</v>
      </c>
      <c r="AA111" s="337">
        <f>'Data Standar'!Y210</f>
        <v>0.23</v>
      </c>
      <c r="AB111" s="338">
        <v>0</v>
      </c>
      <c r="AC111" s="436">
        <f>IF(OR(AA111=0,AB111=0),'Data Standar'!$Y$221/3,((MAX(AA111:AB111)-(MIN(AA111:AB111)))))</f>
        <v>8.666666666666667E-2</v>
      </c>
      <c r="AD111" s="434">
        <f>(0.08-0)/2</f>
        <v>0.04</v>
      </c>
      <c r="AE111" s="985">
        <f>IF(AE108&lt;=Z116,Z116,IF(AE108&lt;=Z117,Z117,IF(AE108&lt;=Z118,Z118,IF(AE108&lt;=Z119,Z119,IF(AE108&lt;=Z120,Z120,IF(AE108&lt;=Z121,Z121))))))</f>
        <v>200</v>
      </c>
      <c r="AF111" s="435">
        <v>-15</v>
      </c>
      <c r="AG111" s="337">
        <f>'Data Standar'!Z210</f>
        <v>0.23</v>
      </c>
      <c r="AH111" s="338">
        <v>9.9999999999999995E-7</v>
      </c>
      <c r="AI111" s="436">
        <f>IF(OR(AG111=0,AH111=0),'Data Standar'!$Z$221/3,((MAX(AG111:AH111)-(MIN(AG111:AH111)))))</f>
        <v>0.22999900000000001</v>
      </c>
      <c r="AJ111" s="434">
        <f>(0.08-0)/2</f>
        <v>0.04</v>
      </c>
      <c r="AK111" s="985">
        <f>IF(AK108&lt;=AF116,AF116,IF(AK108&lt;=AF117,AF117,IF(AK108&lt;=AF118,AF118,IF(AK108&lt;=AF119,AF119,IF(AK108&lt;=AF120,AF120,IF(AK108&lt;=AF121,AF121))))))</f>
        <v>200</v>
      </c>
      <c r="AL111" s="435">
        <v>-15</v>
      </c>
      <c r="AM111" s="337">
        <f>'Data Standar'!AA210</f>
        <v>0.47</v>
      </c>
      <c r="AN111" s="338"/>
      <c r="AO111" s="436">
        <f>IF(OR(AM111=0,AN111=0),'Data Standar'!$AA$221/3,((MAX(AM111:AN111)-(MIN(AM111:AN111)))))</f>
        <v>8.3333333333333329E-2</v>
      </c>
      <c r="AP111" s="434">
        <f>(0.08-0)/2</f>
        <v>0.04</v>
      </c>
      <c r="AQ111" s="985">
        <f>IF(AQ108&lt;=AL116,AL116,IF(AQ108&lt;=AL117,AL117,IF(AQ108&lt;=AL118,AL118,IF(AQ108&lt;=AL119,AL119,IF(AQ108&lt;=AL120,AL120,IF(AQ108&lt;=AL121,AL121))))))</f>
        <v>200</v>
      </c>
      <c r="AR111" s="435">
        <v>-15</v>
      </c>
      <c r="AS111" s="337">
        <f>'Data Standar'!AB210</f>
        <v>0.38</v>
      </c>
      <c r="AT111" s="338"/>
      <c r="AU111" s="436">
        <f>IF(OR(AS111=0,AT111=0),'Data Standar'!$AB$221/3,((MAX(AS111:AT111)-(MIN(AS111:AT111)))))</f>
        <v>8.3333333333333329E-2</v>
      </c>
      <c r="AV111" s="434">
        <f>(0.08-0)/2</f>
        <v>0.04</v>
      </c>
      <c r="AW111" s="985">
        <f>IF(AW108&lt;=AR116,AR116,IF(AW108&lt;=AR117,AR117,IF(AW108&lt;=AR118,AR118,IF(AW108&lt;=AR119,AR119,IF(AW108&lt;=AR120,AR120,IF(AW108&lt;=AR121,AR121))))))</f>
        <v>200</v>
      </c>
      <c r="AX111" s="435">
        <v>-15</v>
      </c>
      <c r="AY111" s="337">
        <f>'Data Standar'!AC210</f>
        <v>9.9999999999999995E-7</v>
      </c>
      <c r="AZ111" s="338"/>
      <c r="BA111" s="436">
        <f>IF(OR(AY111=0,AZ111=0),'Data Standar'!$AC$221/3,((MAX(AY111:AZ111)-(MIN(AY111:AZ111)))))</f>
        <v>0.26333333333333336</v>
      </c>
      <c r="BB111" s="434">
        <f>(0.08-0)/2</f>
        <v>0.04</v>
      </c>
      <c r="BC111" s="985">
        <f>IF(BC108&lt;=AX116,AX116,IF(BC108&lt;=AX117,AX117,IF(BC108&lt;=AX118,AX118,IF(BC108&lt;=AX119,AX119,IF(BC108&lt;=AX120,AX120,IF(BC108&lt;=AX121,AX121))))))</f>
        <v>200</v>
      </c>
      <c r="BD111" s="435">
        <v>-15</v>
      </c>
      <c r="BE111" s="337">
        <f>'Data Standar'!AD210</f>
        <v>-0.69</v>
      </c>
      <c r="BF111" s="338"/>
      <c r="BG111" s="436">
        <f>IF(OR(BE111=0,BF111=0),'Data Standar'!$AD$221/3,((MAX(BE111:BF111)-(MIN(BE111:BF111)))))</f>
        <v>9.0000000000000011E-2</v>
      </c>
      <c r="BH111" s="434">
        <f>(0.08-0)/2</f>
        <v>0.04</v>
      </c>
      <c r="BI111" s="985">
        <f>IF(BI108&lt;=BD116,BD116,IF(BI108&lt;=BD117,BD117,IF(BI108&lt;=BD118,BD118,IF(BI108&lt;=BD119,BD119,IF(BI108&lt;=BD120,BD120,IF(BI108&lt;=BD121,BD121))))))</f>
        <v>200</v>
      </c>
      <c r="BJ111" s="435">
        <v>-15</v>
      </c>
      <c r="BK111" s="337">
        <f>'Data Standar'!AE210</f>
        <v>9.9999999999999995E-7</v>
      </c>
      <c r="BL111" s="338"/>
      <c r="BM111" s="436">
        <f>IF(OR(BK111=0,BL111=0),'Data Standar'!$AE$221/3,((MAX(BK111:BL111)-(MIN(BK111:BL111)))))</f>
        <v>0.26333333333333336</v>
      </c>
      <c r="BN111" s="434">
        <f>(0.08-0)/2</f>
        <v>0.04</v>
      </c>
      <c r="BO111" s="985">
        <f>IF(BO108&lt;=BJ116,BJ116,IF(BO108&lt;=BJ117,BJ117,IF(BO108&lt;=BJ118,BJ118,IF(BO108&lt;=BJ119,BJ119,IF(BO108&lt;=BJ120,BJ120,IF(BO108&lt;=BJ121,BJ121))))))</f>
        <v>200</v>
      </c>
      <c r="BP111" s="435">
        <v>-15</v>
      </c>
      <c r="BQ111" s="337">
        <f>'Data Standar'!AF210</f>
        <v>-0.97</v>
      </c>
      <c r="BR111" s="338"/>
      <c r="BS111" s="436">
        <f>IF(OR(BQ111=0,BR111=0),'Data Standar'!$AF$221/3,((MAX(BQ111:BR111)-(MIN(BQ111:BR111)))))</f>
        <v>8.666666666666667E-2</v>
      </c>
      <c r="BT111" s="434">
        <f>(0.08-0)/2</f>
        <v>0.04</v>
      </c>
      <c r="BU111" s="985">
        <f>IF(BU108&lt;=BP116,BP116,IF(BU108&lt;=BP117,BP117,IF(BU108&lt;=BP118,BP118,IF(BU108&lt;=BP119,BP119,IF(BU108&lt;=BP120,BP120,IF(BU108&lt;=BP121,BP121))))))</f>
        <v>200</v>
      </c>
      <c r="BV111" s="435">
        <v>-15</v>
      </c>
      <c r="BW111" s="337">
        <f>'Data Standar'!AG210</f>
        <v>-1.0900000000000001</v>
      </c>
      <c r="BX111" s="338"/>
      <c r="BY111" s="436">
        <f>IF(OR(BW111=0,BX111=0),'Data Standar'!$AG$221/3,((MAX(BW111:BX111)-(MIN(BW111:BX111)))))</f>
        <v>9.3333333333333338E-2</v>
      </c>
      <c r="BZ111" s="434">
        <f>(0.08-0)/2</f>
        <v>0.04</v>
      </c>
      <c r="CA111" s="985">
        <f>IF(CA108&lt;=BV116,BV116,IF(CA108&lt;=BV117,BV117,IF(CA108&lt;=BV118,BV118,IF(CA108&lt;=BV119,BV119,IF(CA108&lt;=BV120,BV120,IF(CA108&lt;=BV121,BV121))))))</f>
        <v>200</v>
      </c>
      <c r="CB111" s="435">
        <v>-15</v>
      </c>
      <c r="CC111" s="337">
        <f t="shared" si="58"/>
        <v>-1.2</v>
      </c>
      <c r="CD111" s="338">
        <f t="shared" si="61"/>
        <v>-0.7</v>
      </c>
      <c r="CE111" s="436">
        <f t="shared" si="64"/>
        <v>0.40000000000000013</v>
      </c>
      <c r="CF111" s="434">
        <f>(0.08-0)/2</f>
        <v>0.04</v>
      </c>
      <c r="CG111" s="447"/>
      <c r="CH111" s="435">
        <v>-15</v>
      </c>
      <c r="CI111" s="337">
        <f t="shared" si="59"/>
        <v>-0.1</v>
      </c>
      <c r="CJ111" s="338">
        <f t="shared" si="62"/>
        <v>-0.24</v>
      </c>
      <c r="CK111" s="436">
        <f t="shared" si="65"/>
        <v>0.13999999999999999</v>
      </c>
      <c r="CL111" s="434">
        <f>(0.08-0)/2</f>
        <v>0.04</v>
      </c>
      <c r="CM111" s="423"/>
      <c r="CN111" s="435">
        <v>-15</v>
      </c>
      <c r="CO111" s="337">
        <f t="shared" si="60"/>
        <v>-1.52</v>
      </c>
      <c r="CP111" s="338">
        <f t="shared" si="63"/>
        <v>-0.39</v>
      </c>
      <c r="CQ111" s="436">
        <f t="shared" si="66"/>
        <v>1.1299999999999999</v>
      </c>
      <c r="CR111" s="434">
        <f>(0.08-0)/2</f>
        <v>0.04</v>
      </c>
      <c r="CS111" s="423"/>
    </row>
    <row r="112" spans="1:97" s="427" customFormat="1" ht="13">
      <c r="A112" s="423"/>
      <c r="B112" s="435">
        <v>-10</v>
      </c>
      <c r="C112" s="338">
        <v>-0.33</v>
      </c>
      <c r="D112" s="337">
        <f>'Data Standar'!U211</f>
        <v>-0.5</v>
      </c>
      <c r="E112" s="436">
        <f>IF(OR(C112=0,D112=0),'Data Standar'!$U$221/3,((MAX(C112:D112)-(MIN(C112:D112)))))</f>
        <v>0.16999999999999998</v>
      </c>
      <c r="F112" s="437">
        <f>(-0.45+1.35)/2</f>
        <v>0.45000000000000007</v>
      </c>
      <c r="G112" s="437"/>
      <c r="H112" s="435">
        <v>-10</v>
      </c>
      <c r="I112" s="338">
        <v>9.9999999999999995E-7</v>
      </c>
      <c r="J112" s="338">
        <f>'Data Standar'!V211</f>
        <v>-0.34</v>
      </c>
      <c r="K112" s="436">
        <f>IF(OR(I112=0,J112=0),'Data Standar'!$V$221/3,((MAX(I112:J112)-(MIN(I112:J112)))))</f>
        <v>0.340001</v>
      </c>
      <c r="L112" s="437">
        <f>(0+0.07)/2</f>
        <v>3.5000000000000003E-2</v>
      </c>
      <c r="M112" s="437"/>
      <c r="N112" s="435">
        <v>-10</v>
      </c>
      <c r="O112" s="707">
        <v>-0.39</v>
      </c>
      <c r="P112" s="338">
        <f>'Data Standar'!W211</f>
        <v>-0.31</v>
      </c>
      <c r="Q112" s="436">
        <f>IF(OR(O112=0,P112=0),'Data Standar'!$W$221/3,((MAX(O112:P112)-(MIN(O112:P112)))))</f>
        <v>8.0000000000000016E-2</v>
      </c>
      <c r="R112" s="434">
        <f>(0.09-0)/2</f>
        <v>4.4999999999999998E-2</v>
      </c>
      <c r="S112" s="437"/>
      <c r="T112" s="435">
        <v>-10</v>
      </c>
      <c r="U112" s="337">
        <f>'Data Standar'!X211</f>
        <v>-0.82</v>
      </c>
      <c r="V112" s="338"/>
      <c r="W112" s="436">
        <f>IF(OR(U112=0,V112=0),'Data Standar'!$X$221/3,((MAX(U112:V112)-(MIN(U112:V112)))))</f>
        <v>8.666666666666667E-2</v>
      </c>
      <c r="X112" s="434">
        <f>(0.09-0)/2</f>
        <v>4.4999999999999998E-2</v>
      </c>
      <c r="Y112" s="437"/>
      <c r="Z112" s="435">
        <v>-10</v>
      </c>
      <c r="AA112" s="337">
        <f>'Data Standar'!Y211</f>
        <v>0.26</v>
      </c>
      <c r="AB112" s="338">
        <v>-0.31</v>
      </c>
      <c r="AC112" s="436">
        <f>IF(OR(AA112=0,AB112=0),'Data Standar'!$Y$221/3,((MAX(AA112:AB112)-(MIN(AA112:AB112)))))</f>
        <v>0.57000000000000006</v>
      </c>
      <c r="AD112" s="434">
        <f>(0.09-0)/2</f>
        <v>4.4999999999999998E-2</v>
      </c>
      <c r="AE112" s="437"/>
      <c r="AF112" s="435">
        <v>-10</v>
      </c>
      <c r="AG112" s="337">
        <f>'Data Standar'!Z211</f>
        <v>0.25</v>
      </c>
      <c r="AH112" s="338">
        <v>0.13</v>
      </c>
      <c r="AI112" s="436">
        <f>IF(OR(AG112=0,AH112=0),'Data Standar'!$Z$221/3,((MAX(AG112:AH112)-(MIN(AG112:AH112)))))</f>
        <v>0.12</v>
      </c>
      <c r="AJ112" s="434">
        <f>(0.09-0)/2</f>
        <v>4.4999999999999998E-2</v>
      </c>
      <c r="AK112" s="437"/>
      <c r="AL112" s="435">
        <v>-10</v>
      </c>
      <c r="AM112" s="337">
        <f>'Data Standar'!AA211</f>
        <v>0.48</v>
      </c>
      <c r="AN112" s="338"/>
      <c r="AO112" s="436">
        <f>IF(OR(AM112=0,AN112=0),'Data Standar'!$AA$221/3,((MAX(AM112:AN112)-(MIN(AM112:AN112)))))</f>
        <v>8.3333333333333329E-2</v>
      </c>
      <c r="AP112" s="434">
        <f>(0.09-0)/2</f>
        <v>4.4999999999999998E-2</v>
      </c>
      <c r="AQ112" s="437"/>
      <c r="AR112" s="435">
        <v>-10</v>
      </c>
      <c r="AS112" s="337">
        <f>'Data Standar'!AB211</f>
        <v>0.4</v>
      </c>
      <c r="AT112" s="338"/>
      <c r="AU112" s="436">
        <f>IF(OR(AS112=0,AT112=0),'Data Standar'!$AB$221/3,((MAX(AS112:AT112)-(MIN(AS112:AT112)))))</f>
        <v>8.3333333333333329E-2</v>
      </c>
      <c r="AV112" s="434">
        <f>(0.09-0)/2</f>
        <v>4.4999999999999998E-2</v>
      </c>
      <c r="AW112" s="437"/>
      <c r="AX112" s="435">
        <v>-10</v>
      </c>
      <c r="AY112" s="337">
        <f>'Data Standar'!AC211</f>
        <v>0.5</v>
      </c>
      <c r="AZ112" s="338"/>
      <c r="BA112" s="436">
        <f>IF(OR(AY112=0,AZ112=0),'Data Standar'!$AC$221/3,((MAX(AY112:AZ112)-(MIN(AY112:AZ112)))))</f>
        <v>0.26333333333333336</v>
      </c>
      <c r="BB112" s="434">
        <f>(0.09-0)/2</f>
        <v>4.4999999999999998E-2</v>
      </c>
      <c r="BC112" s="437"/>
      <c r="BD112" s="435">
        <v>-10</v>
      </c>
      <c r="BE112" s="337">
        <f>'Data Standar'!AD211</f>
        <v>-0.49</v>
      </c>
      <c r="BF112" s="338"/>
      <c r="BG112" s="436">
        <f>IF(OR(BE112=0,BF112=0),'Data Standar'!$AD$221/3,((MAX(BE112:BF112)-(MIN(BE112:BF112)))))</f>
        <v>9.0000000000000011E-2</v>
      </c>
      <c r="BH112" s="434">
        <f>(0.09-0)/2</f>
        <v>4.4999999999999998E-2</v>
      </c>
      <c r="BI112" s="437"/>
      <c r="BJ112" s="435">
        <v>-10</v>
      </c>
      <c r="BK112" s="337">
        <f>'Data Standar'!AE211</f>
        <v>0.5</v>
      </c>
      <c r="BL112" s="338"/>
      <c r="BM112" s="436">
        <f>IF(OR(BK112=0,BL112=0),'Data Standar'!$AE$221/3,((MAX(BK112:BL112)-(MIN(BK112:BL112)))))</f>
        <v>0.26333333333333336</v>
      </c>
      <c r="BN112" s="434">
        <f>(0.09-0)/2</f>
        <v>4.4999999999999998E-2</v>
      </c>
      <c r="BO112" s="437"/>
      <c r="BP112" s="435">
        <v>-10</v>
      </c>
      <c r="BQ112" s="337">
        <f>'Data Standar'!AF211</f>
        <v>-0.77</v>
      </c>
      <c r="BR112" s="338"/>
      <c r="BS112" s="436">
        <f>IF(OR(BQ112=0,BR112=0),'Data Standar'!$AF$221/3,((MAX(BQ112:BR112)-(MIN(BQ112:BR112)))))</f>
        <v>8.666666666666667E-2</v>
      </c>
      <c r="BT112" s="434">
        <f>(0.09-0)/2</f>
        <v>4.4999999999999998E-2</v>
      </c>
      <c r="BU112" s="437"/>
      <c r="BV112" s="435">
        <v>-10</v>
      </c>
      <c r="BW112" s="337">
        <f>'Data Standar'!AG211</f>
        <v>-0.85</v>
      </c>
      <c r="BX112" s="338"/>
      <c r="BY112" s="436">
        <f>IF(OR(BW112=0,BX112=0),'Data Standar'!$AG$221/3,((MAX(BW112:BX112)-(MIN(BW112:BX112)))))</f>
        <v>9.3333333333333338E-2</v>
      </c>
      <c r="BZ112" s="434">
        <f>(0.09-0)/2</f>
        <v>4.4999999999999998E-2</v>
      </c>
      <c r="CA112" s="437"/>
      <c r="CB112" s="435">
        <v>-10</v>
      </c>
      <c r="CC112" s="337">
        <f t="shared" si="58"/>
        <v>-1.4</v>
      </c>
      <c r="CD112" s="338">
        <f t="shared" si="61"/>
        <v>-0.7</v>
      </c>
      <c r="CE112" s="436">
        <f t="shared" si="64"/>
        <v>0.5</v>
      </c>
      <c r="CF112" s="434">
        <f>(0.09-0)/2</f>
        <v>4.4999999999999998E-2</v>
      </c>
      <c r="CG112" s="448"/>
      <c r="CH112" s="435">
        <v>-10</v>
      </c>
      <c r="CI112" s="337">
        <f t="shared" si="59"/>
        <v>-0.05</v>
      </c>
      <c r="CJ112" s="338">
        <f t="shared" si="62"/>
        <v>-0.18</v>
      </c>
      <c r="CK112" s="436">
        <f t="shared" si="65"/>
        <v>0.13</v>
      </c>
      <c r="CL112" s="434">
        <f>(0.09-0)/2</f>
        <v>4.4999999999999998E-2</v>
      </c>
      <c r="CM112" s="423"/>
      <c r="CN112" s="435">
        <v>-10</v>
      </c>
      <c r="CO112" s="337">
        <f t="shared" si="60"/>
        <v>-1.26</v>
      </c>
      <c r="CP112" s="338">
        <f t="shared" si="63"/>
        <v>-0.28000000000000003</v>
      </c>
      <c r="CQ112" s="436">
        <f t="shared" si="66"/>
        <v>0.98</v>
      </c>
      <c r="CR112" s="434">
        <f>(0.09-0)/2</f>
        <v>4.4999999999999998E-2</v>
      </c>
      <c r="CS112" s="423"/>
    </row>
    <row r="113" spans="1:97" s="427" customFormat="1" ht="13">
      <c r="A113" s="423"/>
      <c r="B113" s="435">
        <v>9.9999999999999995E-7</v>
      </c>
      <c r="C113" s="338">
        <v>-0.2</v>
      </c>
      <c r="D113" s="337">
        <f>'Data Standar'!U212</f>
        <v>-0.36</v>
      </c>
      <c r="E113" s="436">
        <f>IF(OR(C113=0,D113=0),'Data Standar'!$U$221/3,((MAX(C113:D113)-(MIN(C113:D113)))))</f>
        <v>0.15999999999999998</v>
      </c>
      <c r="F113" s="437">
        <f>(-0.34+0.95)/2</f>
        <v>0.30499999999999994</v>
      </c>
      <c r="G113" s="986">
        <f>VLOOKUP(G109,B116:F121,4)</f>
        <v>0.42999999999999994</v>
      </c>
      <c r="H113" s="435">
        <v>9.9999999999999995E-7</v>
      </c>
      <c r="I113" s="338">
        <v>-0.28999999999999998</v>
      </c>
      <c r="J113" s="338">
        <f>'Data Standar'!V212</f>
        <v>-0.21</v>
      </c>
      <c r="K113" s="436">
        <f>IF(OR(I113=0,J113=0),'Data Standar'!$V$221/3,((MAX(I113:J113)-(MIN(I113:J113)))))</f>
        <v>7.9999999999999988E-2</v>
      </c>
      <c r="L113" s="437">
        <f>(0+0.08)/2</f>
        <v>0.04</v>
      </c>
      <c r="M113" s="986">
        <f>VLOOKUP(M109,H116:L121,4)</f>
        <v>0.59</v>
      </c>
      <c r="N113" s="435">
        <v>9.9999999999999995E-7</v>
      </c>
      <c r="O113" s="707">
        <v>-0.33</v>
      </c>
      <c r="P113" s="338">
        <f>'Data Standar'!W212</f>
        <v>-0.21</v>
      </c>
      <c r="Q113" s="436">
        <f>IF(OR(O113=0,P113=0),'Data Standar'!$W$221/3,((MAX(O113:P113)-(MIN(O113:P113)))))</f>
        <v>0.12000000000000002</v>
      </c>
      <c r="R113" s="434">
        <f>(0.11-0)/2</f>
        <v>5.5E-2</v>
      </c>
      <c r="S113" s="986">
        <f>VLOOKUP(S109,N116:R121,4)</f>
        <v>0.42000000000000004</v>
      </c>
      <c r="T113" s="435">
        <v>9.9999999999999995E-7</v>
      </c>
      <c r="U113" s="337">
        <f>'Data Standar'!X212</f>
        <v>-0.28999999999999998</v>
      </c>
      <c r="V113" s="338"/>
      <c r="W113" s="436">
        <f>IF(OR(U113=0,V113=0),'Data Standar'!$X$221/3,((MAX(U113:V113)-(MIN(U113:V113)))))</f>
        <v>8.666666666666667E-2</v>
      </c>
      <c r="X113" s="434">
        <f>(0.11-0)/2</f>
        <v>5.5E-2</v>
      </c>
      <c r="Y113" s="986">
        <f>VLOOKUP(Y109,T116:X121,4)</f>
        <v>8.666666666666667E-2</v>
      </c>
      <c r="Z113" s="435">
        <v>9.9999999999999995E-7</v>
      </c>
      <c r="AA113" s="337">
        <f>'Data Standar'!Y212</f>
        <v>0.22</v>
      </c>
      <c r="AB113" s="338">
        <v>-0.05</v>
      </c>
      <c r="AC113" s="436">
        <f>IF(OR(AA113=0,AB113=0),'Data Standar'!$Y$221/3,((MAX(AA113:AB113)-(MIN(AA113:AB113)))))</f>
        <v>0.27</v>
      </c>
      <c r="AD113" s="434">
        <f>(0.11-0)/2</f>
        <v>5.5E-2</v>
      </c>
      <c r="AE113" s="986">
        <f>VLOOKUP(AE109,Z116:AD121,4)</f>
        <v>9.9999999999999978E-2</v>
      </c>
      <c r="AF113" s="435">
        <v>9.9999999999999995E-7</v>
      </c>
      <c r="AG113" s="337">
        <f>'Data Standar'!Z212</f>
        <v>0.21</v>
      </c>
      <c r="AH113" s="338">
        <v>0.32</v>
      </c>
      <c r="AI113" s="436">
        <f>IF(OR(AG113=0,AH113=0),'Data Standar'!$Z$221/3,((MAX(AG113:AH113)-(MIN(AG113:AH113)))))</f>
        <v>0.11000000000000001</v>
      </c>
      <c r="AJ113" s="434">
        <f>(0.11-0)/2</f>
        <v>5.5E-2</v>
      </c>
      <c r="AK113" s="986">
        <f>VLOOKUP(AK109,AF116:AJ121,4)</f>
        <v>0.35</v>
      </c>
      <c r="AL113" s="435">
        <v>9.9999999999999995E-7</v>
      </c>
      <c r="AM113" s="337">
        <f>'Data Standar'!AA212</f>
        <v>0.46</v>
      </c>
      <c r="AN113" s="338"/>
      <c r="AO113" s="436">
        <f>IF(OR(AM113=0,AN113=0),'Data Standar'!$AA$221/3,((MAX(AM113:AN113)-(MIN(AM113:AN113)))))</f>
        <v>8.3333333333333329E-2</v>
      </c>
      <c r="AP113" s="434">
        <f>(0.11-0)/2</f>
        <v>5.5E-2</v>
      </c>
      <c r="AQ113" s="986">
        <f>VLOOKUP(AQ109,AL116:AP121,4)</f>
        <v>8.3333333333333329E-2</v>
      </c>
      <c r="AR113" s="435">
        <v>9.9999999999999995E-7</v>
      </c>
      <c r="AS113" s="337">
        <f>'Data Standar'!AB212</f>
        <v>0.39</v>
      </c>
      <c r="AT113" s="338"/>
      <c r="AU113" s="436">
        <f>IF(OR(AS113=0,AT113=0),'Data Standar'!$AB$221/3,((MAX(AS113:AT113)-(MIN(AS113:AT113)))))</f>
        <v>8.3333333333333329E-2</v>
      </c>
      <c r="AV113" s="434">
        <f>(0.11-0)/2</f>
        <v>5.5E-2</v>
      </c>
      <c r="AW113" s="986">
        <f>VLOOKUP(AW109,AR116:AV121,4)</f>
        <v>8.3333333333333329E-2</v>
      </c>
      <c r="AX113" s="435">
        <v>9.9999999999999995E-7</v>
      </c>
      <c r="AY113" s="337">
        <f>'Data Standar'!AC212</f>
        <v>0.48</v>
      </c>
      <c r="AZ113" s="338"/>
      <c r="BA113" s="436">
        <f>IF(OR(AY113=0,AZ113=0),'Data Standar'!$AC$221/3,((MAX(AY113:AZ113)-(MIN(AY113:AZ113)))))</f>
        <v>0.26333333333333336</v>
      </c>
      <c r="BB113" s="434">
        <f>(0.11-0)/2</f>
        <v>5.5E-2</v>
      </c>
      <c r="BC113" s="986">
        <f>VLOOKUP(BC109,AX116:BB121,4)</f>
        <v>0.26333333333333336</v>
      </c>
      <c r="BD113" s="435">
        <v>9.9999999999999995E-7</v>
      </c>
      <c r="BE113" s="337">
        <f>'Data Standar'!AD212</f>
        <v>-0.27</v>
      </c>
      <c r="BF113" s="338"/>
      <c r="BG113" s="436">
        <f>IF(OR(BE113=0,BF113=0),'Data Standar'!$AD$221/3,((MAX(BE113:BF113)-(MIN(BE113:BF113)))))</f>
        <v>9.0000000000000011E-2</v>
      </c>
      <c r="BH113" s="434">
        <f>(0.11-0)/2</f>
        <v>5.5E-2</v>
      </c>
      <c r="BI113" s="986">
        <f>VLOOKUP(BI109,BD116:BH121,4)</f>
        <v>9.0000000000000011E-2</v>
      </c>
      <c r="BJ113" s="435">
        <v>9.9999999999999995E-7</v>
      </c>
      <c r="BK113" s="337">
        <f>'Data Standar'!AE212</f>
        <v>0.48</v>
      </c>
      <c r="BL113" s="338"/>
      <c r="BM113" s="436">
        <f>IF(OR(BK113=0,BL113=0),'Data Standar'!$AE$221/3,((MAX(BK113:BL113)-(MIN(BK113:BL113)))))</f>
        <v>0.26333333333333336</v>
      </c>
      <c r="BN113" s="434">
        <f>(0.11-0)/2</f>
        <v>5.5E-2</v>
      </c>
      <c r="BO113" s="986">
        <f>VLOOKUP(BO109,BJ116:BN121,4)</f>
        <v>0.26333333333333336</v>
      </c>
      <c r="BP113" s="435">
        <v>9.9999999999999995E-7</v>
      </c>
      <c r="BQ113" s="337">
        <f>'Data Standar'!AF212</f>
        <v>-0.56000000000000005</v>
      </c>
      <c r="BR113" s="338"/>
      <c r="BS113" s="436">
        <f>IF(OR(BQ113=0,BR113=0),'Data Standar'!$AF$221/3,((MAX(BQ113:BR113)-(MIN(BQ113:BR113)))))</f>
        <v>8.666666666666667E-2</v>
      </c>
      <c r="BT113" s="434">
        <f>(0.11-0)/2</f>
        <v>5.5E-2</v>
      </c>
      <c r="BU113" s="986">
        <f>VLOOKUP(BU109,BP116:BT121,4)</f>
        <v>8.666666666666667E-2</v>
      </c>
      <c r="BV113" s="435">
        <v>9.9999999999999995E-7</v>
      </c>
      <c r="BW113" s="337">
        <f>'Data Standar'!AG212</f>
        <v>-0.5</v>
      </c>
      <c r="BX113" s="338"/>
      <c r="BY113" s="436">
        <f>IF(OR(BW113=0,BX113=0),'Data Standar'!$AG$221/3,((MAX(BW113:BX113)-(MIN(BW113:BX113)))))</f>
        <v>9.3333333333333338E-2</v>
      </c>
      <c r="BZ113" s="434">
        <f>(0.11-0)/2</f>
        <v>5.5E-2</v>
      </c>
      <c r="CA113" s="986">
        <f>VLOOKUP(CA109,BV116:BZ121,4)</f>
        <v>9.3333333333333338E-2</v>
      </c>
      <c r="CB113" s="435">
        <v>9.9999999999999995E-7</v>
      </c>
      <c r="CC113" s="337">
        <f t="shared" si="58"/>
        <v>0</v>
      </c>
      <c r="CD113" s="338">
        <f t="shared" si="61"/>
        <v>-0.7</v>
      </c>
      <c r="CE113" s="436">
        <f t="shared" si="64"/>
        <v>0.7</v>
      </c>
      <c r="CF113" s="434">
        <f>(0.11-0)/2</f>
        <v>5.5E-2</v>
      </c>
      <c r="CG113" s="449"/>
      <c r="CH113" s="435">
        <v>9.9999999999999995E-7</v>
      </c>
      <c r="CI113" s="337">
        <f t="shared" si="59"/>
        <v>0.03</v>
      </c>
      <c r="CJ113" s="338">
        <f t="shared" si="62"/>
        <v>-0.06</v>
      </c>
      <c r="CK113" s="436">
        <f t="shared" si="65"/>
        <v>0.09</v>
      </c>
      <c r="CL113" s="434">
        <f>(0.11-0)/2</f>
        <v>5.5E-2</v>
      </c>
      <c r="CM113" s="423"/>
      <c r="CN113" s="435">
        <v>9.9999999999999995E-7</v>
      </c>
      <c r="CO113" s="337">
        <f t="shared" si="60"/>
        <v>-0.79</v>
      </c>
      <c r="CP113" s="338">
        <f t="shared" si="63"/>
        <v>-0.08</v>
      </c>
      <c r="CQ113" s="436">
        <f t="shared" si="66"/>
        <v>0.71000000000000008</v>
      </c>
      <c r="CR113" s="434">
        <f>(0.11-0)/2</f>
        <v>5.5E-2</v>
      </c>
      <c r="CS113" s="423"/>
    </row>
    <row r="114" spans="1:97" s="427" customFormat="1" ht="13">
      <c r="A114" s="423"/>
      <c r="B114" s="435">
        <v>2</v>
      </c>
      <c r="C114" s="338">
        <v>-0.18</v>
      </c>
      <c r="D114" s="337">
        <f>'Data Standar'!U213</f>
        <v>-0.33</v>
      </c>
      <c r="E114" s="436">
        <f>IF(OR(C114=0,D114=0),'Data Standar'!$U$221/3,((MAX(C114:D114)-(MIN(C114:D114)))))</f>
        <v>0.15000000000000002</v>
      </c>
      <c r="F114" s="437">
        <f>(-0.33+0.88)/2</f>
        <v>0.27500000000000002</v>
      </c>
      <c r="G114" s="437"/>
      <c r="H114" s="435">
        <v>2</v>
      </c>
      <c r="I114" s="338">
        <v>-0.26</v>
      </c>
      <c r="J114" s="338">
        <f>'Data Standar'!V213</f>
        <v>-0.19</v>
      </c>
      <c r="K114" s="436">
        <f>IF(OR(I114=0,J114=0),'Data Standar'!$V$221/3,((MAX(I114:J114)-(MIN(I114:J114)))))</f>
        <v>7.0000000000000007E-2</v>
      </c>
      <c r="L114" s="437">
        <f>(0+0.08)/2</f>
        <v>0.04</v>
      </c>
      <c r="M114" s="437"/>
      <c r="N114" s="435">
        <v>2</v>
      </c>
      <c r="O114" s="707">
        <v>-0.31</v>
      </c>
      <c r="P114" s="338">
        <f>'Data Standar'!W213</f>
        <v>-0.2</v>
      </c>
      <c r="Q114" s="436">
        <f>IF(OR(O114=0,P114=0),'Data Standar'!$W$221/3,((MAX(O114:P114)-(MIN(O114:P114)))))</f>
        <v>0.10999999999999999</v>
      </c>
      <c r="R114" s="434">
        <f>(0.11-0)/2</f>
        <v>5.5E-2</v>
      </c>
      <c r="S114" s="437"/>
      <c r="T114" s="435">
        <v>2</v>
      </c>
      <c r="U114" s="337">
        <f>'Data Standar'!X213</f>
        <v>-0.51</v>
      </c>
      <c r="V114" s="338"/>
      <c r="W114" s="436">
        <f>IF(OR(U114=0,V114=0),'Data Standar'!$X$221/3,((MAX(U114:V114)-(MIN(U114:V114)))))</f>
        <v>8.666666666666667E-2</v>
      </c>
      <c r="X114" s="434">
        <f>(0.11-0)/2</f>
        <v>5.5E-2</v>
      </c>
      <c r="Y114" s="437"/>
      <c r="Z114" s="435">
        <v>2</v>
      </c>
      <c r="AA114" s="337">
        <f>'Data Standar'!Y213</f>
        <v>0.27</v>
      </c>
      <c r="AB114" s="338">
        <v>0</v>
      </c>
      <c r="AC114" s="436">
        <f>IF(OR(AA114=0,AB114=0),'Data Standar'!$Y$221/3,((MAX(AA114:AB114)-(MIN(AA114:AB114)))))</f>
        <v>8.666666666666667E-2</v>
      </c>
      <c r="AD114" s="434">
        <f>(0.11-0)/2</f>
        <v>5.5E-2</v>
      </c>
      <c r="AE114" s="437"/>
      <c r="AF114" s="435">
        <v>2</v>
      </c>
      <c r="AG114" s="337">
        <f>'Data Standar'!Z213</f>
        <v>0.25</v>
      </c>
      <c r="AH114" s="338">
        <v>0.35</v>
      </c>
      <c r="AI114" s="436">
        <f>IF(OR(AG114=0,AH114=0),'Data Standar'!$Z$221/3,((MAX(AG114:AH114)-(MIN(AG114:AH114)))))</f>
        <v>9.9999999999999978E-2</v>
      </c>
      <c r="AJ114" s="434">
        <f>(0.11-0)/2</f>
        <v>5.5E-2</v>
      </c>
      <c r="AK114" s="437"/>
      <c r="AL114" s="435">
        <v>2</v>
      </c>
      <c r="AM114" s="337">
        <f>'Data Standar'!AA213</f>
        <v>0.48</v>
      </c>
      <c r="AN114" s="338"/>
      <c r="AO114" s="436">
        <f>IF(OR(AM114=0,AN114=0),'Data Standar'!$AA$221/3,((MAX(AM114:AN114)-(MIN(AM114:AN114)))))</f>
        <v>8.3333333333333329E-2</v>
      </c>
      <c r="AP114" s="434">
        <f>(0.11-0)/2</f>
        <v>5.5E-2</v>
      </c>
      <c r="AQ114" s="437"/>
      <c r="AR114" s="435">
        <v>2</v>
      </c>
      <c r="AS114" s="337">
        <f>'Data Standar'!AB213</f>
        <v>0.4</v>
      </c>
      <c r="AT114" s="338"/>
      <c r="AU114" s="436">
        <f>IF(OR(AS114=0,AT114=0),'Data Standar'!$AB$221/3,((MAX(AS114:AT114)-(MIN(AS114:AT114)))))</f>
        <v>8.3333333333333329E-2</v>
      </c>
      <c r="AV114" s="434">
        <f>(0.11-0)/2</f>
        <v>5.5E-2</v>
      </c>
      <c r="AW114" s="437"/>
      <c r="AX114" s="435">
        <v>2</v>
      </c>
      <c r="AY114" s="337">
        <f>'Data Standar'!AC213</f>
        <v>0.48</v>
      </c>
      <c r="AZ114" s="338"/>
      <c r="BA114" s="436">
        <f>IF(OR(AY114=0,AZ114=0),'Data Standar'!$AC$221/3,((MAX(AY114:AZ114)-(MIN(AY114:AZ114)))))</f>
        <v>0.26333333333333336</v>
      </c>
      <c r="BB114" s="434">
        <f>(0.11-0)/2</f>
        <v>5.5E-2</v>
      </c>
      <c r="BC114" s="437"/>
      <c r="BD114" s="435">
        <v>2</v>
      </c>
      <c r="BE114" s="337">
        <f>'Data Standar'!AD213</f>
        <v>-0.27</v>
      </c>
      <c r="BF114" s="338"/>
      <c r="BG114" s="436">
        <f>IF(OR(BE114=0,BF114=0),'Data Standar'!$AD$221/3,((MAX(BE114:BF114)-(MIN(BE114:BF114)))))</f>
        <v>9.0000000000000011E-2</v>
      </c>
      <c r="BH114" s="434">
        <f>(0.11-0)/2</f>
        <v>5.5E-2</v>
      </c>
      <c r="BI114" s="437"/>
      <c r="BJ114" s="435">
        <v>2</v>
      </c>
      <c r="BK114" s="337">
        <f>'Data Standar'!AE213</f>
        <v>0.48</v>
      </c>
      <c r="BL114" s="338"/>
      <c r="BM114" s="436">
        <f>IF(OR(BK114=0,BL114=0),'Data Standar'!$AE$221/3,((MAX(BK114:BL114)-(MIN(BK114:BL114)))))</f>
        <v>0.26333333333333336</v>
      </c>
      <c r="BN114" s="434">
        <f>(0.11-0)/2</f>
        <v>5.5E-2</v>
      </c>
      <c r="BO114" s="437"/>
      <c r="BP114" s="435">
        <v>2</v>
      </c>
      <c r="BQ114" s="337">
        <f>'Data Standar'!AF213</f>
        <v>-0.51</v>
      </c>
      <c r="BR114" s="338"/>
      <c r="BS114" s="436">
        <f>IF(OR(BQ114=0,BR114=0),'Data Standar'!$AF$221/3,((MAX(BQ114:BR114)-(MIN(BQ114:BR114)))))</f>
        <v>8.666666666666667E-2</v>
      </c>
      <c r="BT114" s="434">
        <f>(0.11-0)/2</f>
        <v>5.5E-2</v>
      </c>
      <c r="BU114" s="437"/>
      <c r="BV114" s="435">
        <v>2</v>
      </c>
      <c r="BW114" s="337">
        <f>'Data Standar'!AG213</f>
        <v>-0.57999999999999996</v>
      </c>
      <c r="BX114" s="338"/>
      <c r="BY114" s="436">
        <f>IF(OR(BW114=0,BX114=0),'Data Standar'!$AG$221/3,((MAX(BW114:BX114)-(MIN(BW114:BX114)))))</f>
        <v>9.3333333333333338E-2</v>
      </c>
      <c r="BZ114" s="434">
        <f>(0.11-0)/2</f>
        <v>5.5E-2</v>
      </c>
      <c r="CA114" s="437"/>
      <c r="CB114" s="435">
        <v>2</v>
      </c>
      <c r="CC114" s="337">
        <f t="shared" si="58"/>
        <v>0</v>
      </c>
      <c r="CD114" s="338">
        <f t="shared" si="61"/>
        <v>-0.7</v>
      </c>
      <c r="CE114" s="436">
        <f t="shared" si="64"/>
        <v>0.19999999999999998</v>
      </c>
      <c r="CF114" s="434">
        <f>(0.11-0)/2</f>
        <v>5.5E-2</v>
      </c>
      <c r="CG114" s="450"/>
      <c r="CH114" s="435">
        <v>2</v>
      </c>
      <c r="CI114" s="337">
        <f t="shared" si="59"/>
        <v>0.04</v>
      </c>
      <c r="CJ114" s="338">
        <f t="shared" si="62"/>
        <v>-0.04</v>
      </c>
      <c r="CK114" s="436">
        <f t="shared" si="65"/>
        <v>0.08</v>
      </c>
      <c r="CL114" s="434">
        <f>(0.11-0)/2</f>
        <v>5.5E-2</v>
      </c>
      <c r="CM114" s="423"/>
      <c r="CN114" s="435">
        <v>2</v>
      </c>
      <c r="CO114" s="337">
        <f t="shared" si="60"/>
        <v>-0.7</v>
      </c>
      <c r="CP114" s="338">
        <f t="shared" si="63"/>
        <v>-0.05</v>
      </c>
      <c r="CQ114" s="436">
        <f t="shared" si="66"/>
        <v>0.64999999999999991</v>
      </c>
      <c r="CR114" s="434">
        <f>(0.11-0)/2</f>
        <v>5.5E-2</v>
      </c>
      <c r="CS114" s="423"/>
    </row>
    <row r="115" spans="1:97" s="427" customFormat="1" ht="13">
      <c r="A115" s="423"/>
      <c r="B115" s="435">
        <v>8</v>
      </c>
      <c r="C115" s="338">
        <v>-0.11</v>
      </c>
      <c r="D115" s="337">
        <f>'Data Standar'!U214</f>
        <v>-0.24</v>
      </c>
      <c r="E115" s="436">
        <f>IF(OR(C115=0,D115=0),'Data Standar'!$U$221/3,((MAX(C115:D115)-(MIN(C115:D115)))))</f>
        <v>0.13</v>
      </c>
      <c r="F115" s="437">
        <f>(-0.28+0.66)/2</f>
        <v>0.19</v>
      </c>
      <c r="G115" s="986">
        <f>VLOOKUP(G111,B116:F121,4)</f>
        <v>0.51</v>
      </c>
      <c r="H115" s="435">
        <v>8</v>
      </c>
      <c r="I115" s="338">
        <v>-0.16</v>
      </c>
      <c r="J115" s="338">
        <f>'Data Standar'!V214</f>
        <v>-0.12</v>
      </c>
      <c r="K115" s="436">
        <f>IF(OR(I115=0,J115=0),'Data Standar'!$V$221/3,((MAX(I115:J115)-(MIN(I115:J115)))))</f>
        <v>4.0000000000000008E-2</v>
      </c>
      <c r="L115" s="437">
        <f>(0+0.08)/2</f>
        <v>0.04</v>
      </c>
      <c r="M115" s="986">
        <f>VLOOKUP(M111,H116:L121,4)</f>
        <v>9.9999999999999992E-2</v>
      </c>
      <c r="N115" s="435">
        <v>8</v>
      </c>
      <c r="O115" s="707">
        <v>-0.18</v>
      </c>
      <c r="P115" s="338">
        <f>'Data Standar'!W214</f>
        <v>-0.16</v>
      </c>
      <c r="Q115" s="436">
        <f>IF(OR(O115=0,P115=0),'Data Standar'!$W$221/3,((MAX(O115:P115)-(MIN(O115:P115)))))</f>
        <v>1.999999999999999E-2</v>
      </c>
      <c r="R115" s="434">
        <f>(0.12-0)/2</f>
        <v>0.06</v>
      </c>
      <c r="S115" s="986">
        <f>VLOOKUP(S111,N116:R121,4)</f>
        <v>0.35</v>
      </c>
      <c r="T115" s="435">
        <v>8</v>
      </c>
      <c r="U115" s="337">
        <f>'Data Standar'!X214</f>
        <v>-0.26</v>
      </c>
      <c r="V115" s="338"/>
      <c r="W115" s="436">
        <f>IF(OR(U115=0,V115=0),'Data Standar'!$X$221/3,((MAX(U115:V115)-(MIN(U115:V115)))))</f>
        <v>8.666666666666667E-2</v>
      </c>
      <c r="X115" s="434">
        <f>(0.12-0)/2</f>
        <v>0.06</v>
      </c>
      <c r="Y115" s="986">
        <f>VLOOKUP(Y111,T116:X121,4)</f>
        <v>8.666666666666667E-2</v>
      </c>
      <c r="Z115" s="435">
        <v>8</v>
      </c>
      <c r="AA115" s="337">
        <f>'Data Standar'!Y214</f>
        <v>0.25</v>
      </c>
      <c r="AB115" s="338">
        <v>0.13</v>
      </c>
      <c r="AC115" s="436">
        <f>IF(OR(AA115=0,AB115=0),'Data Standar'!$Y$221/3,((MAX(AA115:AB115)-(MIN(AA115:AB115)))))</f>
        <v>0.12</v>
      </c>
      <c r="AD115" s="434">
        <f>(0.12-0)/2</f>
        <v>0.06</v>
      </c>
      <c r="AE115" s="986">
        <f>VLOOKUP(AE111,Z116:AD121,4)</f>
        <v>0.79</v>
      </c>
      <c r="AF115" s="435">
        <v>8</v>
      </c>
      <c r="AG115" s="337">
        <f>'Data Standar'!Z214</f>
        <v>0.24</v>
      </c>
      <c r="AH115" s="338">
        <v>0.44</v>
      </c>
      <c r="AI115" s="436">
        <f>IF(OR(AG115=0,AH115=0),'Data Standar'!$Z$221/3,((MAX(AG115:AH115)-(MIN(AG115:AH115)))))</f>
        <v>0.2</v>
      </c>
      <c r="AJ115" s="434">
        <f>(0.12-0)/2</f>
        <v>0.06</v>
      </c>
      <c r="AK115" s="986">
        <f>VLOOKUP(AK111,AF116:AJ121,4)</f>
        <v>1.01</v>
      </c>
      <c r="AL115" s="435">
        <v>8</v>
      </c>
      <c r="AM115" s="337">
        <f>'Data Standar'!AA214</f>
        <v>0.48</v>
      </c>
      <c r="AN115" s="338"/>
      <c r="AO115" s="436">
        <f>IF(OR(AM115=0,AN115=0),'Data Standar'!$AA$221/3,((MAX(AM115:AN115)-(MIN(AM115:AN115)))))</f>
        <v>8.3333333333333329E-2</v>
      </c>
      <c r="AP115" s="434">
        <f>(0.12-0)/2</f>
        <v>0.06</v>
      </c>
      <c r="AQ115" s="986">
        <f>VLOOKUP(AQ111,AL116:AP121,4)</f>
        <v>8.3333333333333329E-2</v>
      </c>
      <c r="AR115" s="435">
        <v>8</v>
      </c>
      <c r="AS115" s="337">
        <f>'Data Standar'!AB214</f>
        <v>0.38</v>
      </c>
      <c r="AT115" s="338"/>
      <c r="AU115" s="436">
        <f>IF(OR(AS115=0,AT115=0),'Data Standar'!$AB$221/3,((MAX(AS115:AT115)-(MIN(AS115:AT115)))))</f>
        <v>8.3333333333333329E-2</v>
      </c>
      <c r="AV115" s="434">
        <f>(0.12-0)/2</f>
        <v>0.06</v>
      </c>
      <c r="AW115" s="986">
        <f>VLOOKUP(AW111,AR116:AV121,4)</f>
        <v>8.3333333333333329E-2</v>
      </c>
      <c r="AX115" s="435">
        <v>8</v>
      </c>
      <c r="AY115" s="337">
        <f>'Data Standar'!AC214</f>
        <v>0.46</v>
      </c>
      <c r="AZ115" s="338"/>
      <c r="BA115" s="436">
        <f>IF(OR(AY115=0,AZ115=0),'Data Standar'!$AC$221/3,((MAX(AY115:AZ115)-(MIN(AY115:AZ115)))))</f>
        <v>0.26333333333333336</v>
      </c>
      <c r="BB115" s="434">
        <f>(0.12-0)/2</f>
        <v>0.06</v>
      </c>
      <c r="BC115" s="986">
        <f>VLOOKUP(BC111,AX116:BB121,4)</f>
        <v>0.26333333333333336</v>
      </c>
      <c r="BD115" s="435">
        <v>8</v>
      </c>
      <c r="BE115" s="337">
        <f>'Data Standar'!AD214</f>
        <v>-0.03</v>
      </c>
      <c r="BF115" s="338"/>
      <c r="BG115" s="436">
        <f>IF(OR(BE115=0,BF115=0),'Data Standar'!$AD$221/3,((MAX(BE115:BF115)-(MIN(BE115:BF115)))))</f>
        <v>9.0000000000000011E-2</v>
      </c>
      <c r="BH115" s="434">
        <f>(0.12-0)/2</f>
        <v>0.06</v>
      </c>
      <c r="BI115" s="986">
        <f>VLOOKUP(BI111,BD116:BH121,4)</f>
        <v>9.0000000000000011E-2</v>
      </c>
      <c r="BJ115" s="435">
        <v>8</v>
      </c>
      <c r="BK115" s="337">
        <f>'Data Standar'!AE214</f>
        <v>0.46</v>
      </c>
      <c r="BL115" s="338"/>
      <c r="BM115" s="436">
        <f>IF(OR(BK115=0,BL115=0),'Data Standar'!$AE$221/3,((MAX(BK115:BL115)-(MIN(BK115:BL115)))))</f>
        <v>0.26333333333333336</v>
      </c>
      <c r="BN115" s="434">
        <f>(0.12-0)/2</f>
        <v>0.06</v>
      </c>
      <c r="BO115" s="986">
        <f>VLOOKUP(BO111,BJ116:BN121,4)</f>
        <v>0.26333333333333336</v>
      </c>
      <c r="BP115" s="435">
        <v>8</v>
      </c>
      <c r="BQ115" s="337">
        <f>'Data Standar'!AF214</f>
        <v>-0.26</v>
      </c>
      <c r="BR115" s="338"/>
      <c r="BS115" s="436">
        <f>IF(OR(BQ115=0,BR115=0),'Data Standar'!$AF$221/3,((MAX(BQ115:BR115)-(MIN(BQ115:BR115)))))</f>
        <v>8.666666666666667E-2</v>
      </c>
      <c r="BT115" s="434">
        <f>(0.12-0)/2</f>
        <v>0.06</v>
      </c>
      <c r="BU115" s="986">
        <f>VLOOKUP(BU111,BP116:BT121,4)</f>
        <v>8.666666666666667E-2</v>
      </c>
      <c r="BV115" s="435">
        <v>8</v>
      </c>
      <c r="BW115" s="337">
        <f>'Data Standar'!AG214</f>
        <v>-0.3</v>
      </c>
      <c r="BX115" s="338"/>
      <c r="BY115" s="436">
        <f>IF(OR(BW115=0,BX115=0),'Data Standar'!$AG$221/3,((MAX(BW115:BX115)-(MIN(BW115:BX115)))))</f>
        <v>9.3333333333333338E-2</v>
      </c>
      <c r="BZ115" s="434">
        <f>(0.12-0)/2</f>
        <v>0.06</v>
      </c>
      <c r="CA115" s="986">
        <f>VLOOKUP(CA111,BV116:BZ121,4)</f>
        <v>9.3333333333333338E-2</v>
      </c>
      <c r="CB115" s="435">
        <v>8</v>
      </c>
      <c r="CC115" s="337">
        <f t="shared" si="58"/>
        <v>0</v>
      </c>
      <c r="CD115" s="338">
        <f t="shared" si="61"/>
        <v>-0.7</v>
      </c>
      <c r="CE115" s="436">
        <f t="shared" si="64"/>
        <v>0.19999999999999998</v>
      </c>
      <c r="CF115" s="434">
        <f>(0.12-0)/2</f>
        <v>0.06</v>
      </c>
      <c r="CG115" s="450"/>
      <c r="CH115" s="435">
        <v>8</v>
      </c>
      <c r="CI115" s="337">
        <f t="shared" si="59"/>
        <v>0.08</v>
      </c>
      <c r="CJ115" s="338">
        <f t="shared" si="62"/>
        <v>0.01</v>
      </c>
      <c r="CK115" s="436">
        <f t="shared" si="65"/>
        <v>7.0000000000000007E-2</v>
      </c>
      <c r="CL115" s="434">
        <f>(0.12-0)/2</f>
        <v>0.06</v>
      </c>
      <c r="CM115" s="423"/>
      <c r="CN115" s="435">
        <v>8</v>
      </c>
      <c r="CO115" s="337">
        <f t="shared" si="60"/>
        <v>-0.46</v>
      </c>
      <c r="CP115" s="338">
        <f t="shared" si="63"/>
        <v>0.06</v>
      </c>
      <c r="CQ115" s="436">
        <f t="shared" si="66"/>
        <v>0.52</v>
      </c>
      <c r="CR115" s="434">
        <f>(0.12-0)/2</f>
        <v>0.06</v>
      </c>
      <c r="CS115" s="423"/>
    </row>
    <row r="116" spans="1:97" s="427" customFormat="1" ht="13">
      <c r="A116" s="423"/>
      <c r="B116" s="435">
        <v>37</v>
      </c>
      <c r="C116" s="338">
        <v>0.11</v>
      </c>
      <c r="D116" s="337">
        <f>'Data Standar'!U215</f>
        <v>0.16</v>
      </c>
      <c r="E116" s="436">
        <f>IF(OR(C116=0,D116=0),'Data Standar'!$U$221/3,((MAX(C116:D116)-(MIN(C116:D116)))))</f>
        <v>0.05</v>
      </c>
      <c r="F116" s="437">
        <f>(0.19+0.21)/2</f>
        <v>0.2</v>
      </c>
      <c r="G116" s="987"/>
      <c r="H116" s="435">
        <v>37</v>
      </c>
      <c r="I116" s="338">
        <v>0.14000000000000001</v>
      </c>
      <c r="J116" s="338">
        <f>'Data Standar'!V215</f>
        <v>0.19</v>
      </c>
      <c r="K116" s="436">
        <f>IF(OR(I116=0,J116=0),'Data Standar'!$V$221/3,((MAX(I116:J116)-(MIN(I116:J116)))))</f>
        <v>4.9999999999999989E-2</v>
      </c>
      <c r="L116" s="437">
        <f>(0+0.08)/2</f>
        <v>0.04</v>
      </c>
      <c r="M116" s="987"/>
      <c r="N116" s="435">
        <v>37</v>
      </c>
      <c r="O116" s="707">
        <v>-0.14000000000000001</v>
      </c>
      <c r="P116" s="338">
        <f>'Data Standar'!W215</f>
        <v>-0.05</v>
      </c>
      <c r="Q116" s="436">
        <f>IF(OR(O116=0,P116=0),'Data Standar'!$W$221/3,((MAX(O116:P116)-(MIN(O116:P116)))))</f>
        <v>9.0000000000000011E-2</v>
      </c>
      <c r="R116" s="434">
        <f>(0.16-0)/2</f>
        <v>0.08</v>
      </c>
      <c r="S116" s="987"/>
      <c r="T116" s="435">
        <v>37</v>
      </c>
      <c r="U116" s="337">
        <f>'Data Standar'!X215</f>
        <v>0.57999999999999996</v>
      </c>
      <c r="V116" s="338"/>
      <c r="W116" s="436">
        <f>IF(OR(U116=0,V116=0),'Data Standar'!$X$221/3,((MAX(U116:V116)-(MIN(U116:V116)))))</f>
        <v>8.666666666666667E-2</v>
      </c>
      <c r="X116" s="434">
        <f>(0.16-0)/2</f>
        <v>0.08</v>
      </c>
      <c r="Y116" s="987"/>
      <c r="Z116" s="435">
        <v>37</v>
      </c>
      <c r="AA116" s="337">
        <f>'Data Standar'!Y215</f>
        <v>0.22</v>
      </c>
      <c r="AB116" s="338">
        <v>0.59</v>
      </c>
      <c r="AC116" s="436">
        <f>IF(OR(AA116=0,AB116=0),'Data Standar'!$Y$221/3,((MAX(AA116:AB116)-(MIN(AA116:AB116)))))</f>
        <v>0.37</v>
      </c>
      <c r="AD116" s="434">
        <f>(0.16-0)/2</f>
        <v>0.08</v>
      </c>
      <c r="AE116" s="987"/>
      <c r="AF116" s="435">
        <v>37</v>
      </c>
      <c r="AG116" s="337">
        <f>'Data Standar'!Z215</f>
        <v>0.23</v>
      </c>
      <c r="AH116" s="338">
        <v>0.72</v>
      </c>
      <c r="AI116" s="436">
        <f>IF(OR(AG116=0,AH116=0),'Data Standar'!$Z$221/3,((MAX(AG116:AH116)-(MIN(AG116:AH116)))))</f>
        <v>0.49</v>
      </c>
      <c r="AJ116" s="434">
        <f>(0.16-0)/2</f>
        <v>0.08</v>
      </c>
      <c r="AK116" s="987"/>
      <c r="AL116" s="435">
        <v>37</v>
      </c>
      <c r="AM116" s="337">
        <f>'Data Standar'!AA215</f>
        <v>0.47</v>
      </c>
      <c r="AN116" s="338"/>
      <c r="AO116" s="436">
        <f>IF(OR(AM116=0,AN116=0),'Data Standar'!$AA$221/3,((MAX(AM116:AN116)-(MIN(AM116:AN116)))))</f>
        <v>8.3333333333333329E-2</v>
      </c>
      <c r="AP116" s="434">
        <f>(0.16-0)/2</f>
        <v>0.08</v>
      </c>
      <c r="AQ116" s="987"/>
      <c r="AR116" s="435">
        <v>37</v>
      </c>
      <c r="AS116" s="337">
        <f>'Data Standar'!AB215</f>
        <v>0.33</v>
      </c>
      <c r="AT116" s="338"/>
      <c r="AU116" s="436">
        <f>IF(OR(AS116=0,AT116=0),'Data Standar'!$AB$221/3,((MAX(AS116:AT116)-(MIN(AS116:AT116)))))</f>
        <v>8.3333333333333329E-2</v>
      </c>
      <c r="AV116" s="434">
        <f>(0.16-0)/2</f>
        <v>0.08</v>
      </c>
      <c r="AW116" s="987"/>
      <c r="AX116" s="435">
        <v>37</v>
      </c>
      <c r="AY116" s="337">
        <f>'Data Standar'!AC215</f>
        <v>0.39</v>
      </c>
      <c r="AZ116" s="338"/>
      <c r="BA116" s="436">
        <f>IF(OR(AY116=0,AZ116=0),'Data Standar'!$AC$221/3,((MAX(AY116:AZ116)-(MIN(AY116:AZ116)))))</f>
        <v>0.26333333333333336</v>
      </c>
      <c r="BB116" s="434">
        <f>(0.16-0)/2</f>
        <v>0.08</v>
      </c>
      <c r="BC116" s="987"/>
      <c r="BD116" s="435">
        <v>37</v>
      </c>
      <c r="BE116" s="337">
        <f>'Data Standar'!AD215</f>
        <v>0.72</v>
      </c>
      <c r="BF116" s="338"/>
      <c r="BG116" s="436">
        <f>IF(OR(BE116=0,BF116=0),'Data Standar'!$AD$221/3,((MAX(BE116:BF116)-(MIN(BE116:BF116)))))</f>
        <v>9.0000000000000011E-2</v>
      </c>
      <c r="BH116" s="434">
        <f>(0.16-0)/2</f>
        <v>0.08</v>
      </c>
      <c r="BI116" s="987"/>
      <c r="BJ116" s="435">
        <v>37</v>
      </c>
      <c r="BK116" s="337">
        <f>'Data Standar'!AE215</f>
        <v>0.39</v>
      </c>
      <c r="BL116" s="338"/>
      <c r="BM116" s="436">
        <f>IF(OR(BK116=0,BL116=0),'Data Standar'!$AE$221/3,((MAX(BK116:BL116)-(MIN(BK116:BL116)))))</f>
        <v>0.26333333333333336</v>
      </c>
      <c r="BN116" s="434">
        <f>(0.16-0)/2</f>
        <v>0.08</v>
      </c>
      <c r="BO116" s="987"/>
      <c r="BP116" s="435">
        <v>37</v>
      </c>
      <c r="BQ116" s="337">
        <f>'Data Standar'!AF215</f>
        <v>0.49</v>
      </c>
      <c r="BR116" s="338"/>
      <c r="BS116" s="436">
        <f>IF(OR(BQ116=0,BR116=0),'Data Standar'!$AF$221/3,((MAX(BQ116:BR116)-(MIN(BQ116:BR116)))))</f>
        <v>8.666666666666667E-2</v>
      </c>
      <c r="BT116" s="434">
        <f>(0.16-0)/2</f>
        <v>0.08</v>
      </c>
      <c r="BU116" s="987"/>
      <c r="BV116" s="435">
        <v>37</v>
      </c>
      <c r="BW116" s="337">
        <f>'Data Standar'!AG215</f>
        <v>0.61</v>
      </c>
      <c r="BX116" s="338"/>
      <c r="BY116" s="436">
        <f>IF(OR(BW116=0,BX116=0),'Data Standar'!$AG$221/3,((MAX(BW116:BX116)-(MIN(BW116:BX116)))))</f>
        <v>9.3333333333333338E-2</v>
      </c>
      <c r="BZ116" s="434">
        <f>(0.16-0)/2</f>
        <v>0.08</v>
      </c>
      <c r="CA116" s="987"/>
      <c r="CB116" s="435">
        <v>37</v>
      </c>
      <c r="CC116" s="337">
        <f t="shared" si="58"/>
        <v>0</v>
      </c>
      <c r="CD116" s="338">
        <f t="shared" si="61"/>
        <v>-0.6</v>
      </c>
      <c r="CE116" s="436">
        <f t="shared" si="64"/>
        <v>0.19999999999999998</v>
      </c>
      <c r="CF116" s="434">
        <f>(0.16-0)/2</f>
        <v>0.08</v>
      </c>
      <c r="CG116" s="450"/>
      <c r="CH116" s="435">
        <v>37</v>
      </c>
      <c r="CI116" s="337">
        <f t="shared" si="59"/>
        <v>0.23</v>
      </c>
      <c r="CJ116" s="338">
        <f t="shared" si="62"/>
        <v>0.19</v>
      </c>
      <c r="CK116" s="436">
        <f t="shared" si="65"/>
        <v>4.0000000000000008E-2</v>
      </c>
      <c r="CL116" s="434">
        <f>(0.16-0)/2</f>
        <v>0.08</v>
      </c>
      <c r="CM116" s="423"/>
      <c r="CN116" s="435">
        <v>37</v>
      </c>
      <c r="CO116" s="337">
        <f t="shared" si="60"/>
        <v>0.42</v>
      </c>
      <c r="CP116" s="338">
        <f t="shared" si="63"/>
        <v>0.45</v>
      </c>
      <c r="CQ116" s="436">
        <f t="shared" si="66"/>
        <v>3.0000000000000027E-2</v>
      </c>
      <c r="CR116" s="434">
        <f>(0.16-0)/2</f>
        <v>0.08</v>
      </c>
      <c r="CS116" s="423"/>
    </row>
    <row r="117" spans="1:97" s="427" customFormat="1" ht="13">
      <c r="A117" s="423"/>
      <c r="B117" s="435">
        <v>44</v>
      </c>
      <c r="C117" s="338">
        <v>0.15</v>
      </c>
      <c r="D117" s="337">
        <f>'Data Standar'!U216</f>
        <v>0.25</v>
      </c>
      <c r="E117" s="436">
        <f>IF(OR(C117=0,D117=0),'Data Standar'!$U$221/3,((MAX(C117:D117)-(MIN(C117:D117)))))</f>
        <v>0.1</v>
      </c>
      <c r="F117" s="437">
        <f>(0.35+0.23)/2</f>
        <v>0.28999999999999998</v>
      </c>
      <c r="G117" s="988">
        <f>(((G115-G113)/(G111-G109))*(G108-G109))+G113</f>
        <v>0.44834266666666661</v>
      </c>
      <c r="H117" s="435">
        <v>44</v>
      </c>
      <c r="I117" s="338">
        <v>0.18</v>
      </c>
      <c r="J117" s="338">
        <f>'Data Standar'!V216</f>
        <v>0.26</v>
      </c>
      <c r="K117" s="436">
        <f>IF(OR(I117=0,J117=0),'Data Standar'!$V$221/3,((MAX(I117:J117)-(MIN(I117:J117)))))</f>
        <v>8.0000000000000016E-2</v>
      </c>
      <c r="L117" s="437">
        <f>(0+0.13)/2</f>
        <v>6.5000000000000002E-2</v>
      </c>
      <c r="M117" s="988">
        <f>(((M115-M113)/(M111-M109))*(M108-M109))+M113</f>
        <v>0.47765116666666663</v>
      </c>
      <c r="N117" s="435">
        <v>44</v>
      </c>
      <c r="O117" s="707">
        <v>-0.18</v>
      </c>
      <c r="P117" s="338">
        <f>'Data Standar'!W216</f>
        <v>-0.04</v>
      </c>
      <c r="Q117" s="436">
        <f>IF(OR(O117=0,P117=0),'Data Standar'!$W$221/3,((MAX(O117:P117)-(MIN(O117:P117)))))</f>
        <v>0.13999999999999999</v>
      </c>
      <c r="R117" s="434">
        <f>(0.12-0)/2</f>
        <v>0.06</v>
      </c>
      <c r="S117" s="988">
        <f>(((S115-S113)/(S111-S109))*(S108-S109))+S113</f>
        <v>0.40395016666666667</v>
      </c>
      <c r="T117" s="435">
        <v>44</v>
      </c>
      <c r="U117" s="337">
        <f>'Data Standar'!X216</f>
        <v>0.7</v>
      </c>
      <c r="V117" s="338"/>
      <c r="W117" s="436">
        <f>IF(OR(U117=0,V117=0),'Data Standar'!$X$221/3,((MAX(U117:V117)-(MIN(U117:V117)))))</f>
        <v>8.666666666666667E-2</v>
      </c>
      <c r="X117" s="434">
        <f>(0.12-0)/2</f>
        <v>0.06</v>
      </c>
      <c r="Y117" s="988">
        <f>(((Y115-Y113)/(Y111-Y109))*(Y108-Y109))+Y113</f>
        <v>8.666666666666667E-2</v>
      </c>
      <c r="Z117" s="435">
        <v>44</v>
      </c>
      <c r="AA117" s="337">
        <f>'Data Standar'!Y216</f>
        <v>0.21</v>
      </c>
      <c r="AB117" s="338">
        <v>0.66</v>
      </c>
      <c r="AC117" s="436">
        <f>IF(OR(AA117=0,AB117=0),'Data Standar'!$Y$221/3,((MAX(AA117:AB117)-(MIN(AA117:AB117)))))</f>
        <v>0.45000000000000007</v>
      </c>
      <c r="AD117" s="434">
        <f>(0.12-0)/2</f>
        <v>0.06</v>
      </c>
      <c r="AE117" s="988">
        <f>(((AE115-AE113)/(AE111-AE109))*(AE108-AE109))+AE113</f>
        <v>0.25820550000000009</v>
      </c>
      <c r="AF117" s="435">
        <v>44</v>
      </c>
      <c r="AG117" s="337">
        <f>'Data Standar'!Z216</f>
        <v>0.23</v>
      </c>
      <c r="AH117" s="338">
        <v>0.75</v>
      </c>
      <c r="AI117" s="436">
        <f>IF(OR(AG117=0,AH117=0),'Data Standar'!$Z$221/3,((MAX(AG117:AH117)-(MIN(AG117:AH117)))))</f>
        <v>0.52</v>
      </c>
      <c r="AJ117" s="434">
        <f>(0.12-0)/2</f>
        <v>0.06</v>
      </c>
      <c r="AK117" s="988">
        <f>(((AK115-AK113)/(AK111-AK109))*(AK108-AK109))+AK113</f>
        <v>0.50132700000000008</v>
      </c>
      <c r="AL117" s="435">
        <v>44</v>
      </c>
      <c r="AM117" s="337">
        <f>'Data Standar'!AA216</f>
        <v>0.48</v>
      </c>
      <c r="AN117" s="338"/>
      <c r="AO117" s="436">
        <f>IF(OR(AM117=0,AN117=0),'Data Standar'!$AA$221/3,((MAX(AM117:AN117)-(MIN(AM117:AN117)))))</f>
        <v>8.3333333333333329E-2</v>
      </c>
      <c r="AP117" s="434">
        <f>(0.12-0)/2</f>
        <v>0.06</v>
      </c>
      <c r="AQ117" s="988">
        <f>(((AQ115-AQ113)/(AQ111-AQ109))*(AQ108-AQ109))+AQ113</f>
        <v>8.3333333333333329E-2</v>
      </c>
      <c r="AR117" s="435">
        <v>44</v>
      </c>
      <c r="AS117" s="337">
        <f>'Data Standar'!AB216</f>
        <v>0.33</v>
      </c>
      <c r="AT117" s="338"/>
      <c r="AU117" s="436">
        <f>IF(OR(AS117=0,AT117=0),'Data Standar'!$AB$221/3,((MAX(AS117:AT117)-(MIN(AS117:AT117)))))</f>
        <v>8.3333333333333329E-2</v>
      </c>
      <c r="AV117" s="434">
        <f>(0.12-0)/2</f>
        <v>0.06</v>
      </c>
      <c r="AW117" s="988">
        <f>(((AW115-AW113)/(AW111-AW109))*(AW108-AW109))+AW113</f>
        <v>8.3333333333333329E-2</v>
      </c>
      <c r="AX117" s="435">
        <v>44</v>
      </c>
      <c r="AY117" s="337">
        <f>'Data Standar'!AC216</f>
        <v>0.37</v>
      </c>
      <c r="AZ117" s="338"/>
      <c r="BA117" s="436">
        <f>IF(OR(AY117=0,AZ117=0),'Data Standar'!$AC$221/3,((MAX(AY117:AZ117)-(MIN(AY117:AZ117)))))</f>
        <v>0.26333333333333336</v>
      </c>
      <c r="BB117" s="434">
        <f>(0.12-0)/2</f>
        <v>0.06</v>
      </c>
      <c r="BC117" s="988">
        <f>(((BC115-BC113)/(BC111-BC109))*(BC108-BC109))+BC113</f>
        <v>0.26333333333333336</v>
      </c>
      <c r="BD117" s="435">
        <v>44</v>
      </c>
      <c r="BE117" s="337">
        <f>'Data Standar'!AD216</f>
        <v>0.82</v>
      </c>
      <c r="BF117" s="338"/>
      <c r="BG117" s="436">
        <f>IF(OR(BE117=0,BF117=0),'Data Standar'!$AD$221/3,((MAX(BE117:BF117)-(MIN(BE117:BF117)))))</f>
        <v>9.0000000000000011E-2</v>
      </c>
      <c r="BH117" s="434">
        <f>(0.12-0)/2</f>
        <v>0.06</v>
      </c>
      <c r="BI117" s="988">
        <f>(((BI115-BI113)/(BI111-BI109))*(BI108-BI109))+BI113</f>
        <v>9.0000000000000011E-2</v>
      </c>
      <c r="BJ117" s="435">
        <v>44</v>
      </c>
      <c r="BK117" s="337">
        <f>'Data Standar'!AE216</f>
        <v>0.37</v>
      </c>
      <c r="BL117" s="338"/>
      <c r="BM117" s="436">
        <f>IF(OR(BK117=0,BL117=0),'Data Standar'!$AE$221/3,((MAX(BK117:BL117)-(MIN(BK117:BL117)))))</f>
        <v>0.26333333333333336</v>
      </c>
      <c r="BN117" s="434">
        <f>(0.12-0)/2</f>
        <v>0.06</v>
      </c>
      <c r="BO117" s="988">
        <f>(((BO115-BO113)/(BO111-BO109))*(BO108-BO109))+BO113</f>
        <v>0.26333333333333336</v>
      </c>
      <c r="BP117" s="435">
        <v>44</v>
      </c>
      <c r="BQ117" s="337">
        <f>'Data Standar'!AF216</f>
        <v>0.56999999999999995</v>
      </c>
      <c r="BR117" s="338"/>
      <c r="BS117" s="436">
        <f>IF(OR(BQ117=0,BR117=0),'Data Standar'!$AF$221/3,((MAX(BQ117:BR117)-(MIN(BQ117:BR117)))))</f>
        <v>8.666666666666667E-2</v>
      </c>
      <c r="BT117" s="434">
        <f>(0.12-0)/2</f>
        <v>0.06</v>
      </c>
      <c r="BU117" s="988">
        <f>(((BU115-BU113)/(BU111-BU109))*(BU108-BU109))+BU113</f>
        <v>8.666666666666667E-2</v>
      </c>
      <c r="BV117" s="435">
        <v>44</v>
      </c>
      <c r="BW117" s="337">
        <f>'Data Standar'!AG216</f>
        <v>0.73</v>
      </c>
      <c r="BX117" s="338"/>
      <c r="BY117" s="436">
        <f>IF(OR(BW117=0,BX117=0),'Data Standar'!$AG$221/3,((MAX(BW117:BX117)-(MIN(BW117:BX117)))))</f>
        <v>9.3333333333333338E-2</v>
      </c>
      <c r="BZ117" s="434">
        <f>(0.12-0)/2</f>
        <v>0.06</v>
      </c>
      <c r="CA117" s="988">
        <f>(((CA115-CA113)/(CA111-CA109))*(CA108-CA109))+CA113</f>
        <v>9.3333333333333338E-2</v>
      </c>
      <c r="CB117" s="435">
        <v>44</v>
      </c>
      <c r="CC117" s="337">
        <f t="shared" si="58"/>
        <v>-1</v>
      </c>
      <c r="CD117" s="338">
        <f t="shared" si="61"/>
        <v>-0.7</v>
      </c>
      <c r="CE117" s="436">
        <f t="shared" si="64"/>
        <v>0.19999999999999998</v>
      </c>
      <c r="CF117" s="434">
        <f>(0.12-0)/2</f>
        <v>0.06</v>
      </c>
      <c r="CG117" s="451"/>
      <c r="CH117" s="435">
        <v>44</v>
      </c>
      <c r="CI117" s="337">
        <f t="shared" si="59"/>
        <v>0.25</v>
      </c>
      <c r="CJ117" s="338">
        <f t="shared" si="62"/>
        <v>0.21</v>
      </c>
      <c r="CK117" s="436">
        <f t="shared" si="65"/>
        <v>4.0000000000000008E-2</v>
      </c>
      <c r="CL117" s="434">
        <f>(0.12-0)/2</f>
        <v>0.06</v>
      </c>
      <c r="CM117" s="423"/>
      <c r="CN117" s="435">
        <v>44</v>
      </c>
      <c r="CO117" s="337">
        <f t="shared" si="60"/>
        <v>0.56999999999999995</v>
      </c>
      <c r="CP117" s="338">
        <f t="shared" si="63"/>
        <v>0.52</v>
      </c>
      <c r="CQ117" s="436">
        <f t="shared" si="66"/>
        <v>4.9999999999999933E-2</v>
      </c>
      <c r="CR117" s="434">
        <f>(0.12-0)/2</f>
        <v>0.06</v>
      </c>
      <c r="CS117" s="423"/>
    </row>
    <row r="118" spans="1:97" s="427" customFormat="1" ht="13">
      <c r="A118" s="423"/>
      <c r="B118" s="435">
        <v>50</v>
      </c>
      <c r="C118" s="338">
        <v>0.18</v>
      </c>
      <c r="D118" s="337">
        <f>'Data Standar'!U217</f>
        <v>0.32</v>
      </c>
      <c r="E118" s="436">
        <f>IF(OR(C118=0,D118=0),'Data Standar'!$U$221/3,((MAX(C118:D118)-(MIN(C118:D118)))))</f>
        <v>0.14000000000000001</v>
      </c>
      <c r="F118" s="437">
        <f>(0.47+0.24)/2</f>
        <v>0.35499999999999998</v>
      </c>
      <c r="G118" s="438"/>
      <c r="H118" s="435">
        <v>50</v>
      </c>
      <c r="I118" s="338">
        <v>0.2</v>
      </c>
      <c r="J118" s="338">
        <f>'Data Standar'!V217</f>
        <v>0.31</v>
      </c>
      <c r="K118" s="436">
        <f>IF(OR(I118=0,J118=0),'Data Standar'!$V$221/3,((MAX(I118:J118)-(MIN(I118:J118)))))</f>
        <v>0.10999999999999999</v>
      </c>
      <c r="L118" s="437">
        <f>(0+0.14)/2</f>
        <v>7.0000000000000007E-2</v>
      </c>
      <c r="M118" s="438"/>
      <c r="N118" s="435">
        <v>50</v>
      </c>
      <c r="O118" s="707">
        <v>0.2</v>
      </c>
      <c r="P118" s="338">
        <f>'Data Standar'!W217</f>
        <v>-0.05</v>
      </c>
      <c r="Q118" s="436">
        <f>IF(OR(O118=0,P118=0),'Data Standar'!$W$221/3,((MAX(O118:P118)-(MIN(O118:P118)))))</f>
        <v>0.25</v>
      </c>
      <c r="R118" s="434">
        <f>(0.18-0)/2</f>
        <v>0.09</v>
      </c>
      <c r="S118" s="423"/>
      <c r="T118" s="435">
        <v>50</v>
      </c>
      <c r="U118" s="337">
        <f>'Data Standar'!X217</f>
        <v>0.79</v>
      </c>
      <c r="V118" s="338"/>
      <c r="W118" s="436">
        <f>IF(OR(U118=0,V118=0),'Data Standar'!$X$221/3,((MAX(U118:V118)-(MIN(U118:V118)))))</f>
        <v>8.666666666666667E-2</v>
      </c>
      <c r="X118" s="434">
        <f>(0.18-0)/2</f>
        <v>0.09</v>
      </c>
      <c r="Y118" s="423"/>
      <c r="Z118" s="435">
        <v>50</v>
      </c>
      <c r="AA118" s="337">
        <f>'Data Standar'!Y217</f>
        <v>0.21</v>
      </c>
      <c r="AB118" s="338">
        <v>0.7</v>
      </c>
      <c r="AC118" s="436">
        <f>IF(OR(AA118=0,AB118=0),'Data Standar'!$Y$221/3,((MAX(AA118:AB118)-(MIN(AA118:AB118)))))</f>
        <v>0.49</v>
      </c>
      <c r="AD118" s="434">
        <f>(0.18-0)/2</f>
        <v>0.09</v>
      </c>
      <c r="AE118" s="423"/>
      <c r="AF118" s="435">
        <v>50</v>
      </c>
      <c r="AG118" s="337">
        <f>'Data Standar'!Z217</f>
        <v>0.23</v>
      </c>
      <c r="AH118" s="338">
        <v>0.77</v>
      </c>
      <c r="AI118" s="436">
        <f>IF(OR(AG118=0,AH118=0),'Data Standar'!$Z$221/3,((MAX(AG118:AH118)-(MIN(AG118:AH118)))))</f>
        <v>0.54</v>
      </c>
      <c r="AJ118" s="434">
        <f>(0.18-0)/2</f>
        <v>0.09</v>
      </c>
      <c r="AK118" s="423"/>
      <c r="AL118" s="435">
        <v>50</v>
      </c>
      <c r="AM118" s="337">
        <f>'Data Standar'!AA217</f>
        <v>0.48</v>
      </c>
      <c r="AN118" s="338"/>
      <c r="AO118" s="436">
        <f>IF(OR(AM118=0,AN118=0),'Data Standar'!$AA$221/3,((MAX(AM118:AN118)-(MIN(AM118:AN118)))))</f>
        <v>8.3333333333333329E-2</v>
      </c>
      <c r="AP118" s="434">
        <f>(0.18-0)/2</f>
        <v>0.09</v>
      </c>
      <c r="AQ118" s="423"/>
      <c r="AR118" s="435">
        <v>50</v>
      </c>
      <c r="AS118" s="337">
        <f>'Data Standar'!AB217</f>
        <v>0.34</v>
      </c>
      <c r="AT118" s="338"/>
      <c r="AU118" s="436">
        <f>IF(OR(AS118=0,AT118=0),'Data Standar'!$AB$221/3,((MAX(AS118:AT118)-(MIN(AS118:AT118)))))</f>
        <v>8.3333333333333329E-2</v>
      </c>
      <c r="AV118" s="434">
        <f>(0.18-0)/2</f>
        <v>0.09</v>
      </c>
      <c r="AW118" s="423"/>
      <c r="AX118" s="435">
        <v>50</v>
      </c>
      <c r="AY118" s="337">
        <f>'Data Standar'!AC217</f>
        <v>0.35</v>
      </c>
      <c r="AZ118" s="338"/>
      <c r="BA118" s="436">
        <f>IF(OR(AY118=0,AZ118=0),'Data Standar'!$AC$221/3,((MAX(AY118:AZ118)-(MIN(AY118:AZ118)))))</f>
        <v>0.26333333333333336</v>
      </c>
      <c r="BB118" s="434">
        <f>(0.18-0)/2</f>
        <v>0.09</v>
      </c>
      <c r="BC118" s="423"/>
      <c r="BD118" s="435">
        <v>50</v>
      </c>
      <c r="BE118" s="337">
        <f>'Data Standar'!AD217</f>
        <v>0.87</v>
      </c>
      <c r="BF118" s="338"/>
      <c r="BG118" s="436">
        <f>IF(OR(BE118=0,BF118=0),'Data Standar'!$AD$221/3,((MAX(BE118:BF118)-(MIN(BE118:BF118)))))</f>
        <v>9.0000000000000011E-2</v>
      </c>
      <c r="BH118" s="434">
        <f>(0.18-0)/2</f>
        <v>0.09</v>
      </c>
      <c r="BI118" s="423"/>
      <c r="BJ118" s="435">
        <v>50</v>
      </c>
      <c r="BK118" s="337">
        <f>'Data Standar'!AE217</f>
        <v>0.35</v>
      </c>
      <c r="BL118" s="338"/>
      <c r="BM118" s="436">
        <f>IF(OR(BK118=0,BL118=0),'Data Standar'!$AE$221/3,((MAX(BK118:BL118)-(MIN(BK118:BL118)))))</f>
        <v>0.26333333333333336</v>
      </c>
      <c r="BN118" s="434">
        <f>(0.18-0)/2</f>
        <v>0.09</v>
      </c>
      <c r="BO118" s="423"/>
      <c r="BP118" s="435">
        <v>50</v>
      </c>
      <c r="BQ118" s="337">
        <f>'Data Standar'!AF217</f>
        <v>0.62</v>
      </c>
      <c r="BR118" s="338"/>
      <c r="BS118" s="436">
        <f>IF(OR(BQ118=0,BR118=0),'Data Standar'!$AF$221/3,((MAX(BQ118:BR118)-(MIN(BQ118:BR118)))))</f>
        <v>8.666666666666667E-2</v>
      </c>
      <c r="BT118" s="434">
        <f>(0.18-0)/2</f>
        <v>0.09</v>
      </c>
      <c r="BU118" s="423"/>
      <c r="BV118" s="435">
        <v>50</v>
      </c>
      <c r="BW118" s="337">
        <f>'Data Standar'!AG217</f>
        <v>0.81</v>
      </c>
      <c r="BX118" s="338"/>
      <c r="BY118" s="436">
        <f>IF(OR(BW118=0,BX118=0),'Data Standar'!$AG$221/3,((MAX(BW118:BX118)-(MIN(BW118:BX118)))))</f>
        <v>9.3333333333333338E-2</v>
      </c>
      <c r="BZ118" s="434">
        <f>(0.18-0)/2</f>
        <v>0.09</v>
      </c>
      <c r="CA118" s="423"/>
      <c r="CB118" s="435">
        <v>50</v>
      </c>
      <c r="CC118" s="337">
        <f t="shared" si="58"/>
        <v>-1.6</v>
      </c>
      <c r="CD118" s="338">
        <f t="shared" si="61"/>
        <v>-0.7</v>
      </c>
      <c r="CE118" s="436">
        <f t="shared" si="64"/>
        <v>0.30000000000000004</v>
      </c>
      <c r="CF118" s="434">
        <f>(0.18-0)/2</f>
        <v>0.09</v>
      </c>
      <c r="CG118" s="423"/>
      <c r="CH118" s="435">
        <v>50</v>
      </c>
      <c r="CI118" s="337">
        <f t="shared" si="59"/>
        <v>0.27</v>
      </c>
      <c r="CJ118" s="338">
        <f t="shared" si="62"/>
        <v>0.22</v>
      </c>
      <c r="CK118" s="436">
        <f t="shared" si="65"/>
        <v>5.0000000000000017E-2</v>
      </c>
      <c r="CL118" s="434">
        <f>(0.18-0)/2</f>
        <v>0.09</v>
      </c>
      <c r="CM118" s="423"/>
      <c r="CN118" s="435">
        <v>50</v>
      </c>
      <c r="CO118" s="337">
        <f t="shared" si="60"/>
        <v>0.67</v>
      </c>
      <c r="CP118" s="338">
        <f t="shared" si="63"/>
        <v>0.56999999999999995</v>
      </c>
      <c r="CQ118" s="436">
        <f t="shared" si="66"/>
        <v>0.10000000000000009</v>
      </c>
      <c r="CR118" s="434">
        <f>(0.18-0)/2</f>
        <v>0.09</v>
      </c>
      <c r="CS118" s="423"/>
    </row>
    <row r="119" spans="1:97" s="427" customFormat="1" ht="13">
      <c r="A119" s="423"/>
      <c r="B119" s="435">
        <v>100</v>
      </c>
      <c r="C119" s="338">
        <v>0.26</v>
      </c>
      <c r="D119" s="337">
        <f>'Data Standar'!U218</f>
        <v>0.75</v>
      </c>
      <c r="E119" s="436">
        <f>IF(OR(C119=0,D119=0),'Data Standar'!$U$221/3,((MAX(C119:D119)-(MIN(C119:D119)))))</f>
        <v>0.49</v>
      </c>
      <c r="F119" s="437">
        <f>(0.96+0.56)/2</f>
        <v>0.76</v>
      </c>
      <c r="G119" s="438"/>
      <c r="H119" s="435">
        <v>100</v>
      </c>
      <c r="I119" s="338">
        <v>0.13</v>
      </c>
      <c r="J119" s="338">
        <f>'Data Standar'!V218</f>
        <v>0.61</v>
      </c>
      <c r="K119" s="436">
        <f>IF(OR(I119=0,J119=0),'Data Standar'!$V$221/3,((MAX(I119:J119)-(MIN(I119:J119)))))</f>
        <v>0.48</v>
      </c>
      <c r="L119" s="437">
        <f>(0+0.1)/2</f>
        <v>0.05</v>
      </c>
      <c r="M119" s="438"/>
      <c r="N119" s="435">
        <v>100</v>
      </c>
      <c r="O119" s="707">
        <v>-0.13</v>
      </c>
      <c r="P119" s="338">
        <f>'Data Standar'!W218</f>
        <v>-0.17</v>
      </c>
      <c r="Q119" s="436">
        <f>IF(OR(O119=0,P119=0),'Data Standar'!$W$221/3,((MAX(O119:P119)-(MIN(O119:P119)))))</f>
        <v>4.0000000000000008E-2</v>
      </c>
      <c r="R119" s="434">
        <f>(0.21-0)/2</f>
        <v>0.105</v>
      </c>
      <c r="S119" s="423"/>
      <c r="T119" s="435">
        <v>100</v>
      </c>
      <c r="U119" s="337">
        <f>'Data Standar'!X218</f>
        <v>0.82</v>
      </c>
      <c r="V119" s="338"/>
      <c r="W119" s="436">
        <f>IF(OR(U119=0,V119=0),'Data Standar'!$X$221/3,((MAX(U119:V119)-(MIN(U119:V119)))))</f>
        <v>8.666666666666667E-2</v>
      </c>
      <c r="X119" s="434">
        <f>(0.21-0)/2</f>
        <v>0.105</v>
      </c>
      <c r="Y119" s="423"/>
      <c r="Z119" s="435">
        <v>100</v>
      </c>
      <c r="AA119" s="337">
        <f>'Data Standar'!Y218</f>
        <v>0.28000000000000003</v>
      </c>
      <c r="AB119" s="338">
        <v>0.72</v>
      </c>
      <c r="AC119" s="436">
        <f>IF(OR(AA119=0,AB119=0),'Data Standar'!$Y$221/3,((MAX(AA119:AB119)-(MIN(AA119:AB119)))))</f>
        <v>0.43999999999999995</v>
      </c>
      <c r="AD119" s="434">
        <f>(0.21-0)/2</f>
        <v>0.105</v>
      </c>
      <c r="AE119" s="423"/>
      <c r="AF119" s="435">
        <v>100</v>
      </c>
      <c r="AG119" s="337">
        <f>'Data Standar'!Z218</f>
        <v>0.33</v>
      </c>
      <c r="AH119" s="338">
        <v>0.61</v>
      </c>
      <c r="AI119" s="436">
        <f>IF(OR(AG119=0,AH119=0),'Data Standar'!$Z$221/3,((MAX(AG119:AH119)-(MIN(AG119:AH119)))))</f>
        <v>0.27999999999999997</v>
      </c>
      <c r="AJ119" s="434">
        <f>(0.21-0)/2</f>
        <v>0.105</v>
      </c>
      <c r="AK119" s="423"/>
      <c r="AL119" s="435">
        <v>100</v>
      </c>
      <c r="AM119" s="337">
        <f>'Data Standar'!AA218</f>
        <v>0.57999999999999996</v>
      </c>
      <c r="AN119" s="338"/>
      <c r="AO119" s="436">
        <f>IF(OR(AM119=0,AN119=0),'Data Standar'!$AA$221/3,((MAX(AM119:AN119)-(MIN(AM119:AN119)))))</f>
        <v>8.3333333333333329E-2</v>
      </c>
      <c r="AP119" s="434">
        <f>(0.21-0)/2</f>
        <v>0.105</v>
      </c>
      <c r="AQ119" s="423"/>
      <c r="AR119" s="435">
        <v>100</v>
      </c>
      <c r="AS119" s="337">
        <f>'Data Standar'!AB218</f>
        <v>0.43</v>
      </c>
      <c r="AT119" s="338"/>
      <c r="AU119" s="436">
        <f>IF(OR(AS119=0,AT119=0),'Data Standar'!$AB$221/3,((MAX(AS119:AT119)-(MIN(AS119:AT119)))))</f>
        <v>8.3333333333333329E-2</v>
      </c>
      <c r="AV119" s="434">
        <f>(0.21-0)/2</f>
        <v>0.105</v>
      </c>
      <c r="AW119" s="423"/>
      <c r="AX119" s="435">
        <v>100</v>
      </c>
      <c r="AY119" s="337">
        <f>'Data Standar'!AC218</f>
        <v>0.19</v>
      </c>
      <c r="AZ119" s="338"/>
      <c r="BA119" s="436">
        <f>IF(OR(AY119=0,AZ119=0),'Data Standar'!$AC$221/3,((MAX(AY119:AZ119)-(MIN(AY119:AZ119)))))</f>
        <v>0.26333333333333336</v>
      </c>
      <c r="BB119" s="434">
        <f>(0.21-0)/2</f>
        <v>0.105</v>
      </c>
      <c r="BC119" s="423"/>
      <c r="BD119" s="435">
        <v>100</v>
      </c>
      <c r="BE119" s="337">
        <f>'Data Standar'!AD218</f>
        <v>0.71</v>
      </c>
      <c r="BF119" s="338"/>
      <c r="BG119" s="436">
        <f>IF(OR(BE119=0,BF119=0),'Data Standar'!$AD$221/3,((MAX(BE119:BF119)-(MIN(BE119:BF119)))))</f>
        <v>9.0000000000000011E-2</v>
      </c>
      <c r="BH119" s="434">
        <f>(0.21-0)/2</f>
        <v>0.105</v>
      </c>
      <c r="BI119" s="423"/>
      <c r="BJ119" s="435">
        <v>100</v>
      </c>
      <c r="BK119" s="337">
        <f>'Data Standar'!AE218</f>
        <v>0.19</v>
      </c>
      <c r="BL119" s="338"/>
      <c r="BM119" s="436">
        <f>IF(OR(BK119=0,BL119=0),'Data Standar'!$AE$221/3,((MAX(BK119:BL119)-(MIN(BK119:BL119)))))</f>
        <v>0.26333333333333336</v>
      </c>
      <c r="BN119" s="434">
        <f>(0.21-0)/2</f>
        <v>0.105</v>
      </c>
      <c r="BO119" s="423"/>
      <c r="BP119" s="435">
        <v>100</v>
      </c>
      <c r="BQ119" s="337">
        <f>'Data Standar'!AF218</f>
        <v>0.31</v>
      </c>
      <c r="BR119" s="338"/>
      <c r="BS119" s="436">
        <f>IF(OR(BQ119=0,BR119=0),'Data Standar'!$AF$221/3,((MAX(BQ119:BR119)-(MIN(BQ119:BR119)))))</f>
        <v>8.666666666666667E-2</v>
      </c>
      <c r="BT119" s="434">
        <f>(0.21-0)/2</f>
        <v>0.105</v>
      </c>
      <c r="BU119" s="423"/>
      <c r="BV119" s="435">
        <v>100</v>
      </c>
      <c r="BW119" s="337">
        <f>'Data Standar'!AG218</f>
        <v>0.66</v>
      </c>
      <c r="BX119" s="338"/>
      <c r="BY119" s="436">
        <f>IF(OR(BW119=0,BX119=0),'Data Standar'!$AG$221/3,((MAX(BW119:BX119)-(MIN(BW119:BX119)))))</f>
        <v>9.3333333333333338E-2</v>
      </c>
      <c r="BZ119" s="434">
        <f>(0.21-0)/2</f>
        <v>0.105</v>
      </c>
      <c r="CA119" s="423"/>
      <c r="CB119" s="435">
        <v>100</v>
      </c>
      <c r="CC119" s="337">
        <f t="shared" si="58"/>
        <v>-1.7</v>
      </c>
      <c r="CD119" s="338">
        <f t="shared" si="61"/>
        <v>-0.7</v>
      </c>
      <c r="CE119" s="436">
        <f t="shared" si="64"/>
        <v>0.90000000000000013</v>
      </c>
      <c r="CF119" s="434">
        <f>(0.21-0)/2</f>
        <v>0.105</v>
      </c>
      <c r="CG119" s="423"/>
      <c r="CH119" s="435">
        <v>100</v>
      </c>
      <c r="CI119" s="337">
        <f t="shared" si="59"/>
        <v>0.31</v>
      </c>
      <c r="CJ119" s="338">
        <f t="shared" si="62"/>
        <v>0.23</v>
      </c>
      <c r="CK119" s="436">
        <f t="shared" si="65"/>
        <v>7.9999999999999988E-2</v>
      </c>
      <c r="CL119" s="434">
        <f>(0.21-0)/2</f>
        <v>0.105</v>
      </c>
      <c r="CM119" s="423"/>
      <c r="CN119" s="435">
        <v>100</v>
      </c>
      <c r="CO119" s="337">
        <f t="shared" si="60"/>
        <v>0.95</v>
      </c>
      <c r="CP119" s="338">
        <f t="shared" si="63"/>
        <v>0.81</v>
      </c>
      <c r="CQ119" s="436">
        <f t="shared" si="66"/>
        <v>0.1399999999999999</v>
      </c>
      <c r="CR119" s="434">
        <f>(0.21-0)/2</f>
        <v>0.105</v>
      </c>
      <c r="CS119" s="423"/>
    </row>
    <row r="120" spans="1:97" s="427" customFormat="1" ht="13">
      <c r="A120" s="423"/>
      <c r="B120" s="435">
        <v>150</v>
      </c>
      <c r="C120" s="338">
        <v>0.28000000000000003</v>
      </c>
      <c r="D120" s="337">
        <f>'Data Standar'!U219</f>
        <v>0.71</v>
      </c>
      <c r="E120" s="436">
        <f>IF(OR(C120=0,D120=0),'Data Standar'!$U$221/3,((MAX(C120:D120)-(MIN(C120:D120)))))</f>
        <v>0.42999999999999994</v>
      </c>
      <c r="F120" s="437">
        <f>(0.57+0.9)/2</f>
        <v>0.73499999999999999</v>
      </c>
      <c r="G120" s="438"/>
      <c r="H120" s="435">
        <v>150</v>
      </c>
      <c r="I120" s="338">
        <v>-0.02</v>
      </c>
      <c r="J120" s="338">
        <f>'Data Standar'!V219</f>
        <v>0.56999999999999995</v>
      </c>
      <c r="K120" s="436">
        <f>IF(OR(I120=0,J120=0),'Data Standar'!$V$221/3,((MAX(I120:J120)-(MIN(I120:J120)))))</f>
        <v>0.59</v>
      </c>
      <c r="L120" s="437">
        <f>(0.07-0)/2</f>
        <v>3.5000000000000003E-2</v>
      </c>
      <c r="M120" s="438"/>
      <c r="N120" s="435">
        <v>150</v>
      </c>
      <c r="O120" s="707">
        <v>-0.68</v>
      </c>
      <c r="P120" s="338">
        <f>'Data Standar'!W219</f>
        <v>-0.26</v>
      </c>
      <c r="Q120" s="436">
        <f>IF(OR(O120=0,P120=0),'Data Standar'!$W$221/3,((MAX(O120:P120)-(MIN(O120:P120)))))</f>
        <v>0.42000000000000004</v>
      </c>
      <c r="R120" s="434">
        <f>(0.22-0)/2</f>
        <v>0.11</v>
      </c>
      <c r="S120" s="423"/>
      <c r="T120" s="435">
        <v>150</v>
      </c>
      <c r="U120" s="337">
        <f>'Data Standar'!X219</f>
        <v>0.09</v>
      </c>
      <c r="V120" s="338"/>
      <c r="W120" s="436">
        <f>IF(OR(U120=0,V120=0),'Data Standar'!$X$221/3,((MAX(U120:V120)-(MIN(U120:V120)))))</f>
        <v>8.666666666666667E-2</v>
      </c>
      <c r="X120" s="434">
        <f>(0.22-0)/2</f>
        <v>0.11</v>
      </c>
      <c r="Y120" s="423"/>
      <c r="Z120" s="435">
        <v>150</v>
      </c>
      <c r="AA120" s="337">
        <f>'Data Standar'!Y219</f>
        <v>0.44</v>
      </c>
      <c r="AB120" s="338">
        <v>0.34</v>
      </c>
      <c r="AC120" s="436">
        <f>IF(OR(AA120=0,AB120=0),'Data Standar'!$Y$221/3,((MAX(AA120:AB120)-(MIN(AA120:AB120)))))</f>
        <v>9.9999999999999978E-2</v>
      </c>
      <c r="AD120" s="434">
        <f>(0.22-0)/2</f>
        <v>0.11</v>
      </c>
      <c r="AE120" s="423"/>
      <c r="AF120" s="435">
        <v>150</v>
      </c>
      <c r="AG120" s="337">
        <f>'Data Standar'!Z219</f>
        <v>0.51</v>
      </c>
      <c r="AH120" s="338">
        <v>0.16</v>
      </c>
      <c r="AI120" s="436">
        <f>IF(OR(AG120=0,AH120=0),'Data Standar'!$Z$221/3,((MAX(AG120:AH120)-(MIN(AG120:AH120)))))</f>
        <v>0.35</v>
      </c>
      <c r="AJ120" s="434">
        <f>(0.22-0)/2</f>
        <v>0.11</v>
      </c>
      <c r="AK120" s="423"/>
      <c r="AL120" s="435">
        <v>150</v>
      </c>
      <c r="AM120" s="337">
        <f>'Data Standar'!AA219</f>
        <v>0.74</v>
      </c>
      <c r="AN120" s="338"/>
      <c r="AO120" s="436">
        <f>IF(OR(AM120=0,AN120=0),'Data Standar'!$AA$221/3,((MAX(AM120:AN120)-(MIN(AM120:AN120)))))</f>
        <v>8.3333333333333329E-2</v>
      </c>
      <c r="AP120" s="434">
        <f>(0.22-0)/2</f>
        <v>0.11</v>
      </c>
      <c r="AQ120" s="423"/>
      <c r="AR120" s="435">
        <v>150</v>
      </c>
      <c r="AS120" s="337">
        <f>'Data Standar'!AB219</f>
        <v>0.62</v>
      </c>
      <c r="AT120" s="338"/>
      <c r="AU120" s="436">
        <f>IF(OR(AS120=0,AT120=0),'Data Standar'!$AB$221/3,((MAX(AS120:AT120)-(MIN(AS120:AT120)))))</f>
        <v>8.3333333333333329E-2</v>
      </c>
      <c r="AV120" s="434">
        <f>(0.22-0)/2</f>
        <v>0.11</v>
      </c>
      <c r="AW120" s="423"/>
      <c r="AX120" s="435">
        <v>150</v>
      </c>
      <c r="AY120" s="337">
        <f>'Data Standar'!AC219</f>
        <v>-0.02</v>
      </c>
      <c r="AZ120" s="338"/>
      <c r="BA120" s="436">
        <f>IF(OR(AY120=0,AZ120=0),'Data Standar'!$AC$221/3,((MAX(AY120:AZ120)-(MIN(AY120:AZ120)))))</f>
        <v>0.26333333333333336</v>
      </c>
      <c r="BB120" s="434">
        <f>(0.22-0)/2</f>
        <v>0.11</v>
      </c>
      <c r="BC120" s="423"/>
      <c r="BD120" s="435">
        <v>150</v>
      </c>
      <c r="BE120" s="337">
        <f>'Data Standar'!AD219</f>
        <v>0.09</v>
      </c>
      <c r="BF120" s="338"/>
      <c r="BG120" s="436">
        <f>IF(OR(BE120=0,BF120=0),'Data Standar'!$AD$221/3,((MAX(BE120:BF120)-(MIN(BE120:BF120)))))</f>
        <v>9.0000000000000011E-2</v>
      </c>
      <c r="BH120" s="434">
        <f>(0.22-0)/2</f>
        <v>0.11</v>
      </c>
      <c r="BI120" s="423"/>
      <c r="BJ120" s="435">
        <v>150</v>
      </c>
      <c r="BK120" s="337">
        <f>'Data Standar'!AE219</f>
        <v>-0.02</v>
      </c>
      <c r="BL120" s="338"/>
      <c r="BM120" s="436">
        <f>IF(OR(BK120=0,BL120=0),'Data Standar'!$AE$221/3,((MAX(BK120:BL120)-(MIN(BK120:BL120)))))</f>
        <v>0.26333333333333336</v>
      </c>
      <c r="BN120" s="434">
        <f>(0.22-0)/2</f>
        <v>0.11</v>
      </c>
      <c r="BO120" s="423"/>
      <c r="BP120" s="435">
        <v>150</v>
      </c>
      <c r="BQ120" s="337">
        <f>'Data Standar'!AF219</f>
        <v>-0.56999999999999995</v>
      </c>
      <c r="BR120" s="338"/>
      <c r="BS120" s="436">
        <f>IF(OR(BQ120=0,BR120=0),'Data Standar'!$AF$221/3,((MAX(BQ120:BR120)-(MIN(BQ120:BR120)))))</f>
        <v>8.666666666666667E-2</v>
      </c>
      <c r="BT120" s="434">
        <f>(0.22-0)/2</f>
        <v>0.11</v>
      </c>
      <c r="BU120" s="423"/>
      <c r="BV120" s="435">
        <v>150</v>
      </c>
      <c r="BW120" s="337">
        <f>'Data Standar'!AG219</f>
        <v>-0.22</v>
      </c>
      <c r="BX120" s="338"/>
      <c r="BY120" s="436">
        <f>IF(OR(BW120=0,BX120=0),'Data Standar'!$AG$221/3,((MAX(BW120:BX120)-(MIN(BW120:BX120)))))</f>
        <v>9.3333333333333338E-2</v>
      </c>
      <c r="BZ120" s="434">
        <f>(0.22-0)/2</f>
        <v>0.11</v>
      </c>
      <c r="CA120" s="423"/>
      <c r="CB120" s="435">
        <v>150</v>
      </c>
      <c r="CC120" s="337">
        <f t="shared" si="58"/>
        <v>-0.9</v>
      </c>
      <c r="CD120" s="338">
        <f t="shared" si="61"/>
        <v>-0.7</v>
      </c>
      <c r="CE120" s="436">
        <f t="shared" si="64"/>
        <v>1</v>
      </c>
      <c r="CF120" s="434">
        <f>(0.22-0)/2</f>
        <v>0.11</v>
      </c>
      <c r="CG120" s="423"/>
      <c r="CH120" s="435">
        <v>150</v>
      </c>
      <c r="CI120" s="337">
        <f t="shared" si="59"/>
        <v>0.3</v>
      </c>
      <c r="CJ120" s="338">
        <f t="shared" si="62"/>
        <v>0.22</v>
      </c>
      <c r="CK120" s="436">
        <f t="shared" si="65"/>
        <v>7.9999999999999988E-2</v>
      </c>
      <c r="CL120" s="434">
        <f>(0.22-0)/2</f>
        <v>0.11</v>
      </c>
      <c r="CM120" s="423"/>
      <c r="CN120" s="435">
        <v>150</v>
      </c>
      <c r="CO120" s="337">
        <f t="shared" si="60"/>
        <v>0.49</v>
      </c>
      <c r="CP120" s="338">
        <f t="shared" si="63"/>
        <v>0.87</v>
      </c>
      <c r="CQ120" s="436">
        <f t="shared" si="66"/>
        <v>0.38</v>
      </c>
      <c r="CR120" s="434">
        <f>(0.22-0)/2</f>
        <v>0.11</v>
      </c>
      <c r="CS120" s="423"/>
    </row>
    <row r="121" spans="1:97" s="427" customFormat="1" ht="13">
      <c r="A121" s="423"/>
      <c r="B121" s="435">
        <v>200</v>
      </c>
      <c r="C121" s="338">
        <v>0.45</v>
      </c>
      <c r="D121" s="337">
        <f>'Data Standar'!U220</f>
        <v>-0.06</v>
      </c>
      <c r="E121" s="436">
        <f>IF(OR(C121=0,D121=0),'Data Standar'!$U$221/3,((MAX(C121:D121)-(MIN(C121:D121)))))</f>
        <v>0.51</v>
      </c>
      <c r="F121" s="437">
        <f>(-0.67+0.87)/2</f>
        <v>9.9999999999999978E-2</v>
      </c>
      <c r="G121" s="438"/>
      <c r="H121" s="435">
        <v>200</v>
      </c>
      <c r="I121" s="338">
        <v>0.21</v>
      </c>
      <c r="J121" s="338">
        <f>'Data Standar'!V220</f>
        <v>0.11</v>
      </c>
      <c r="K121" s="436">
        <f>IF(OR(I121=0,J121=0),'Data Standar'!$V$221/3,((MAX(I121:J121)-(MIN(I121:J121)))))</f>
        <v>9.9999999999999992E-2</v>
      </c>
      <c r="L121" s="437">
        <f>(0.36-0)/2</f>
        <v>0.18</v>
      </c>
      <c r="M121" s="438"/>
      <c r="N121" s="435">
        <v>200</v>
      </c>
      <c r="O121" s="707">
        <v>-0.38</v>
      </c>
      <c r="P121" s="338">
        <f>'Data Standar'!W220</f>
        <v>-0.03</v>
      </c>
      <c r="Q121" s="436">
        <f>IF(OR(O121=0,P121=0),'Data Standar'!$W$221/3,((MAX(O121:P121)-(MIN(O121:P121)))))</f>
        <v>0.35</v>
      </c>
      <c r="R121" s="434">
        <f>(0.19-0)/2</f>
        <v>9.5000000000000001E-2</v>
      </c>
      <c r="S121" s="423"/>
      <c r="T121" s="435">
        <v>200</v>
      </c>
      <c r="U121" s="337">
        <f>'Data Standar'!X220</f>
        <v>-0.86</v>
      </c>
      <c r="V121" s="338"/>
      <c r="W121" s="436">
        <f>IF(OR(U121=0,V121=0),'Data Standar'!$X$221/3,((MAX(U121:V121)-(MIN(U121:V121)))))</f>
        <v>8.666666666666667E-2</v>
      </c>
      <c r="X121" s="434">
        <f>(0.19-0)/2</f>
        <v>9.5000000000000001E-2</v>
      </c>
      <c r="Y121" s="423"/>
      <c r="Z121" s="435">
        <v>200</v>
      </c>
      <c r="AA121" s="337">
        <f>'Data Standar'!Y220</f>
        <v>0.67</v>
      </c>
      <c r="AB121" s="338">
        <v>-0.12</v>
      </c>
      <c r="AC121" s="436">
        <f>IF(OR(AA121=0,AB121=0),'Data Standar'!$Y$221/3,((MAX(AA121:AB121)-(MIN(AA121:AB121)))))</f>
        <v>0.79</v>
      </c>
      <c r="AD121" s="434">
        <f>(0.19-0)/2</f>
        <v>9.5000000000000001E-2</v>
      </c>
      <c r="AE121" s="423"/>
      <c r="AF121" s="435">
        <v>200</v>
      </c>
      <c r="AG121" s="337">
        <f>'Data Standar'!Z220</f>
        <v>0.76</v>
      </c>
      <c r="AH121" s="338">
        <v>-0.25</v>
      </c>
      <c r="AI121" s="436">
        <f>IF(OR(AG121=0,AH121=0),'Data Standar'!$Z$221/3,((MAX(AG121:AH121)-(MIN(AG121:AH121)))))</f>
        <v>1.01</v>
      </c>
      <c r="AJ121" s="434">
        <f>(0.19-0)/2</f>
        <v>9.5000000000000001E-2</v>
      </c>
      <c r="AK121" s="423"/>
      <c r="AL121" s="435">
        <v>200</v>
      </c>
      <c r="AM121" s="337">
        <f>'Data Standar'!AA220</f>
        <v>0.96</v>
      </c>
      <c r="AN121" s="338"/>
      <c r="AO121" s="436">
        <f>IF(OR(AM121=0,AN121=0),'Data Standar'!$AA$221/3,((MAX(AM121:AN121)-(MIN(AM121:AN121)))))</f>
        <v>8.3333333333333329E-2</v>
      </c>
      <c r="AP121" s="434">
        <f>(0.19-0)/2</f>
        <v>9.5000000000000001E-2</v>
      </c>
      <c r="AQ121" s="423"/>
      <c r="AR121" s="435">
        <v>200</v>
      </c>
      <c r="AS121" s="337">
        <f>'Data Standar'!AB220</f>
        <v>0.82</v>
      </c>
      <c r="AT121" s="338"/>
      <c r="AU121" s="436">
        <f>IF(OR(AS121=0,AT121=0),'Data Standar'!$AB$221/3,((MAX(AS121:AT121)-(MIN(AS121:AT121)))))</f>
        <v>8.3333333333333329E-2</v>
      </c>
      <c r="AV121" s="434">
        <f>(0.19-0)/2</f>
        <v>9.5000000000000001E-2</v>
      </c>
      <c r="AW121" s="423"/>
      <c r="AX121" s="435">
        <v>200</v>
      </c>
      <c r="AY121" s="337">
        <f>'Data Standar'!AC220</f>
        <v>-0.26</v>
      </c>
      <c r="AZ121" s="338"/>
      <c r="BA121" s="436">
        <f>IF(OR(AY121=0,AZ121=0),'Data Standar'!$AC$221/3,((MAX(AY121:AZ121)-(MIN(AY121:AZ121)))))</f>
        <v>0.26333333333333336</v>
      </c>
      <c r="BB121" s="434">
        <f>(0.19-0)/2</f>
        <v>9.5000000000000001E-2</v>
      </c>
      <c r="BC121" s="423"/>
      <c r="BD121" s="435">
        <v>200</v>
      </c>
      <c r="BE121" s="337">
        <f>'Data Standar'!AD220</f>
        <v>-0.06</v>
      </c>
      <c r="BF121" s="338"/>
      <c r="BG121" s="436">
        <f>IF(OR(BE121=0,BF121=0),'Data Standar'!$AD$221/3,((MAX(BE121:BF121)-(MIN(BE121:BF121)))))</f>
        <v>9.0000000000000011E-2</v>
      </c>
      <c r="BH121" s="434">
        <f>(0.19-0)/2</f>
        <v>9.5000000000000001E-2</v>
      </c>
      <c r="BI121" s="423"/>
      <c r="BJ121" s="435">
        <v>200</v>
      </c>
      <c r="BK121" s="337">
        <f>'Data Standar'!AE220</f>
        <v>-0.26</v>
      </c>
      <c r="BL121" s="338"/>
      <c r="BM121" s="436">
        <f>IF(OR(BK121=0,BL121=0),'Data Standar'!$AE$221/3,((MAX(BK121:BL121)-(MIN(BK121:BL121)))))</f>
        <v>0.26333333333333336</v>
      </c>
      <c r="BN121" s="434">
        <f>(0.19-0)/2</f>
        <v>9.5000000000000001E-2</v>
      </c>
      <c r="BO121" s="423"/>
      <c r="BP121" s="435">
        <v>200</v>
      </c>
      <c r="BQ121" s="337">
        <f>'Data Standar'!AF220</f>
        <v>-1.06</v>
      </c>
      <c r="BR121" s="338"/>
      <c r="BS121" s="436">
        <f>IF(OR(BQ121=0,BR121=0),'Data Standar'!$AF$221/3,((MAX(BQ121:BR121)-(MIN(BQ121:BR121)))))</f>
        <v>8.666666666666667E-2</v>
      </c>
      <c r="BT121" s="434">
        <f>(0.19-0)/2</f>
        <v>9.5000000000000001E-2</v>
      </c>
      <c r="BU121" s="423"/>
      <c r="BV121" s="435">
        <v>200</v>
      </c>
      <c r="BW121" s="337">
        <f>'Data Standar'!AG220</f>
        <v>-0.93</v>
      </c>
      <c r="BX121" s="338"/>
      <c r="BY121" s="436">
        <f>IF(OR(BW121=0,BX121=0),'Data Standar'!$AG$221/3,((MAX(BW121:BX121)-(MIN(BW121:BX121)))))</f>
        <v>9.3333333333333338E-2</v>
      </c>
      <c r="BZ121" s="434">
        <f>(0.19-0)/2</f>
        <v>9.5000000000000001E-2</v>
      </c>
      <c r="CA121" s="423"/>
      <c r="CB121" s="435">
        <v>200</v>
      </c>
      <c r="CC121" s="337">
        <f t="shared" si="58"/>
        <v>0</v>
      </c>
      <c r="CD121" s="338">
        <f t="shared" si="61"/>
        <v>-0.6</v>
      </c>
      <c r="CE121" s="436">
        <f t="shared" si="64"/>
        <v>0.30000000000000004</v>
      </c>
      <c r="CF121" s="434">
        <f>(0.19-0)/2</f>
        <v>9.5000000000000001E-2</v>
      </c>
      <c r="CG121" s="423"/>
      <c r="CH121" s="435">
        <v>200</v>
      </c>
      <c r="CI121" s="337">
        <f t="shared" si="59"/>
        <v>0.34</v>
      </c>
      <c r="CJ121" s="338">
        <f t="shared" si="62"/>
        <v>0.47</v>
      </c>
      <c r="CK121" s="436">
        <f t="shared" si="65"/>
        <v>0.12999999999999995</v>
      </c>
      <c r="CL121" s="434">
        <f>(0.19-0)/2</f>
        <v>9.5000000000000001E-2</v>
      </c>
      <c r="CM121" s="423"/>
      <c r="CN121" s="435">
        <v>200</v>
      </c>
      <c r="CO121" s="337">
        <f t="shared" si="60"/>
        <v>-0.26</v>
      </c>
      <c r="CP121" s="338">
        <f t="shared" si="63"/>
        <v>0.99</v>
      </c>
      <c r="CQ121" s="436">
        <f t="shared" si="66"/>
        <v>1.25</v>
      </c>
      <c r="CR121" s="434">
        <f>(0.19-0)/2</f>
        <v>9.5000000000000001E-2</v>
      </c>
      <c r="CS121" s="423"/>
    </row>
    <row r="122" spans="1:97" s="423" customFormat="1" ht="13">
      <c r="B122" s="442"/>
      <c r="C122" s="424"/>
      <c r="D122" s="424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T122" s="424"/>
      <c r="U122" s="424"/>
      <c r="V122" s="424"/>
      <c r="W122" s="424"/>
      <c r="X122" s="424"/>
      <c r="Y122" s="424"/>
      <c r="Z122" s="424"/>
      <c r="AA122" s="424"/>
      <c r="AB122" s="424"/>
      <c r="AH122" s="424"/>
      <c r="AJ122" s="425"/>
      <c r="AN122" s="424"/>
      <c r="AP122" s="425"/>
      <c r="AT122" s="424"/>
      <c r="AV122" s="425"/>
      <c r="AZ122" s="424"/>
      <c r="BB122" s="425"/>
      <c r="BF122" s="424"/>
      <c r="BH122" s="425"/>
      <c r="BL122" s="424"/>
      <c r="BN122" s="425"/>
      <c r="BR122" s="424"/>
      <c r="BT122" s="425"/>
      <c r="BX122" s="424"/>
      <c r="BZ122" s="425"/>
      <c r="CD122" s="424"/>
      <c r="CF122" s="425"/>
      <c r="CJ122" s="424"/>
      <c r="CL122" s="425"/>
      <c r="CP122" s="424"/>
      <c r="CR122" s="425"/>
    </row>
    <row r="123" spans="1:97" s="427" customFormat="1" ht="41" customHeight="1">
      <c r="A123" s="423"/>
      <c r="B123" s="1317" t="s">
        <v>393</v>
      </c>
      <c r="C123" s="1315" t="str">
        <f>C108</f>
        <v>Thermocouple Data Logger, Merek : MADGETECH, Model : OctTemp 2000, SN : P40270</v>
      </c>
      <c r="D123" s="1315"/>
      <c r="E123" s="1315"/>
      <c r="F123" s="426" t="s">
        <v>383</v>
      </c>
      <c r="G123" s="984">
        <f>Drift!$B$165</f>
        <v>161.46416666666667</v>
      </c>
      <c r="H123" s="1317" t="str">
        <f>B123</f>
        <v>CH 9</v>
      </c>
      <c r="I123" s="1315" t="str">
        <f>I108</f>
        <v>Thermocouple Data Logger, Merek : MADGETECH, Model : OctTemp 2000, SN : P41878</v>
      </c>
      <c r="J123" s="1315"/>
      <c r="K123" s="1315"/>
      <c r="L123" s="426" t="s">
        <v>383</v>
      </c>
      <c r="M123" s="984">
        <f>Drift!$B$165</f>
        <v>161.46416666666667</v>
      </c>
      <c r="N123" s="1317" t="str">
        <f>H123</f>
        <v>CH 9</v>
      </c>
      <c r="O123" s="1315" t="str">
        <f>O108</f>
        <v>Mobile Corder, Merek : Yokogawa, Model : GP 10, SN : S5T810599</v>
      </c>
      <c r="P123" s="1316"/>
      <c r="Q123" s="1315"/>
      <c r="R123" s="426"/>
      <c r="S123" s="984">
        <f>Drift!$B$165</f>
        <v>161.46416666666667</v>
      </c>
      <c r="T123" s="1317" t="str">
        <f>N123</f>
        <v>CH 9</v>
      </c>
      <c r="U123" s="1315" t="str">
        <f>U108</f>
        <v>Wireless Temperature Recorder : Merek : HIOKI, Model : LR 8510, SN : 200936000</v>
      </c>
      <c r="V123" s="1316"/>
      <c r="W123" s="1315"/>
      <c r="X123" s="426" t="s">
        <v>383</v>
      </c>
      <c r="Y123" s="984">
        <f>Drift!$B$165</f>
        <v>161.46416666666667</v>
      </c>
      <c r="Z123" s="1317" t="str">
        <f>T123</f>
        <v>CH 9</v>
      </c>
      <c r="AA123" s="1315" t="str">
        <f>AA108</f>
        <v>Wireless Temperature Recorder : Merek : HIOKI, Model : LR 8510, SN : 200936001</v>
      </c>
      <c r="AB123" s="1316"/>
      <c r="AC123" s="1315"/>
      <c r="AD123" s="426" t="s">
        <v>383</v>
      </c>
      <c r="AE123" s="984">
        <f>Drift!$B$165</f>
        <v>161.46416666666667</v>
      </c>
      <c r="AF123" s="1317" t="str">
        <f>Z123</f>
        <v>CH 9</v>
      </c>
      <c r="AG123" s="1315" t="str">
        <f>AG108</f>
        <v>Wireless Temperature Recorder : Merek : HIOKI, Model : LR 8510, SN : 200821397</v>
      </c>
      <c r="AH123" s="1316"/>
      <c r="AI123" s="1315"/>
      <c r="AJ123" s="426" t="s">
        <v>383</v>
      </c>
      <c r="AK123" s="984">
        <f>Drift!$B$165</f>
        <v>161.46416666666667</v>
      </c>
      <c r="AL123" s="1317" t="str">
        <f>AF123</f>
        <v>CH 9</v>
      </c>
      <c r="AM123" s="1315" t="str">
        <f>AM108</f>
        <v>Wireless Temperature Recorder : Merek : HIOKI, Model : LR 8510, SN : 210411983</v>
      </c>
      <c r="AN123" s="1316"/>
      <c r="AO123" s="1315"/>
      <c r="AP123" s="426" t="s">
        <v>383</v>
      </c>
      <c r="AQ123" s="984">
        <f>Drift!$B$165</f>
        <v>161.46416666666667</v>
      </c>
      <c r="AR123" s="1317" t="str">
        <f>AL123</f>
        <v>CH 9</v>
      </c>
      <c r="AS123" s="1315" t="str">
        <f>AS108</f>
        <v>Wireless Temperature Recorder : Merek : HIOKI, Model : LR 8510, SN : 210411984</v>
      </c>
      <c r="AT123" s="1316"/>
      <c r="AU123" s="1315"/>
      <c r="AV123" s="426" t="s">
        <v>383</v>
      </c>
      <c r="AW123" s="984">
        <f>Drift!$B$165</f>
        <v>161.46416666666667</v>
      </c>
      <c r="AX123" s="1317" t="str">
        <f>AR123</f>
        <v>CH 9</v>
      </c>
      <c r="AY123" s="1315" t="str">
        <f>AY108</f>
        <v>Wireless Temperature Recorder : Merek : HIOKI, Model : LR 8510, SN : 210411985</v>
      </c>
      <c r="AZ123" s="1316"/>
      <c r="BA123" s="1315"/>
      <c r="BB123" s="426" t="s">
        <v>383</v>
      </c>
      <c r="BC123" s="984">
        <f>Drift!$B$165</f>
        <v>161.46416666666667</v>
      </c>
      <c r="BD123" s="1317" t="str">
        <f>AX123</f>
        <v>CH 9</v>
      </c>
      <c r="BE123" s="1315" t="str">
        <f>BE108</f>
        <v>Wireless Temperature Recorder : Merek : HIOKI, Model : LR 8510, SN : 210746054</v>
      </c>
      <c r="BF123" s="1316"/>
      <c r="BG123" s="1315"/>
      <c r="BH123" s="426" t="s">
        <v>383</v>
      </c>
      <c r="BI123" s="984">
        <f>Drift!$B$165</f>
        <v>161.46416666666667</v>
      </c>
      <c r="BJ123" s="1317" t="str">
        <f>BD123</f>
        <v>CH 9</v>
      </c>
      <c r="BK123" s="1315" t="str">
        <f>BK108</f>
        <v>Wireless Temperature Recorder : Merek : HIOKI, Model : LR 8510, SN : 210746055</v>
      </c>
      <c r="BL123" s="1316"/>
      <c r="BM123" s="1315"/>
      <c r="BN123" s="426" t="s">
        <v>383</v>
      </c>
      <c r="BO123" s="984">
        <f>Drift!$B$165</f>
        <v>161.46416666666667</v>
      </c>
      <c r="BP123" s="1319" t="str">
        <f>BJ123</f>
        <v>CH 9</v>
      </c>
      <c r="BQ123" s="1315" t="str">
        <f>BQ108</f>
        <v>Wireless Temperature Recorder : Merek : HIOKI, Model : LR 8510, SN : 210746056</v>
      </c>
      <c r="BR123" s="1316"/>
      <c r="BS123" s="1315"/>
      <c r="BT123" s="426" t="s">
        <v>383</v>
      </c>
      <c r="BU123" s="984">
        <f>Drift!$B$165</f>
        <v>161.46416666666667</v>
      </c>
      <c r="BV123" s="1317" t="str">
        <f>BP123</f>
        <v>CH 9</v>
      </c>
      <c r="BW123" s="1315" t="str">
        <f>BW108</f>
        <v>Wireless Temperature Recorder : Merek : HIOKI, Model : LR 8510, SN : 200821396</v>
      </c>
      <c r="BX123" s="1316"/>
      <c r="BY123" s="1315"/>
      <c r="BZ123" s="426" t="s">
        <v>383</v>
      </c>
      <c r="CA123" s="984">
        <f>Drift!$B$165</f>
        <v>161.46416666666667</v>
      </c>
      <c r="CB123" s="1317" t="str">
        <f>BV123</f>
        <v>CH 9</v>
      </c>
      <c r="CC123" s="1315" t="str">
        <f t="shared" ref="CC123:CC136" si="67">CC108</f>
        <v>Reference Thermometer, Merek : APPA, Model : APPA51, SN : 03002948</v>
      </c>
      <c r="CD123" s="1316"/>
      <c r="CE123" s="1315"/>
      <c r="CF123" s="426" t="s">
        <v>383</v>
      </c>
      <c r="CG123" s="423"/>
      <c r="CH123" s="1317" t="str">
        <f>CB123</f>
        <v>CH 9</v>
      </c>
      <c r="CI123" s="1315" t="str">
        <f t="shared" ref="CI123:CI136" si="68">CI108</f>
        <v>Reference Thermometer, Merek : FLUKE, Model : 1524, SN : 1803038</v>
      </c>
      <c r="CJ123" s="1316"/>
      <c r="CK123" s="1315"/>
      <c r="CL123" s="426" t="s">
        <v>383</v>
      </c>
      <c r="CM123" s="423"/>
      <c r="CN123" s="1317" t="str">
        <f>CH123</f>
        <v>CH 9</v>
      </c>
      <c r="CO123" s="1315" t="str">
        <f t="shared" ref="CO123:CO136" si="69">CO108</f>
        <v>Reference Thermometer, Merek : FLUKE, Model : 1524, SN : 1803037</v>
      </c>
      <c r="CP123" s="1316"/>
      <c r="CQ123" s="1315"/>
      <c r="CR123" s="426" t="s">
        <v>383</v>
      </c>
      <c r="CS123" s="423"/>
    </row>
    <row r="124" spans="1:97" s="427" customFormat="1" ht="13">
      <c r="A124" s="423"/>
      <c r="B124" s="1318"/>
      <c r="C124" s="432"/>
      <c r="D124" s="432"/>
      <c r="E124" s="429" t="s">
        <v>385</v>
      </c>
      <c r="F124" s="430"/>
      <c r="G124" s="985">
        <f>IF(G123&lt;=B132,B131,IF(G123&lt;=B133,B132,IF(G123&lt;=B134,B133,IF(G123&lt;=B135,B134,IF(G123&lt;=B136,B135)))))</f>
        <v>150</v>
      </c>
      <c r="H124" s="1318"/>
      <c r="I124" s="431"/>
      <c r="J124" s="432"/>
      <c r="K124" s="429" t="s">
        <v>385</v>
      </c>
      <c r="L124" s="433"/>
      <c r="M124" s="985">
        <f>IF(M123&lt;=H132,H131,IF(M123&lt;=H133,H132,IF(M123&lt;=H134,H133,IF(M123&lt;=H135,H134,IF(M123&lt;=H136,H135)))))</f>
        <v>150</v>
      </c>
      <c r="N124" s="1318"/>
      <c r="O124" s="431">
        <f>O19</f>
        <v>2021</v>
      </c>
      <c r="P124" s="432">
        <f>P19</f>
        <v>2023</v>
      </c>
      <c r="Q124" s="429" t="s">
        <v>385</v>
      </c>
      <c r="R124" s="434"/>
      <c r="S124" s="985">
        <f>IF(S123&lt;=N132,N131,IF(S123&lt;=N133,N132,IF(S123&lt;=N134,N133,IF(S123&lt;=N135,N134,IF(S123&lt;=N136,N135)))))</f>
        <v>150</v>
      </c>
      <c r="T124" s="1318"/>
      <c r="U124" s="431">
        <f>U109</f>
        <v>2022</v>
      </c>
      <c r="V124" s="432"/>
      <c r="W124" s="429" t="s">
        <v>385</v>
      </c>
      <c r="X124" s="434"/>
      <c r="Y124" s="985">
        <f>IF(Y123&lt;=T132,T131,IF(Y123&lt;=T133,T132,IF(Y123&lt;=T134,T133,IF(Y123&lt;=T135,T134,IF(Y123&lt;=T136,T135)))))</f>
        <v>150</v>
      </c>
      <c r="Z124" s="1318"/>
      <c r="AA124" s="431">
        <f>AA109</f>
        <v>2023</v>
      </c>
      <c r="AB124" s="432"/>
      <c r="AC124" s="429" t="s">
        <v>385</v>
      </c>
      <c r="AD124" s="434"/>
      <c r="AE124" s="985">
        <f>IF(AE123&lt;=Z132,Z131,IF(AE123&lt;=Z133,Z132,IF(AE123&lt;=Z134,Z133,IF(AE123&lt;=Z135,Z134,IF(AE123&lt;=Z136,Z135)))))</f>
        <v>150</v>
      </c>
      <c r="AF124" s="1318"/>
      <c r="AG124" s="431">
        <f>AG109</f>
        <v>2023</v>
      </c>
      <c r="AH124" s="431">
        <f>AH109</f>
        <v>2021</v>
      </c>
      <c r="AI124" s="429" t="s">
        <v>385</v>
      </c>
      <c r="AJ124" s="434"/>
      <c r="AK124" s="985">
        <f>IF(AK123&lt;=AF132,AF131,IF(AK123&lt;=AF133,AF132,IF(AK123&lt;=AF134,AF133,IF(AK123&lt;=AF135,AF134,IF(AK123&lt;=AF136,AF135)))))</f>
        <v>150</v>
      </c>
      <c r="AL124" s="1318"/>
      <c r="AM124" s="431">
        <f>AM109</f>
        <v>2023</v>
      </c>
      <c r="AN124" s="432"/>
      <c r="AO124" s="429" t="s">
        <v>385</v>
      </c>
      <c r="AP124" s="434"/>
      <c r="AQ124" s="985">
        <f>IF(AQ123&lt;=AL132,AL131,IF(AQ123&lt;=AL133,AL132,IF(AQ123&lt;=AL134,AL133,IF(AQ123&lt;=AL135,AL134,IF(AQ123&lt;=AL136,AL135)))))</f>
        <v>150</v>
      </c>
      <c r="AR124" s="1318"/>
      <c r="AS124" s="431">
        <f>AS109</f>
        <v>2023</v>
      </c>
      <c r="AT124" s="432"/>
      <c r="AU124" s="429" t="s">
        <v>385</v>
      </c>
      <c r="AV124" s="434"/>
      <c r="AW124" s="985">
        <f>IF(AW123&lt;=AR132,AR131,IF(AW123&lt;=AR133,AR132,IF(AW123&lt;=AR134,AR133,IF(AW123&lt;=AR135,AR134,IF(AW123&lt;=AR136,AR135)))))</f>
        <v>150</v>
      </c>
      <c r="AX124" s="1318"/>
      <c r="AY124" s="431">
        <f>AY109</f>
        <v>2021</v>
      </c>
      <c r="AZ124" s="432"/>
      <c r="BA124" s="429" t="s">
        <v>385</v>
      </c>
      <c r="BB124" s="434"/>
      <c r="BC124" s="985">
        <f>IF(BC123&lt;=AX132,AX131,IF(BC123&lt;=AX133,AX132,IF(BC123&lt;=AX134,AX133,IF(BC123&lt;=AX135,AX134,IF(BC123&lt;=AX136,AX135)))))</f>
        <v>150</v>
      </c>
      <c r="BD124" s="1318"/>
      <c r="BE124" s="431">
        <f>BE109</f>
        <v>2022</v>
      </c>
      <c r="BF124" s="432"/>
      <c r="BG124" s="429" t="s">
        <v>385</v>
      </c>
      <c r="BH124" s="434"/>
      <c r="BI124" s="985">
        <f>IF(BI123&lt;=BD132,BD131,IF(BI123&lt;=BD133,BD132,IF(BI123&lt;=BD134,BD133,IF(BI123&lt;=BD135,BD134,IF(BI123&lt;=BD136,BD135)))))</f>
        <v>150</v>
      </c>
      <c r="BJ124" s="1318"/>
      <c r="BK124" s="431">
        <f>BK109</f>
        <v>2021</v>
      </c>
      <c r="BL124" s="432"/>
      <c r="BM124" s="429" t="s">
        <v>385</v>
      </c>
      <c r="BN124" s="434"/>
      <c r="BO124" s="985">
        <f>IF(BO123&lt;=BJ132,BJ131,IF(BO123&lt;=BJ133,BJ132,IF(BO123&lt;=BJ134,BJ133,IF(BO123&lt;=BJ135,BJ134,IF(BO123&lt;=BJ136,BJ135)))))</f>
        <v>150</v>
      </c>
      <c r="BP124" s="1320"/>
      <c r="BQ124" s="431">
        <f>BQ109</f>
        <v>2022</v>
      </c>
      <c r="BR124" s="432"/>
      <c r="BS124" s="429" t="s">
        <v>385</v>
      </c>
      <c r="BT124" s="434"/>
      <c r="BU124" s="985">
        <f>IF(BU123&lt;=BP132,BP131,IF(BU123&lt;=BP133,BP132,IF(BU123&lt;=BP134,BP133,IF(BU123&lt;=BP135,BP134,IF(BU123&lt;=BP136,BP135)))))</f>
        <v>150</v>
      </c>
      <c r="BV124" s="1318"/>
      <c r="BW124" s="431">
        <f>BW109</f>
        <v>2022</v>
      </c>
      <c r="BX124" s="432"/>
      <c r="BY124" s="429" t="s">
        <v>385</v>
      </c>
      <c r="BZ124" s="434"/>
      <c r="CA124" s="985">
        <f>IF(CA123&lt;=BV132,BV131,IF(CA123&lt;=BV133,BV132,IF(CA123&lt;=BV134,BV133,IF(CA123&lt;=BV135,BV134,IF(CA123&lt;=BV136,BV135)))))</f>
        <v>150</v>
      </c>
      <c r="CB124" s="1318"/>
      <c r="CC124" s="431">
        <f t="shared" si="67"/>
        <v>2022</v>
      </c>
      <c r="CD124" s="432">
        <v>2020</v>
      </c>
      <c r="CE124" s="429" t="s">
        <v>385</v>
      </c>
      <c r="CF124" s="434"/>
      <c r="CG124" s="446"/>
      <c r="CH124" s="1318"/>
      <c r="CI124" s="431">
        <f t="shared" si="68"/>
        <v>2021</v>
      </c>
      <c r="CJ124" s="432">
        <f t="shared" ref="CJ124:CJ136" si="70">CJ109</f>
        <v>2019</v>
      </c>
      <c r="CK124" s="429" t="s">
        <v>385</v>
      </c>
      <c r="CL124" s="434"/>
      <c r="CM124" s="423"/>
      <c r="CN124" s="1318"/>
      <c r="CO124" s="431">
        <f t="shared" si="69"/>
        <v>2021</v>
      </c>
      <c r="CP124" s="432">
        <f t="shared" ref="CP124:CP136" si="71">CP109</f>
        <v>2020</v>
      </c>
      <c r="CQ124" s="429" t="s">
        <v>385</v>
      </c>
      <c r="CR124" s="434"/>
      <c r="CS124" s="423"/>
    </row>
    <row r="125" spans="1:97" s="427" customFormat="1" ht="13">
      <c r="A125" s="423"/>
      <c r="B125" s="435">
        <v>-20</v>
      </c>
      <c r="C125" s="337">
        <v>9.9999999999999995E-7</v>
      </c>
      <c r="D125" s="337">
        <v>9.9999999999999995E-7</v>
      </c>
      <c r="E125" s="436">
        <v>9.9999999999999995E-7</v>
      </c>
      <c r="F125" s="437"/>
      <c r="G125" s="437"/>
      <c r="H125" s="435">
        <v>-20</v>
      </c>
      <c r="I125" s="337">
        <v>9.9999999999999995E-7</v>
      </c>
      <c r="J125" s="337">
        <v>9.9999999999999995E-7</v>
      </c>
      <c r="K125" s="436">
        <v>9.9999999999999995E-7</v>
      </c>
      <c r="L125" s="437"/>
      <c r="M125" s="437"/>
      <c r="N125" s="435">
        <v>-20</v>
      </c>
      <c r="O125" s="338">
        <v>9.9999999999999995E-7</v>
      </c>
      <c r="P125" s="338">
        <f>'Data Standar'!E225</f>
        <v>-0.45</v>
      </c>
      <c r="Q125" s="436">
        <f>IF(OR(O125=0,P125=0),'Data Standar'!$E$237/3,((MAX(O125:P125)-(MIN(O125:P125)))))</f>
        <v>0.45000099999999998</v>
      </c>
      <c r="R125" s="434"/>
      <c r="S125" s="437"/>
      <c r="T125" s="435">
        <v>-20</v>
      </c>
      <c r="U125" s="337">
        <f>'Data Standar'!F225</f>
        <v>-1.4</v>
      </c>
      <c r="V125" s="338"/>
      <c r="W125" s="436">
        <f>IF(OR(U125=0,V125=0),'Data Standar'!$F$237/3,((MAX(U125:V125)-(MIN(U125:V125)))))</f>
        <v>8.3333333333333329E-2</v>
      </c>
      <c r="X125" s="434">
        <v>9.9999999999999995E-7</v>
      </c>
      <c r="Y125" s="437"/>
      <c r="Z125" s="435">
        <v>-20</v>
      </c>
      <c r="AA125" s="337">
        <f>'Data Standar'!G225</f>
        <v>0.2</v>
      </c>
      <c r="AB125" s="338"/>
      <c r="AC125" s="436">
        <f>IF(OR(AA125=0,AB125=0),'Data Standar'!$G$237/3,((MAX(AA125:AB125)-(MIN(AA125:AB125)))))</f>
        <v>8.666666666666667E-2</v>
      </c>
      <c r="AD125" s="434">
        <v>9.9999999999999995E-7</v>
      </c>
      <c r="AE125" s="437"/>
      <c r="AF125" s="435">
        <v>-20</v>
      </c>
      <c r="AG125" s="337">
        <f>'Data Standar'!H225</f>
        <v>0.19</v>
      </c>
      <c r="AH125" s="338"/>
      <c r="AI125" s="436">
        <f>IF(OR(AG125=0,AH125=0),'Data Standar'!$H$237/3,((MAX(AG125:AH125)-(MIN(AG125:AH125)))))</f>
        <v>9.0000000000000011E-2</v>
      </c>
      <c r="AJ125" s="434">
        <v>9.9999999999999995E-7</v>
      </c>
      <c r="AK125" s="437"/>
      <c r="AL125" s="435">
        <v>-20</v>
      </c>
      <c r="AM125" s="337">
        <f>'Data Standar'!I225</f>
        <v>0.44</v>
      </c>
      <c r="AN125" s="338"/>
      <c r="AO125" s="436">
        <f>IF(OR(AM125=0,AN125=0),'Data Standar'!$I$237/3,((MAX(AM125:AN125)-(MIN(AM125:AN125)))))</f>
        <v>8.3333333333333329E-2</v>
      </c>
      <c r="AP125" s="434">
        <v>9.9999999999999995E-7</v>
      </c>
      <c r="AQ125" s="437"/>
      <c r="AR125" s="435">
        <v>-20</v>
      </c>
      <c r="AS125" s="337">
        <f>'Data Standar'!J225</f>
        <v>0.36</v>
      </c>
      <c r="AT125" s="338"/>
      <c r="AU125" s="436">
        <f>IF(OR(AS125=0,AT125=0),'Data Standar'!$J$237/3,((MAX(AS125:AT125)-(MIN(AS125:AT125)))))</f>
        <v>8.3333333333333329E-2</v>
      </c>
      <c r="AV125" s="434">
        <v>9.9999999999999995E-7</v>
      </c>
      <c r="AW125" s="437"/>
      <c r="AX125" s="435">
        <v>-20</v>
      </c>
      <c r="AY125" s="337">
        <f>'Data Standar'!K225</f>
        <v>0.5</v>
      </c>
      <c r="AZ125" s="338"/>
      <c r="BA125" s="436">
        <f>IF(OR(AY125=0,AZ125=0),'Data Standar'!$K$237/3,((MAX(AY125:AZ125)-(MIN(AY125:AZ125)))))</f>
        <v>0.26333333333333336</v>
      </c>
      <c r="BB125" s="434">
        <v>9.9999999999999995E-7</v>
      </c>
      <c r="BC125" s="437"/>
      <c r="BD125" s="435">
        <v>-20</v>
      </c>
      <c r="BE125" s="337">
        <f>'Data Standar'!L225</f>
        <v>-1.1100000000000001</v>
      </c>
      <c r="BF125" s="338"/>
      <c r="BG125" s="436">
        <f>IF(OR(BE125=0,BF125=0),'Data Standar'!$L$237/3,((MAX(BE125:BF125)-(MIN(BE125:BF125)))))</f>
        <v>9.3333333333333338E-2</v>
      </c>
      <c r="BH125" s="434">
        <v>9.9999999999999995E-7</v>
      </c>
      <c r="BI125" s="437"/>
      <c r="BJ125" s="435">
        <v>-20</v>
      </c>
      <c r="BK125" s="337">
        <f>'Data Standar'!M225</f>
        <v>0.5</v>
      </c>
      <c r="BL125" s="338"/>
      <c r="BM125" s="436">
        <f>IF(OR(BK125=0,BL125=0),'Data Standar'!$M$237/3,((MAX(BK125:BL125)-(MIN(BK125:BL125)))))</f>
        <v>0.26333333333333336</v>
      </c>
      <c r="BN125" s="434">
        <v>9.9999999999999995E-7</v>
      </c>
      <c r="BO125" s="437"/>
      <c r="BP125" s="435">
        <v>-20</v>
      </c>
      <c r="BQ125" s="337">
        <f>'Data Standar'!N225</f>
        <v>-1.26</v>
      </c>
      <c r="BR125" s="338"/>
      <c r="BS125" s="436">
        <f>IF(OR(BQ125=0,BR125=0),'Data Standar'!$N$237/3,((MAX(BQ125:BR125)-(MIN(BQ125:BR125)))))</f>
        <v>8.3333333333333329E-2</v>
      </c>
      <c r="BT125" s="434">
        <v>9.9999999999999995E-7</v>
      </c>
      <c r="BU125" s="437"/>
      <c r="BV125" s="435">
        <v>-20</v>
      </c>
      <c r="BW125" s="337">
        <f>'Data Standar'!O225</f>
        <v>-1.42</v>
      </c>
      <c r="BX125" s="338"/>
      <c r="BY125" s="436">
        <f>IF(OR(BW125=0,BX125=0),'Data Standar'!$O$237/3,((MAX(BW125:BX125)-(MIN(BW125:BX125)))))</f>
        <v>9.0000000000000011E-2</v>
      </c>
      <c r="BZ125" s="434">
        <v>9.9999999999999995E-7</v>
      </c>
      <c r="CA125" s="437"/>
      <c r="CB125" s="435">
        <v>-20</v>
      </c>
      <c r="CC125" s="337">
        <f t="shared" si="67"/>
        <v>-1.1000000000000001</v>
      </c>
      <c r="CD125" s="338">
        <v>-0.7</v>
      </c>
      <c r="CE125" s="436">
        <f t="shared" ref="CE125:CE136" si="72">CE110</f>
        <v>0.40000000000000013</v>
      </c>
      <c r="CF125" s="434">
        <v>9.9999999999999995E-7</v>
      </c>
      <c r="CG125" s="446"/>
      <c r="CH125" s="435">
        <v>-20</v>
      </c>
      <c r="CI125" s="337">
        <f t="shared" si="68"/>
        <v>-0.15</v>
      </c>
      <c r="CJ125" s="338">
        <f t="shared" si="70"/>
        <v>-0.32</v>
      </c>
      <c r="CK125" s="436">
        <f t="shared" ref="CK125:CK136" si="73">CK110</f>
        <v>0.17</v>
      </c>
      <c r="CL125" s="434">
        <v>9.9999999999999995E-7</v>
      </c>
      <c r="CM125" s="423"/>
      <c r="CN125" s="435">
        <v>-20</v>
      </c>
      <c r="CO125" s="337">
        <f t="shared" si="69"/>
        <v>-1.8</v>
      </c>
      <c r="CP125" s="338">
        <f t="shared" si="71"/>
        <v>-0.51</v>
      </c>
      <c r="CQ125" s="436">
        <f t="shared" ref="CQ125:CQ136" si="74">CQ110</f>
        <v>1.29</v>
      </c>
      <c r="CR125" s="434">
        <v>9.9999999999999995E-7</v>
      </c>
      <c r="CS125" s="423"/>
    </row>
    <row r="126" spans="1:97" s="427" customFormat="1" ht="13">
      <c r="A126" s="423"/>
      <c r="B126" s="435">
        <v>-15</v>
      </c>
      <c r="C126" s="337">
        <v>9.9999999999999995E-7</v>
      </c>
      <c r="D126" s="337">
        <v>9.9999999999999995E-7</v>
      </c>
      <c r="E126" s="436">
        <v>9.9999999999999995E-7</v>
      </c>
      <c r="F126" s="437"/>
      <c r="G126" s="985">
        <f>IF(G123&lt;=B131,B131,IF(G123&lt;=B132,B132,IF(G123&lt;=B133,B133,IF(G123&lt;=B134,B134,IF(G123&lt;=B135,B135,IF(G123&lt;=B136,B136))))))</f>
        <v>200</v>
      </c>
      <c r="H126" s="435">
        <v>-15</v>
      </c>
      <c r="I126" s="337">
        <v>9.9999999999999995E-7</v>
      </c>
      <c r="J126" s="337">
        <v>9.9999999999999995E-7</v>
      </c>
      <c r="K126" s="436">
        <v>9.9999999999999995E-7</v>
      </c>
      <c r="L126" s="437"/>
      <c r="M126" s="985">
        <f>IF(M123&lt;=H131,H131,IF(M123&lt;=H132,H132,IF(M123&lt;=H133,H133,IF(M123&lt;=H134,H134,IF(M123&lt;=H135,H135,IF(M123&lt;=H136,H136))))))</f>
        <v>200</v>
      </c>
      <c r="N126" s="435">
        <v>-15</v>
      </c>
      <c r="O126" s="338">
        <v>9.9999999999999995E-7</v>
      </c>
      <c r="P126" s="338">
        <f>'Data Standar'!E226</f>
        <v>-0.38</v>
      </c>
      <c r="Q126" s="436">
        <f>IF(OR(O126=0,P126=0),'Data Standar'!$E$237/3,((MAX(O126:P126)-(MIN(O126:P126)))))</f>
        <v>0.38000099999999998</v>
      </c>
      <c r="R126" s="434"/>
      <c r="S126" s="985">
        <f>IF(S123&lt;=N131,N131,IF(S123&lt;=N132,N132,IF(S123&lt;=N133,N133,IF(S123&lt;=N134,N134,IF(S123&lt;=N135,N135,IF(S123&lt;=N136,N136))))))</f>
        <v>200</v>
      </c>
      <c r="T126" s="435">
        <v>-15</v>
      </c>
      <c r="U126" s="337">
        <f>'Data Standar'!F226</f>
        <v>-1.1499999999999999</v>
      </c>
      <c r="V126" s="338"/>
      <c r="W126" s="436">
        <f>IF(OR(U126=0,V126=0),'Data Standar'!$F$237/3,((MAX(U126:V126)-(MIN(U126:V126)))))</f>
        <v>8.3333333333333329E-2</v>
      </c>
      <c r="X126" s="434">
        <f>(0.08-0)/2</f>
        <v>0.04</v>
      </c>
      <c r="Y126" s="985">
        <f>IF(Y123&lt;=T131,T131,IF(Y123&lt;=T132,T132,IF(Y123&lt;=T133,T133,IF(Y123&lt;=T134,T134,IF(Y123&lt;=T135,T135,IF(Y123&lt;=T136,T136))))))</f>
        <v>200</v>
      </c>
      <c r="Z126" s="435">
        <v>-15</v>
      </c>
      <c r="AA126" s="337">
        <f>'Data Standar'!G226</f>
        <v>0.24</v>
      </c>
      <c r="AB126" s="338"/>
      <c r="AC126" s="436">
        <f>IF(OR(AA126=0,AB126=0),'Data Standar'!$G$237/3,((MAX(AA126:AB126)-(MIN(AA126:AB126)))))</f>
        <v>8.666666666666667E-2</v>
      </c>
      <c r="AD126" s="434">
        <f>(0.08-0)/2</f>
        <v>0.04</v>
      </c>
      <c r="AE126" s="985">
        <f>IF(AE123&lt;=Z131,Z131,IF(AE123&lt;=Z132,Z132,IF(AE123&lt;=Z133,Z133,IF(AE123&lt;=Z134,Z134,IF(AE123&lt;=Z135,Z135,IF(AE123&lt;=Z136,Z136))))))</f>
        <v>200</v>
      </c>
      <c r="AF126" s="435">
        <v>-15</v>
      </c>
      <c r="AG126" s="337">
        <f>'Data Standar'!H226</f>
        <v>0.24</v>
      </c>
      <c r="AH126" s="338"/>
      <c r="AI126" s="436">
        <f>IF(OR(AG126=0,AH126=0),'Data Standar'!$H$237/3,((MAX(AG126:AH126)-(MIN(AG126:AH126)))))</f>
        <v>9.0000000000000011E-2</v>
      </c>
      <c r="AJ126" s="434">
        <f>(0.08-0)/2</f>
        <v>0.04</v>
      </c>
      <c r="AK126" s="985">
        <f>IF(AK123&lt;=AF131,AF131,IF(AK123&lt;=AF132,AF132,IF(AK123&lt;=AF133,AF133,IF(AK123&lt;=AF134,AF134,IF(AK123&lt;=AF135,AF135,IF(AK123&lt;=AF136,AF136))))))</f>
        <v>200</v>
      </c>
      <c r="AL126" s="435">
        <v>-15</v>
      </c>
      <c r="AM126" s="337">
        <f>'Data Standar'!I226</f>
        <v>0.45</v>
      </c>
      <c r="AN126" s="338"/>
      <c r="AO126" s="436">
        <f>IF(OR(AM126=0,AN126=0),'Data Standar'!$I$237/3,((MAX(AM126:AN126)-(MIN(AM126:AN126)))))</f>
        <v>8.3333333333333329E-2</v>
      </c>
      <c r="AP126" s="434">
        <f>(0.08-0)/2</f>
        <v>0.04</v>
      </c>
      <c r="AQ126" s="985">
        <f>IF(AQ123&lt;=AL131,AL131,IF(AQ123&lt;=AL132,AL132,IF(AQ123&lt;=AL133,AL133,IF(AQ123&lt;=AL134,AL134,IF(AQ123&lt;=AL135,AL135,IF(AQ123&lt;=AL136,AL136))))))</f>
        <v>200</v>
      </c>
      <c r="AR126" s="435">
        <v>-15</v>
      </c>
      <c r="AS126" s="337">
        <f>'Data Standar'!J226</f>
        <v>0.38</v>
      </c>
      <c r="AT126" s="338"/>
      <c r="AU126" s="436">
        <f>IF(OR(AS126=0,AT126=0),'Data Standar'!$J$237/3,((MAX(AS126:AT126)-(MIN(AS126:AT126)))))</f>
        <v>8.3333333333333329E-2</v>
      </c>
      <c r="AV126" s="434">
        <f>(0.08-0)/2</f>
        <v>0.04</v>
      </c>
      <c r="AW126" s="985">
        <f>IF(AW123&lt;=AR131,AR131,IF(AW123&lt;=AR132,AR132,IF(AW123&lt;=AR133,AR133,IF(AW123&lt;=AR134,AR134,IF(AW123&lt;=AR135,AR135,IF(AW123&lt;=AR136,AR136))))))</f>
        <v>200</v>
      </c>
      <c r="AX126" s="435">
        <v>-15</v>
      </c>
      <c r="AY126" s="337">
        <f>'Data Standar'!K226</f>
        <v>9.9999999999999995E-7</v>
      </c>
      <c r="AZ126" s="338"/>
      <c r="BA126" s="436">
        <f>IF(OR(AY126=0,AZ126=0),'Data Standar'!$K$237/3,((MAX(AY126:AZ126)-(MIN(AY126:AZ126)))))</f>
        <v>0.26333333333333336</v>
      </c>
      <c r="BB126" s="434">
        <f>(0.08-0)/2</f>
        <v>0.04</v>
      </c>
      <c r="BC126" s="985">
        <f>IF(BC123&lt;=AX131,AX131,IF(BC123&lt;=AX132,AX132,IF(BC123&lt;=AX133,AX133,IF(BC123&lt;=AX134,AX134,IF(BC123&lt;=AX135,AX135,IF(BC123&lt;=AX136,AX136))))))</f>
        <v>200</v>
      </c>
      <c r="BD126" s="435">
        <v>-15</v>
      </c>
      <c r="BE126" s="337">
        <f>'Data Standar'!L226</f>
        <v>-0.83</v>
      </c>
      <c r="BF126" s="338"/>
      <c r="BG126" s="436">
        <f>IF(OR(BE126=0,BF126=0),'Data Standar'!$L$237/3,((MAX(BE126:BF126)-(MIN(BE126:BF126)))))</f>
        <v>9.3333333333333338E-2</v>
      </c>
      <c r="BH126" s="434">
        <f>(0.08-0)/2</f>
        <v>0.04</v>
      </c>
      <c r="BI126" s="985">
        <f>IF(BI123&lt;=BD131,BD131,IF(BI123&lt;=BD132,BD132,IF(BI123&lt;=BD133,BD133,IF(BI123&lt;=BD134,BD134,IF(BI123&lt;=BD135,BD135,IF(BI123&lt;=BD136,BD136))))))</f>
        <v>200</v>
      </c>
      <c r="BJ126" s="435">
        <v>-15</v>
      </c>
      <c r="BK126" s="337">
        <f>'Data Standar'!M226</f>
        <v>9.9999999999999995E-7</v>
      </c>
      <c r="BL126" s="338"/>
      <c r="BM126" s="436">
        <f>IF(OR(BK126=0,BL126=0),'Data Standar'!$M$237/3,((MAX(BK126:BL126)-(MIN(BK126:BL126)))))</f>
        <v>0.26333333333333336</v>
      </c>
      <c r="BN126" s="434">
        <f>(0.08-0)/2</f>
        <v>0.04</v>
      </c>
      <c r="BO126" s="985">
        <f>IF(BO123&lt;=BJ131,BJ131,IF(BO123&lt;=BJ132,BJ132,IF(BO123&lt;=BJ133,BJ133,IF(BO123&lt;=BJ134,BJ134,IF(BO123&lt;=BJ135,BJ135,IF(BO123&lt;=BJ136,BJ136))))))</f>
        <v>200</v>
      </c>
      <c r="BP126" s="435">
        <v>-15</v>
      </c>
      <c r="BQ126" s="337">
        <f>'Data Standar'!N226</f>
        <v>-1</v>
      </c>
      <c r="BR126" s="338"/>
      <c r="BS126" s="436">
        <f>IF(OR(BQ126=0,BR126=0),'Data Standar'!$N$237/3,((MAX(BQ126:BR126)-(MIN(BQ126:BR126)))))</f>
        <v>8.3333333333333329E-2</v>
      </c>
      <c r="BT126" s="434">
        <f>(0.08-0)/2</f>
        <v>0.04</v>
      </c>
      <c r="BU126" s="985">
        <f>IF(BU123&lt;=BP131,BP131,IF(BU123&lt;=BP132,BP132,IF(BU123&lt;=BP133,BP133,IF(BU123&lt;=BP134,BP134,IF(BU123&lt;=BP135,BP135,IF(BU123&lt;=BP136,BP136))))))</f>
        <v>200</v>
      </c>
      <c r="BV126" s="435">
        <v>-15</v>
      </c>
      <c r="BW126" s="337">
        <f>'Data Standar'!O226</f>
        <v>-1.1399999999999999</v>
      </c>
      <c r="BX126" s="338"/>
      <c r="BY126" s="436">
        <f>IF(OR(BW126=0,BX126=0),'Data Standar'!$O$237/3,((MAX(BW126:BX126)-(MIN(BW126:BX126)))))</f>
        <v>9.0000000000000011E-2</v>
      </c>
      <c r="BZ126" s="434">
        <f>(0.08-0)/2</f>
        <v>0.04</v>
      </c>
      <c r="CA126" s="985">
        <f>IF(CA123&lt;=BV131,BV131,IF(CA123&lt;=BV132,BV132,IF(CA123&lt;=BV133,BV133,IF(CA123&lt;=BV134,BV134,IF(CA123&lt;=BV135,BV135,IF(CA123&lt;=BV136,BV136))))))</f>
        <v>200</v>
      </c>
      <c r="CB126" s="435">
        <v>-15</v>
      </c>
      <c r="CC126" s="337">
        <f t="shared" si="67"/>
        <v>-1.2</v>
      </c>
      <c r="CD126" s="338">
        <v>-0.7</v>
      </c>
      <c r="CE126" s="436">
        <f t="shared" si="72"/>
        <v>0.40000000000000013</v>
      </c>
      <c r="CF126" s="434">
        <f>(0.08-0)/2</f>
        <v>0.04</v>
      </c>
      <c r="CG126" s="447"/>
      <c r="CH126" s="435">
        <v>-15</v>
      </c>
      <c r="CI126" s="337">
        <f t="shared" si="68"/>
        <v>-0.1</v>
      </c>
      <c r="CJ126" s="338">
        <f t="shared" si="70"/>
        <v>-0.24</v>
      </c>
      <c r="CK126" s="436">
        <f t="shared" si="73"/>
        <v>0.13999999999999999</v>
      </c>
      <c r="CL126" s="434">
        <f>(0.08-0)/2</f>
        <v>0.04</v>
      </c>
      <c r="CM126" s="423"/>
      <c r="CN126" s="435">
        <v>-15</v>
      </c>
      <c r="CO126" s="337">
        <f t="shared" si="69"/>
        <v>-1.52</v>
      </c>
      <c r="CP126" s="338">
        <f t="shared" si="71"/>
        <v>-0.39</v>
      </c>
      <c r="CQ126" s="436">
        <f t="shared" si="74"/>
        <v>1.1299999999999999</v>
      </c>
      <c r="CR126" s="434">
        <f>(0.08-0)/2</f>
        <v>0.04</v>
      </c>
      <c r="CS126" s="423"/>
    </row>
    <row r="127" spans="1:97" s="427" customFormat="1" ht="13">
      <c r="A127" s="423"/>
      <c r="B127" s="435">
        <v>-10</v>
      </c>
      <c r="C127" s="337">
        <v>9.9999999999999995E-7</v>
      </c>
      <c r="D127" s="337">
        <v>9.9999999999999995E-7</v>
      </c>
      <c r="E127" s="436">
        <v>9.9999999999999995E-7</v>
      </c>
      <c r="F127" s="437"/>
      <c r="G127" s="437"/>
      <c r="H127" s="435">
        <v>-10</v>
      </c>
      <c r="I127" s="337">
        <v>9.9999999999999995E-7</v>
      </c>
      <c r="J127" s="337">
        <v>9.9999999999999995E-7</v>
      </c>
      <c r="K127" s="436">
        <v>9.9999999999999995E-7</v>
      </c>
      <c r="L127" s="437"/>
      <c r="M127" s="437"/>
      <c r="N127" s="435">
        <v>-10</v>
      </c>
      <c r="O127" s="338">
        <v>9.9999999999999995E-7</v>
      </c>
      <c r="P127" s="338">
        <f>'Data Standar'!E227</f>
        <v>-0.32</v>
      </c>
      <c r="Q127" s="436">
        <f>IF(OR(O127=0,P127=0),'Data Standar'!$E$237/3,((MAX(O127:P127)-(MIN(O127:P127)))))</f>
        <v>0.32000099999999998</v>
      </c>
      <c r="R127" s="434"/>
      <c r="S127" s="437"/>
      <c r="T127" s="435">
        <v>-10</v>
      </c>
      <c r="U127" s="337">
        <f>'Data Standar'!F227</f>
        <v>-0.9</v>
      </c>
      <c r="V127" s="338"/>
      <c r="W127" s="436">
        <f>IF(OR(U127=0,V127=0),'Data Standar'!$F$237/3,((MAX(U127:V127)-(MIN(U127:V127)))))</f>
        <v>8.3333333333333329E-2</v>
      </c>
      <c r="X127" s="434">
        <f>(0.09-0)/2</f>
        <v>4.4999999999999998E-2</v>
      </c>
      <c r="Y127" s="437"/>
      <c r="Z127" s="435">
        <v>-10</v>
      </c>
      <c r="AA127" s="337">
        <f>'Data Standar'!G227</f>
        <v>0.27</v>
      </c>
      <c r="AB127" s="338"/>
      <c r="AC127" s="436">
        <f>IF(OR(AA127=0,AB127=0),'Data Standar'!$G$237/3,((MAX(AA127:AB127)-(MIN(AA127:AB127)))))</f>
        <v>8.666666666666667E-2</v>
      </c>
      <c r="AD127" s="434">
        <f>(0.09-0)/2</f>
        <v>4.4999999999999998E-2</v>
      </c>
      <c r="AE127" s="437"/>
      <c r="AF127" s="435">
        <v>-10</v>
      </c>
      <c r="AG127" s="337">
        <f>'Data Standar'!H227</f>
        <v>0.26</v>
      </c>
      <c r="AH127" s="338"/>
      <c r="AI127" s="436">
        <f>IF(OR(AG127=0,AH127=0),'Data Standar'!$H$237/3,((MAX(AG127:AH127)-(MIN(AG127:AH127)))))</f>
        <v>9.0000000000000011E-2</v>
      </c>
      <c r="AJ127" s="434">
        <f>(0.09-0)/2</f>
        <v>4.4999999999999998E-2</v>
      </c>
      <c r="AK127" s="437"/>
      <c r="AL127" s="435">
        <v>-10</v>
      </c>
      <c r="AM127" s="337">
        <f>'Data Standar'!I227</f>
        <v>0.46</v>
      </c>
      <c r="AN127" s="338"/>
      <c r="AO127" s="436">
        <f>IF(OR(AM127=0,AN127=0),'Data Standar'!$I$237/3,((MAX(AM127:AN127)-(MIN(AM127:AN127)))))</f>
        <v>8.3333333333333329E-2</v>
      </c>
      <c r="AP127" s="434">
        <f>(0.09-0)/2</f>
        <v>4.4999999999999998E-2</v>
      </c>
      <c r="AQ127" s="437"/>
      <c r="AR127" s="435">
        <v>-10</v>
      </c>
      <c r="AS127" s="337">
        <f>'Data Standar'!J227</f>
        <v>0.39</v>
      </c>
      <c r="AT127" s="338"/>
      <c r="AU127" s="436">
        <f>IF(OR(AS127=0,AT127=0),'Data Standar'!$J$237/3,((MAX(AS127:AT127)-(MIN(AS127:AT127)))))</f>
        <v>8.3333333333333329E-2</v>
      </c>
      <c r="AV127" s="434">
        <f>(0.09-0)/2</f>
        <v>4.4999999999999998E-2</v>
      </c>
      <c r="AW127" s="437"/>
      <c r="AX127" s="435">
        <v>-10</v>
      </c>
      <c r="AY127" s="337">
        <f>'Data Standar'!K227</f>
        <v>0.48</v>
      </c>
      <c r="AZ127" s="338"/>
      <c r="BA127" s="436">
        <f>IF(OR(AY127=0,AZ127=0),'Data Standar'!$K$237/3,((MAX(AY127:AZ127)-(MIN(AY127:AZ127)))))</f>
        <v>0.26333333333333336</v>
      </c>
      <c r="BB127" s="434">
        <f>(0.09-0)/2</f>
        <v>4.4999999999999998E-2</v>
      </c>
      <c r="BC127" s="437"/>
      <c r="BD127" s="435">
        <v>-10</v>
      </c>
      <c r="BE127" s="337">
        <f>'Data Standar'!L227</f>
        <v>-0.6</v>
      </c>
      <c r="BF127" s="338"/>
      <c r="BG127" s="436">
        <f>IF(OR(BE127=0,BF127=0),'Data Standar'!$L$237/3,((MAX(BE127:BF127)-(MIN(BE127:BF127)))))</f>
        <v>9.3333333333333338E-2</v>
      </c>
      <c r="BH127" s="434">
        <f>(0.09-0)/2</f>
        <v>4.4999999999999998E-2</v>
      </c>
      <c r="BI127" s="437"/>
      <c r="BJ127" s="435">
        <v>-10</v>
      </c>
      <c r="BK127" s="337">
        <f>'Data Standar'!M227</f>
        <v>0.48</v>
      </c>
      <c r="BL127" s="338"/>
      <c r="BM127" s="436">
        <f>IF(OR(BK127=0,BL127=0),'Data Standar'!$M$237/3,((MAX(BK127:BL127)-(MIN(BK127:BL127)))))</f>
        <v>0.26333333333333336</v>
      </c>
      <c r="BN127" s="434">
        <f>(0.09-0)/2</f>
        <v>4.4999999999999998E-2</v>
      </c>
      <c r="BO127" s="437"/>
      <c r="BP127" s="435">
        <v>-10</v>
      </c>
      <c r="BQ127" s="337">
        <f>'Data Standar'!N227</f>
        <v>-0.78</v>
      </c>
      <c r="BR127" s="338"/>
      <c r="BS127" s="436">
        <f>IF(OR(BQ127=0,BR127=0),'Data Standar'!$N$237/3,((MAX(BQ127:BR127)-(MIN(BQ127:BR127)))))</f>
        <v>8.3333333333333329E-2</v>
      </c>
      <c r="BT127" s="434">
        <f>(0.09-0)/2</f>
        <v>4.4999999999999998E-2</v>
      </c>
      <c r="BU127" s="437"/>
      <c r="BV127" s="435">
        <v>-10</v>
      </c>
      <c r="BW127" s="337">
        <f>'Data Standar'!O227</f>
        <v>-0.89</v>
      </c>
      <c r="BX127" s="338"/>
      <c r="BY127" s="436">
        <f>IF(OR(BW127=0,BX127=0),'Data Standar'!$O$237/3,((MAX(BW127:BX127)-(MIN(BW127:BX127)))))</f>
        <v>9.0000000000000011E-2</v>
      </c>
      <c r="BZ127" s="434">
        <f>(0.09-0)/2</f>
        <v>4.4999999999999998E-2</v>
      </c>
      <c r="CA127" s="437"/>
      <c r="CB127" s="435">
        <v>-10</v>
      </c>
      <c r="CC127" s="337">
        <f t="shared" si="67"/>
        <v>-1.4</v>
      </c>
      <c r="CD127" s="338">
        <v>-0.7</v>
      </c>
      <c r="CE127" s="436">
        <f t="shared" si="72"/>
        <v>0.5</v>
      </c>
      <c r="CF127" s="434">
        <f>(0.09-0)/2</f>
        <v>4.4999999999999998E-2</v>
      </c>
      <c r="CG127" s="448"/>
      <c r="CH127" s="435">
        <v>-10</v>
      </c>
      <c r="CI127" s="337">
        <f t="shared" si="68"/>
        <v>-0.05</v>
      </c>
      <c r="CJ127" s="338">
        <f t="shared" si="70"/>
        <v>-0.18</v>
      </c>
      <c r="CK127" s="436">
        <f t="shared" si="73"/>
        <v>0.13</v>
      </c>
      <c r="CL127" s="434">
        <f>(0.09-0)/2</f>
        <v>4.4999999999999998E-2</v>
      </c>
      <c r="CM127" s="423"/>
      <c r="CN127" s="435">
        <v>-10</v>
      </c>
      <c r="CO127" s="337">
        <f t="shared" si="69"/>
        <v>-1.26</v>
      </c>
      <c r="CP127" s="338">
        <f t="shared" si="71"/>
        <v>-0.28000000000000003</v>
      </c>
      <c r="CQ127" s="436">
        <f t="shared" si="74"/>
        <v>0.98</v>
      </c>
      <c r="CR127" s="434">
        <f>(0.09-0)/2</f>
        <v>4.4999999999999998E-2</v>
      </c>
      <c r="CS127" s="423"/>
    </row>
    <row r="128" spans="1:97" s="427" customFormat="1" ht="13">
      <c r="A128" s="423"/>
      <c r="B128" s="435">
        <v>9.9999999999999995E-7</v>
      </c>
      <c r="C128" s="337">
        <v>9.9999999999999995E-7</v>
      </c>
      <c r="D128" s="337">
        <v>9.9999999999999995E-7</v>
      </c>
      <c r="E128" s="436">
        <v>9.9999999999999995E-7</v>
      </c>
      <c r="F128" s="437"/>
      <c r="G128" s="986">
        <f>VLOOKUP(G124,B131:F136,4)</f>
        <v>9.9999999999999995E-7</v>
      </c>
      <c r="H128" s="435">
        <v>9.9999999999999995E-7</v>
      </c>
      <c r="I128" s="337">
        <v>9.9999999999999995E-7</v>
      </c>
      <c r="J128" s="337">
        <v>9.9999999999999995E-7</v>
      </c>
      <c r="K128" s="436">
        <v>9.9999999999999995E-7</v>
      </c>
      <c r="L128" s="437"/>
      <c r="M128" s="986">
        <f>VLOOKUP(M124,H131:L136,4)</f>
        <v>9.9999999999999995E-7</v>
      </c>
      <c r="N128" s="435">
        <v>9.9999999999999995E-7</v>
      </c>
      <c r="O128" s="338">
        <v>9.9999999999999995E-7</v>
      </c>
      <c r="P128" s="338">
        <f>'Data Standar'!E228</f>
        <v>-0.21</v>
      </c>
      <c r="Q128" s="436">
        <f>IF(OR(O128=0,P128=0),'Data Standar'!$E$237/3,((MAX(O128:P128)-(MIN(O128:P128)))))</f>
        <v>0.21000099999999999</v>
      </c>
      <c r="R128" s="434"/>
      <c r="S128" s="986">
        <f>VLOOKUP(S124,N131:R136,4)</f>
        <v>0.280001</v>
      </c>
      <c r="T128" s="435">
        <v>9.9999999999999995E-7</v>
      </c>
      <c r="U128" s="337">
        <f>'Data Standar'!F228</f>
        <v>-0.36</v>
      </c>
      <c r="V128" s="338"/>
      <c r="W128" s="436">
        <f>IF(OR(U128=0,V128=0),'Data Standar'!$F$237/3,((MAX(U128:V128)-(MIN(U128:V128)))))</f>
        <v>8.3333333333333329E-2</v>
      </c>
      <c r="X128" s="434">
        <f>(0.11-0)/2</f>
        <v>5.5E-2</v>
      </c>
      <c r="Y128" s="986">
        <f>VLOOKUP(Y124,T131:X136,4)</f>
        <v>8.3333333333333329E-2</v>
      </c>
      <c r="Z128" s="435">
        <v>9.9999999999999995E-7</v>
      </c>
      <c r="AA128" s="337">
        <f>'Data Standar'!G228</f>
        <v>0.22</v>
      </c>
      <c r="AB128" s="338"/>
      <c r="AC128" s="436">
        <f>IF(OR(AA128=0,AB128=0),'Data Standar'!$G$237/3,((MAX(AA128:AB128)-(MIN(AA128:AB128)))))</f>
        <v>8.666666666666667E-2</v>
      </c>
      <c r="AD128" s="434">
        <f>(0.11-0)/2</f>
        <v>5.5E-2</v>
      </c>
      <c r="AE128" s="986">
        <f>VLOOKUP(AE124,Z131:AD136,4)</f>
        <v>8.666666666666667E-2</v>
      </c>
      <c r="AF128" s="435">
        <v>9.9999999999999995E-7</v>
      </c>
      <c r="AG128" s="337">
        <f>'Data Standar'!H228</f>
        <v>0.21</v>
      </c>
      <c r="AH128" s="338"/>
      <c r="AI128" s="436">
        <f>IF(OR(AG128=0,AH128=0),'Data Standar'!$H$237/3,((MAX(AG128:AH128)-(MIN(AG128:AH128)))))</f>
        <v>9.0000000000000011E-2</v>
      </c>
      <c r="AJ128" s="434">
        <f>(0.11-0)/2</f>
        <v>5.5E-2</v>
      </c>
      <c r="AK128" s="986">
        <f>VLOOKUP(AK124,AF131:AJ136,4)</f>
        <v>9.0000000000000011E-2</v>
      </c>
      <c r="AL128" s="435">
        <v>9.9999999999999995E-7</v>
      </c>
      <c r="AM128" s="337">
        <f>'Data Standar'!I228</f>
        <v>0.46</v>
      </c>
      <c r="AN128" s="338"/>
      <c r="AO128" s="436">
        <f>IF(OR(AM128=0,AN128=0),'Data Standar'!$I$237/3,((MAX(AM128:AN128)-(MIN(AM128:AN128)))))</f>
        <v>8.3333333333333329E-2</v>
      </c>
      <c r="AP128" s="434">
        <f>(0.11-0)/2</f>
        <v>5.5E-2</v>
      </c>
      <c r="AQ128" s="986">
        <f>VLOOKUP(AQ124,AL131:AP136,4)</f>
        <v>8.3333333333333329E-2</v>
      </c>
      <c r="AR128" s="435">
        <v>9.9999999999999995E-7</v>
      </c>
      <c r="AS128" s="337">
        <f>'Data Standar'!J228</f>
        <v>0.38</v>
      </c>
      <c r="AT128" s="338"/>
      <c r="AU128" s="436">
        <f>IF(OR(AS128=0,AT128=0),'Data Standar'!$J$237/3,((MAX(AS128:AT128)-(MIN(AS128:AT128)))))</f>
        <v>8.3333333333333329E-2</v>
      </c>
      <c r="AV128" s="434">
        <f>(0.11-0)/2</f>
        <v>5.5E-2</v>
      </c>
      <c r="AW128" s="986">
        <f>VLOOKUP(AW124,AR131:AV136,4)</f>
        <v>8.3333333333333329E-2</v>
      </c>
      <c r="AX128" s="435">
        <v>9.9999999999999995E-7</v>
      </c>
      <c r="AY128" s="337">
        <f>'Data Standar'!K228</f>
        <v>0.47</v>
      </c>
      <c r="AZ128" s="338"/>
      <c r="BA128" s="436">
        <f>IF(OR(AY128=0,AZ128=0),'Data Standar'!$K$237/3,((MAX(AY128:AZ128)-(MIN(AY128:AZ128)))))</f>
        <v>0.26333333333333336</v>
      </c>
      <c r="BB128" s="434">
        <f>(0.11-0)/2</f>
        <v>5.5E-2</v>
      </c>
      <c r="BC128" s="986">
        <f>VLOOKUP(BC124,AX131:BB136,4)</f>
        <v>0.26333333333333336</v>
      </c>
      <c r="BD128" s="435">
        <v>9.9999999999999995E-7</v>
      </c>
      <c r="BE128" s="337">
        <f>'Data Standar'!L228</f>
        <v>-0.34</v>
      </c>
      <c r="BF128" s="338"/>
      <c r="BG128" s="436">
        <f>IF(OR(BE128=0,BF128=0),'Data Standar'!$L$237/3,((MAX(BE128:BF128)-(MIN(BE128:BF128)))))</f>
        <v>9.3333333333333338E-2</v>
      </c>
      <c r="BH128" s="434">
        <f>(0.11-0)/2</f>
        <v>5.5E-2</v>
      </c>
      <c r="BI128" s="986">
        <f>VLOOKUP(BI124,BD131:BH136,4)</f>
        <v>9.3333333333333338E-2</v>
      </c>
      <c r="BJ128" s="435">
        <v>9.9999999999999995E-7</v>
      </c>
      <c r="BK128" s="337">
        <f>'Data Standar'!M228</f>
        <v>0.47</v>
      </c>
      <c r="BL128" s="338"/>
      <c r="BM128" s="436">
        <f>IF(OR(BK128=0,BL128=0),'Data Standar'!$M$237/3,((MAX(BK128:BL128)-(MIN(BK128:BL128)))))</f>
        <v>0.26333333333333336</v>
      </c>
      <c r="BN128" s="434">
        <f>(0.11-0)/2</f>
        <v>5.5E-2</v>
      </c>
      <c r="BO128" s="986">
        <f>VLOOKUP(BO124,BJ131:BN136,4)</f>
        <v>0.26333333333333336</v>
      </c>
      <c r="BP128" s="435">
        <v>9.9999999999999995E-7</v>
      </c>
      <c r="BQ128" s="337">
        <f>'Data Standar'!N228</f>
        <v>-0.55000000000000004</v>
      </c>
      <c r="BR128" s="338"/>
      <c r="BS128" s="436">
        <f>IF(OR(BQ128=0,BR128=0),'Data Standar'!$N$237/3,((MAX(BQ128:BR128)-(MIN(BQ128:BR128)))))</f>
        <v>8.3333333333333329E-2</v>
      </c>
      <c r="BT128" s="434">
        <f>(0.11-0)/2</f>
        <v>5.5E-2</v>
      </c>
      <c r="BU128" s="986">
        <f>VLOOKUP(BU124,BP131:BT136,4)</f>
        <v>8.3333333333333329E-2</v>
      </c>
      <c r="BV128" s="435">
        <v>9.9999999999999995E-7</v>
      </c>
      <c r="BW128" s="337">
        <f>'Data Standar'!O228</f>
        <v>-0.54</v>
      </c>
      <c r="BX128" s="338"/>
      <c r="BY128" s="436">
        <f>IF(OR(BW128=0,BX128=0),'Data Standar'!$O$237/3,((MAX(BW128:BX128)-(MIN(BW128:BX128)))))</f>
        <v>9.0000000000000011E-2</v>
      </c>
      <c r="BZ128" s="434">
        <f>(0.11-0)/2</f>
        <v>5.5E-2</v>
      </c>
      <c r="CA128" s="986">
        <f>VLOOKUP(CA124,BV131:BZ136,4)</f>
        <v>9.0000000000000011E-2</v>
      </c>
      <c r="CB128" s="435">
        <v>9.9999999999999995E-7</v>
      </c>
      <c r="CC128" s="337">
        <f t="shared" si="67"/>
        <v>0</v>
      </c>
      <c r="CD128" s="338">
        <v>-0.7</v>
      </c>
      <c r="CE128" s="436">
        <f t="shared" si="72"/>
        <v>0.7</v>
      </c>
      <c r="CF128" s="434">
        <f>(0.11-0)/2</f>
        <v>5.5E-2</v>
      </c>
      <c r="CG128" s="449"/>
      <c r="CH128" s="435">
        <v>9.9999999999999995E-7</v>
      </c>
      <c r="CI128" s="337">
        <f t="shared" si="68"/>
        <v>0.03</v>
      </c>
      <c r="CJ128" s="338">
        <f t="shared" si="70"/>
        <v>-0.06</v>
      </c>
      <c r="CK128" s="436">
        <f t="shared" si="73"/>
        <v>0.09</v>
      </c>
      <c r="CL128" s="434">
        <f>(0.11-0)/2</f>
        <v>5.5E-2</v>
      </c>
      <c r="CM128" s="423"/>
      <c r="CN128" s="435">
        <v>9.9999999999999995E-7</v>
      </c>
      <c r="CO128" s="337">
        <f t="shared" si="69"/>
        <v>-0.79</v>
      </c>
      <c r="CP128" s="338">
        <f t="shared" si="71"/>
        <v>-0.08</v>
      </c>
      <c r="CQ128" s="436">
        <f t="shared" si="74"/>
        <v>0.71000000000000008</v>
      </c>
      <c r="CR128" s="434">
        <f>(0.11-0)/2</f>
        <v>5.5E-2</v>
      </c>
      <c r="CS128" s="423"/>
    </row>
    <row r="129" spans="1:97" s="427" customFormat="1" ht="13">
      <c r="A129" s="423"/>
      <c r="B129" s="435">
        <v>2</v>
      </c>
      <c r="C129" s="337">
        <v>9.9999999999999995E-7</v>
      </c>
      <c r="D129" s="337">
        <v>9.9999999999999995E-7</v>
      </c>
      <c r="E129" s="436">
        <v>9.9999999999999995E-7</v>
      </c>
      <c r="F129" s="437"/>
      <c r="G129" s="437"/>
      <c r="H129" s="435">
        <v>2</v>
      </c>
      <c r="I129" s="337">
        <v>9.9999999999999995E-7</v>
      </c>
      <c r="J129" s="337">
        <v>9.9999999999999995E-7</v>
      </c>
      <c r="K129" s="436">
        <v>9.9999999999999995E-7</v>
      </c>
      <c r="L129" s="437"/>
      <c r="M129" s="437"/>
      <c r="N129" s="435">
        <v>2</v>
      </c>
      <c r="O129" s="338">
        <v>9.9999999999999995E-7</v>
      </c>
      <c r="P129" s="338">
        <f>'Data Standar'!E229</f>
        <v>-0.2</v>
      </c>
      <c r="Q129" s="436">
        <f>IF(OR(O129=0,P129=0),'Data Standar'!$E$237/3,((MAX(O129:P129)-(MIN(O129:P129)))))</f>
        <v>0.20000100000000001</v>
      </c>
      <c r="R129" s="434"/>
      <c r="S129" s="437"/>
      <c r="T129" s="435">
        <v>2</v>
      </c>
      <c r="U129" s="337">
        <f>'Data Standar'!F229</f>
        <v>-0.53</v>
      </c>
      <c r="V129" s="338"/>
      <c r="W129" s="436">
        <f>IF(OR(U129=0,V129=0),'Data Standar'!$F$237/3,((MAX(U129:V129)-(MIN(U129:V129)))))</f>
        <v>8.3333333333333329E-2</v>
      </c>
      <c r="X129" s="434">
        <f>(0.11-0)/2</f>
        <v>5.5E-2</v>
      </c>
      <c r="Y129" s="437"/>
      <c r="Z129" s="435">
        <v>2</v>
      </c>
      <c r="AA129" s="337">
        <f>'Data Standar'!G229</f>
        <v>0.26</v>
      </c>
      <c r="AB129" s="338"/>
      <c r="AC129" s="436">
        <f>IF(OR(AA129=0,AB129=0),'Data Standar'!$G$237/3,((MAX(AA129:AB129)-(MIN(AA129:AB129)))))</f>
        <v>8.666666666666667E-2</v>
      </c>
      <c r="AD129" s="434">
        <f>(0.11-0)/2</f>
        <v>5.5E-2</v>
      </c>
      <c r="AE129" s="437"/>
      <c r="AF129" s="435">
        <v>2</v>
      </c>
      <c r="AG129" s="337">
        <f>'Data Standar'!H229</f>
        <v>0.25</v>
      </c>
      <c r="AH129" s="338"/>
      <c r="AI129" s="436">
        <f>IF(OR(AG129=0,AH129=0),'Data Standar'!$H$237/3,((MAX(AG129:AH129)-(MIN(AG129:AH129)))))</f>
        <v>9.0000000000000011E-2</v>
      </c>
      <c r="AJ129" s="434">
        <f>(0.11-0)/2</f>
        <v>5.5E-2</v>
      </c>
      <c r="AK129" s="437"/>
      <c r="AL129" s="435">
        <v>2</v>
      </c>
      <c r="AM129" s="337">
        <f>'Data Standar'!I229</f>
        <v>0.49</v>
      </c>
      <c r="AN129" s="338"/>
      <c r="AO129" s="436">
        <f>IF(OR(AM129=0,AN129=0),'Data Standar'!$I$237/3,((MAX(AM129:AN129)-(MIN(AM129:AN129)))))</f>
        <v>8.3333333333333329E-2</v>
      </c>
      <c r="AP129" s="434">
        <f>(0.11-0)/2</f>
        <v>5.5E-2</v>
      </c>
      <c r="AQ129" s="437"/>
      <c r="AR129" s="435">
        <v>2</v>
      </c>
      <c r="AS129" s="337">
        <f>'Data Standar'!J229</f>
        <v>0.4</v>
      </c>
      <c r="AT129" s="338"/>
      <c r="AU129" s="436">
        <f>IF(OR(AS129=0,AT129=0),'Data Standar'!$J$237/3,((MAX(AS129:AT129)-(MIN(AS129:AT129)))))</f>
        <v>8.3333333333333329E-2</v>
      </c>
      <c r="AV129" s="434">
        <f>(0.11-0)/2</f>
        <v>5.5E-2</v>
      </c>
      <c r="AW129" s="437"/>
      <c r="AX129" s="435">
        <v>2</v>
      </c>
      <c r="AY129" s="337">
        <f>'Data Standar'!K229</f>
        <v>0.47</v>
      </c>
      <c r="AZ129" s="338"/>
      <c r="BA129" s="436">
        <f>IF(OR(AY129=0,AZ129=0),'Data Standar'!$K$237/3,((MAX(AY129:AZ129)-(MIN(AY129:AZ129)))))</f>
        <v>0.26333333333333336</v>
      </c>
      <c r="BB129" s="434">
        <f>(0.11-0)/2</f>
        <v>5.5E-2</v>
      </c>
      <c r="BC129" s="437"/>
      <c r="BD129" s="435">
        <v>2</v>
      </c>
      <c r="BE129" s="337">
        <f>'Data Standar'!L229</f>
        <v>-0.36</v>
      </c>
      <c r="BF129" s="338"/>
      <c r="BG129" s="436">
        <f>IF(OR(BE129=0,BF129=0),'Data Standar'!$L$237/3,((MAX(BE129:BF129)-(MIN(BE129:BF129)))))</f>
        <v>9.3333333333333338E-2</v>
      </c>
      <c r="BH129" s="434">
        <f>(0.11-0)/2</f>
        <v>5.5E-2</v>
      </c>
      <c r="BI129" s="437"/>
      <c r="BJ129" s="435">
        <v>2</v>
      </c>
      <c r="BK129" s="337">
        <f>'Data Standar'!M229</f>
        <v>0.47</v>
      </c>
      <c r="BL129" s="338"/>
      <c r="BM129" s="436">
        <f>IF(OR(BK129=0,BL129=0),'Data Standar'!$M$237/3,((MAX(BK129:BL129)-(MIN(BK129:BL129)))))</f>
        <v>0.26333333333333336</v>
      </c>
      <c r="BN129" s="434">
        <f>(0.11-0)/2</f>
        <v>5.5E-2</v>
      </c>
      <c r="BO129" s="437"/>
      <c r="BP129" s="435">
        <v>2</v>
      </c>
      <c r="BQ129" s="337">
        <f>'Data Standar'!N229</f>
        <v>-0.53</v>
      </c>
      <c r="BR129" s="338"/>
      <c r="BS129" s="436">
        <f>IF(OR(BQ129=0,BR129=0),'Data Standar'!$N$237/3,((MAX(BQ129:BR129)-(MIN(BQ129:BR129)))))</f>
        <v>8.3333333333333329E-2</v>
      </c>
      <c r="BT129" s="434">
        <f>(0.11-0)/2</f>
        <v>5.5E-2</v>
      </c>
      <c r="BU129" s="437"/>
      <c r="BV129" s="435">
        <v>2</v>
      </c>
      <c r="BW129" s="337">
        <f>'Data Standar'!O229</f>
        <v>-0.62</v>
      </c>
      <c r="BX129" s="338"/>
      <c r="BY129" s="436">
        <f>IF(OR(BW129=0,BX129=0),'Data Standar'!$O$237/3,((MAX(BW129:BX129)-(MIN(BW129:BX129)))))</f>
        <v>9.0000000000000011E-2</v>
      </c>
      <c r="BZ129" s="434">
        <f>(0.11-0)/2</f>
        <v>5.5E-2</v>
      </c>
      <c r="CA129" s="437"/>
      <c r="CB129" s="435">
        <v>2</v>
      </c>
      <c r="CC129" s="337">
        <f t="shared" si="67"/>
        <v>0</v>
      </c>
      <c r="CD129" s="338">
        <v>-0.7</v>
      </c>
      <c r="CE129" s="436">
        <f t="shared" si="72"/>
        <v>0.19999999999999998</v>
      </c>
      <c r="CF129" s="434">
        <f>(0.11-0)/2</f>
        <v>5.5E-2</v>
      </c>
      <c r="CG129" s="450"/>
      <c r="CH129" s="435">
        <v>2</v>
      </c>
      <c r="CI129" s="337">
        <f t="shared" si="68"/>
        <v>0.04</v>
      </c>
      <c r="CJ129" s="338">
        <f t="shared" si="70"/>
        <v>-0.04</v>
      </c>
      <c r="CK129" s="436">
        <f t="shared" si="73"/>
        <v>0.08</v>
      </c>
      <c r="CL129" s="434">
        <f>(0.11-0)/2</f>
        <v>5.5E-2</v>
      </c>
      <c r="CM129" s="423"/>
      <c r="CN129" s="435">
        <v>2</v>
      </c>
      <c r="CO129" s="337">
        <f t="shared" si="69"/>
        <v>-0.7</v>
      </c>
      <c r="CP129" s="338">
        <f t="shared" si="71"/>
        <v>-0.05</v>
      </c>
      <c r="CQ129" s="436">
        <f t="shared" si="74"/>
        <v>0.64999999999999991</v>
      </c>
      <c r="CR129" s="434">
        <f>(0.11-0)/2</f>
        <v>5.5E-2</v>
      </c>
      <c r="CS129" s="423"/>
    </row>
    <row r="130" spans="1:97" s="427" customFormat="1" ht="13">
      <c r="A130" s="423"/>
      <c r="B130" s="435">
        <v>8</v>
      </c>
      <c r="C130" s="337">
        <v>9.9999999999999995E-7</v>
      </c>
      <c r="D130" s="337">
        <v>9.9999999999999995E-7</v>
      </c>
      <c r="E130" s="436">
        <v>9.9999999999999995E-7</v>
      </c>
      <c r="F130" s="437"/>
      <c r="G130" s="986">
        <f>VLOOKUP(G126,B131:F136,4)</f>
        <v>9.9999999999999995E-7</v>
      </c>
      <c r="H130" s="435">
        <v>8</v>
      </c>
      <c r="I130" s="337">
        <v>9.9999999999999995E-7</v>
      </c>
      <c r="J130" s="337">
        <v>9.9999999999999995E-7</v>
      </c>
      <c r="K130" s="436">
        <v>9.9999999999999995E-7</v>
      </c>
      <c r="L130" s="437"/>
      <c r="M130" s="986">
        <f>VLOOKUP(M126,H131:L136,4)</f>
        <v>9.9999999999999995E-7</v>
      </c>
      <c r="N130" s="435">
        <v>8</v>
      </c>
      <c r="O130" s="338">
        <v>9.9999999999999995E-7</v>
      </c>
      <c r="P130" s="338">
        <f>'Data Standar'!E230</f>
        <v>-0.15</v>
      </c>
      <c r="Q130" s="436">
        <f>IF(OR(O130=0,P130=0),'Data Standar'!$E$237/3,((MAX(O130:P130)-(MIN(O130:P130)))))</f>
        <v>0.150001</v>
      </c>
      <c r="R130" s="434"/>
      <c r="S130" s="986">
        <f>VLOOKUP(S126,N131:R136,4)</f>
        <v>9.3333333333333338E-2</v>
      </c>
      <c r="T130" s="435">
        <v>8</v>
      </c>
      <c r="U130" s="337">
        <f>'Data Standar'!F230</f>
        <v>-0.28000000000000003</v>
      </c>
      <c r="V130" s="338"/>
      <c r="W130" s="436">
        <f>IF(OR(U130=0,V130=0),'Data Standar'!$F$237/3,((MAX(U130:V130)-(MIN(U130:V130)))))</f>
        <v>8.3333333333333329E-2</v>
      </c>
      <c r="X130" s="434">
        <f>(0.12-0)/2</f>
        <v>0.06</v>
      </c>
      <c r="Y130" s="986">
        <f>VLOOKUP(Y126,T131:X136,4)</f>
        <v>8.3333333333333329E-2</v>
      </c>
      <c r="Z130" s="435">
        <v>8</v>
      </c>
      <c r="AA130" s="337">
        <f>'Data Standar'!G230</f>
        <v>0.25</v>
      </c>
      <c r="AB130" s="338"/>
      <c r="AC130" s="436">
        <f>IF(OR(AA130=0,AB130=0),'Data Standar'!$G$237/3,((MAX(AA130:AB130)-(MIN(AA130:AB130)))))</f>
        <v>8.666666666666667E-2</v>
      </c>
      <c r="AD130" s="434">
        <f>(0.12-0)/2</f>
        <v>0.06</v>
      </c>
      <c r="AE130" s="986">
        <f>VLOOKUP(AE126,Z131:AD136,4)</f>
        <v>8.666666666666667E-2</v>
      </c>
      <c r="AF130" s="435">
        <v>8</v>
      </c>
      <c r="AG130" s="337">
        <f>'Data Standar'!H230</f>
        <v>0.25</v>
      </c>
      <c r="AH130" s="338"/>
      <c r="AI130" s="436">
        <f>IF(OR(AG130=0,AH130=0),'Data Standar'!$H$237/3,((MAX(AG130:AH130)-(MIN(AG130:AH130)))))</f>
        <v>9.0000000000000011E-2</v>
      </c>
      <c r="AJ130" s="434">
        <f>(0.12-0)/2</f>
        <v>0.06</v>
      </c>
      <c r="AK130" s="986">
        <f>VLOOKUP(AK126,AF131:AJ136,4)</f>
        <v>9.0000000000000011E-2</v>
      </c>
      <c r="AL130" s="435">
        <v>8</v>
      </c>
      <c r="AM130" s="337">
        <f>'Data Standar'!I230</f>
        <v>0.49</v>
      </c>
      <c r="AN130" s="338"/>
      <c r="AO130" s="436">
        <f>IF(OR(AM130=0,AN130=0),'Data Standar'!$I$237/3,((MAX(AM130:AN130)-(MIN(AM130:AN130)))))</f>
        <v>8.3333333333333329E-2</v>
      </c>
      <c r="AP130" s="434">
        <f>(0.12-0)/2</f>
        <v>0.06</v>
      </c>
      <c r="AQ130" s="986">
        <f>VLOOKUP(AQ126,AL131:AP136,4)</f>
        <v>8.3333333333333329E-2</v>
      </c>
      <c r="AR130" s="435">
        <v>8</v>
      </c>
      <c r="AS130" s="337">
        <f>'Data Standar'!J230</f>
        <v>0.38</v>
      </c>
      <c r="AT130" s="338"/>
      <c r="AU130" s="436">
        <f>IF(OR(AS130=0,AT130=0),'Data Standar'!$J$237/3,((MAX(AS130:AT130)-(MIN(AS130:AT130)))))</f>
        <v>8.3333333333333329E-2</v>
      </c>
      <c r="AV130" s="434">
        <f>(0.12-0)/2</f>
        <v>0.06</v>
      </c>
      <c r="AW130" s="986">
        <f>VLOOKUP(AW126,AR131:AV136,4)</f>
        <v>8.3333333333333329E-2</v>
      </c>
      <c r="AX130" s="435">
        <v>8</v>
      </c>
      <c r="AY130" s="337">
        <f>'Data Standar'!K230</f>
        <v>0.46</v>
      </c>
      <c r="AZ130" s="338"/>
      <c r="BA130" s="436">
        <f>IF(OR(AY130=0,AZ130=0),'Data Standar'!$K$237/3,((MAX(AY130:AZ130)-(MIN(AY130:AZ130)))))</f>
        <v>0.26333333333333336</v>
      </c>
      <c r="BB130" s="434">
        <f>(0.12-0)/2</f>
        <v>0.06</v>
      </c>
      <c r="BC130" s="986">
        <f>VLOOKUP(BC126,AX131:BB136,4)</f>
        <v>0.26333333333333336</v>
      </c>
      <c r="BD130" s="435">
        <v>8</v>
      </c>
      <c r="BE130" s="337">
        <f>'Data Standar'!L230</f>
        <v>-0.09</v>
      </c>
      <c r="BF130" s="338"/>
      <c r="BG130" s="436">
        <f>IF(OR(BE130=0,BF130=0),'Data Standar'!$L$237/3,((MAX(BE130:BF130)-(MIN(BE130:BF130)))))</f>
        <v>9.3333333333333338E-2</v>
      </c>
      <c r="BH130" s="434">
        <f>(0.12-0)/2</f>
        <v>0.06</v>
      </c>
      <c r="BI130" s="986">
        <f>VLOOKUP(BI126,BD131:BH136,4)</f>
        <v>9.3333333333333338E-2</v>
      </c>
      <c r="BJ130" s="435">
        <v>8</v>
      </c>
      <c r="BK130" s="337">
        <f>'Data Standar'!M230</f>
        <v>0.46</v>
      </c>
      <c r="BL130" s="338"/>
      <c r="BM130" s="436">
        <f>IF(OR(BK130=0,BL130=0),'Data Standar'!$M$237/3,((MAX(BK130:BL130)-(MIN(BK130:BL130)))))</f>
        <v>0.26333333333333336</v>
      </c>
      <c r="BN130" s="434">
        <f>(0.12-0)/2</f>
        <v>0.06</v>
      </c>
      <c r="BO130" s="986">
        <f>VLOOKUP(BO126,BJ131:BN136,4)</f>
        <v>0.26333333333333336</v>
      </c>
      <c r="BP130" s="435">
        <v>8</v>
      </c>
      <c r="BQ130" s="337">
        <f>'Data Standar'!N230</f>
        <v>-0.27</v>
      </c>
      <c r="BR130" s="338"/>
      <c r="BS130" s="436">
        <f>IF(OR(BQ130=0,BR130=0),'Data Standar'!$N$237/3,((MAX(BQ130:BR130)-(MIN(BQ130:BR130)))))</f>
        <v>8.3333333333333329E-2</v>
      </c>
      <c r="BT130" s="434">
        <f>(0.12-0)/2</f>
        <v>0.06</v>
      </c>
      <c r="BU130" s="986">
        <f>VLOOKUP(BU126,BP131:BT136,4)</f>
        <v>8.3333333333333329E-2</v>
      </c>
      <c r="BV130" s="435">
        <v>8</v>
      </c>
      <c r="BW130" s="337">
        <f>'Data Standar'!O230</f>
        <v>-0.34</v>
      </c>
      <c r="BX130" s="338"/>
      <c r="BY130" s="436">
        <f>IF(OR(BW130=0,BX130=0),'Data Standar'!$O$237/3,((MAX(BW130:BX130)-(MIN(BW130:BX130)))))</f>
        <v>9.0000000000000011E-2</v>
      </c>
      <c r="BZ130" s="434">
        <f>(0.12-0)/2</f>
        <v>0.06</v>
      </c>
      <c r="CA130" s="986">
        <f>VLOOKUP(CA126,BV131:BZ136,4)</f>
        <v>9.0000000000000011E-2</v>
      </c>
      <c r="CB130" s="435">
        <v>8</v>
      </c>
      <c r="CC130" s="337">
        <f t="shared" si="67"/>
        <v>0</v>
      </c>
      <c r="CD130" s="338">
        <v>-0.7</v>
      </c>
      <c r="CE130" s="436">
        <f t="shared" si="72"/>
        <v>0.19999999999999998</v>
      </c>
      <c r="CF130" s="434">
        <f>(0.12-0)/2</f>
        <v>0.06</v>
      </c>
      <c r="CG130" s="450"/>
      <c r="CH130" s="435">
        <v>8</v>
      </c>
      <c r="CI130" s="337">
        <f t="shared" si="68"/>
        <v>0.08</v>
      </c>
      <c r="CJ130" s="338">
        <f t="shared" si="70"/>
        <v>0.01</v>
      </c>
      <c r="CK130" s="436">
        <f t="shared" si="73"/>
        <v>7.0000000000000007E-2</v>
      </c>
      <c r="CL130" s="434">
        <f>(0.12-0)/2</f>
        <v>0.06</v>
      </c>
      <c r="CM130" s="423"/>
      <c r="CN130" s="435">
        <v>8</v>
      </c>
      <c r="CO130" s="337">
        <f t="shared" si="69"/>
        <v>-0.46</v>
      </c>
      <c r="CP130" s="338">
        <f t="shared" si="71"/>
        <v>0.06</v>
      </c>
      <c r="CQ130" s="436">
        <f t="shared" si="74"/>
        <v>0.52</v>
      </c>
      <c r="CR130" s="434">
        <f>(0.12-0)/2</f>
        <v>0.06</v>
      </c>
      <c r="CS130" s="423"/>
    </row>
    <row r="131" spans="1:97" s="427" customFormat="1" ht="13">
      <c r="A131" s="423"/>
      <c r="B131" s="435">
        <v>37</v>
      </c>
      <c r="C131" s="337">
        <v>9.9999999999999995E-7</v>
      </c>
      <c r="D131" s="337">
        <v>9.9999999999999995E-7</v>
      </c>
      <c r="E131" s="436">
        <v>9.9999999999999995E-7</v>
      </c>
      <c r="F131" s="437"/>
      <c r="G131" s="987"/>
      <c r="H131" s="435">
        <v>37</v>
      </c>
      <c r="I131" s="337">
        <v>9.9999999999999995E-7</v>
      </c>
      <c r="J131" s="337">
        <v>9.9999999999999995E-7</v>
      </c>
      <c r="K131" s="436">
        <v>9.9999999999999995E-7</v>
      </c>
      <c r="L131" s="437"/>
      <c r="M131" s="987"/>
      <c r="N131" s="435">
        <v>37</v>
      </c>
      <c r="O131" s="338">
        <v>9.9999999999999995E-7</v>
      </c>
      <c r="P131" s="338">
        <f>'Data Standar'!E231</f>
        <v>-0.04</v>
      </c>
      <c r="Q131" s="436">
        <f>IF(OR(O131=0,P131=0),'Data Standar'!$E$237/3,((MAX(O131:P131)-(MIN(O131:P131)))))</f>
        <v>4.0001000000000002E-2</v>
      </c>
      <c r="R131" s="434"/>
      <c r="S131" s="987"/>
      <c r="T131" s="435">
        <v>37</v>
      </c>
      <c r="U131" s="337">
        <f>'Data Standar'!F231</f>
        <v>0.6</v>
      </c>
      <c r="V131" s="338"/>
      <c r="W131" s="436">
        <f>IF(OR(U131=0,V131=0),'Data Standar'!$F$237/3,((MAX(U131:V131)-(MIN(U131:V131)))))</f>
        <v>8.3333333333333329E-2</v>
      </c>
      <c r="X131" s="434">
        <f>(0.16-0)/2</f>
        <v>0.08</v>
      </c>
      <c r="Y131" s="987"/>
      <c r="Z131" s="435">
        <v>37</v>
      </c>
      <c r="AA131" s="337">
        <f>'Data Standar'!G231</f>
        <v>0.24</v>
      </c>
      <c r="AB131" s="338"/>
      <c r="AC131" s="436">
        <f>IF(OR(AA131=0,AB131=0),'Data Standar'!$G$237/3,((MAX(AA131:AB131)-(MIN(AA131:AB131)))))</f>
        <v>8.666666666666667E-2</v>
      </c>
      <c r="AD131" s="434">
        <f>(0.16-0)/2</f>
        <v>0.08</v>
      </c>
      <c r="AE131" s="987"/>
      <c r="AF131" s="435">
        <v>37</v>
      </c>
      <c r="AG131" s="337">
        <f>'Data Standar'!H231</f>
        <v>0.26</v>
      </c>
      <c r="AH131" s="338"/>
      <c r="AI131" s="436">
        <f>IF(OR(AG131=0,AH131=0),'Data Standar'!$H$237/3,((MAX(AG131:AH131)-(MIN(AG131:AH131)))))</f>
        <v>9.0000000000000011E-2</v>
      </c>
      <c r="AJ131" s="434">
        <f>(0.16-0)/2</f>
        <v>0.08</v>
      </c>
      <c r="AK131" s="987"/>
      <c r="AL131" s="435">
        <v>37</v>
      </c>
      <c r="AM131" s="337">
        <f>'Data Standar'!I231</f>
        <v>0.51</v>
      </c>
      <c r="AN131" s="338"/>
      <c r="AO131" s="436">
        <f>IF(OR(AM131=0,AN131=0),'Data Standar'!$I$237/3,((MAX(AM131:AN131)-(MIN(AM131:AN131)))))</f>
        <v>8.3333333333333329E-2</v>
      </c>
      <c r="AP131" s="434">
        <f>(0.16-0)/2</f>
        <v>0.08</v>
      </c>
      <c r="AQ131" s="987"/>
      <c r="AR131" s="435">
        <v>37</v>
      </c>
      <c r="AS131" s="337">
        <f>'Data Standar'!J231</f>
        <v>0.34</v>
      </c>
      <c r="AT131" s="338"/>
      <c r="AU131" s="436">
        <f>IF(OR(AS131=0,AT131=0),'Data Standar'!$J$237/3,((MAX(AS131:AT131)-(MIN(AS131:AT131)))))</f>
        <v>8.3333333333333329E-2</v>
      </c>
      <c r="AV131" s="434">
        <f>(0.16-0)/2</f>
        <v>0.08</v>
      </c>
      <c r="AW131" s="987"/>
      <c r="AX131" s="435">
        <v>37</v>
      </c>
      <c r="AY131" s="337">
        <f>'Data Standar'!K231</f>
        <v>0.4</v>
      </c>
      <c r="AZ131" s="338"/>
      <c r="BA131" s="436">
        <f>IF(OR(AY131=0,AZ131=0),'Data Standar'!$K$237/3,((MAX(AY131:AZ131)-(MIN(AY131:AZ131)))))</f>
        <v>0.26333333333333336</v>
      </c>
      <c r="BB131" s="434">
        <f>(0.16-0)/2</f>
        <v>0.08</v>
      </c>
      <c r="BC131" s="987"/>
      <c r="BD131" s="435">
        <v>37</v>
      </c>
      <c r="BE131" s="337">
        <f>'Data Standar'!L231</f>
        <v>0.79</v>
      </c>
      <c r="BF131" s="338"/>
      <c r="BG131" s="436">
        <f>IF(OR(BE131=0,BF131=0),'Data Standar'!$L$237/3,((MAX(BE131:BF131)-(MIN(BE131:BF131)))))</f>
        <v>9.3333333333333338E-2</v>
      </c>
      <c r="BH131" s="434">
        <f>(0.16-0)/2</f>
        <v>0.08</v>
      </c>
      <c r="BI131" s="987"/>
      <c r="BJ131" s="435">
        <v>37</v>
      </c>
      <c r="BK131" s="337">
        <f>'Data Standar'!M231</f>
        <v>0.4</v>
      </c>
      <c r="BL131" s="338"/>
      <c r="BM131" s="436">
        <f>IF(OR(BK131=0,BL131=0),'Data Standar'!$M$237/3,((MAX(BK131:BL131)-(MIN(BK131:BL131)))))</f>
        <v>0.26333333333333336</v>
      </c>
      <c r="BN131" s="434">
        <f>(0.16-0)/2</f>
        <v>0.08</v>
      </c>
      <c r="BO131" s="987"/>
      <c r="BP131" s="435">
        <v>37</v>
      </c>
      <c r="BQ131" s="337">
        <f>'Data Standar'!N231</f>
        <v>0.52</v>
      </c>
      <c r="BR131" s="338"/>
      <c r="BS131" s="436">
        <f>IF(OR(BQ131=0,BR131=0),'Data Standar'!$N$237/3,((MAX(BQ131:BR131)-(MIN(BQ131:BR131)))))</f>
        <v>8.3333333333333329E-2</v>
      </c>
      <c r="BT131" s="434">
        <f>(0.16-0)/2</f>
        <v>0.08</v>
      </c>
      <c r="BU131" s="987"/>
      <c r="BV131" s="435">
        <v>37</v>
      </c>
      <c r="BW131" s="337">
        <f>'Data Standar'!O231</f>
        <v>0.56999999999999995</v>
      </c>
      <c r="BX131" s="338"/>
      <c r="BY131" s="436">
        <f>IF(OR(BW131=0,BX131=0),'Data Standar'!$O$237/3,((MAX(BW131:BX131)-(MIN(BW131:BX131)))))</f>
        <v>9.0000000000000011E-2</v>
      </c>
      <c r="BZ131" s="434">
        <f>(0.16-0)/2</f>
        <v>0.08</v>
      </c>
      <c r="CA131" s="987"/>
      <c r="CB131" s="435">
        <v>37</v>
      </c>
      <c r="CC131" s="337">
        <f t="shared" si="67"/>
        <v>0</v>
      </c>
      <c r="CD131" s="338">
        <v>-0.6</v>
      </c>
      <c r="CE131" s="436">
        <f t="shared" si="72"/>
        <v>0.19999999999999998</v>
      </c>
      <c r="CF131" s="434">
        <f>(0.16-0)/2</f>
        <v>0.08</v>
      </c>
      <c r="CG131" s="450"/>
      <c r="CH131" s="435">
        <v>37</v>
      </c>
      <c r="CI131" s="337">
        <f t="shared" si="68"/>
        <v>0.23</v>
      </c>
      <c r="CJ131" s="338">
        <f t="shared" si="70"/>
        <v>0.19</v>
      </c>
      <c r="CK131" s="436">
        <f t="shared" si="73"/>
        <v>4.0000000000000008E-2</v>
      </c>
      <c r="CL131" s="434">
        <f>(0.16-0)/2</f>
        <v>0.08</v>
      </c>
      <c r="CM131" s="423"/>
      <c r="CN131" s="435">
        <v>37</v>
      </c>
      <c r="CO131" s="337">
        <f t="shared" si="69"/>
        <v>0.42</v>
      </c>
      <c r="CP131" s="338">
        <f t="shared" si="71"/>
        <v>0.45</v>
      </c>
      <c r="CQ131" s="436">
        <f t="shared" si="74"/>
        <v>3.0000000000000027E-2</v>
      </c>
      <c r="CR131" s="434">
        <f>(0.16-0)/2</f>
        <v>0.08</v>
      </c>
      <c r="CS131" s="423"/>
    </row>
    <row r="132" spans="1:97" s="427" customFormat="1" ht="13">
      <c r="A132" s="423"/>
      <c r="B132" s="435">
        <v>44</v>
      </c>
      <c r="C132" s="337">
        <v>9.9999999999999995E-7</v>
      </c>
      <c r="D132" s="337">
        <v>9.9999999999999995E-7</v>
      </c>
      <c r="E132" s="436">
        <v>9.9999999999999995E-7</v>
      </c>
      <c r="F132" s="437"/>
      <c r="G132" s="988">
        <f>(((G130-G128)/(G126-G124))*(G123-G124))+G128</f>
        <v>9.9999999999999995E-7</v>
      </c>
      <c r="H132" s="435">
        <v>44</v>
      </c>
      <c r="I132" s="337">
        <v>9.9999999999999995E-7</v>
      </c>
      <c r="J132" s="337">
        <v>9.9999999999999995E-7</v>
      </c>
      <c r="K132" s="436">
        <v>9.9999999999999995E-7</v>
      </c>
      <c r="L132" s="437"/>
      <c r="M132" s="988">
        <f>(((M130-M128)/(M126-M124))*(M123-M124))+M128</f>
        <v>9.9999999999999995E-7</v>
      </c>
      <c r="N132" s="435">
        <v>44</v>
      </c>
      <c r="O132" s="338">
        <v>9.9999999999999995E-7</v>
      </c>
      <c r="P132" s="338">
        <f>'Data Standar'!E232</f>
        <v>-0.04</v>
      </c>
      <c r="Q132" s="436">
        <f>IF(OR(O132=0,P132=0),'Data Standar'!$E$237/3,((MAX(O132:P132)-(MIN(O132:P132)))))</f>
        <v>4.0001000000000002E-2</v>
      </c>
      <c r="R132" s="434"/>
      <c r="S132" s="988">
        <f>(((S130-S128)/(S126-S124))*(S123-S124))+S128</f>
        <v>0.23720121516111109</v>
      </c>
      <c r="T132" s="435">
        <v>44</v>
      </c>
      <c r="U132" s="337">
        <f>'Data Standar'!F232</f>
        <v>0.74</v>
      </c>
      <c r="V132" s="338"/>
      <c r="W132" s="436">
        <f>IF(OR(U132=0,V132=0),'Data Standar'!$F$237/3,((MAX(U132:V132)-(MIN(U132:V132)))))</f>
        <v>8.3333333333333329E-2</v>
      </c>
      <c r="X132" s="434">
        <f>(0.12-0)/2</f>
        <v>0.06</v>
      </c>
      <c r="Y132" s="988">
        <f>(((Y130-Y128)/(Y126-Y124))*(Y123-Y124))+Y128</f>
        <v>8.3333333333333329E-2</v>
      </c>
      <c r="Z132" s="435">
        <v>44</v>
      </c>
      <c r="AA132" s="337">
        <f>'Data Standar'!G232</f>
        <v>0.24</v>
      </c>
      <c r="AB132" s="338"/>
      <c r="AC132" s="436">
        <f>IF(OR(AA132=0,AB132=0),'Data Standar'!$G$237/3,((MAX(AA132:AB132)-(MIN(AA132:AB132)))))</f>
        <v>8.666666666666667E-2</v>
      </c>
      <c r="AD132" s="434">
        <f>(0.12-0)/2</f>
        <v>0.06</v>
      </c>
      <c r="AE132" s="988">
        <f>(((AE130-AE128)/(AE126-AE124))*(AE123-AE124))+AE128</f>
        <v>8.666666666666667E-2</v>
      </c>
      <c r="AF132" s="435">
        <v>44</v>
      </c>
      <c r="AG132" s="337">
        <f>'Data Standar'!H232</f>
        <v>0.26</v>
      </c>
      <c r="AH132" s="338"/>
      <c r="AI132" s="436">
        <f>IF(OR(AG132=0,AH132=0),'Data Standar'!$H$237/3,((MAX(AG132:AH132)-(MIN(AG132:AH132)))))</f>
        <v>9.0000000000000011E-2</v>
      </c>
      <c r="AJ132" s="434">
        <f>(0.12-0)/2</f>
        <v>0.06</v>
      </c>
      <c r="AK132" s="988">
        <f>(((AK130-AK128)/(AK126-AK124))*(AK123-AK124))+AK128</f>
        <v>9.0000000000000011E-2</v>
      </c>
      <c r="AL132" s="435">
        <v>44</v>
      </c>
      <c r="AM132" s="337">
        <f>'Data Standar'!I232</f>
        <v>0.51</v>
      </c>
      <c r="AN132" s="338"/>
      <c r="AO132" s="436">
        <f>IF(OR(AM132=0,AN132=0),'Data Standar'!$I$237/3,((MAX(AM132:AN132)-(MIN(AM132:AN132)))))</f>
        <v>8.3333333333333329E-2</v>
      </c>
      <c r="AP132" s="434">
        <f>(0.12-0)/2</f>
        <v>0.06</v>
      </c>
      <c r="AQ132" s="988">
        <f>(((AQ130-AQ128)/(AQ126-AQ124))*(AQ123-AQ124))+AQ128</f>
        <v>8.3333333333333329E-2</v>
      </c>
      <c r="AR132" s="435">
        <v>44</v>
      </c>
      <c r="AS132" s="337">
        <f>'Data Standar'!J232</f>
        <v>0.34</v>
      </c>
      <c r="AT132" s="338"/>
      <c r="AU132" s="436">
        <f>IF(OR(AS132=0,AT132=0),'Data Standar'!$J$237/3,((MAX(AS132:AT132)-(MIN(AS132:AT132)))))</f>
        <v>8.3333333333333329E-2</v>
      </c>
      <c r="AV132" s="434">
        <f>(0.12-0)/2</f>
        <v>0.06</v>
      </c>
      <c r="AW132" s="988">
        <f>(((AW130-AW128)/(AW126-AW124))*(AW123-AW124))+AW128</f>
        <v>8.3333333333333329E-2</v>
      </c>
      <c r="AX132" s="435">
        <v>44</v>
      </c>
      <c r="AY132" s="337">
        <f>'Data Standar'!K232</f>
        <v>0.38</v>
      </c>
      <c r="AZ132" s="338"/>
      <c r="BA132" s="436">
        <f>IF(OR(AY132=0,AZ132=0),'Data Standar'!$K$237/3,((MAX(AY132:AZ132)-(MIN(AY132:AZ132)))))</f>
        <v>0.26333333333333336</v>
      </c>
      <c r="BB132" s="434">
        <f>(0.12-0)/2</f>
        <v>0.06</v>
      </c>
      <c r="BC132" s="988">
        <f>(((BC130-BC128)/(BC126-BC124))*(BC123-BC124))+BC128</f>
        <v>0.26333333333333336</v>
      </c>
      <c r="BD132" s="435">
        <v>44</v>
      </c>
      <c r="BE132" s="337">
        <f>'Data Standar'!L232</f>
        <v>0.91</v>
      </c>
      <c r="BF132" s="338"/>
      <c r="BG132" s="436">
        <f>IF(OR(BE132=0,BF132=0),'Data Standar'!$L$237/3,((MAX(BE132:BF132)-(MIN(BE132:BF132)))))</f>
        <v>9.3333333333333338E-2</v>
      </c>
      <c r="BH132" s="434">
        <f>(0.12-0)/2</f>
        <v>0.06</v>
      </c>
      <c r="BI132" s="988">
        <f>(((BI130-BI128)/(BI126-BI124))*(BI123-BI124))+BI128</f>
        <v>9.3333333333333338E-2</v>
      </c>
      <c r="BJ132" s="435">
        <v>44</v>
      </c>
      <c r="BK132" s="337">
        <f>'Data Standar'!M232</f>
        <v>0.38</v>
      </c>
      <c r="BL132" s="338"/>
      <c r="BM132" s="436">
        <f>IF(OR(BK132=0,BL132=0),'Data Standar'!$M$237/3,((MAX(BK132:BL132)-(MIN(BK132:BL132)))))</f>
        <v>0.26333333333333336</v>
      </c>
      <c r="BN132" s="434">
        <f>(0.12-0)/2</f>
        <v>0.06</v>
      </c>
      <c r="BO132" s="988">
        <f>(((BO130-BO128)/(BO126-BO124))*(BO123-BO124))+BO128</f>
        <v>0.26333333333333336</v>
      </c>
      <c r="BP132" s="435">
        <v>44</v>
      </c>
      <c r="BQ132" s="337">
        <f>'Data Standar'!N232</f>
        <v>0.6</v>
      </c>
      <c r="BR132" s="338"/>
      <c r="BS132" s="436">
        <f>IF(OR(BQ132=0,BR132=0),'Data Standar'!$N$237/3,((MAX(BQ132:BR132)-(MIN(BQ132:BR132)))))</f>
        <v>8.3333333333333329E-2</v>
      </c>
      <c r="BT132" s="434">
        <f>(0.12-0)/2</f>
        <v>0.06</v>
      </c>
      <c r="BU132" s="988">
        <f>(((BU130-BU128)/(BU126-BU124))*(BU123-BU124))+BU128</f>
        <v>8.3333333333333329E-2</v>
      </c>
      <c r="BV132" s="435">
        <v>44</v>
      </c>
      <c r="BW132" s="337">
        <f>'Data Standar'!O232</f>
        <v>0.7</v>
      </c>
      <c r="BX132" s="338"/>
      <c r="BY132" s="436">
        <f>IF(OR(BW132=0,BX132=0),'Data Standar'!$O$237/3,((MAX(BW132:BX132)-(MIN(BW132:BX132)))))</f>
        <v>9.0000000000000011E-2</v>
      </c>
      <c r="BZ132" s="434">
        <f>(0.12-0)/2</f>
        <v>0.06</v>
      </c>
      <c r="CA132" s="988">
        <f>(((CA130-CA128)/(CA126-CA124))*(CA123-CA124))+CA128</f>
        <v>9.0000000000000011E-2</v>
      </c>
      <c r="CB132" s="435">
        <v>44</v>
      </c>
      <c r="CC132" s="337">
        <f t="shared" si="67"/>
        <v>-1</v>
      </c>
      <c r="CD132" s="338">
        <v>-0.7</v>
      </c>
      <c r="CE132" s="436">
        <f t="shared" si="72"/>
        <v>0.19999999999999998</v>
      </c>
      <c r="CF132" s="434">
        <f>(0.12-0)/2</f>
        <v>0.06</v>
      </c>
      <c r="CG132" s="451"/>
      <c r="CH132" s="435">
        <v>44</v>
      </c>
      <c r="CI132" s="337">
        <f t="shared" si="68"/>
        <v>0.25</v>
      </c>
      <c r="CJ132" s="338">
        <f t="shared" si="70"/>
        <v>0.21</v>
      </c>
      <c r="CK132" s="436">
        <f t="shared" si="73"/>
        <v>4.0000000000000008E-2</v>
      </c>
      <c r="CL132" s="434">
        <f>(0.12-0)/2</f>
        <v>0.06</v>
      </c>
      <c r="CM132" s="423"/>
      <c r="CN132" s="435">
        <v>44</v>
      </c>
      <c r="CO132" s="337">
        <f t="shared" si="69"/>
        <v>0.56999999999999995</v>
      </c>
      <c r="CP132" s="338">
        <f t="shared" si="71"/>
        <v>0.52</v>
      </c>
      <c r="CQ132" s="436">
        <f t="shared" si="74"/>
        <v>4.9999999999999933E-2</v>
      </c>
      <c r="CR132" s="434">
        <f>(0.12-0)/2</f>
        <v>0.06</v>
      </c>
      <c r="CS132" s="423"/>
    </row>
    <row r="133" spans="1:97" s="427" customFormat="1" ht="13">
      <c r="A133" s="423"/>
      <c r="B133" s="435">
        <v>50</v>
      </c>
      <c r="C133" s="337">
        <v>9.9999999999999995E-7</v>
      </c>
      <c r="D133" s="337">
        <v>9.9999999999999995E-7</v>
      </c>
      <c r="E133" s="436">
        <v>9.9999999999999995E-7</v>
      </c>
      <c r="F133" s="437"/>
      <c r="G133" s="438"/>
      <c r="H133" s="435">
        <v>50</v>
      </c>
      <c r="I133" s="337">
        <v>9.9999999999999995E-7</v>
      </c>
      <c r="J133" s="337">
        <v>9.9999999999999995E-7</v>
      </c>
      <c r="K133" s="436">
        <v>9.9999999999999995E-7</v>
      </c>
      <c r="L133" s="437"/>
      <c r="M133" s="438"/>
      <c r="N133" s="435">
        <v>50</v>
      </c>
      <c r="O133" s="338">
        <v>9.9999999999999995E-7</v>
      </c>
      <c r="P133" s="338">
        <f>'Data Standar'!E233</f>
        <v>-0.04</v>
      </c>
      <c r="Q133" s="436">
        <f>IF(OR(O133=0,P133=0),'Data Standar'!$E$237/3,((MAX(O133:P133)-(MIN(O133:P133)))))</f>
        <v>4.0001000000000002E-2</v>
      </c>
      <c r="R133" s="434"/>
      <c r="S133" s="423"/>
      <c r="T133" s="435">
        <v>50</v>
      </c>
      <c r="U133" s="337">
        <f>'Data Standar'!F233</f>
        <v>0.83</v>
      </c>
      <c r="V133" s="338"/>
      <c r="W133" s="436">
        <f>IF(OR(U133=0,V133=0),'Data Standar'!$F$237/3,((MAX(U133:V133)-(MIN(U133:V133)))))</f>
        <v>8.3333333333333329E-2</v>
      </c>
      <c r="X133" s="434">
        <f>(0.18-0)/2</f>
        <v>0.09</v>
      </c>
      <c r="Y133" s="423"/>
      <c r="Z133" s="435">
        <v>50</v>
      </c>
      <c r="AA133" s="337">
        <f>'Data Standar'!G233</f>
        <v>0.24</v>
      </c>
      <c r="AB133" s="338"/>
      <c r="AC133" s="436">
        <f>IF(OR(AA133=0,AB133=0),'Data Standar'!$G$237/3,((MAX(AA133:AB133)-(MIN(AA133:AB133)))))</f>
        <v>8.666666666666667E-2</v>
      </c>
      <c r="AD133" s="434">
        <f>(0.18-0)/2</f>
        <v>0.09</v>
      </c>
      <c r="AE133" s="423"/>
      <c r="AF133" s="435">
        <v>50</v>
      </c>
      <c r="AG133" s="337">
        <f>'Data Standar'!H233</f>
        <v>0.27</v>
      </c>
      <c r="AH133" s="338"/>
      <c r="AI133" s="436">
        <f>IF(OR(AG133=0,AH133=0),'Data Standar'!$H$237/3,((MAX(AG133:AH133)-(MIN(AG133:AH133)))))</f>
        <v>9.0000000000000011E-2</v>
      </c>
      <c r="AJ133" s="434">
        <f>(0.18-0)/2</f>
        <v>0.09</v>
      </c>
      <c r="AK133" s="423"/>
      <c r="AL133" s="435">
        <v>50</v>
      </c>
      <c r="AM133" s="337">
        <f>'Data Standar'!I233</f>
        <v>0.52</v>
      </c>
      <c r="AN133" s="338"/>
      <c r="AO133" s="436">
        <f>IF(OR(AM133=0,AN133=0),'Data Standar'!$I$237/3,((MAX(AM133:AN133)-(MIN(AM133:AN133)))))</f>
        <v>8.3333333333333329E-2</v>
      </c>
      <c r="AP133" s="434">
        <f>(0.18-0)/2</f>
        <v>0.09</v>
      </c>
      <c r="AQ133" s="423"/>
      <c r="AR133" s="435">
        <v>50</v>
      </c>
      <c r="AS133" s="337">
        <f>'Data Standar'!J233</f>
        <v>0.34</v>
      </c>
      <c r="AT133" s="338"/>
      <c r="AU133" s="436">
        <f>IF(OR(AS133=0,AT133=0),'Data Standar'!$J$237/3,((MAX(AS133:AT133)-(MIN(AS133:AT133)))))</f>
        <v>8.3333333333333329E-2</v>
      </c>
      <c r="AV133" s="434">
        <f>(0.18-0)/2</f>
        <v>0.09</v>
      </c>
      <c r="AW133" s="423"/>
      <c r="AX133" s="435">
        <v>50</v>
      </c>
      <c r="AY133" s="337">
        <f>'Data Standar'!K233</f>
        <v>0.37</v>
      </c>
      <c r="AZ133" s="338"/>
      <c r="BA133" s="436">
        <f>IF(OR(AY133=0,AZ133=0),'Data Standar'!$K$237/3,((MAX(AY133:AZ133)-(MIN(AY133:AZ133)))))</f>
        <v>0.26333333333333336</v>
      </c>
      <c r="BB133" s="434">
        <f>(0.18-0)/2</f>
        <v>0.09</v>
      </c>
      <c r="BC133" s="423"/>
      <c r="BD133" s="435">
        <v>50</v>
      </c>
      <c r="BE133" s="337">
        <f>'Data Standar'!L233</f>
        <v>0.99</v>
      </c>
      <c r="BF133" s="338"/>
      <c r="BG133" s="436">
        <f>IF(OR(BE133=0,BF133=0),'Data Standar'!$L$237/3,((MAX(BE133:BF133)-(MIN(BE133:BF133)))))</f>
        <v>9.3333333333333338E-2</v>
      </c>
      <c r="BH133" s="434">
        <f>(0.18-0)/2</f>
        <v>0.09</v>
      </c>
      <c r="BI133" s="423"/>
      <c r="BJ133" s="435">
        <v>50</v>
      </c>
      <c r="BK133" s="337">
        <f>'Data Standar'!M233</f>
        <v>0.37</v>
      </c>
      <c r="BL133" s="338"/>
      <c r="BM133" s="436">
        <f>IF(OR(BK133=0,BL133=0),'Data Standar'!$M$237/3,((MAX(BK133:BL133)-(MIN(BK133:BL133)))))</f>
        <v>0.26333333333333336</v>
      </c>
      <c r="BN133" s="434">
        <f>(0.18-0)/2</f>
        <v>0.09</v>
      </c>
      <c r="BO133" s="423"/>
      <c r="BP133" s="435">
        <v>50</v>
      </c>
      <c r="BQ133" s="337">
        <f>'Data Standar'!N233</f>
        <v>0.65</v>
      </c>
      <c r="BR133" s="338"/>
      <c r="BS133" s="436">
        <f>IF(OR(BQ133=0,BR133=0),'Data Standar'!$N$237/3,((MAX(BQ133:BR133)-(MIN(BQ133:BR133)))))</f>
        <v>8.3333333333333329E-2</v>
      </c>
      <c r="BT133" s="434">
        <f>(0.18-0)/2</f>
        <v>0.09</v>
      </c>
      <c r="BU133" s="423"/>
      <c r="BV133" s="435">
        <v>50</v>
      </c>
      <c r="BW133" s="337">
        <f>'Data Standar'!O233</f>
        <v>0.77</v>
      </c>
      <c r="BX133" s="338"/>
      <c r="BY133" s="436">
        <f>IF(OR(BW133=0,BX133=0),'Data Standar'!$O$237/3,((MAX(BW133:BX133)-(MIN(BW133:BX133)))))</f>
        <v>9.0000000000000011E-2</v>
      </c>
      <c r="BZ133" s="434">
        <f>(0.18-0)/2</f>
        <v>0.09</v>
      </c>
      <c r="CA133" s="423"/>
      <c r="CB133" s="435">
        <v>50</v>
      </c>
      <c r="CC133" s="337">
        <f t="shared" si="67"/>
        <v>-1.6</v>
      </c>
      <c r="CD133" s="338">
        <v>-0.7</v>
      </c>
      <c r="CE133" s="436">
        <f t="shared" si="72"/>
        <v>0.30000000000000004</v>
      </c>
      <c r="CF133" s="434">
        <f>(0.18-0)/2</f>
        <v>0.09</v>
      </c>
      <c r="CG133" s="423"/>
      <c r="CH133" s="435">
        <v>50</v>
      </c>
      <c r="CI133" s="337">
        <f t="shared" si="68"/>
        <v>0.27</v>
      </c>
      <c r="CJ133" s="338">
        <f t="shared" si="70"/>
        <v>0.22</v>
      </c>
      <c r="CK133" s="436">
        <f t="shared" si="73"/>
        <v>5.0000000000000017E-2</v>
      </c>
      <c r="CL133" s="434">
        <f>(0.18-0)/2</f>
        <v>0.09</v>
      </c>
      <c r="CM133" s="423"/>
      <c r="CN133" s="435">
        <v>50</v>
      </c>
      <c r="CO133" s="337">
        <f t="shared" si="69"/>
        <v>0.67</v>
      </c>
      <c r="CP133" s="338">
        <f t="shared" si="71"/>
        <v>0.56999999999999995</v>
      </c>
      <c r="CQ133" s="436">
        <f t="shared" si="74"/>
        <v>0.10000000000000009</v>
      </c>
      <c r="CR133" s="434">
        <f>(0.18-0)/2</f>
        <v>0.09</v>
      </c>
      <c r="CS133" s="423"/>
    </row>
    <row r="134" spans="1:97" s="427" customFormat="1" ht="13">
      <c r="A134" s="423"/>
      <c r="B134" s="435">
        <v>100</v>
      </c>
      <c r="C134" s="337">
        <v>9.9999999999999995E-7</v>
      </c>
      <c r="D134" s="337">
        <v>9.9999999999999995E-7</v>
      </c>
      <c r="E134" s="436">
        <v>9.9999999999999995E-7</v>
      </c>
      <c r="F134" s="437"/>
      <c r="G134" s="438"/>
      <c r="H134" s="435">
        <v>100</v>
      </c>
      <c r="I134" s="337">
        <v>9.9999999999999995E-7</v>
      </c>
      <c r="J134" s="337">
        <v>9.9999999999999995E-7</v>
      </c>
      <c r="K134" s="436">
        <v>9.9999999999999995E-7</v>
      </c>
      <c r="L134" s="437"/>
      <c r="M134" s="438"/>
      <c r="N134" s="435">
        <v>100</v>
      </c>
      <c r="O134" s="338">
        <v>9.9999999999999995E-7</v>
      </c>
      <c r="P134" s="338">
        <f>'Data Standar'!E234</f>
        <v>-0.17</v>
      </c>
      <c r="Q134" s="436">
        <f>IF(OR(O134=0,P134=0),'Data Standar'!$E$237/3,((MAX(O134:P134)-(MIN(O134:P134)))))</f>
        <v>0.17000100000000001</v>
      </c>
      <c r="R134" s="434"/>
      <c r="S134" s="423"/>
      <c r="T134" s="435">
        <v>100</v>
      </c>
      <c r="U134" s="337">
        <f>'Data Standar'!F234</f>
        <v>0.95</v>
      </c>
      <c r="V134" s="338"/>
      <c r="W134" s="436">
        <f>IF(OR(U134=0,V134=0),'Data Standar'!$F$237/3,((MAX(U134:V134)-(MIN(U134:V134)))))</f>
        <v>8.3333333333333329E-2</v>
      </c>
      <c r="X134" s="434">
        <f>(0.21-0)/2</f>
        <v>0.105</v>
      </c>
      <c r="Y134" s="423"/>
      <c r="Z134" s="435">
        <v>100</v>
      </c>
      <c r="AA134" s="337">
        <f>'Data Standar'!G234</f>
        <v>0.33</v>
      </c>
      <c r="AB134" s="338"/>
      <c r="AC134" s="436">
        <f>IF(OR(AA134=0,AB134=0),'Data Standar'!$G$237/3,((MAX(AA134:AB134)-(MIN(AA134:AB134)))))</f>
        <v>8.666666666666667E-2</v>
      </c>
      <c r="AD134" s="434">
        <f>(0.21-0)/2</f>
        <v>0.105</v>
      </c>
      <c r="AE134" s="423"/>
      <c r="AF134" s="435">
        <v>100</v>
      </c>
      <c r="AG134" s="337">
        <f>'Data Standar'!H234</f>
        <v>0.36</v>
      </c>
      <c r="AH134" s="338"/>
      <c r="AI134" s="436">
        <f>IF(OR(AG134=0,AH134=0),'Data Standar'!$H$237/3,((MAX(AG134:AH134)-(MIN(AG134:AH134)))))</f>
        <v>9.0000000000000011E-2</v>
      </c>
      <c r="AJ134" s="434">
        <f>(0.21-0)/2</f>
        <v>0.105</v>
      </c>
      <c r="AK134" s="423"/>
      <c r="AL134" s="435">
        <v>100</v>
      </c>
      <c r="AM134" s="337">
        <f>'Data Standar'!I234</f>
        <v>0.61</v>
      </c>
      <c r="AN134" s="338"/>
      <c r="AO134" s="436">
        <f>IF(OR(AM134=0,AN134=0),'Data Standar'!$I$237/3,((MAX(AM134:AN134)-(MIN(AM134:AN134)))))</f>
        <v>8.3333333333333329E-2</v>
      </c>
      <c r="AP134" s="434">
        <f>(0.21-0)/2</f>
        <v>0.105</v>
      </c>
      <c r="AQ134" s="423"/>
      <c r="AR134" s="435">
        <v>100</v>
      </c>
      <c r="AS134" s="337">
        <f>'Data Standar'!J234</f>
        <v>0.44</v>
      </c>
      <c r="AT134" s="338"/>
      <c r="AU134" s="436">
        <f>IF(OR(AS134=0,AT134=0),'Data Standar'!$J$237/3,((MAX(AS134:AT134)-(MIN(AS134:AT134)))))</f>
        <v>8.3333333333333329E-2</v>
      </c>
      <c r="AV134" s="434">
        <f>(0.21-0)/2</f>
        <v>0.105</v>
      </c>
      <c r="AW134" s="423"/>
      <c r="AX134" s="435">
        <v>100</v>
      </c>
      <c r="AY134" s="337">
        <f>'Data Standar'!K234</f>
        <v>0.2</v>
      </c>
      <c r="AZ134" s="338"/>
      <c r="BA134" s="436">
        <f>IF(OR(AY134=0,AZ134=0),'Data Standar'!$K$237/3,((MAX(AY134:AZ134)-(MIN(AY134:AZ134)))))</f>
        <v>0.26333333333333336</v>
      </c>
      <c r="BB134" s="434">
        <f>(0.21-0)/2</f>
        <v>0.105</v>
      </c>
      <c r="BC134" s="423"/>
      <c r="BD134" s="435">
        <v>100</v>
      </c>
      <c r="BE134" s="337">
        <f>'Data Standar'!L234</f>
        <v>1.02</v>
      </c>
      <c r="BF134" s="338"/>
      <c r="BG134" s="436">
        <f>IF(OR(BE134=0,BF134=0),'Data Standar'!$L$237/3,((MAX(BE134:BF134)-(MIN(BE134:BF134)))))</f>
        <v>9.3333333333333338E-2</v>
      </c>
      <c r="BH134" s="434">
        <f>(0.21-0)/2</f>
        <v>0.105</v>
      </c>
      <c r="BI134" s="423"/>
      <c r="BJ134" s="435">
        <v>100</v>
      </c>
      <c r="BK134" s="337">
        <f>'Data Standar'!M234</f>
        <v>0.2</v>
      </c>
      <c r="BL134" s="338"/>
      <c r="BM134" s="436">
        <f>IF(OR(BK134=0,BL134=0),'Data Standar'!$M$237/3,((MAX(BK134:BL134)-(MIN(BK134:BL134)))))</f>
        <v>0.26333333333333336</v>
      </c>
      <c r="BN134" s="434">
        <f>(0.21-0)/2</f>
        <v>0.105</v>
      </c>
      <c r="BO134" s="423"/>
      <c r="BP134" s="435">
        <v>100</v>
      </c>
      <c r="BQ134" s="337">
        <f>'Data Standar'!N234</f>
        <v>0.37</v>
      </c>
      <c r="BR134" s="338"/>
      <c r="BS134" s="436">
        <f>IF(OR(BQ134=0,BR134=0),'Data Standar'!$N$237/3,((MAX(BQ134:BR134)-(MIN(BQ134:BR134)))))</f>
        <v>8.3333333333333329E-2</v>
      </c>
      <c r="BT134" s="434">
        <f>(0.21-0)/2</f>
        <v>0.105</v>
      </c>
      <c r="BU134" s="423"/>
      <c r="BV134" s="435">
        <v>100</v>
      </c>
      <c r="BW134" s="337">
        <f>'Data Standar'!O234</f>
        <v>0.67</v>
      </c>
      <c r="BX134" s="338"/>
      <c r="BY134" s="436">
        <f>IF(OR(BW134=0,BX134=0),'Data Standar'!$O$237/3,((MAX(BW134:BX134)-(MIN(BW134:BX134)))))</f>
        <v>9.0000000000000011E-2</v>
      </c>
      <c r="BZ134" s="434">
        <f>(0.21-0)/2</f>
        <v>0.105</v>
      </c>
      <c r="CA134" s="423"/>
      <c r="CB134" s="435">
        <v>100</v>
      </c>
      <c r="CC134" s="337">
        <f t="shared" si="67"/>
        <v>-1.7</v>
      </c>
      <c r="CD134" s="338">
        <v>-0.7</v>
      </c>
      <c r="CE134" s="436">
        <f t="shared" si="72"/>
        <v>0.90000000000000013</v>
      </c>
      <c r="CF134" s="434">
        <f>(0.21-0)/2</f>
        <v>0.105</v>
      </c>
      <c r="CG134" s="423"/>
      <c r="CH134" s="435">
        <v>100</v>
      </c>
      <c r="CI134" s="337">
        <f t="shared" si="68"/>
        <v>0.31</v>
      </c>
      <c r="CJ134" s="338">
        <f t="shared" si="70"/>
        <v>0.23</v>
      </c>
      <c r="CK134" s="436">
        <f t="shared" si="73"/>
        <v>7.9999999999999988E-2</v>
      </c>
      <c r="CL134" s="434">
        <f>(0.21-0)/2</f>
        <v>0.105</v>
      </c>
      <c r="CM134" s="423"/>
      <c r="CN134" s="435">
        <v>100</v>
      </c>
      <c r="CO134" s="337">
        <f t="shared" si="69"/>
        <v>0.95</v>
      </c>
      <c r="CP134" s="338">
        <f t="shared" si="71"/>
        <v>0.81</v>
      </c>
      <c r="CQ134" s="436">
        <f t="shared" si="74"/>
        <v>0.1399999999999999</v>
      </c>
      <c r="CR134" s="434">
        <f>(0.21-0)/2</f>
        <v>0.105</v>
      </c>
      <c r="CS134" s="423"/>
    </row>
    <row r="135" spans="1:97" s="427" customFormat="1" ht="13">
      <c r="A135" s="423"/>
      <c r="B135" s="435">
        <v>150</v>
      </c>
      <c r="C135" s="337">
        <v>9.9999999999999995E-7</v>
      </c>
      <c r="D135" s="337">
        <v>9.9999999999999995E-7</v>
      </c>
      <c r="E135" s="436">
        <v>9.9999999999999995E-7</v>
      </c>
      <c r="F135" s="437"/>
      <c r="G135" s="438"/>
      <c r="H135" s="435">
        <v>150</v>
      </c>
      <c r="I135" s="337">
        <v>9.9999999999999995E-7</v>
      </c>
      <c r="J135" s="337">
        <v>9.9999999999999995E-7</v>
      </c>
      <c r="K135" s="436">
        <v>9.9999999999999995E-7</v>
      </c>
      <c r="L135" s="437"/>
      <c r="M135" s="438"/>
      <c r="N135" s="435">
        <v>150</v>
      </c>
      <c r="O135" s="338">
        <v>9.9999999999999995E-7</v>
      </c>
      <c r="P135" s="338">
        <f>'Data Standar'!E235</f>
        <v>-0.28000000000000003</v>
      </c>
      <c r="Q135" s="436">
        <f>IF(OR(O135=0,P135=0),'Data Standar'!$E$237/3,((MAX(O135:P135)-(MIN(O135:P135)))))</f>
        <v>0.280001</v>
      </c>
      <c r="R135" s="434"/>
      <c r="S135" s="423"/>
      <c r="T135" s="435">
        <v>150</v>
      </c>
      <c r="U135" s="337">
        <f>'Data Standar'!F235</f>
        <v>0.34</v>
      </c>
      <c r="V135" s="338"/>
      <c r="W135" s="436">
        <f>IF(OR(U135=0,V135=0),'Data Standar'!$F$237/3,((MAX(U135:V135)-(MIN(U135:V135)))))</f>
        <v>8.3333333333333329E-2</v>
      </c>
      <c r="X135" s="434">
        <f>(0.22-0)/2</f>
        <v>0.11</v>
      </c>
      <c r="Y135" s="423"/>
      <c r="Z135" s="435">
        <v>150</v>
      </c>
      <c r="AA135" s="337">
        <f>'Data Standar'!G235</f>
        <v>0.51</v>
      </c>
      <c r="AB135" s="338"/>
      <c r="AC135" s="436">
        <f>IF(OR(AA135=0,AB135=0),'Data Standar'!$G$237/3,((MAX(AA135:AB135)-(MIN(AA135:AB135)))))</f>
        <v>8.666666666666667E-2</v>
      </c>
      <c r="AD135" s="434">
        <f>(0.22-0)/2</f>
        <v>0.11</v>
      </c>
      <c r="AE135" s="423"/>
      <c r="AF135" s="435">
        <v>150</v>
      </c>
      <c r="AG135" s="337">
        <f>'Data Standar'!H235</f>
        <v>0.54</v>
      </c>
      <c r="AH135" s="338"/>
      <c r="AI135" s="436">
        <f>IF(OR(AG135=0,AH135=0),'Data Standar'!$H$237/3,((MAX(AG135:AH135)-(MIN(AG135:AH135)))))</f>
        <v>9.0000000000000011E-2</v>
      </c>
      <c r="AJ135" s="434">
        <f>(0.22-0)/2</f>
        <v>0.11</v>
      </c>
      <c r="AK135" s="423"/>
      <c r="AL135" s="435">
        <v>150</v>
      </c>
      <c r="AM135" s="337">
        <f>'Data Standar'!I235</f>
        <v>0.77</v>
      </c>
      <c r="AN135" s="338"/>
      <c r="AO135" s="436">
        <f>IF(OR(AM135=0,AN135=0),'Data Standar'!$I$237/3,((MAX(AM135:AN135)-(MIN(AM135:AN135)))))</f>
        <v>8.3333333333333329E-2</v>
      </c>
      <c r="AP135" s="434">
        <f>(0.22-0)/2</f>
        <v>0.11</v>
      </c>
      <c r="AQ135" s="423"/>
      <c r="AR135" s="435">
        <v>150</v>
      </c>
      <c r="AS135" s="337">
        <f>'Data Standar'!J235</f>
        <v>0.62</v>
      </c>
      <c r="AT135" s="338"/>
      <c r="AU135" s="436">
        <f>IF(OR(AS135=0,AT135=0),'Data Standar'!$J$237/3,((MAX(AS135:AT135)-(MIN(AS135:AT135)))))</f>
        <v>8.3333333333333329E-2</v>
      </c>
      <c r="AV135" s="434">
        <f>(0.22-0)/2</f>
        <v>0.11</v>
      </c>
      <c r="AW135" s="423"/>
      <c r="AX135" s="435">
        <v>150</v>
      </c>
      <c r="AY135" s="337">
        <f>'Data Standar'!K235</f>
        <v>-0.01</v>
      </c>
      <c r="AZ135" s="338"/>
      <c r="BA135" s="436">
        <f>IF(OR(AY135=0,AZ135=0),'Data Standar'!$K$237/3,((MAX(AY135:AZ135)-(MIN(AY135:AZ135)))))</f>
        <v>0.26333333333333336</v>
      </c>
      <c r="BB135" s="434">
        <f>(0.22-0)/2</f>
        <v>0.11</v>
      </c>
      <c r="BC135" s="423"/>
      <c r="BD135" s="435">
        <v>150</v>
      </c>
      <c r="BE135" s="337">
        <f>'Data Standar'!L235</f>
        <v>0.63</v>
      </c>
      <c r="BF135" s="338"/>
      <c r="BG135" s="436">
        <f>IF(OR(BE135=0,BF135=0),'Data Standar'!$L$237/3,((MAX(BE135:BF135)-(MIN(BE135:BF135)))))</f>
        <v>9.3333333333333338E-2</v>
      </c>
      <c r="BH135" s="434">
        <f>(0.22-0)/2</f>
        <v>0.11</v>
      </c>
      <c r="BI135" s="423"/>
      <c r="BJ135" s="435">
        <v>150</v>
      </c>
      <c r="BK135" s="337">
        <f>'Data Standar'!M235</f>
        <v>-0.01</v>
      </c>
      <c r="BL135" s="338"/>
      <c r="BM135" s="436">
        <f>IF(OR(BK135=0,BL135=0),'Data Standar'!$M$237/3,((MAX(BK135:BL135)-(MIN(BK135:BL135)))))</f>
        <v>0.26333333333333336</v>
      </c>
      <c r="BN135" s="434">
        <f>(0.22-0)/2</f>
        <v>0.11</v>
      </c>
      <c r="BO135" s="423"/>
      <c r="BP135" s="435">
        <v>150</v>
      </c>
      <c r="BQ135" s="337">
        <f>'Data Standar'!N235</f>
        <v>-0.35</v>
      </c>
      <c r="BR135" s="338"/>
      <c r="BS135" s="436">
        <f>IF(OR(BQ135=0,BR135=0),'Data Standar'!$N$237/3,((MAX(BQ135:BR135)-(MIN(BQ135:BR135)))))</f>
        <v>8.3333333333333329E-2</v>
      </c>
      <c r="BT135" s="434">
        <f>(0.22-0)/2</f>
        <v>0.11</v>
      </c>
      <c r="BU135" s="423"/>
      <c r="BV135" s="435">
        <v>150</v>
      </c>
      <c r="BW135" s="337">
        <f>'Data Standar'!O235</f>
        <v>-0.12</v>
      </c>
      <c r="BX135" s="338"/>
      <c r="BY135" s="436">
        <f>IF(OR(BW135=0,BX135=0),'Data Standar'!$O$237/3,((MAX(BW135:BX135)-(MIN(BW135:BX135)))))</f>
        <v>9.0000000000000011E-2</v>
      </c>
      <c r="BZ135" s="434">
        <f>(0.22-0)/2</f>
        <v>0.11</v>
      </c>
      <c r="CA135" s="423"/>
      <c r="CB135" s="435">
        <v>150</v>
      </c>
      <c r="CC135" s="337">
        <f t="shared" si="67"/>
        <v>-0.9</v>
      </c>
      <c r="CD135" s="338">
        <v>-0.7</v>
      </c>
      <c r="CE135" s="436">
        <f t="shared" si="72"/>
        <v>1</v>
      </c>
      <c r="CF135" s="434">
        <f>(0.22-0)/2</f>
        <v>0.11</v>
      </c>
      <c r="CG135" s="423"/>
      <c r="CH135" s="435">
        <v>150</v>
      </c>
      <c r="CI135" s="337">
        <f t="shared" si="68"/>
        <v>0.3</v>
      </c>
      <c r="CJ135" s="338">
        <f t="shared" si="70"/>
        <v>0.22</v>
      </c>
      <c r="CK135" s="436">
        <f t="shared" si="73"/>
        <v>7.9999999999999988E-2</v>
      </c>
      <c r="CL135" s="434">
        <f>(0.22-0)/2</f>
        <v>0.11</v>
      </c>
      <c r="CM135" s="423"/>
      <c r="CN135" s="435">
        <v>150</v>
      </c>
      <c r="CO135" s="337">
        <f t="shared" si="69"/>
        <v>0.49</v>
      </c>
      <c r="CP135" s="338">
        <f t="shared" si="71"/>
        <v>0.87</v>
      </c>
      <c r="CQ135" s="436">
        <f t="shared" si="74"/>
        <v>0.38</v>
      </c>
      <c r="CR135" s="434">
        <f>(0.22-0)/2</f>
        <v>0.11</v>
      </c>
      <c r="CS135" s="423"/>
    </row>
    <row r="136" spans="1:97" s="427" customFormat="1" ht="13">
      <c r="A136" s="423"/>
      <c r="B136" s="435">
        <v>200</v>
      </c>
      <c r="C136" s="337">
        <v>9.9999999999999995E-7</v>
      </c>
      <c r="D136" s="337">
        <v>9.9999999999999995E-7</v>
      </c>
      <c r="E136" s="436">
        <v>9.9999999999999995E-7</v>
      </c>
      <c r="F136" s="437"/>
      <c r="G136" s="438"/>
      <c r="H136" s="435">
        <v>200</v>
      </c>
      <c r="I136" s="337">
        <v>9.9999999999999995E-7</v>
      </c>
      <c r="J136" s="337">
        <v>9.9999999999999995E-7</v>
      </c>
      <c r="K136" s="436">
        <v>9.9999999999999995E-7</v>
      </c>
      <c r="L136" s="437"/>
      <c r="M136" s="438"/>
      <c r="N136" s="435">
        <v>200</v>
      </c>
      <c r="O136" s="338">
        <v>9.9999999999999995E-7</v>
      </c>
      <c r="P136" s="338">
        <f>'Data Standar'!E236</f>
        <v>0</v>
      </c>
      <c r="Q136" s="436">
        <f>IF(OR(O136=0,P136=0),'Data Standar'!$E$237/3,((MAX(O136:P136)-(MIN(O136:P136)))))</f>
        <v>9.3333333333333338E-2</v>
      </c>
      <c r="R136" s="434"/>
      <c r="S136" s="423"/>
      <c r="T136" s="435">
        <v>200</v>
      </c>
      <c r="U136" s="337">
        <f>'Data Standar'!F236</f>
        <v>-0.41</v>
      </c>
      <c r="V136" s="338"/>
      <c r="W136" s="436">
        <f>IF(OR(U136=0,V136=0),'Data Standar'!$F$237/3,((MAX(U136:V136)-(MIN(U136:V136)))))</f>
        <v>8.3333333333333329E-2</v>
      </c>
      <c r="X136" s="434">
        <f>(0.19-0)/2</f>
        <v>9.5000000000000001E-2</v>
      </c>
      <c r="Y136" s="423"/>
      <c r="Z136" s="435">
        <v>200</v>
      </c>
      <c r="AA136" s="337">
        <f>'Data Standar'!G236</f>
        <v>0.74</v>
      </c>
      <c r="AB136" s="338"/>
      <c r="AC136" s="436">
        <f>IF(OR(AA136=0,AB136=0),'Data Standar'!$G$237/3,((MAX(AA136:AB136)-(MIN(AA136:AB136)))))</f>
        <v>8.666666666666667E-2</v>
      </c>
      <c r="AD136" s="434">
        <f>(0.19-0)/2</f>
        <v>9.5000000000000001E-2</v>
      </c>
      <c r="AE136" s="423"/>
      <c r="AF136" s="435">
        <v>200</v>
      </c>
      <c r="AG136" s="337">
        <f>'Data Standar'!H236</f>
        <v>0.81</v>
      </c>
      <c r="AH136" s="338"/>
      <c r="AI136" s="436">
        <f>IF(OR(AG136=0,AH136=0),'Data Standar'!$H$237/3,((MAX(AG136:AH136)-(MIN(AG136:AH136)))))</f>
        <v>9.0000000000000011E-2</v>
      </c>
      <c r="AJ136" s="434">
        <f>(0.19-0)/2</f>
        <v>9.5000000000000001E-2</v>
      </c>
      <c r="AK136" s="423"/>
      <c r="AL136" s="435">
        <v>200</v>
      </c>
      <c r="AM136" s="337">
        <f>'Data Standar'!I236</f>
        <v>1.02</v>
      </c>
      <c r="AN136" s="338"/>
      <c r="AO136" s="436">
        <f>IF(OR(AM136=0,AN136=0),'Data Standar'!$I$237/3,((MAX(AM136:AN136)-(MIN(AM136:AN136)))))</f>
        <v>8.3333333333333329E-2</v>
      </c>
      <c r="AP136" s="434">
        <f>(0.19-0)/2</f>
        <v>9.5000000000000001E-2</v>
      </c>
      <c r="AQ136" s="423"/>
      <c r="AR136" s="435">
        <v>200</v>
      </c>
      <c r="AS136" s="337">
        <f>'Data Standar'!J236</f>
        <v>0.83</v>
      </c>
      <c r="AT136" s="338"/>
      <c r="AU136" s="436">
        <f>IF(OR(AS136=0,AT136=0),'Data Standar'!$J$237/3,((MAX(AS136:AT136)-(MIN(AS136:AT136)))))</f>
        <v>8.3333333333333329E-2</v>
      </c>
      <c r="AV136" s="434">
        <f>(0.19-0)/2</f>
        <v>9.5000000000000001E-2</v>
      </c>
      <c r="AW136" s="423"/>
      <c r="AX136" s="435">
        <v>200</v>
      </c>
      <c r="AY136" s="337">
        <f>'Data Standar'!K236</f>
        <v>-0.28999999999999998</v>
      </c>
      <c r="AZ136" s="338"/>
      <c r="BA136" s="436">
        <f>IF(OR(AY136=0,AZ136=0),'Data Standar'!$K$237/3,((MAX(AY136:AZ136)-(MIN(AY136:AZ136)))))</f>
        <v>0.26333333333333336</v>
      </c>
      <c r="BB136" s="434">
        <f>(0.19-0)/2</f>
        <v>9.5000000000000001E-2</v>
      </c>
      <c r="BC136" s="423"/>
      <c r="BD136" s="435">
        <v>200</v>
      </c>
      <c r="BE136" s="337">
        <f>'Data Standar'!L236</f>
        <v>0.8</v>
      </c>
      <c r="BF136" s="338"/>
      <c r="BG136" s="436">
        <f>IF(OR(BE136=0,BF136=0),'Data Standar'!$L$237/3,((MAX(BE136:BF136)-(MIN(BE136:BF136)))))</f>
        <v>9.3333333333333338E-2</v>
      </c>
      <c r="BH136" s="434">
        <f>(0.19-0)/2</f>
        <v>9.5000000000000001E-2</v>
      </c>
      <c r="BI136" s="423"/>
      <c r="BJ136" s="435">
        <v>200</v>
      </c>
      <c r="BK136" s="337">
        <f>'Data Standar'!M236</f>
        <v>-0.28999999999999998</v>
      </c>
      <c r="BL136" s="338"/>
      <c r="BM136" s="436">
        <f>IF(OR(BK136=0,BL136=0),'Data Standar'!$M$237/3,((MAX(BK136:BL136)-(MIN(BK136:BL136)))))</f>
        <v>0.26333333333333336</v>
      </c>
      <c r="BN136" s="434">
        <f>(0.19-0)/2</f>
        <v>9.5000000000000001E-2</v>
      </c>
      <c r="BO136" s="423"/>
      <c r="BP136" s="435">
        <v>200</v>
      </c>
      <c r="BQ136" s="337">
        <f>'Data Standar'!N236</f>
        <v>-0.36</v>
      </c>
      <c r="BR136" s="338"/>
      <c r="BS136" s="436">
        <f>IF(OR(BQ136=0,BR136=0),'Data Standar'!$N$237/3,((MAX(BQ136:BR136)-(MIN(BQ136:BR136)))))</f>
        <v>8.3333333333333329E-2</v>
      </c>
      <c r="BT136" s="434">
        <f>(0.19-0)/2</f>
        <v>9.5000000000000001E-2</v>
      </c>
      <c r="BU136" s="423"/>
      <c r="BV136" s="435">
        <v>200</v>
      </c>
      <c r="BW136" s="337">
        <f>'Data Standar'!O236</f>
        <v>-0.65</v>
      </c>
      <c r="BX136" s="338"/>
      <c r="BY136" s="436">
        <f>IF(OR(BW136=0,BX136=0),'Data Standar'!$O$237/3,((MAX(BW136:BX136)-(MIN(BW136:BX136)))))</f>
        <v>9.0000000000000011E-2</v>
      </c>
      <c r="BZ136" s="434">
        <f>(0.19-0)/2</f>
        <v>9.5000000000000001E-2</v>
      </c>
      <c r="CA136" s="423"/>
      <c r="CB136" s="435">
        <v>200</v>
      </c>
      <c r="CC136" s="337">
        <f t="shared" si="67"/>
        <v>0</v>
      </c>
      <c r="CD136" s="338">
        <v>-0.6</v>
      </c>
      <c r="CE136" s="436">
        <f t="shared" si="72"/>
        <v>0.30000000000000004</v>
      </c>
      <c r="CF136" s="434">
        <f>(0.19-0)/2</f>
        <v>9.5000000000000001E-2</v>
      </c>
      <c r="CG136" s="423"/>
      <c r="CH136" s="435">
        <v>200</v>
      </c>
      <c r="CI136" s="337">
        <f t="shared" si="68"/>
        <v>0.34</v>
      </c>
      <c r="CJ136" s="338">
        <f t="shared" si="70"/>
        <v>0.47</v>
      </c>
      <c r="CK136" s="436">
        <f t="shared" si="73"/>
        <v>0.12999999999999995</v>
      </c>
      <c r="CL136" s="434">
        <f>(0.19-0)/2</f>
        <v>9.5000000000000001E-2</v>
      </c>
      <c r="CM136" s="423"/>
      <c r="CN136" s="435">
        <v>200</v>
      </c>
      <c r="CO136" s="337">
        <f t="shared" si="69"/>
        <v>-0.26</v>
      </c>
      <c r="CP136" s="338">
        <f t="shared" si="71"/>
        <v>0.99</v>
      </c>
      <c r="CQ136" s="436">
        <f t="shared" si="74"/>
        <v>1.25</v>
      </c>
      <c r="CR136" s="434">
        <f>(0.19-0)/2</f>
        <v>9.5000000000000001E-2</v>
      </c>
      <c r="CS136" s="423"/>
    </row>
    <row r="137" spans="1:97" s="423" customFormat="1" ht="13">
      <c r="B137" s="442"/>
      <c r="C137" s="424"/>
      <c r="D137" s="424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T137" s="424"/>
      <c r="U137" s="424"/>
      <c r="V137" s="424"/>
      <c r="W137" s="424"/>
      <c r="X137" s="424"/>
      <c r="Y137" s="424"/>
      <c r="Z137" s="424"/>
      <c r="AA137" s="424"/>
      <c r="AB137" s="424"/>
      <c r="AH137" s="424"/>
      <c r="AJ137" s="425"/>
      <c r="AN137" s="424"/>
      <c r="AP137" s="425"/>
      <c r="AT137" s="424"/>
      <c r="AV137" s="425"/>
      <c r="AZ137" s="424"/>
      <c r="BB137" s="425"/>
      <c r="BF137" s="424"/>
      <c r="BH137" s="425"/>
      <c r="BL137" s="424"/>
      <c r="BN137" s="425"/>
      <c r="BR137" s="424"/>
      <c r="BT137" s="425"/>
      <c r="BX137" s="424"/>
      <c r="BZ137" s="425"/>
      <c r="CD137" s="424"/>
      <c r="CF137" s="425"/>
      <c r="CJ137" s="424"/>
      <c r="CL137" s="425"/>
      <c r="CP137" s="424"/>
      <c r="CR137" s="425"/>
    </row>
    <row r="138" spans="1:97" s="427" customFormat="1" ht="64.5" customHeight="1">
      <c r="A138" s="423"/>
      <c r="B138" s="1317" t="s">
        <v>394</v>
      </c>
      <c r="C138" s="1315" t="str">
        <f>C123</f>
        <v>Thermocouple Data Logger, Merek : MADGETECH, Model : OctTemp 2000, SN : P40270</v>
      </c>
      <c r="D138" s="1315"/>
      <c r="E138" s="1315"/>
      <c r="F138" s="426" t="s">
        <v>383</v>
      </c>
      <c r="G138" s="984">
        <f>Drift!$B$165</f>
        <v>161.46416666666667</v>
      </c>
      <c r="H138" s="1317" t="str">
        <f>B138</f>
        <v>CH 10</v>
      </c>
      <c r="I138" s="1315" t="str">
        <f>I123</f>
        <v>Thermocouple Data Logger, Merek : MADGETECH, Model : OctTemp 2000, SN : P41878</v>
      </c>
      <c r="J138" s="1315"/>
      <c r="K138" s="1315"/>
      <c r="L138" s="426" t="s">
        <v>383</v>
      </c>
      <c r="M138" s="984">
        <f>Drift!$B$165</f>
        <v>161.46416666666667</v>
      </c>
      <c r="N138" s="1317" t="str">
        <f>H138</f>
        <v>CH 10</v>
      </c>
      <c r="O138" s="1315" t="str">
        <f>O123</f>
        <v>Mobile Corder, Merek : Yokogawa, Model : GP 10, SN : S5T810599</v>
      </c>
      <c r="P138" s="1316"/>
      <c r="Q138" s="1315"/>
      <c r="R138" s="426" t="s">
        <v>383</v>
      </c>
      <c r="S138" s="984">
        <f>Drift!$B$165</f>
        <v>161.46416666666667</v>
      </c>
      <c r="T138" s="1317" t="str">
        <f>N138</f>
        <v>CH 10</v>
      </c>
      <c r="U138" s="1315" t="str">
        <f>U123</f>
        <v>Wireless Temperature Recorder : Merek : HIOKI, Model : LR 8510, SN : 200936000</v>
      </c>
      <c r="V138" s="1316"/>
      <c r="W138" s="1315"/>
      <c r="X138" s="426" t="s">
        <v>383</v>
      </c>
      <c r="Y138" s="984">
        <f>Drift!$B$165</f>
        <v>161.46416666666667</v>
      </c>
      <c r="Z138" s="1317" t="str">
        <f>T138</f>
        <v>CH 10</v>
      </c>
      <c r="AA138" s="1315" t="str">
        <f>AA123</f>
        <v>Wireless Temperature Recorder : Merek : HIOKI, Model : LR 8510, SN : 200936001</v>
      </c>
      <c r="AB138" s="1316"/>
      <c r="AC138" s="1315"/>
      <c r="AD138" s="426" t="s">
        <v>383</v>
      </c>
      <c r="AE138" s="984">
        <f>Drift!$B$165</f>
        <v>161.46416666666667</v>
      </c>
      <c r="AF138" s="1317" t="str">
        <f>Z138</f>
        <v>CH 10</v>
      </c>
      <c r="AG138" s="1315" t="str">
        <f>AG123</f>
        <v>Wireless Temperature Recorder : Merek : HIOKI, Model : LR 8510, SN : 200821397</v>
      </c>
      <c r="AH138" s="1316"/>
      <c r="AI138" s="1315"/>
      <c r="AJ138" s="426" t="s">
        <v>383</v>
      </c>
      <c r="AK138" s="984">
        <f>Drift!$B$165</f>
        <v>161.46416666666667</v>
      </c>
      <c r="AL138" s="1317" t="str">
        <f>AF138</f>
        <v>CH 10</v>
      </c>
      <c r="AM138" s="1315" t="str">
        <f>AM123</f>
        <v>Wireless Temperature Recorder : Merek : HIOKI, Model : LR 8510, SN : 210411983</v>
      </c>
      <c r="AN138" s="1316"/>
      <c r="AO138" s="1315"/>
      <c r="AP138" s="426" t="s">
        <v>383</v>
      </c>
      <c r="AQ138" s="984">
        <f>Drift!$B$165</f>
        <v>161.46416666666667</v>
      </c>
      <c r="AR138" s="1317" t="str">
        <f>AL138</f>
        <v>CH 10</v>
      </c>
      <c r="AS138" s="1315" t="str">
        <f>AS123</f>
        <v>Wireless Temperature Recorder : Merek : HIOKI, Model : LR 8510, SN : 210411984</v>
      </c>
      <c r="AT138" s="1316"/>
      <c r="AU138" s="1315"/>
      <c r="AV138" s="426" t="s">
        <v>383</v>
      </c>
      <c r="AW138" s="984">
        <f>Drift!$B$165</f>
        <v>161.46416666666667</v>
      </c>
      <c r="AX138" s="1317" t="str">
        <f>AR138</f>
        <v>CH 10</v>
      </c>
      <c r="AY138" s="1315" t="str">
        <f>AY123</f>
        <v>Wireless Temperature Recorder : Merek : HIOKI, Model : LR 8510, SN : 210411985</v>
      </c>
      <c r="AZ138" s="1316"/>
      <c r="BA138" s="1315"/>
      <c r="BB138" s="426" t="s">
        <v>383</v>
      </c>
      <c r="BC138" s="984">
        <f>Drift!$B$165</f>
        <v>161.46416666666667</v>
      </c>
      <c r="BD138" s="1317" t="str">
        <f>AX138</f>
        <v>CH 10</v>
      </c>
      <c r="BE138" s="1315" t="str">
        <f>BE123</f>
        <v>Wireless Temperature Recorder : Merek : HIOKI, Model : LR 8510, SN : 210746054</v>
      </c>
      <c r="BF138" s="1316"/>
      <c r="BG138" s="1315"/>
      <c r="BH138" s="426" t="s">
        <v>383</v>
      </c>
      <c r="BI138" s="984">
        <f>Drift!$B$165</f>
        <v>161.46416666666667</v>
      </c>
      <c r="BJ138" s="1317" t="str">
        <f>BD138</f>
        <v>CH 10</v>
      </c>
      <c r="BK138" s="1315" t="str">
        <f>BK123</f>
        <v>Wireless Temperature Recorder : Merek : HIOKI, Model : LR 8510, SN : 210746055</v>
      </c>
      <c r="BL138" s="1316"/>
      <c r="BM138" s="1315"/>
      <c r="BN138" s="426" t="s">
        <v>383</v>
      </c>
      <c r="BO138" s="984">
        <f>Drift!$B$165</f>
        <v>161.46416666666667</v>
      </c>
      <c r="BP138" s="1319" t="str">
        <f>BJ138</f>
        <v>CH 10</v>
      </c>
      <c r="BQ138" s="1315" t="str">
        <f>BQ123</f>
        <v>Wireless Temperature Recorder : Merek : HIOKI, Model : LR 8510, SN : 210746056</v>
      </c>
      <c r="BR138" s="1316"/>
      <c r="BS138" s="1315"/>
      <c r="BT138" s="426" t="s">
        <v>383</v>
      </c>
      <c r="BU138" s="984">
        <f>Drift!$B$165</f>
        <v>161.46416666666667</v>
      </c>
      <c r="BV138" s="1317" t="str">
        <f>BP138</f>
        <v>CH 10</v>
      </c>
      <c r="BW138" s="1315" t="str">
        <f>BW123</f>
        <v>Wireless Temperature Recorder : Merek : HIOKI, Model : LR 8510, SN : 200821396</v>
      </c>
      <c r="BX138" s="1316"/>
      <c r="BY138" s="1315"/>
      <c r="BZ138" s="426" t="s">
        <v>383</v>
      </c>
      <c r="CA138" s="984">
        <f>Drift!$B$165</f>
        <v>161.46416666666667</v>
      </c>
      <c r="CB138" s="1317" t="str">
        <f>BV138</f>
        <v>CH 10</v>
      </c>
      <c r="CC138" s="1315" t="str">
        <f t="shared" ref="CC138:CC151" si="75">CC123</f>
        <v>Reference Thermometer, Merek : APPA, Model : APPA51, SN : 03002948</v>
      </c>
      <c r="CD138" s="1316"/>
      <c r="CE138" s="1315"/>
      <c r="CF138" s="426" t="s">
        <v>383</v>
      </c>
      <c r="CG138" s="423"/>
      <c r="CH138" s="1317" t="str">
        <f>CB138</f>
        <v>CH 10</v>
      </c>
      <c r="CI138" s="1315" t="str">
        <f t="shared" ref="CI138:CI151" si="76">CI123</f>
        <v>Reference Thermometer, Merek : FLUKE, Model : 1524, SN : 1803038</v>
      </c>
      <c r="CJ138" s="1316"/>
      <c r="CK138" s="1315"/>
      <c r="CL138" s="426" t="s">
        <v>383</v>
      </c>
      <c r="CM138" s="423"/>
      <c r="CN138" s="1317" t="str">
        <f>CH138</f>
        <v>CH 10</v>
      </c>
      <c r="CO138" s="1315" t="str">
        <f t="shared" ref="CO138:CO151" si="77">CO123</f>
        <v>Reference Thermometer, Merek : FLUKE, Model : 1524, SN : 1803037</v>
      </c>
      <c r="CP138" s="1316"/>
      <c r="CQ138" s="1315"/>
      <c r="CR138" s="426" t="s">
        <v>383</v>
      </c>
      <c r="CS138" s="423"/>
    </row>
    <row r="139" spans="1:97" s="427" customFormat="1" ht="13">
      <c r="A139" s="423"/>
      <c r="B139" s="1318"/>
      <c r="C139" s="432"/>
      <c r="D139" s="432"/>
      <c r="E139" s="429" t="s">
        <v>385</v>
      </c>
      <c r="F139" s="430"/>
      <c r="G139" s="985">
        <f>IF(G138&lt;=B147,B146,IF(G138&lt;=B148,B147,IF(G138&lt;=B149,B148,IF(G138&lt;=B150,B149,IF(G138&lt;=B151,B150)))))</f>
        <v>150</v>
      </c>
      <c r="H139" s="1318"/>
      <c r="I139" s="431"/>
      <c r="J139" s="432"/>
      <c r="K139" s="429" t="s">
        <v>385</v>
      </c>
      <c r="L139" s="433"/>
      <c r="M139" s="985">
        <f>IF(M138&lt;=H147,H146,IF(M138&lt;=H148,H147,IF(M138&lt;=H149,H148,IF(M138&lt;=H150,H149,IF(M138&lt;=H151,H150)))))</f>
        <v>150</v>
      </c>
      <c r="N139" s="1318"/>
      <c r="O139" s="431">
        <f>O34</f>
        <v>2021</v>
      </c>
      <c r="P139" s="432">
        <f>P34</f>
        <v>2023</v>
      </c>
      <c r="Q139" s="429" t="s">
        <v>385</v>
      </c>
      <c r="R139" s="434"/>
      <c r="S139" s="985">
        <f>IF(S138&lt;=N147,N146,IF(S138&lt;=N148,N147,IF(S138&lt;=N149,N148,IF(S138&lt;=N150,N149,IF(S138&lt;=N151,N150)))))</f>
        <v>150</v>
      </c>
      <c r="T139" s="1318"/>
      <c r="U139" s="431">
        <f>U124</f>
        <v>2022</v>
      </c>
      <c r="V139" s="432"/>
      <c r="W139" s="429" t="s">
        <v>385</v>
      </c>
      <c r="X139" s="434"/>
      <c r="Y139" s="985">
        <f>IF(Y138&lt;=T147,T146,IF(Y138&lt;=T148,T147,IF(Y138&lt;=T149,T148,IF(Y138&lt;=T150,T149,IF(Y138&lt;=T151,T150)))))</f>
        <v>150</v>
      </c>
      <c r="Z139" s="1318"/>
      <c r="AA139" s="431">
        <f>AA124</f>
        <v>2023</v>
      </c>
      <c r="AB139" s="432"/>
      <c r="AC139" s="429" t="s">
        <v>385</v>
      </c>
      <c r="AD139" s="434"/>
      <c r="AE139" s="985">
        <f>IF(AE138&lt;=Z147,Z146,IF(AE138&lt;=Z148,Z147,IF(AE138&lt;=Z149,Z148,IF(AE138&lt;=Z150,Z149,IF(AE138&lt;=Z151,Z150)))))</f>
        <v>150</v>
      </c>
      <c r="AF139" s="1318"/>
      <c r="AG139" s="431">
        <f>AG124</f>
        <v>2023</v>
      </c>
      <c r="AH139" s="431">
        <f>AH124</f>
        <v>2021</v>
      </c>
      <c r="AI139" s="429" t="s">
        <v>385</v>
      </c>
      <c r="AJ139" s="434"/>
      <c r="AK139" s="985">
        <f>IF(AK138&lt;=AF147,AF146,IF(AK138&lt;=AF148,AF147,IF(AK138&lt;=AF149,AF148,IF(AK138&lt;=AF150,AF149,IF(AK138&lt;=AF151,AF150)))))</f>
        <v>150</v>
      </c>
      <c r="AL139" s="1318"/>
      <c r="AM139" s="431">
        <f>AM124</f>
        <v>2023</v>
      </c>
      <c r="AN139" s="432"/>
      <c r="AO139" s="429" t="s">
        <v>385</v>
      </c>
      <c r="AP139" s="434"/>
      <c r="AQ139" s="985">
        <f>IF(AQ138&lt;=AL147,AL146,IF(AQ138&lt;=AL148,AL147,IF(AQ138&lt;=AL149,AL148,IF(AQ138&lt;=AL150,AL149,IF(AQ138&lt;=AL151,AL150)))))</f>
        <v>150</v>
      </c>
      <c r="AR139" s="1318"/>
      <c r="AS139" s="431">
        <f>AS124</f>
        <v>2023</v>
      </c>
      <c r="AT139" s="432"/>
      <c r="AU139" s="429" t="s">
        <v>385</v>
      </c>
      <c r="AV139" s="434"/>
      <c r="AW139" s="985">
        <f>IF(AW138&lt;=AR147,AR146,IF(AW138&lt;=AR148,AR147,IF(AW138&lt;=AR149,AR148,IF(AW138&lt;=AR150,AR149,IF(AW138&lt;=AR151,AR150)))))</f>
        <v>150</v>
      </c>
      <c r="AX139" s="1318"/>
      <c r="AY139" s="431">
        <f>AY124</f>
        <v>2021</v>
      </c>
      <c r="AZ139" s="432"/>
      <c r="BA139" s="429" t="s">
        <v>385</v>
      </c>
      <c r="BB139" s="434"/>
      <c r="BC139" s="985">
        <f>IF(BC138&lt;=AX147,AX146,IF(BC138&lt;=AX148,AX147,IF(BC138&lt;=AX149,AX148,IF(BC138&lt;=AX150,AX149,IF(BC138&lt;=AX151,AX150)))))</f>
        <v>150</v>
      </c>
      <c r="BD139" s="1318"/>
      <c r="BE139" s="431">
        <f>BE124</f>
        <v>2022</v>
      </c>
      <c r="BF139" s="432"/>
      <c r="BG139" s="429" t="s">
        <v>385</v>
      </c>
      <c r="BH139" s="434"/>
      <c r="BI139" s="985">
        <f>IF(BI138&lt;=BD147,BD146,IF(BI138&lt;=BD148,BD147,IF(BI138&lt;=BD149,BD148,IF(BI138&lt;=BD150,BD149,IF(BI138&lt;=BD151,BD150)))))</f>
        <v>150</v>
      </c>
      <c r="BJ139" s="1318"/>
      <c r="BK139" s="431">
        <f>BK124</f>
        <v>2021</v>
      </c>
      <c r="BL139" s="432"/>
      <c r="BM139" s="429" t="s">
        <v>385</v>
      </c>
      <c r="BN139" s="434"/>
      <c r="BO139" s="985">
        <f>IF(BO138&lt;=BJ147,BJ146,IF(BO138&lt;=BJ148,BJ147,IF(BO138&lt;=BJ149,BJ148,IF(BO138&lt;=BJ150,BJ149,IF(BO138&lt;=BJ151,BJ150)))))</f>
        <v>150</v>
      </c>
      <c r="BP139" s="1320"/>
      <c r="BQ139" s="431">
        <f>BQ124</f>
        <v>2022</v>
      </c>
      <c r="BR139" s="432"/>
      <c r="BS139" s="429" t="s">
        <v>385</v>
      </c>
      <c r="BT139" s="434"/>
      <c r="BU139" s="985">
        <f>IF(BU138&lt;=BP147,BP146,IF(BU138&lt;=BP148,BP147,IF(BU138&lt;=BP149,BP148,IF(BU138&lt;=BP150,BP149,IF(BU138&lt;=BP151,BP150)))))</f>
        <v>150</v>
      </c>
      <c r="BV139" s="1318"/>
      <c r="BW139" s="431">
        <f>BW124</f>
        <v>2022</v>
      </c>
      <c r="BX139" s="432"/>
      <c r="BY139" s="429" t="s">
        <v>385</v>
      </c>
      <c r="BZ139" s="434"/>
      <c r="CA139" s="985">
        <f>IF(CA138&lt;=BV147,BV146,IF(CA138&lt;=BV148,BV147,IF(CA138&lt;=BV149,BV148,IF(CA138&lt;=BV150,BV149,IF(CA138&lt;=BV151,BV150)))))</f>
        <v>150</v>
      </c>
      <c r="CB139" s="1318"/>
      <c r="CC139" s="431">
        <f t="shared" si="75"/>
        <v>2022</v>
      </c>
      <c r="CD139" s="432">
        <f t="shared" ref="CD139:CD151" si="78">CD124</f>
        <v>2020</v>
      </c>
      <c r="CE139" s="429" t="s">
        <v>385</v>
      </c>
      <c r="CF139" s="434"/>
      <c r="CG139" s="446"/>
      <c r="CH139" s="1318"/>
      <c r="CI139" s="431">
        <f t="shared" si="76"/>
        <v>2021</v>
      </c>
      <c r="CJ139" s="432">
        <f t="shared" ref="CJ139:CJ151" si="79">CJ124</f>
        <v>2019</v>
      </c>
      <c r="CK139" s="429" t="s">
        <v>385</v>
      </c>
      <c r="CL139" s="434"/>
      <c r="CM139" s="423"/>
      <c r="CN139" s="1318"/>
      <c r="CO139" s="431">
        <f t="shared" si="77"/>
        <v>2021</v>
      </c>
      <c r="CP139" s="432">
        <f t="shared" ref="CP139:CP151" si="80">CP124</f>
        <v>2020</v>
      </c>
      <c r="CQ139" s="429" t="s">
        <v>385</v>
      </c>
      <c r="CR139" s="434"/>
      <c r="CS139" s="423"/>
    </row>
    <row r="140" spans="1:97" s="427" customFormat="1" ht="13">
      <c r="A140" s="423"/>
      <c r="B140" s="435">
        <v>-20</v>
      </c>
      <c r="C140" s="337">
        <v>9.9999999999999995E-7</v>
      </c>
      <c r="D140" s="337">
        <v>9.9999999999999995E-7</v>
      </c>
      <c r="E140" s="436">
        <v>9.9999999999999995E-7</v>
      </c>
      <c r="F140" s="437"/>
      <c r="G140" s="437"/>
      <c r="H140" s="435">
        <v>-20</v>
      </c>
      <c r="I140" s="337">
        <v>9.9999999999999995E-7</v>
      </c>
      <c r="J140" s="337">
        <v>9.9999999999999995E-7</v>
      </c>
      <c r="K140" s="436">
        <v>9.9999999999999995E-7</v>
      </c>
      <c r="L140" s="437"/>
      <c r="M140" s="437"/>
      <c r="N140" s="435">
        <v>-20</v>
      </c>
      <c r="O140" s="337">
        <v>9.9999999999999995E-7</v>
      </c>
      <c r="P140" s="337">
        <f>'Data Standar'!W225</f>
        <v>-0.46</v>
      </c>
      <c r="Q140" s="436">
        <f>IF(OR(O140=0,P140=0),'Data Standar'!$E$237/3,((MAX(O140:P140)-(MIN(O140:P140)))))</f>
        <v>0.46000099999999999</v>
      </c>
      <c r="R140" s="434">
        <v>9.9999999999999995E-7</v>
      </c>
      <c r="S140" s="437"/>
      <c r="T140" s="435">
        <v>-20</v>
      </c>
      <c r="U140" s="337">
        <f>'Data Standar'!X225</f>
        <v>-1.35</v>
      </c>
      <c r="V140" s="338"/>
      <c r="W140" s="436">
        <f>IF(OR(U140=0,V140=0),'Data Standar'!$X$237/3,((MAX(U140:V140)-(MIN(U140:V140)))))</f>
        <v>8.666666666666667E-2</v>
      </c>
      <c r="X140" s="434">
        <v>9.9999999999999995E-7</v>
      </c>
      <c r="Y140" s="437"/>
      <c r="Z140" s="435">
        <v>-20</v>
      </c>
      <c r="AA140" s="337">
        <f>'Data Standar'!Y225</f>
        <v>0.21</v>
      </c>
      <c r="AB140" s="338"/>
      <c r="AC140" s="436">
        <f>IF(OR(AA140=0,AB140=0),'Data Standar'!$Y$237/3,((MAX(AA140:AB140)-(MIN(AA140:AB140)))))</f>
        <v>8.666666666666667E-2</v>
      </c>
      <c r="AD140" s="434">
        <v>9.9999999999999995E-7</v>
      </c>
      <c r="AE140" s="437"/>
      <c r="AF140" s="435">
        <v>-20</v>
      </c>
      <c r="AG140" s="337">
        <f>'Data Standar'!Z225</f>
        <v>0.22</v>
      </c>
      <c r="AH140" s="338"/>
      <c r="AI140" s="436">
        <f>IF(OR(AG140=0,AH140=0),'Data Standar'!$Z$237/3,((MAX(AG140:AH140)-(MIN(AG140:AH140)))))</f>
        <v>9.3333333333333338E-2</v>
      </c>
      <c r="AJ140" s="434">
        <v>9.9999999999999995E-7</v>
      </c>
      <c r="AK140" s="437"/>
      <c r="AL140" s="435">
        <v>-20</v>
      </c>
      <c r="AM140" s="439">
        <f>'Data Standar'!AA225</f>
        <v>0.44</v>
      </c>
      <c r="AN140" s="338"/>
      <c r="AO140" s="436">
        <f>IF(OR(AM140=0,AN140=0),'Data Standar'!$AA$237/3,((MAX(AM140:AN140)-(MIN(AM140:AN140)))))</f>
        <v>0.08</v>
      </c>
      <c r="AP140" s="434">
        <v>9.9999999999999995E-7</v>
      </c>
      <c r="AQ140" s="437"/>
      <c r="AR140" s="435">
        <v>-20</v>
      </c>
      <c r="AS140" s="439">
        <f>'Data Standar'!AB225</f>
        <v>0.34</v>
      </c>
      <c r="AT140" s="338"/>
      <c r="AU140" s="436">
        <f>IF(OR(AS140=0,AT140=0),'Data Standar'!$AB$237/3,((MAX(AS140:AT140)-(MIN(AS140:AT140)))))</f>
        <v>8.3333333333333329E-2</v>
      </c>
      <c r="AV140" s="434">
        <v>9.9999999999999995E-7</v>
      </c>
      <c r="AW140" s="437"/>
      <c r="AX140" s="435">
        <v>-20</v>
      </c>
      <c r="AY140" s="337">
        <f>'Data Standar'!AC225</f>
        <v>0.47</v>
      </c>
      <c r="AZ140" s="338"/>
      <c r="BA140" s="436">
        <f>IF(OR(AY140=0,AZ140=0),'Data Standar'!$AC$237/3,((MAX(AY140:AZ140)-(MIN(AY140:AZ140)))))</f>
        <v>0.26333333333333336</v>
      </c>
      <c r="BB140" s="434">
        <v>9.9999999999999995E-7</v>
      </c>
      <c r="BC140" s="437"/>
      <c r="BD140" s="435">
        <v>-20</v>
      </c>
      <c r="BE140" s="337">
        <f>'Data Standar'!AD225</f>
        <v>-1.0900000000000001</v>
      </c>
      <c r="BF140" s="338"/>
      <c r="BG140" s="436">
        <f>IF(OR(BE140=0,BF140=0),'Data Standar'!$AD$237/3,((MAX(BE140:BF140)-(MIN(BE140:BF140)))))</f>
        <v>9.0000000000000011E-2</v>
      </c>
      <c r="BH140" s="434">
        <v>9.9999999999999995E-7</v>
      </c>
      <c r="BI140" s="437"/>
      <c r="BJ140" s="435">
        <v>-20</v>
      </c>
      <c r="BK140" s="337">
        <f>'Data Standar'!AE225</f>
        <v>0.47</v>
      </c>
      <c r="BL140" s="338"/>
      <c r="BM140" s="436">
        <f>IF(OR(BK140=0,BL140=0),'Data Standar'!$AE$237/3,((MAX(BK140:BL140)-(MIN(BK140:BL140)))))</f>
        <v>0.26333333333333336</v>
      </c>
      <c r="BN140" s="434">
        <v>9.9999999999999995E-7</v>
      </c>
      <c r="BO140" s="437"/>
      <c r="BP140" s="435">
        <v>-20</v>
      </c>
      <c r="BQ140" s="439">
        <f>'Data Standar'!AF225</f>
        <v>-1.22</v>
      </c>
      <c r="BR140" s="338"/>
      <c r="BS140" s="436">
        <f>IF(OR(BQ140=0,BR140=0),'Data Standar'!$AF$237/3,((MAX(BQ140:BR140)-(MIN(BQ140:BR140)))))</f>
        <v>8.3333333333333329E-2</v>
      </c>
      <c r="BT140" s="434">
        <v>9.9999999999999995E-7</v>
      </c>
      <c r="BU140" s="437"/>
      <c r="BV140" s="435">
        <v>-20</v>
      </c>
      <c r="BW140" s="337">
        <f>'Data Standar'!AG225</f>
        <v>-1.34</v>
      </c>
      <c r="BX140" s="338"/>
      <c r="BY140" s="436">
        <f>IF(OR(BW140=0,BX140=0),'Data Standar'!$AG$237/3,((MAX(BW140:BX140)-(MIN(BW140:BX140)))))</f>
        <v>9.0000000000000011E-2</v>
      </c>
      <c r="BZ140" s="434">
        <v>9.9999999999999995E-7</v>
      </c>
      <c r="CA140" s="437"/>
      <c r="CB140" s="435">
        <v>-20</v>
      </c>
      <c r="CC140" s="337">
        <f t="shared" si="75"/>
        <v>-1.1000000000000001</v>
      </c>
      <c r="CD140" s="338">
        <f t="shared" si="78"/>
        <v>-0.7</v>
      </c>
      <c r="CE140" s="436">
        <f t="shared" ref="CE140:CE151" si="81">CE125</f>
        <v>0.40000000000000013</v>
      </c>
      <c r="CF140" s="434">
        <v>9.9999999999999995E-7</v>
      </c>
      <c r="CG140" s="446"/>
      <c r="CH140" s="435">
        <v>-20</v>
      </c>
      <c r="CI140" s="337">
        <f t="shared" si="76"/>
        <v>-0.15</v>
      </c>
      <c r="CJ140" s="338">
        <f t="shared" si="79"/>
        <v>-0.32</v>
      </c>
      <c r="CK140" s="436">
        <f t="shared" ref="CK140:CK151" si="82">CK125</f>
        <v>0.17</v>
      </c>
      <c r="CL140" s="434">
        <v>9.9999999999999995E-7</v>
      </c>
      <c r="CM140" s="423"/>
      <c r="CN140" s="435">
        <v>-20</v>
      </c>
      <c r="CO140" s="337">
        <f t="shared" si="77"/>
        <v>-1.8</v>
      </c>
      <c r="CP140" s="338">
        <f t="shared" si="80"/>
        <v>-0.51</v>
      </c>
      <c r="CQ140" s="436">
        <f t="shared" ref="CQ140:CQ151" si="83">CQ125</f>
        <v>1.29</v>
      </c>
      <c r="CR140" s="434">
        <v>9.9999999999999995E-7</v>
      </c>
      <c r="CS140" s="423"/>
    </row>
    <row r="141" spans="1:97" s="427" customFormat="1" ht="13">
      <c r="A141" s="423"/>
      <c r="B141" s="435">
        <v>-15</v>
      </c>
      <c r="C141" s="337">
        <v>9.9999999999999995E-7</v>
      </c>
      <c r="D141" s="337">
        <v>9.9999999999999995E-7</v>
      </c>
      <c r="E141" s="436">
        <v>9.9999999999999995E-7</v>
      </c>
      <c r="F141" s="437"/>
      <c r="G141" s="985">
        <f>IF(G138&lt;=B146,B146,IF(G138&lt;=B147,B147,IF(G138&lt;=B148,B148,IF(G138&lt;=B149,B149,IF(G138&lt;=B150,B150,IF(G138&lt;=B151,B151))))))</f>
        <v>200</v>
      </c>
      <c r="H141" s="435">
        <v>-15</v>
      </c>
      <c r="I141" s="337">
        <v>9.9999999999999995E-7</v>
      </c>
      <c r="J141" s="337">
        <v>9.9999999999999995E-7</v>
      </c>
      <c r="K141" s="436">
        <v>9.9999999999999995E-7</v>
      </c>
      <c r="L141" s="437"/>
      <c r="M141" s="985">
        <f>IF(M138&lt;=H146,H146,IF(M138&lt;=H147,H147,IF(M138&lt;=H148,H148,IF(M138&lt;=H149,H149,IF(M138&lt;=H150,H150,IF(M138&lt;=H151,H151))))))</f>
        <v>200</v>
      </c>
      <c r="N141" s="435">
        <v>-15</v>
      </c>
      <c r="O141" s="337">
        <v>9.9999999999999995E-7</v>
      </c>
      <c r="P141" s="337">
        <f>'Data Standar'!W226</f>
        <v>-0.39</v>
      </c>
      <c r="Q141" s="436">
        <f>IF(OR(O141=0,P141=0),'Data Standar'!$E$237/3,((MAX(O141:P141)-(MIN(O141:P141)))))</f>
        <v>0.39000099999999999</v>
      </c>
      <c r="R141" s="434">
        <f>(0.08-0)/2</f>
        <v>0.04</v>
      </c>
      <c r="S141" s="985">
        <f>IF(S138&lt;=N146,N146,IF(S138&lt;=N147,N147,IF(S138&lt;=N148,N148,IF(S138&lt;=N149,N149,IF(S138&lt;=N150,N150,IF(S138&lt;=N151,N151))))))</f>
        <v>200</v>
      </c>
      <c r="T141" s="435">
        <v>-15</v>
      </c>
      <c r="U141" s="337">
        <f>'Data Standar'!X226</f>
        <v>-1.1100000000000001</v>
      </c>
      <c r="V141" s="338"/>
      <c r="W141" s="436">
        <f>IF(OR(U141=0,V141=0),'Data Standar'!$X$237/3,((MAX(U141:V141)-(MIN(U141:V141)))))</f>
        <v>8.666666666666667E-2</v>
      </c>
      <c r="X141" s="434">
        <f>(0.08-0)/2</f>
        <v>0.04</v>
      </c>
      <c r="Y141" s="985">
        <f>IF(Y138&lt;=T146,T146,IF(Y138&lt;=T147,T147,IF(Y138&lt;=T148,T148,IF(Y138&lt;=T149,T149,IF(Y138&lt;=T150,T150,IF(Y138&lt;=T151,T151))))))</f>
        <v>200</v>
      </c>
      <c r="Z141" s="435">
        <v>-15</v>
      </c>
      <c r="AA141" s="337">
        <f>'Data Standar'!Y226</f>
        <v>0.25</v>
      </c>
      <c r="AB141" s="338"/>
      <c r="AC141" s="436">
        <f>IF(OR(AA141=0,AB141=0),'Data Standar'!$Y$237/3,((MAX(AA141:AB141)-(MIN(AA141:AB141)))))</f>
        <v>8.666666666666667E-2</v>
      </c>
      <c r="AD141" s="434">
        <f>(0.08-0)/2</f>
        <v>0.04</v>
      </c>
      <c r="AE141" s="985">
        <f>IF(AE138&lt;=Z146,Z146,IF(AE138&lt;=Z147,Z147,IF(AE138&lt;=Z148,Z148,IF(AE138&lt;=Z149,Z149,IF(AE138&lt;=Z150,Z150,IF(AE138&lt;=Z151,Z151))))))</f>
        <v>200</v>
      </c>
      <c r="AF141" s="435">
        <v>-15</v>
      </c>
      <c r="AG141" s="337">
        <f>'Data Standar'!Z226</f>
        <v>0.26</v>
      </c>
      <c r="AH141" s="338"/>
      <c r="AI141" s="436">
        <f>IF(OR(AG141=0,AH141=0),'Data Standar'!$Z$237/3,((MAX(AG141:AH141)-(MIN(AG141:AH141)))))</f>
        <v>9.3333333333333338E-2</v>
      </c>
      <c r="AJ141" s="434">
        <f>(0.08-0)/2</f>
        <v>0.04</v>
      </c>
      <c r="AK141" s="985">
        <f>IF(AK138&lt;=AF146,AF146,IF(AK138&lt;=AF147,AF147,IF(AK138&lt;=AF148,AF148,IF(AK138&lt;=AF149,AF149,IF(AK138&lt;=AF150,AF150,IF(AK138&lt;=AF151,AF151))))))</f>
        <v>200</v>
      </c>
      <c r="AL141" s="435">
        <v>-15</v>
      </c>
      <c r="AM141" s="337">
        <f>'Data Standar'!AA226</f>
        <v>0.45</v>
      </c>
      <c r="AN141" s="338"/>
      <c r="AO141" s="436">
        <f>IF(OR(AM141=0,AN141=0),'Data Standar'!$AA$237/3,((MAX(AM141:AN141)-(MIN(AM141:AN141)))))</f>
        <v>0.08</v>
      </c>
      <c r="AP141" s="434">
        <f>(0.08-0)/2</f>
        <v>0.04</v>
      </c>
      <c r="AQ141" s="985">
        <f>IF(AQ138&lt;=AL146,AL146,IF(AQ138&lt;=AL147,AL147,IF(AQ138&lt;=AL148,AL148,IF(AQ138&lt;=AL149,AL149,IF(AQ138&lt;=AL150,AL150,IF(AQ138&lt;=AL151,AL151))))))</f>
        <v>200</v>
      </c>
      <c r="AR141" s="435">
        <v>-15</v>
      </c>
      <c r="AS141" s="337">
        <f>'Data Standar'!AB226</f>
        <v>0.35</v>
      </c>
      <c r="AT141" s="338"/>
      <c r="AU141" s="436">
        <f>IF(OR(AS141=0,AT141=0),'Data Standar'!$AB$237/3,((MAX(AS141:AT141)-(MIN(AS141:AT141)))))</f>
        <v>8.3333333333333329E-2</v>
      </c>
      <c r="AV141" s="434">
        <f>(0.08-0)/2</f>
        <v>0.04</v>
      </c>
      <c r="AW141" s="985">
        <f>IF(AW138&lt;=AR146,AR146,IF(AW138&lt;=AR147,AR147,IF(AW138&lt;=AR148,AR148,IF(AW138&lt;=AR149,AR149,IF(AW138&lt;=AR150,AR150,IF(AW138&lt;=AR151,AR151))))))</f>
        <v>200</v>
      </c>
      <c r="AX141" s="435">
        <v>-15</v>
      </c>
      <c r="AY141" s="337">
        <f>'Data Standar'!AC226</f>
        <v>9.9999999999999995E-7</v>
      </c>
      <c r="AZ141" s="338"/>
      <c r="BA141" s="436">
        <f>IF(OR(AY141=0,AZ141=0),'Data Standar'!$AC$237/3,((MAX(AY141:AZ141)-(MIN(AY141:AZ141)))))</f>
        <v>0.26333333333333336</v>
      </c>
      <c r="BB141" s="434">
        <f>(0.08-0)/2</f>
        <v>0.04</v>
      </c>
      <c r="BC141" s="985">
        <f>IF(BC138&lt;=AX146,AX146,IF(BC138&lt;=AX147,AX147,IF(BC138&lt;=AX148,AX148,IF(BC138&lt;=AX149,AX149,IF(BC138&lt;=AX150,AX150,IF(BC138&lt;=AX151,AX151))))))</f>
        <v>200</v>
      </c>
      <c r="BD141" s="435">
        <v>-15</v>
      </c>
      <c r="BE141" s="337">
        <f>'Data Standar'!AD226</f>
        <v>-0.81</v>
      </c>
      <c r="BF141" s="338"/>
      <c r="BG141" s="436">
        <f>IF(OR(BE141=0,BF141=0),'Data Standar'!$AD$237/3,((MAX(BE141:BF141)-(MIN(BE141:BF141)))))</f>
        <v>9.0000000000000011E-2</v>
      </c>
      <c r="BH141" s="434">
        <f>(0.08-0)/2</f>
        <v>0.04</v>
      </c>
      <c r="BI141" s="985">
        <f>IF(BI138&lt;=BD146,BD146,IF(BI138&lt;=BD147,BD147,IF(BI138&lt;=BD148,BD148,IF(BI138&lt;=BD149,BD149,IF(BI138&lt;=BD150,BD150,IF(BI138&lt;=BD151,BD151))))))</f>
        <v>200</v>
      </c>
      <c r="BJ141" s="435">
        <v>-15</v>
      </c>
      <c r="BK141" s="337">
        <f>'Data Standar'!AE226</f>
        <v>9.9999999999999995E-7</v>
      </c>
      <c r="BL141" s="338"/>
      <c r="BM141" s="436">
        <f>IF(OR(BK141=0,BL141=0),'Data Standar'!$AE$237/3,((MAX(BK141:BL141)-(MIN(BK141:BL141)))))</f>
        <v>0.26333333333333336</v>
      </c>
      <c r="BN141" s="434">
        <f>(0.08-0)/2</f>
        <v>0.04</v>
      </c>
      <c r="BO141" s="985">
        <f>IF(BO138&lt;=BJ146,BJ146,IF(BO138&lt;=BJ147,BJ147,IF(BO138&lt;=BJ148,BJ148,IF(BO138&lt;=BJ149,BJ149,IF(BO138&lt;=BJ150,BJ150,IF(BO138&lt;=BJ151,BJ151))))))</f>
        <v>200</v>
      </c>
      <c r="BP141" s="435">
        <v>-15</v>
      </c>
      <c r="BQ141" s="337">
        <f>'Data Standar'!AF226</f>
        <v>-0.96</v>
      </c>
      <c r="BR141" s="338"/>
      <c r="BS141" s="436">
        <f>IF(OR(BQ141=0,BR141=0),'Data Standar'!$AF$237/3,((MAX(BQ141:BR141)-(MIN(BQ141:BR141)))))</f>
        <v>8.3333333333333329E-2</v>
      </c>
      <c r="BT141" s="434">
        <f>(0.08-0)/2</f>
        <v>0.04</v>
      </c>
      <c r="BU141" s="985">
        <f>IF(BU138&lt;=BP146,BP146,IF(BU138&lt;=BP147,BP147,IF(BU138&lt;=BP148,BP148,IF(BU138&lt;=BP149,BP149,IF(BU138&lt;=BP150,BP150,IF(BU138&lt;=BP151,BP151))))))</f>
        <v>200</v>
      </c>
      <c r="BV141" s="435">
        <v>-15</v>
      </c>
      <c r="BW141" s="337">
        <f>'Data Standar'!AG226</f>
        <v>-1.06</v>
      </c>
      <c r="BX141" s="338"/>
      <c r="BY141" s="436">
        <f>IF(OR(BW141=0,BX141=0),'Data Standar'!$AG$237/3,((MAX(BW141:BX141)-(MIN(BW141:BX141)))))</f>
        <v>9.0000000000000011E-2</v>
      </c>
      <c r="BZ141" s="434">
        <f>(0.08-0)/2</f>
        <v>0.04</v>
      </c>
      <c r="CA141" s="985">
        <f>IF(CA138&lt;=BV146,BV146,IF(CA138&lt;=BV147,BV147,IF(CA138&lt;=BV148,BV148,IF(CA138&lt;=BV149,BV149,IF(CA138&lt;=BV150,BV150,IF(CA138&lt;=BV151,BV151))))))</f>
        <v>200</v>
      </c>
      <c r="CB141" s="435">
        <v>-15</v>
      </c>
      <c r="CC141" s="337">
        <f t="shared" si="75"/>
        <v>-1.2</v>
      </c>
      <c r="CD141" s="338">
        <f t="shared" si="78"/>
        <v>-0.7</v>
      </c>
      <c r="CE141" s="436">
        <f t="shared" si="81"/>
        <v>0.40000000000000013</v>
      </c>
      <c r="CF141" s="434">
        <f>(0.08-0)/2</f>
        <v>0.04</v>
      </c>
      <c r="CG141" s="447"/>
      <c r="CH141" s="435">
        <v>-15</v>
      </c>
      <c r="CI141" s="337">
        <f t="shared" si="76"/>
        <v>-0.1</v>
      </c>
      <c r="CJ141" s="338">
        <f t="shared" si="79"/>
        <v>-0.24</v>
      </c>
      <c r="CK141" s="436">
        <f t="shared" si="82"/>
        <v>0.13999999999999999</v>
      </c>
      <c r="CL141" s="434">
        <f>(0.08-0)/2</f>
        <v>0.04</v>
      </c>
      <c r="CM141" s="423"/>
      <c r="CN141" s="435">
        <v>-15</v>
      </c>
      <c r="CO141" s="337">
        <f t="shared" si="77"/>
        <v>-1.52</v>
      </c>
      <c r="CP141" s="338">
        <f t="shared" si="80"/>
        <v>-0.39</v>
      </c>
      <c r="CQ141" s="436">
        <f t="shared" si="83"/>
        <v>1.1299999999999999</v>
      </c>
      <c r="CR141" s="434">
        <f>(0.08-0)/2</f>
        <v>0.04</v>
      </c>
      <c r="CS141" s="423"/>
    </row>
    <row r="142" spans="1:97" s="427" customFormat="1" ht="13">
      <c r="A142" s="423"/>
      <c r="B142" s="435">
        <v>-10</v>
      </c>
      <c r="C142" s="337">
        <v>9.9999999999999995E-7</v>
      </c>
      <c r="D142" s="337">
        <v>9.9999999999999995E-7</v>
      </c>
      <c r="E142" s="436">
        <v>9.9999999999999995E-7</v>
      </c>
      <c r="F142" s="437"/>
      <c r="G142" s="437"/>
      <c r="H142" s="435">
        <v>-10</v>
      </c>
      <c r="I142" s="337">
        <v>9.9999999999999995E-7</v>
      </c>
      <c r="J142" s="337">
        <v>9.9999999999999995E-7</v>
      </c>
      <c r="K142" s="436">
        <v>9.9999999999999995E-7</v>
      </c>
      <c r="L142" s="437"/>
      <c r="M142" s="437"/>
      <c r="N142" s="435">
        <v>-10</v>
      </c>
      <c r="O142" s="337">
        <v>9.9999999999999995E-7</v>
      </c>
      <c r="P142" s="337">
        <f>'Data Standar'!W227</f>
        <v>-0.32</v>
      </c>
      <c r="Q142" s="436">
        <f>IF(OR(O142=0,P142=0),'Data Standar'!$E$237/3,((MAX(O142:P142)-(MIN(O142:P142)))))</f>
        <v>0.32000099999999998</v>
      </c>
      <c r="R142" s="434">
        <f>(0.09-0)/2</f>
        <v>4.4999999999999998E-2</v>
      </c>
      <c r="S142" s="437"/>
      <c r="T142" s="435">
        <v>-10</v>
      </c>
      <c r="U142" s="337">
        <f>'Data Standar'!X227</f>
        <v>-0.87</v>
      </c>
      <c r="V142" s="338"/>
      <c r="W142" s="436">
        <f>IF(OR(U142=0,V142=0),'Data Standar'!$X$237/3,((MAX(U142:V142)-(MIN(U142:V142)))))</f>
        <v>8.666666666666667E-2</v>
      </c>
      <c r="X142" s="434">
        <f>(0.09-0)/2</f>
        <v>4.4999999999999998E-2</v>
      </c>
      <c r="Y142" s="437"/>
      <c r="Z142" s="435">
        <v>-10</v>
      </c>
      <c r="AA142" s="337">
        <f>'Data Standar'!Y227</f>
        <v>0.28000000000000003</v>
      </c>
      <c r="AB142" s="338"/>
      <c r="AC142" s="436">
        <f>IF(OR(AA142=0,AB142=0),'Data Standar'!$Y$237/3,((MAX(AA142:AB142)-(MIN(AA142:AB142)))))</f>
        <v>8.666666666666667E-2</v>
      </c>
      <c r="AD142" s="434">
        <f>(0.09-0)/2</f>
        <v>4.4999999999999998E-2</v>
      </c>
      <c r="AE142" s="437"/>
      <c r="AF142" s="435">
        <v>-10</v>
      </c>
      <c r="AG142" s="337">
        <f>'Data Standar'!Z227</f>
        <v>0.28000000000000003</v>
      </c>
      <c r="AH142" s="338"/>
      <c r="AI142" s="436">
        <f>IF(OR(AG142=0,AH142=0),'Data Standar'!$Z$237/3,((MAX(AG142:AH142)-(MIN(AG142:AH142)))))</f>
        <v>9.3333333333333338E-2</v>
      </c>
      <c r="AJ142" s="434">
        <f>(0.09-0)/2</f>
        <v>4.4999999999999998E-2</v>
      </c>
      <c r="AK142" s="437"/>
      <c r="AL142" s="435">
        <v>-10</v>
      </c>
      <c r="AM142" s="337">
        <f>'Data Standar'!AA227</f>
        <v>0.46</v>
      </c>
      <c r="AN142" s="338"/>
      <c r="AO142" s="436">
        <f>IF(OR(AM142=0,AN142=0),'Data Standar'!$AA$237/3,((MAX(AM142:AN142)-(MIN(AM142:AN142)))))</f>
        <v>0.08</v>
      </c>
      <c r="AP142" s="434">
        <f>(0.09-0)/2</f>
        <v>4.4999999999999998E-2</v>
      </c>
      <c r="AQ142" s="437"/>
      <c r="AR142" s="435">
        <v>-10</v>
      </c>
      <c r="AS142" s="337">
        <f>'Data Standar'!AB227</f>
        <v>0.36</v>
      </c>
      <c r="AT142" s="338"/>
      <c r="AU142" s="436">
        <f>IF(OR(AS142=0,AT142=0),'Data Standar'!$AB$237/3,((MAX(AS142:AT142)-(MIN(AS142:AT142)))))</f>
        <v>8.3333333333333329E-2</v>
      </c>
      <c r="AV142" s="434">
        <f>(0.09-0)/2</f>
        <v>4.4999999999999998E-2</v>
      </c>
      <c r="AW142" s="437"/>
      <c r="AX142" s="435">
        <v>-10</v>
      </c>
      <c r="AY142" s="337">
        <f>'Data Standar'!AC227</f>
        <v>0.46</v>
      </c>
      <c r="AZ142" s="338"/>
      <c r="BA142" s="436">
        <f>IF(OR(AY142=0,AZ142=0),'Data Standar'!$AC$237/3,((MAX(AY142:AZ142)-(MIN(AY142:AZ142)))))</f>
        <v>0.26333333333333336</v>
      </c>
      <c r="BB142" s="434">
        <f>(0.09-0)/2</f>
        <v>4.4999999999999998E-2</v>
      </c>
      <c r="BC142" s="437"/>
      <c r="BD142" s="435">
        <v>-10</v>
      </c>
      <c r="BE142" s="337">
        <f>'Data Standar'!AD227</f>
        <v>-0.59</v>
      </c>
      <c r="BF142" s="338"/>
      <c r="BG142" s="436">
        <f>IF(OR(BE142=0,BF142=0),'Data Standar'!$AD$237/3,((MAX(BE142:BF142)-(MIN(BE142:BF142)))))</f>
        <v>9.0000000000000011E-2</v>
      </c>
      <c r="BH142" s="434">
        <f>(0.09-0)/2</f>
        <v>4.4999999999999998E-2</v>
      </c>
      <c r="BI142" s="437"/>
      <c r="BJ142" s="435">
        <v>-10</v>
      </c>
      <c r="BK142" s="337">
        <f>'Data Standar'!AE227</f>
        <v>0.46</v>
      </c>
      <c r="BL142" s="338"/>
      <c r="BM142" s="436">
        <f>IF(OR(BK142=0,BL142=0),'Data Standar'!$AE$237/3,((MAX(BK142:BL142)-(MIN(BK142:BL142)))))</f>
        <v>0.26333333333333336</v>
      </c>
      <c r="BN142" s="434">
        <f>(0.09-0)/2</f>
        <v>4.4999999999999998E-2</v>
      </c>
      <c r="BO142" s="437"/>
      <c r="BP142" s="435">
        <v>-10</v>
      </c>
      <c r="BQ142" s="337">
        <f>'Data Standar'!AF227</f>
        <v>-0.75</v>
      </c>
      <c r="BR142" s="338"/>
      <c r="BS142" s="436">
        <f>IF(OR(BQ142=0,BR142=0),'Data Standar'!$AF$237/3,((MAX(BQ142:BR142)-(MIN(BQ142:BR142)))))</f>
        <v>8.3333333333333329E-2</v>
      </c>
      <c r="BT142" s="434">
        <f>(0.09-0)/2</f>
        <v>4.4999999999999998E-2</v>
      </c>
      <c r="BU142" s="437"/>
      <c r="BV142" s="435">
        <v>-10</v>
      </c>
      <c r="BW142" s="337">
        <f>'Data Standar'!AG227</f>
        <v>-0.81</v>
      </c>
      <c r="BX142" s="338"/>
      <c r="BY142" s="436">
        <f>IF(OR(BW142=0,BX142=0),'Data Standar'!$AG$237/3,((MAX(BW142:BX142)-(MIN(BW142:BX142)))))</f>
        <v>9.0000000000000011E-2</v>
      </c>
      <c r="BZ142" s="434">
        <f>(0.09-0)/2</f>
        <v>4.4999999999999998E-2</v>
      </c>
      <c r="CA142" s="437"/>
      <c r="CB142" s="435">
        <v>-10</v>
      </c>
      <c r="CC142" s="337">
        <f t="shared" si="75"/>
        <v>-1.4</v>
      </c>
      <c r="CD142" s="338">
        <f t="shared" si="78"/>
        <v>-0.7</v>
      </c>
      <c r="CE142" s="436">
        <f t="shared" si="81"/>
        <v>0.5</v>
      </c>
      <c r="CF142" s="434">
        <f>(0.09-0)/2</f>
        <v>4.4999999999999998E-2</v>
      </c>
      <c r="CG142" s="448"/>
      <c r="CH142" s="435">
        <v>-10</v>
      </c>
      <c r="CI142" s="337">
        <f t="shared" si="76"/>
        <v>-0.05</v>
      </c>
      <c r="CJ142" s="338">
        <f t="shared" si="79"/>
        <v>-0.18</v>
      </c>
      <c r="CK142" s="436">
        <f t="shared" si="82"/>
        <v>0.13</v>
      </c>
      <c r="CL142" s="434">
        <f>(0.09-0)/2</f>
        <v>4.4999999999999998E-2</v>
      </c>
      <c r="CM142" s="423"/>
      <c r="CN142" s="435">
        <v>-10</v>
      </c>
      <c r="CO142" s="337">
        <f t="shared" si="77"/>
        <v>-1.26</v>
      </c>
      <c r="CP142" s="338">
        <f t="shared" si="80"/>
        <v>-0.28000000000000003</v>
      </c>
      <c r="CQ142" s="436">
        <f t="shared" si="83"/>
        <v>0.98</v>
      </c>
      <c r="CR142" s="434">
        <f>(0.09-0)/2</f>
        <v>4.4999999999999998E-2</v>
      </c>
      <c r="CS142" s="423"/>
    </row>
    <row r="143" spans="1:97" s="427" customFormat="1" ht="13">
      <c r="A143" s="423"/>
      <c r="B143" s="435">
        <v>9.9999999999999995E-7</v>
      </c>
      <c r="C143" s="337">
        <v>9.9999999999999995E-7</v>
      </c>
      <c r="D143" s="337">
        <v>9.9999999999999995E-7</v>
      </c>
      <c r="E143" s="436">
        <v>9.9999999999999995E-7</v>
      </c>
      <c r="F143" s="437"/>
      <c r="G143" s="986">
        <f>VLOOKUP(G139,B146:F151,4)</f>
        <v>9.9999999999999995E-7</v>
      </c>
      <c r="H143" s="435">
        <v>9.9999999999999995E-7</v>
      </c>
      <c r="I143" s="337">
        <v>9.9999999999999995E-7</v>
      </c>
      <c r="J143" s="337">
        <v>9.9999999999999995E-7</v>
      </c>
      <c r="K143" s="436">
        <v>9.9999999999999995E-7</v>
      </c>
      <c r="L143" s="437"/>
      <c r="M143" s="986">
        <f>VLOOKUP(M139,H146:L151,4)</f>
        <v>9.9999999999999995E-7</v>
      </c>
      <c r="N143" s="435">
        <v>9.9999999999999995E-7</v>
      </c>
      <c r="O143" s="337">
        <v>9.9999999999999995E-7</v>
      </c>
      <c r="P143" s="337">
        <f>'Data Standar'!W228</f>
        <v>-0.22</v>
      </c>
      <c r="Q143" s="436">
        <f>IF(OR(O143=0,P143=0),'Data Standar'!$E$237/3,((MAX(O143:P143)-(MIN(O143:P143)))))</f>
        <v>0.220001</v>
      </c>
      <c r="R143" s="434">
        <f>(0.11-0)/2</f>
        <v>5.5E-2</v>
      </c>
      <c r="S143" s="986">
        <f>VLOOKUP(S139,N146:R151,4)</f>
        <v>0.280001</v>
      </c>
      <c r="T143" s="435">
        <v>9.9999999999999995E-7</v>
      </c>
      <c r="U143" s="337">
        <f>'Data Standar'!X228</f>
        <v>-0.36</v>
      </c>
      <c r="V143" s="338"/>
      <c r="W143" s="436">
        <f>IF(OR(U143=0,V143=0),'Data Standar'!$X$237/3,((MAX(U143:V143)-(MIN(U143:V143)))))</f>
        <v>8.666666666666667E-2</v>
      </c>
      <c r="X143" s="434">
        <f>(0.11-0)/2</f>
        <v>5.5E-2</v>
      </c>
      <c r="Y143" s="986">
        <f>VLOOKUP(Y139,T146:X151,4)</f>
        <v>8.666666666666667E-2</v>
      </c>
      <c r="Z143" s="435">
        <v>9.9999999999999995E-7</v>
      </c>
      <c r="AA143" s="337">
        <f>'Data Standar'!Y228</f>
        <v>0.26</v>
      </c>
      <c r="AB143" s="338"/>
      <c r="AC143" s="436">
        <f>IF(OR(AA143=0,AB143=0),'Data Standar'!$Y$237/3,((MAX(AA143:AB143)-(MIN(AA143:AB143)))))</f>
        <v>8.666666666666667E-2</v>
      </c>
      <c r="AD143" s="434">
        <f>(0.11-0)/2</f>
        <v>5.5E-2</v>
      </c>
      <c r="AE143" s="986">
        <f>VLOOKUP(AE139,Z146:AD151,4)</f>
        <v>8.666666666666667E-2</v>
      </c>
      <c r="AF143" s="435">
        <v>9.9999999999999995E-7</v>
      </c>
      <c r="AG143" s="337">
        <f>'Data Standar'!Z228</f>
        <v>0.24</v>
      </c>
      <c r="AH143" s="338"/>
      <c r="AI143" s="436">
        <f>IF(OR(AG143=0,AH143=0),'Data Standar'!$Z$237/3,((MAX(AG143:AH143)-(MIN(AG143:AH143)))))</f>
        <v>9.3333333333333338E-2</v>
      </c>
      <c r="AJ143" s="434">
        <f>(0.11-0)/2</f>
        <v>5.5E-2</v>
      </c>
      <c r="AK143" s="986">
        <f>VLOOKUP(AK139,AF146:AJ151,4)</f>
        <v>9.3333333333333338E-2</v>
      </c>
      <c r="AL143" s="435">
        <v>9.9999999999999995E-7</v>
      </c>
      <c r="AM143" s="337">
        <f>'Data Standar'!AA228</f>
        <v>0.46</v>
      </c>
      <c r="AN143" s="338"/>
      <c r="AO143" s="436">
        <f>IF(OR(AM143=0,AN143=0),'Data Standar'!$AA$237/3,((MAX(AM143:AN143)-(MIN(AM143:AN143)))))</f>
        <v>0.08</v>
      </c>
      <c r="AP143" s="434">
        <f>(0.11-0)/2</f>
        <v>5.5E-2</v>
      </c>
      <c r="AQ143" s="986">
        <f>VLOOKUP(AQ139,AL146:AP151,4)</f>
        <v>0.08</v>
      </c>
      <c r="AR143" s="435">
        <v>9.9999999999999995E-7</v>
      </c>
      <c r="AS143" s="337">
        <f>'Data Standar'!AB228</f>
        <v>0.36</v>
      </c>
      <c r="AT143" s="338"/>
      <c r="AU143" s="436">
        <f>IF(OR(AS143=0,AT143=0),'Data Standar'!$AB$237/3,((MAX(AS143:AT143)-(MIN(AS143:AT143)))))</f>
        <v>8.3333333333333329E-2</v>
      </c>
      <c r="AV143" s="434">
        <f>(0.11-0)/2</f>
        <v>5.5E-2</v>
      </c>
      <c r="AW143" s="986">
        <f>VLOOKUP(AW139,AR146:AV151,4)</f>
        <v>8.3333333333333329E-2</v>
      </c>
      <c r="AX143" s="435">
        <v>9.9999999999999995E-7</v>
      </c>
      <c r="AY143" s="337">
        <f>'Data Standar'!AC228</f>
        <v>0.45</v>
      </c>
      <c r="AZ143" s="338"/>
      <c r="BA143" s="436">
        <f>IF(OR(AY143=0,AZ143=0),'Data Standar'!$AC$237/3,((MAX(AY143:AZ143)-(MIN(AY143:AZ143)))))</f>
        <v>0.26333333333333336</v>
      </c>
      <c r="BB143" s="434">
        <f>(0.11-0)/2</f>
        <v>5.5E-2</v>
      </c>
      <c r="BC143" s="986">
        <f>VLOOKUP(BC139,AX146:BB151,4)</f>
        <v>0.26333333333333336</v>
      </c>
      <c r="BD143" s="435">
        <v>9.9999999999999995E-7</v>
      </c>
      <c r="BE143" s="337">
        <f>'Data Standar'!AD228</f>
        <v>-0.34</v>
      </c>
      <c r="BF143" s="338"/>
      <c r="BG143" s="436">
        <f>IF(OR(BE143=0,BF143=0),'Data Standar'!$AD$237/3,((MAX(BE143:BF143)-(MIN(BE143:BF143)))))</f>
        <v>9.0000000000000011E-2</v>
      </c>
      <c r="BH143" s="434">
        <f>(0.11-0)/2</f>
        <v>5.5E-2</v>
      </c>
      <c r="BI143" s="986">
        <f>VLOOKUP(BI139,BD146:BH151,4)</f>
        <v>9.0000000000000011E-2</v>
      </c>
      <c r="BJ143" s="435">
        <v>9.9999999999999995E-7</v>
      </c>
      <c r="BK143" s="337">
        <f>'Data Standar'!AE228</f>
        <v>0.45</v>
      </c>
      <c r="BL143" s="338"/>
      <c r="BM143" s="436">
        <f>IF(OR(BK143=0,BL143=0),'Data Standar'!$AE$237/3,((MAX(BK143:BL143)-(MIN(BK143:BL143)))))</f>
        <v>0.26333333333333336</v>
      </c>
      <c r="BN143" s="434">
        <f>(0.11-0)/2</f>
        <v>5.5E-2</v>
      </c>
      <c r="BO143" s="986">
        <f>VLOOKUP(BO139,BJ146:BN151,4)</f>
        <v>0.26333333333333336</v>
      </c>
      <c r="BP143" s="435">
        <v>9.9999999999999995E-7</v>
      </c>
      <c r="BQ143" s="337">
        <f>'Data Standar'!AF228</f>
        <v>-0.53</v>
      </c>
      <c r="BR143" s="338"/>
      <c r="BS143" s="436">
        <f>IF(OR(BQ143=0,BR143=0),'Data Standar'!$AF$237/3,((MAX(BQ143:BR143)-(MIN(BQ143:BR143)))))</f>
        <v>8.3333333333333329E-2</v>
      </c>
      <c r="BT143" s="434">
        <f>(0.11-0)/2</f>
        <v>5.5E-2</v>
      </c>
      <c r="BU143" s="986">
        <f>VLOOKUP(BU139,BP146:BT151,4)</f>
        <v>8.3333333333333329E-2</v>
      </c>
      <c r="BV143" s="435">
        <v>9.9999999999999995E-7</v>
      </c>
      <c r="BW143" s="337">
        <f>'Data Standar'!AG228</f>
        <v>-0.52</v>
      </c>
      <c r="BX143" s="338"/>
      <c r="BY143" s="436">
        <f>IF(OR(BW143=0,BX143=0),'Data Standar'!$AG$237/3,((MAX(BW143:BX143)-(MIN(BW143:BX143)))))</f>
        <v>9.0000000000000011E-2</v>
      </c>
      <c r="BZ143" s="434">
        <f>(0.11-0)/2</f>
        <v>5.5E-2</v>
      </c>
      <c r="CA143" s="986">
        <f>VLOOKUP(CA139,BV146:BZ151,4)</f>
        <v>9.0000000000000011E-2</v>
      </c>
      <c r="CB143" s="435">
        <v>9.9999999999999995E-7</v>
      </c>
      <c r="CC143" s="337">
        <f t="shared" si="75"/>
        <v>0</v>
      </c>
      <c r="CD143" s="338">
        <f t="shared" si="78"/>
        <v>-0.7</v>
      </c>
      <c r="CE143" s="436">
        <f t="shared" si="81"/>
        <v>0.7</v>
      </c>
      <c r="CF143" s="434">
        <f>(0.11-0)/2</f>
        <v>5.5E-2</v>
      </c>
      <c r="CG143" s="449"/>
      <c r="CH143" s="435">
        <v>9.9999999999999995E-7</v>
      </c>
      <c r="CI143" s="337">
        <f t="shared" si="76"/>
        <v>0.03</v>
      </c>
      <c r="CJ143" s="338">
        <f t="shared" si="79"/>
        <v>-0.06</v>
      </c>
      <c r="CK143" s="436">
        <f t="shared" si="82"/>
        <v>0.09</v>
      </c>
      <c r="CL143" s="434">
        <f>(0.11-0)/2</f>
        <v>5.5E-2</v>
      </c>
      <c r="CM143" s="423"/>
      <c r="CN143" s="435">
        <v>9.9999999999999995E-7</v>
      </c>
      <c r="CO143" s="337">
        <f t="shared" si="77"/>
        <v>-0.79</v>
      </c>
      <c r="CP143" s="338">
        <f t="shared" si="80"/>
        <v>-0.08</v>
      </c>
      <c r="CQ143" s="436">
        <f t="shared" si="83"/>
        <v>0.71000000000000008</v>
      </c>
      <c r="CR143" s="434">
        <f>(0.11-0)/2</f>
        <v>5.5E-2</v>
      </c>
      <c r="CS143" s="423"/>
    </row>
    <row r="144" spans="1:97" s="427" customFormat="1" ht="13">
      <c r="A144" s="423"/>
      <c r="B144" s="435">
        <v>2</v>
      </c>
      <c r="C144" s="337">
        <v>9.9999999999999995E-7</v>
      </c>
      <c r="D144" s="337">
        <v>9.9999999999999995E-7</v>
      </c>
      <c r="E144" s="436">
        <v>9.9999999999999995E-7</v>
      </c>
      <c r="F144" s="437"/>
      <c r="G144" s="437"/>
      <c r="H144" s="435">
        <v>2</v>
      </c>
      <c r="I144" s="337">
        <v>9.9999999999999995E-7</v>
      </c>
      <c r="J144" s="337">
        <v>9.9999999999999995E-7</v>
      </c>
      <c r="K144" s="436">
        <v>9.9999999999999995E-7</v>
      </c>
      <c r="L144" s="437"/>
      <c r="M144" s="437"/>
      <c r="N144" s="435">
        <v>2</v>
      </c>
      <c r="O144" s="337">
        <v>9.9999999999999995E-7</v>
      </c>
      <c r="P144" s="337">
        <f>'Data Standar'!W229</f>
        <v>-0.2</v>
      </c>
      <c r="Q144" s="436">
        <f>IF(OR(O144=0,P144=0),'Data Standar'!$E$237/3,((MAX(O144:P144)-(MIN(O144:P144)))))</f>
        <v>0.20000100000000001</v>
      </c>
      <c r="R144" s="434">
        <f>(0.11-0)/2</f>
        <v>5.5E-2</v>
      </c>
      <c r="S144" s="437"/>
      <c r="T144" s="435">
        <v>2</v>
      </c>
      <c r="U144" s="337">
        <f>'Data Standar'!X229</f>
        <v>-0.51</v>
      </c>
      <c r="V144" s="338"/>
      <c r="W144" s="436">
        <f>IF(OR(U144=0,V144=0),'Data Standar'!$X$237/3,((MAX(U144:V144)-(MIN(U144:V144)))))</f>
        <v>8.666666666666667E-2</v>
      </c>
      <c r="X144" s="434">
        <f>(0.11-0)/2</f>
        <v>5.5E-2</v>
      </c>
      <c r="Y144" s="437"/>
      <c r="Z144" s="435">
        <v>2</v>
      </c>
      <c r="AA144" s="337">
        <f>'Data Standar'!Y229</f>
        <v>0.31</v>
      </c>
      <c r="AB144" s="338"/>
      <c r="AC144" s="436">
        <f>IF(OR(AA144=0,AB144=0),'Data Standar'!$Y$237/3,((MAX(AA144:AB144)-(MIN(AA144:AB144)))))</f>
        <v>8.666666666666667E-2</v>
      </c>
      <c r="AD144" s="434">
        <f>(0.11-0)/2</f>
        <v>5.5E-2</v>
      </c>
      <c r="AE144" s="437"/>
      <c r="AF144" s="435">
        <v>2</v>
      </c>
      <c r="AG144" s="337">
        <f>'Data Standar'!Z229</f>
        <v>0.28000000000000003</v>
      </c>
      <c r="AH144" s="338"/>
      <c r="AI144" s="436">
        <f>IF(OR(AG144=0,AH144=0),'Data Standar'!$Z$237/3,((MAX(AG144:AH144)-(MIN(AG144:AH144)))))</f>
        <v>9.3333333333333338E-2</v>
      </c>
      <c r="AJ144" s="434">
        <f>(0.11-0)/2</f>
        <v>5.5E-2</v>
      </c>
      <c r="AK144" s="437"/>
      <c r="AL144" s="435">
        <v>2</v>
      </c>
      <c r="AM144" s="337">
        <f>'Data Standar'!AA229</f>
        <v>0.48</v>
      </c>
      <c r="AN144" s="338"/>
      <c r="AO144" s="436">
        <f>IF(OR(AM144=0,AN144=0),'Data Standar'!$AA$237/3,((MAX(AM144:AN144)-(MIN(AM144:AN144)))))</f>
        <v>0.08</v>
      </c>
      <c r="AP144" s="434">
        <f>(0.11-0)/2</f>
        <v>5.5E-2</v>
      </c>
      <c r="AQ144" s="437"/>
      <c r="AR144" s="435">
        <v>2</v>
      </c>
      <c r="AS144" s="337">
        <f>'Data Standar'!AB229</f>
        <v>0.38</v>
      </c>
      <c r="AT144" s="338"/>
      <c r="AU144" s="436">
        <f>IF(OR(AS144=0,AT144=0),'Data Standar'!$AB$237/3,((MAX(AS144:AT144)-(MIN(AS144:AT144)))))</f>
        <v>8.3333333333333329E-2</v>
      </c>
      <c r="AV144" s="434">
        <f>(0.11-0)/2</f>
        <v>5.5E-2</v>
      </c>
      <c r="AW144" s="437"/>
      <c r="AX144" s="435">
        <v>2</v>
      </c>
      <c r="AY144" s="337">
        <f>'Data Standar'!AC229</f>
        <v>0.44</v>
      </c>
      <c r="AZ144" s="338"/>
      <c r="BA144" s="436">
        <f>IF(OR(AY144=0,AZ144=0),'Data Standar'!$AC$237/3,((MAX(AY144:AZ144)-(MIN(AY144:AZ144)))))</f>
        <v>0.26333333333333336</v>
      </c>
      <c r="BB144" s="434">
        <f>(0.11-0)/2</f>
        <v>5.5E-2</v>
      </c>
      <c r="BC144" s="437"/>
      <c r="BD144" s="435">
        <v>2</v>
      </c>
      <c r="BE144" s="337">
        <f>'Data Standar'!AD229</f>
        <v>-0.37</v>
      </c>
      <c r="BF144" s="338"/>
      <c r="BG144" s="436">
        <f>IF(OR(BE144=0,BF144=0),'Data Standar'!$AD$237/3,((MAX(BE144:BF144)-(MIN(BE144:BF144)))))</f>
        <v>9.0000000000000011E-2</v>
      </c>
      <c r="BH144" s="434">
        <f>(0.11-0)/2</f>
        <v>5.5E-2</v>
      </c>
      <c r="BI144" s="437"/>
      <c r="BJ144" s="435">
        <v>2</v>
      </c>
      <c r="BK144" s="337">
        <f>'Data Standar'!AE229</f>
        <v>0.44</v>
      </c>
      <c r="BL144" s="338"/>
      <c r="BM144" s="436">
        <f>IF(OR(BK144=0,BL144=0),'Data Standar'!$AE$237/3,((MAX(BK144:BL144)-(MIN(BK144:BL144)))))</f>
        <v>0.26333333333333336</v>
      </c>
      <c r="BN144" s="434">
        <f>(0.11-0)/2</f>
        <v>5.5E-2</v>
      </c>
      <c r="BO144" s="437"/>
      <c r="BP144" s="435">
        <v>2</v>
      </c>
      <c r="BQ144" s="337">
        <f>'Data Standar'!AF229</f>
        <v>-0.47</v>
      </c>
      <c r="BR144" s="338"/>
      <c r="BS144" s="436">
        <f>IF(OR(BQ144=0,BR144=0),'Data Standar'!$AF$237/3,((MAX(BQ144:BR144)-(MIN(BQ144:BR144)))))</f>
        <v>8.3333333333333329E-2</v>
      </c>
      <c r="BT144" s="434">
        <f>(0.11-0)/2</f>
        <v>5.5E-2</v>
      </c>
      <c r="BU144" s="437"/>
      <c r="BV144" s="435">
        <v>2</v>
      </c>
      <c r="BW144" s="337">
        <f>'Data Standar'!AG229</f>
        <v>-0.57999999999999996</v>
      </c>
      <c r="BX144" s="338"/>
      <c r="BY144" s="436">
        <f>IF(OR(BW144=0,BX144=0),'Data Standar'!$AG$237/3,((MAX(BW144:BX144)-(MIN(BW144:BX144)))))</f>
        <v>9.0000000000000011E-2</v>
      </c>
      <c r="BZ144" s="434">
        <f>(0.11-0)/2</f>
        <v>5.5E-2</v>
      </c>
      <c r="CA144" s="437"/>
      <c r="CB144" s="435">
        <v>2</v>
      </c>
      <c r="CC144" s="337">
        <f t="shared" si="75"/>
        <v>0</v>
      </c>
      <c r="CD144" s="338">
        <f t="shared" si="78"/>
        <v>-0.7</v>
      </c>
      <c r="CE144" s="436">
        <f t="shared" si="81"/>
        <v>0.19999999999999998</v>
      </c>
      <c r="CF144" s="434">
        <f>(0.11-0)/2</f>
        <v>5.5E-2</v>
      </c>
      <c r="CG144" s="450"/>
      <c r="CH144" s="435">
        <v>2</v>
      </c>
      <c r="CI144" s="337">
        <f t="shared" si="76"/>
        <v>0.04</v>
      </c>
      <c r="CJ144" s="338">
        <f t="shared" si="79"/>
        <v>-0.04</v>
      </c>
      <c r="CK144" s="436">
        <f t="shared" si="82"/>
        <v>0.08</v>
      </c>
      <c r="CL144" s="434">
        <f>(0.11-0)/2</f>
        <v>5.5E-2</v>
      </c>
      <c r="CM144" s="423"/>
      <c r="CN144" s="435">
        <v>2</v>
      </c>
      <c r="CO144" s="337">
        <f t="shared" si="77"/>
        <v>-0.7</v>
      </c>
      <c r="CP144" s="338">
        <f t="shared" si="80"/>
        <v>-0.05</v>
      </c>
      <c r="CQ144" s="436">
        <f t="shared" si="83"/>
        <v>0.64999999999999991</v>
      </c>
      <c r="CR144" s="434">
        <f>(0.11-0)/2</f>
        <v>5.5E-2</v>
      </c>
      <c r="CS144" s="423"/>
    </row>
    <row r="145" spans="1:97" s="427" customFormat="1" ht="13">
      <c r="A145" s="423"/>
      <c r="B145" s="435">
        <v>8</v>
      </c>
      <c r="C145" s="337">
        <v>9.9999999999999995E-7</v>
      </c>
      <c r="D145" s="337">
        <v>9.9999999999999995E-7</v>
      </c>
      <c r="E145" s="436">
        <v>9.9999999999999995E-7</v>
      </c>
      <c r="F145" s="437"/>
      <c r="G145" s="986">
        <f>VLOOKUP(G141,B146:F151,4)</f>
        <v>9.9999999999999995E-7</v>
      </c>
      <c r="H145" s="435">
        <v>8</v>
      </c>
      <c r="I145" s="337">
        <v>9.9999999999999995E-7</v>
      </c>
      <c r="J145" s="337">
        <v>9.9999999999999995E-7</v>
      </c>
      <c r="K145" s="436">
        <v>9.9999999999999995E-7</v>
      </c>
      <c r="L145" s="437"/>
      <c r="M145" s="986">
        <f>VLOOKUP(M141,H146:L151,4)</f>
        <v>9.9999999999999995E-7</v>
      </c>
      <c r="N145" s="435">
        <v>8</v>
      </c>
      <c r="O145" s="337">
        <v>9.9999999999999995E-7</v>
      </c>
      <c r="P145" s="337">
        <f>'Data Standar'!W230</f>
        <v>-0.15</v>
      </c>
      <c r="Q145" s="436">
        <f>IF(OR(O145=0,P145=0),'Data Standar'!$E$237/3,((MAX(O145:P145)-(MIN(O145:P145)))))</f>
        <v>0.150001</v>
      </c>
      <c r="R145" s="434">
        <f>(0.12-0)/2</f>
        <v>0.06</v>
      </c>
      <c r="S145" s="986">
        <f>VLOOKUP(S141,N146:R151,4)</f>
        <v>9.3333333333333338E-2</v>
      </c>
      <c r="T145" s="435">
        <v>8</v>
      </c>
      <c r="U145" s="337">
        <f>'Data Standar'!X230</f>
        <v>-0.26</v>
      </c>
      <c r="V145" s="338"/>
      <c r="W145" s="436">
        <f>IF(OR(U145=0,V145=0),'Data Standar'!$X$237/3,((MAX(U145:V145)-(MIN(U145:V145)))))</f>
        <v>8.666666666666667E-2</v>
      </c>
      <c r="X145" s="434">
        <f>(0.12-0)/2</f>
        <v>0.06</v>
      </c>
      <c r="Y145" s="986">
        <f>VLOOKUP(Y141,T146:X151,4)</f>
        <v>8.666666666666667E-2</v>
      </c>
      <c r="Z145" s="435">
        <v>8</v>
      </c>
      <c r="AA145" s="337">
        <f>'Data Standar'!Y230</f>
        <v>0.28999999999999998</v>
      </c>
      <c r="AB145" s="338"/>
      <c r="AC145" s="436">
        <f>IF(OR(AA145=0,AB145=0),'Data Standar'!$Y$237/3,((MAX(AA145:AB145)-(MIN(AA145:AB145)))))</f>
        <v>8.666666666666667E-2</v>
      </c>
      <c r="AD145" s="434">
        <f>(0.12-0)/2</f>
        <v>0.06</v>
      </c>
      <c r="AE145" s="986">
        <f>VLOOKUP(AE141,Z146:AD151,4)</f>
        <v>8.666666666666667E-2</v>
      </c>
      <c r="AF145" s="435">
        <v>8</v>
      </c>
      <c r="AG145" s="337">
        <f>'Data Standar'!Z230</f>
        <v>0.28000000000000003</v>
      </c>
      <c r="AH145" s="338"/>
      <c r="AI145" s="436">
        <f>IF(OR(AG145=0,AH145=0),'Data Standar'!$Z$237/3,((MAX(AG145:AH145)-(MIN(AG145:AH145)))))</f>
        <v>9.3333333333333338E-2</v>
      </c>
      <c r="AJ145" s="434">
        <f>(0.12-0)/2</f>
        <v>0.06</v>
      </c>
      <c r="AK145" s="986">
        <f>VLOOKUP(AK141,AF146:AJ151,4)</f>
        <v>9.3333333333333338E-2</v>
      </c>
      <c r="AL145" s="435">
        <v>8</v>
      </c>
      <c r="AM145" s="337">
        <f>'Data Standar'!AA230</f>
        <v>0.49</v>
      </c>
      <c r="AN145" s="338"/>
      <c r="AO145" s="436">
        <f>IF(OR(AM145=0,AN145=0),'Data Standar'!$AA$237/3,((MAX(AM145:AN145)-(MIN(AM145:AN145)))))</f>
        <v>0.08</v>
      </c>
      <c r="AP145" s="434">
        <f>(0.12-0)/2</f>
        <v>0.06</v>
      </c>
      <c r="AQ145" s="986">
        <f>VLOOKUP(AQ141,AL146:AP151,4)</f>
        <v>0.08</v>
      </c>
      <c r="AR145" s="435">
        <v>8</v>
      </c>
      <c r="AS145" s="337">
        <f>'Data Standar'!AB230</f>
        <v>0.37</v>
      </c>
      <c r="AT145" s="338"/>
      <c r="AU145" s="436">
        <f>IF(OR(AS145=0,AT145=0),'Data Standar'!$AB$237/3,((MAX(AS145:AT145)-(MIN(AS145:AT145)))))</f>
        <v>8.3333333333333329E-2</v>
      </c>
      <c r="AV145" s="434">
        <f>(0.12-0)/2</f>
        <v>0.06</v>
      </c>
      <c r="AW145" s="986">
        <f>VLOOKUP(AW141,AR146:AV151,4)</f>
        <v>8.3333333333333329E-2</v>
      </c>
      <c r="AX145" s="435">
        <v>8</v>
      </c>
      <c r="AY145" s="337">
        <f>'Data Standar'!AC230</f>
        <v>0.43</v>
      </c>
      <c r="AZ145" s="338"/>
      <c r="BA145" s="436">
        <f>IF(OR(AY145=0,AZ145=0),'Data Standar'!$AC$237/3,((MAX(AY145:AZ145)-(MIN(AY145:AZ145)))))</f>
        <v>0.26333333333333336</v>
      </c>
      <c r="BB145" s="434">
        <f>(0.12-0)/2</f>
        <v>0.06</v>
      </c>
      <c r="BC145" s="986">
        <f>VLOOKUP(BC141,AX146:BB151,4)</f>
        <v>0.26333333333333336</v>
      </c>
      <c r="BD145" s="435">
        <v>8</v>
      </c>
      <c r="BE145" s="337">
        <f>'Data Standar'!AD230</f>
        <v>-0.09</v>
      </c>
      <c r="BF145" s="338"/>
      <c r="BG145" s="436">
        <f>IF(OR(BE145=0,BF145=0),'Data Standar'!$AD$237/3,((MAX(BE145:BF145)-(MIN(BE145:BF145)))))</f>
        <v>9.0000000000000011E-2</v>
      </c>
      <c r="BH145" s="434">
        <f>(0.12-0)/2</f>
        <v>0.06</v>
      </c>
      <c r="BI145" s="986">
        <f>VLOOKUP(BI141,BD146:BH151,4)</f>
        <v>9.0000000000000011E-2</v>
      </c>
      <c r="BJ145" s="435">
        <v>8</v>
      </c>
      <c r="BK145" s="337">
        <f>'Data Standar'!AE230</f>
        <v>0.43</v>
      </c>
      <c r="BL145" s="338"/>
      <c r="BM145" s="436">
        <f>IF(OR(BK145=0,BL145=0),'Data Standar'!$AE$237/3,((MAX(BK145:BL145)-(MIN(BK145:BL145)))))</f>
        <v>0.26333333333333336</v>
      </c>
      <c r="BN145" s="434">
        <f>(0.12-0)/2</f>
        <v>0.06</v>
      </c>
      <c r="BO145" s="986">
        <f>VLOOKUP(BO141,BJ146:BN151,4)</f>
        <v>0.26333333333333336</v>
      </c>
      <c r="BP145" s="435">
        <v>8</v>
      </c>
      <c r="BQ145" s="337">
        <f>'Data Standar'!AF230</f>
        <v>-0.24</v>
      </c>
      <c r="BR145" s="338"/>
      <c r="BS145" s="436">
        <f>IF(OR(BQ145=0,BR145=0),'Data Standar'!$AF$237/3,((MAX(BQ145:BR145)-(MIN(BQ145:BR145)))))</f>
        <v>8.3333333333333329E-2</v>
      </c>
      <c r="BT145" s="434">
        <f>(0.12-0)/2</f>
        <v>0.06</v>
      </c>
      <c r="BU145" s="986">
        <f>VLOOKUP(BU141,BP146:BT151,4)</f>
        <v>8.3333333333333329E-2</v>
      </c>
      <c r="BV145" s="435">
        <v>8</v>
      </c>
      <c r="BW145" s="337">
        <f>'Data Standar'!AG230</f>
        <v>-0.31</v>
      </c>
      <c r="BX145" s="338"/>
      <c r="BY145" s="436">
        <f>IF(OR(BW145=0,BX145=0),'Data Standar'!$AG$237/3,((MAX(BW145:BX145)-(MIN(BW145:BX145)))))</f>
        <v>9.0000000000000011E-2</v>
      </c>
      <c r="BZ145" s="434">
        <f>(0.12-0)/2</f>
        <v>0.06</v>
      </c>
      <c r="CA145" s="986">
        <f>VLOOKUP(CA141,BV146:BZ151,4)</f>
        <v>9.0000000000000011E-2</v>
      </c>
      <c r="CB145" s="435">
        <v>8</v>
      </c>
      <c r="CC145" s="337">
        <f t="shared" si="75"/>
        <v>0</v>
      </c>
      <c r="CD145" s="338">
        <f t="shared" si="78"/>
        <v>-0.7</v>
      </c>
      <c r="CE145" s="436">
        <f t="shared" si="81"/>
        <v>0.19999999999999998</v>
      </c>
      <c r="CF145" s="434">
        <f>(0.12-0)/2</f>
        <v>0.06</v>
      </c>
      <c r="CG145" s="450"/>
      <c r="CH145" s="435">
        <v>8</v>
      </c>
      <c r="CI145" s="337">
        <f t="shared" si="76"/>
        <v>0.08</v>
      </c>
      <c r="CJ145" s="338">
        <f t="shared" si="79"/>
        <v>0.01</v>
      </c>
      <c r="CK145" s="436">
        <f t="shared" si="82"/>
        <v>7.0000000000000007E-2</v>
      </c>
      <c r="CL145" s="434">
        <f>(0.12-0)/2</f>
        <v>0.06</v>
      </c>
      <c r="CM145" s="423"/>
      <c r="CN145" s="435">
        <v>8</v>
      </c>
      <c r="CO145" s="337">
        <f t="shared" si="77"/>
        <v>-0.46</v>
      </c>
      <c r="CP145" s="338">
        <f t="shared" si="80"/>
        <v>0.06</v>
      </c>
      <c r="CQ145" s="436">
        <f t="shared" si="83"/>
        <v>0.52</v>
      </c>
      <c r="CR145" s="434">
        <f>(0.12-0)/2</f>
        <v>0.06</v>
      </c>
      <c r="CS145" s="423"/>
    </row>
    <row r="146" spans="1:97" s="427" customFormat="1" ht="13">
      <c r="A146" s="423"/>
      <c r="B146" s="435">
        <v>37</v>
      </c>
      <c r="C146" s="337">
        <v>9.9999999999999995E-7</v>
      </c>
      <c r="D146" s="337">
        <v>9.9999999999999995E-7</v>
      </c>
      <c r="E146" s="436">
        <v>9.9999999999999995E-7</v>
      </c>
      <c r="F146" s="437"/>
      <c r="G146" s="987"/>
      <c r="H146" s="435">
        <v>37</v>
      </c>
      <c r="I146" s="337">
        <v>9.9999999999999995E-7</v>
      </c>
      <c r="J146" s="337">
        <v>9.9999999999999995E-7</v>
      </c>
      <c r="K146" s="436">
        <v>9.9999999999999995E-7</v>
      </c>
      <c r="L146" s="437"/>
      <c r="M146" s="987"/>
      <c r="N146" s="435">
        <v>37</v>
      </c>
      <c r="O146" s="337">
        <v>9.9999999999999995E-7</v>
      </c>
      <c r="P146" s="337">
        <f>'Data Standar'!W231</f>
        <v>-0.03</v>
      </c>
      <c r="Q146" s="436">
        <f>IF(OR(O146=0,P146=0),'Data Standar'!$E$237/3,((MAX(O146:P146)-(MIN(O146:P146)))))</f>
        <v>3.0001E-2</v>
      </c>
      <c r="R146" s="434">
        <f>(0.16-0)/2</f>
        <v>0.08</v>
      </c>
      <c r="S146" s="987"/>
      <c r="T146" s="435">
        <v>37</v>
      </c>
      <c r="U146" s="337">
        <f>'Data Standar'!X231</f>
        <v>0.63</v>
      </c>
      <c r="V146" s="338"/>
      <c r="W146" s="436">
        <f>IF(OR(U146=0,V146=0),'Data Standar'!$X$237/3,((MAX(U146:V146)-(MIN(U146:V146)))))</f>
        <v>8.666666666666667E-2</v>
      </c>
      <c r="X146" s="434">
        <f>(0.16-0)/2</f>
        <v>0.08</v>
      </c>
      <c r="Y146" s="987"/>
      <c r="Z146" s="435">
        <v>37</v>
      </c>
      <c r="AA146" s="337">
        <f>'Data Standar'!Y231</f>
        <v>0.27</v>
      </c>
      <c r="AB146" s="338"/>
      <c r="AC146" s="436">
        <f>IF(OR(AA146=0,AB146=0),'Data Standar'!$Y$237/3,((MAX(AA146:AB146)-(MIN(AA146:AB146)))))</f>
        <v>8.666666666666667E-2</v>
      </c>
      <c r="AD146" s="434">
        <f>(0.16-0)/2</f>
        <v>0.08</v>
      </c>
      <c r="AE146" s="987"/>
      <c r="AF146" s="435">
        <v>37</v>
      </c>
      <c r="AG146" s="337">
        <f>'Data Standar'!Z231</f>
        <v>0.28999999999999998</v>
      </c>
      <c r="AH146" s="338"/>
      <c r="AI146" s="436">
        <f>IF(OR(AG146=0,AH146=0),'Data Standar'!$Z$237/3,((MAX(AG146:AH146)-(MIN(AG146:AH146)))))</f>
        <v>9.3333333333333338E-2</v>
      </c>
      <c r="AJ146" s="434">
        <f>(0.16-0)/2</f>
        <v>0.08</v>
      </c>
      <c r="AK146" s="987"/>
      <c r="AL146" s="435">
        <v>37</v>
      </c>
      <c r="AM146" s="337">
        <f>'Data Standar'!AA231</f>
        <v>0.52</v>
      </c>
      <c r="AN146" s="338"/>
      <c r="AO146" s="436">
        <f>IF(OR(AM146=0,AN146=0),'Data Standar'!$AA$237/3,((MAX(AM146:AN146)-(MIN(AM146:AN146)))))</f>
        <v>0.08</v>
      </c>
      <c r="AP146" s="434">
        <f>(0.16-0)/2</f>
        <v>0.08</v>
      </c>
      <c r="AQ146" s="987"/>
      <c r="AR146" s="435">
        <v>37</v>
      </c>
      <c r="AS146" s="337">
        <f>'Data Standar'!AB231</f>
        <v>0.35</v>
      </c>
      <c r="AT146" s="338"/>
      <c r="AU146" s="436">
        <f>IF(OR(AS146=0,AT146=0),'Data Standar'!$AB$237/3,((MAX(AS146:AT146)-(MIN(AS146:AT146)))))</f>
        <v>8.3333333333333329E-2</v>
      </c>
      <c r="AV146" s="434">
        <f>(0.16-0)/2</f>
        <v>0.08</v>
      </c>
      <c r="AW146" s="987"/>
      <c r="AX146" s="435">
        <v>37</v>
      </c>
      <c r="AY146" s="337">
        <f>'Data Standar'!AC231</f>
        <v>0.37</v>
      </c>
      <c r="AZ146" s="338"/>
      <c r="BA146" s="436">
        <f>IF(OR(AY146=0,AZ146=0),'Data Standar'!$AC$237/3,((MAX(AY146:AZ146)-(MIN(AY146:AZ146)))))</f>
        <v>0.26333333333333336</v>
      </c>
      <c r="BB146" s="434">
        <f>(0.16-0)/2</f>
        <v>0.08</v>
      </c>
      <c r="BC146" s="987"/>
      <c r="BD146" s="435">
        <v>37</v>
      </c>
      <c r="BE146" s="337">
        <f>'Data Standar'!AD231</f>
        <v>0.81</v>
      </c>
      <c r="BF146" s="338"/>
      <c r="BG146" s="436">
        <f>IF(OR(BE146=0,BF146=0),'Data Standar'!$AD$237/3,((MAX(BE146:BF146)-(MIN(BE146:BF146)))))</f>
        <v>9.0000000000000011E-2</v>
      </c>
      <c r="BH146" s="434">
        <f>(0.16-0)/2</f>
        <v>0.08</v>
      </c>
      <c r="BI146" s="987"/>
      <c r="BJ146" s="435">
        <v>37</v>
      </c>
      <c r="BK146" s="337">
        <f>'Data Standar'!AE231</f>
        <v>0.37</v>
      </c>
      <c r="BL146" s="338"/>
      <c r="BM146" s="436">
        <f>IF(OR(BK146=0,BL146=0),'Data Standar'!$AE$237/3,((MAX(BK146:BL146)-(MIN(BK146:BL146)))))</f>
        <v>0.26333333333333336</v>
      </c>
      <c r="BN146" s="434">
        <f>(0.16-0)/2</f>
        <v>0.08</v>
      </c>
      <c r="BO146" s="987"/>
      <c r="BP146" s="435">
        <v>37</v>
      </c>
      <c r="BQ146" s="337">
        <f>'Data Standar'!AF231</f>
        <v>0.5</v>
      </c>
      <c r="BR146" s="338"/>
      <c r="BS146" s="436">
        <f>IF(OR(BQ146=0,BR146=0),'Data Standar'!$AF$237/3,((MAX(BQ146:BR146)-(MIN(BQ146:BR146)))))</f>
        <v>8.3333333333333329E-2</v>
      </c>
      <c r="BT146" s="434">
        <f>(0.16-0)/2</f>
        <v>0.08</v>
      </c>
      <c r="BU146" s="987"/>
      <c r="BV146" s="435">
        <v>37</v>
      </c>
      <c r="BW146" s="337">
        <f>'Data Standar'!AG231</f>
        <v>0.56999999999999995</v>
      </c>
      <c r="BX146" s="338"/>
      <c r="BY146" s="436">
        <f>IF(OR(BW146=0,BX146=0),'Data Standar'!$AG$237/3,((MAX(BW146:BX146)-(MIN(BW146:BX146)))))</f>
        <v>9.0000000000000011E-2</v>
      </c>
      <c r="BZ146" s="434">
        <f>(0.16-0)/2</f>
        <v>0.08</v>
      </c>
      <c r="CA146" s="987"/>
      <c r="CB146" s="435">
        <v>37</v>
      </c>
      <c r="CC146" s="337">
        <f t="shared" si="75"/>
        <v>0</v>
      </c>
      <c r="CD146" s="338">
        <f t="shared" si="78"/>
        <v>-0.6</v>
      </c>
      <c r="CE146" s="436">
        <f t="shared" si="81"/>
        <v>0.19999999999999998</v>
      </c>
      <c r="CF146" s="434">
        <f>(0.16-0)/2</f>
        <v>0.08</v>
      </c>
      <c r="CG146" s="450"/>
      <c r="CH146" s="435">
        <v>37</v>
      </c>
      <c r="CI146" s="337">
        <f t="shared" si="76"/>
        <v>0.23</v>
      </c>
      <c r="CJ146" s="338">
        <f t="shared" si="79"/>
        <v>0.19</v>
      </c>
      <c r="CK146" s="436">
        <f t="shared" si="82"/>
        <v>4.0000000000000008E-2</v>
      </c>
      <c r="CL146" s="434">
        <f>(0.16-0)/2</f>
        <v>0.08</v>
      </c>
      <c r="CM146" s="423"/>
      <c r="CN146" s="435">
        <v>37</v>
      </c>
      <c r="CO146" s="337">
        <f t="shared" si="77"/>
        <v>0.42</v>
      </c>
      <c r="CP146" s="338">
        <f t="shared" si="80"/>
        <v>0.45</v>
      </c>
      <c r="CQ146" s="436">
        <f t="shared" si="83"/>
        <v>3.0000000000000027E-2</v>
      </c>
      <c r="CR146" s="434">
        <f>(0.16-0)/2</f>
        <v>0.08</v>
      </c>
      <c r="CS146" s="423"/>
    </row>
    <row r="147" spans="1:97" s="427" customFormat="1" ht="13">
      <c r="A147" s="423"/>
      <c r="B147" s="435">
        <v>44</v>
      </c>
      <c r="C147" s="337">
        <v>9.9999999999999995E-7</v>
      </c>
      <c r="D147" s="337">
        <v>9.9999999999999995E-7</v>
      </c>
      <c r="E147" s="436">
        <v>9.9999999999999995E-7</v>
      </c>
      <c r="F147" s="437"/>
      <c r="G147" s="988">
        <f>(((G145-G143)/(G141-G139))*(G138-G139))+G143</f>
        <v>9.9999999999999995E-7</v>
      </c>
      <c r="H147" s="435">
        <v>44</v>
      </c>
      <c r="I147" s="337">
        <v>9.9999999999999995E-7</v>
      </c>
      <c r="J147" s="337">
        <v>9.9999999999999995E-7</v>
      </c>
      <c r="K147" s="436">
        <v>9.9999999999999995E-7</v>
      </c>
      <c r="L147" s="437"/>
      <c r="M147" s="988">
        <f>(((M145-M143)/(M141-M139))*(M138-M139))+M143</f>
        <v>9.9999999999999995E-7</v>
      </c>
      <c r="N147" s="435">
        <v>44</v>
      </c>
      <c r="O147" s="337">
        <v>9.9999999999999995E-7</v>
      </c>
      <c r="P147" s="337">
        <f>'Data Standar'!W232</f>
        <v>-0.03</v>
      </c>
      <c r="Q147" s="436">
        <f>IF(OR(O147=0,P147=0),'Data Standar'!$E$237/3,((MAX(O147:P147)-(MIN(O147:P147)))))</f>
        <v>3.0001E-2</v>
      </c>
      <c r="R147" s="434">
        <f>(0.12-0)/2</f>
        <v>0.06</v>
      </c>
      <c r="S147" s="988">
        <f>(((S145-S143)/(S141-S139))*(S138-S139))+S143</f>
        <v>0.23720121516111109</v>
      </c>
      <c r="T147" s="435">
        <v>44</v>
      </c>
      <c r="U147" s="337">
        <f>'Data Standar'!X232</f>
        <v>0.77</v>
      </c>
      <c r="V147" s="338"/>
      <c r="W147" s="436">
        <f>IF(OR(U147=0,V147=0),'Data Standar'!$X$237/3,((MAX(U147:V147)-(MIN(U147:V147)))))</f>
        <v>8.666666666666667E-2</v>
      </c>
      <c r="X147" s="434">
        <f>(0.12-0)/2</f>
        <v>0.06</v>
      </c>
      <c r="Y147" s="988">
        <f>(((Y145-Y143)/(Y141-Y139))*(Y138-Y139))+Y143</f>
        <v>8.666666666666667E-2</v>
      </c>
      <c r="Z147" s="435">
        <v>44</v>
      </c>
      <c r="AA147" s="337">
        <f>'Data Standar'!Y232</f>
        <v>0.27</v>
      </c>
      <c r="AB147" s="338"/>
      <c r="AC147" s="436">
        <f>IF(OR(AA147=0,AB147=0),'Data Standar'!$Y$237/3,((MAX(AA147:AB147)-(MIN(AA147:AB147)))))</f>
        <v>8.666666666666667E-2</v>
      </c>
      <c r="AD147" s="434">
        <f>(0.12-0)/2</f>
        <v>0.06</v>
      </c>
      <c r="AE147" s="988">
        <f>(((AE145-AE143)/(AE141-AE139))*(AE138-AE139))+AE143</f>
        <v>8.666666666666667E-2</v>
      </c>
      <c r="AF147" s="435">
        <v>44</v>
      </c>
      <c r="AG147" s="337">
        <f>'Data Standar'!Z232</f>
        <v>0.28999999999999998</v>
      </c>
      <c r="AH147" s="338"/>
      <c r="AI147" s="436">
        <f>IF(OR(AG147=0,AH147=0),'Data Standar'!$Z$237/3,((MAX(AG147:AH147)-(MIN(AG147:AH147)))))</f>
        <v>9.3333333333333338E-2</v>
      </c>
      <c r="AJ147" s="434">
        <f>(0.12-0)/2</f>
        <v>0.06</v>
      </c>
      <c r="AK147" s="988">
        <f>(((AK145-AK143)/(AK141-AK139))*(AK138-AK139))+AK143</f>
        <v>9.3333333333333338E-2</v>
      </c>
      <c r="AL147" s="435">
        <v>44</v>
      </c>
      <c r="AM147" s="337">
        <f>'Data Standar'!AA232</f>
        <v>0.53</v>
      </c>
      <c r="AN147" s="338"/>
      <c r="AO147" s="436">
        <f>IF(OR(AM147=0,AN147=0),'Data Standar'!$AA$237/3,((MAX(AM147:AN147)-(MIN(AM147:AN147)))))</f>
        <v>0.08</v>
      </c>
      <c r="AP147" s="434">
        <f>(0.12-0)/2</f>
        <v>0.06</v>
      </c>
      <c r="AQ147" s="988">
        <f>(((AQ145-AQ143)/(AQ141-AQ139))*(AQ138-AQ139))+AQ143</f>
        <v>0.08</v>
      </c>
      <c r="AR147" s="435">
        <v>44</v>
      </c>
      <c r="AS147" s="337">
        <f>'Data Standar'!AB232</f>
        <v>0.35</v>
      </c>
      <c r="AT147" s="338"/>
      <c r="AU147" s="436">
        <f>IF(OR(AS147=0,AT147=0),'Data Standar'!$AB$237/3,((MAX(AS147:AT147)-(MIN(AS147:AT147)))))</f>
        <v>8.3333333333333329E-2</v>
      </c>
      <c r="AV147" s="434">
        <f>(0.12-0)/2</f>
        <v>0.06</v>
      </c>
      <c r="AW147" s="988">
        <f>(((AW145-AW143)/(AW141-AW139))*(AW138-AW139))+AW143</f>
        <v>8.3333333333333329E-2</v>
      </c>
      <c r="AX147" s="435">
        <v>44</v>
      </c>
      <c r="AY147" s="337">
        <f>'Data Standar'!AC232</f>
        <v>0.36</v>
      </c>
      <c r="AZ147" s="338"/>
      <c r="BA147" s="436">
        <f>IF(OR(AY147=0,AZ147=0),'Data Standar'!$AC$237/3,((MAX(AY147:AZ147)-(MIN(AY147:AZ147)))))</f>
        <v>0.26333333333333336</v>
      </c>
      <c r="BB147" s="434">
        <f>(0.12-0)/2</f>
        <v>0.06</v>
      </c>
      <c r="BC147" s="988">
        <f>(((BC145-BC143)/(BC141-BC139))*(BC138-BC139))+BC143</f>
        <v>0.26333333333333336</v>
      </c>
      <c r="BD147" s="435">
        <v>44</v>
      </c>
      <c r="BE147" s="337">
        <f>'Data Standar'!AD232</f>
        <v>0.93</v>
      </c>
      <c r="BF147" s="338"/>
      <c r="BG147" s="436">
        <f>IF(OR(BE147=0,BF147=0),'Data Standar'!$AD$237/3,((MAX(BE147:BF147)-(MIN(BE147:BF147)))))</f>
        <v>9.0000000000000011E-2</v>
      </c>
      <c r="BH147" s="434">
        <f>(0.12-0)/2</f>
        <v>0.06</v>
      </c>
      <c r="BI147" s="988">
        <f>(((BI145-BI143)/(BI141-BI139))*(BI138-BI139))+BI143</f>
        <v>9.0000000000000011E-2</v>
      </c>
      <c r="BJ147" s="435">
        <v>44</v>
      </c>
      <c r="BK147" s="337">
        <f>'Data Standar'!AE232</f>
        <v>0.36</v>
      </c>
      <c r="BL147" s="338"/>
      <c r="BM147" s="436">
        <f>IF(OR(BK147=0,BL147=0),'Data Standar'!$AE$237/3,((MAX(BK147:BL147)-(MIN(BK147:BL147)))))</f>
        <v>0.26333333333333336</v>
      </c>
      <c r="BN147" s="434">
        <f>(0.12-0)/2</f>
        <v>0.06</v>
      </c>
      <c r="BO147" s="988">
        <f>(((BO145-BO143)/(BO141-BO139))*(BO138-BO139))+BO143</f>
        <v>0.26333333333333336</v>
      </c>
      <c r="BP147" s="435">
        <v>44</v>
      </c>
      <c r="BQ147" s="337">
        <f>'Data Standar'!AF232</f>
        <v>0.6</v>
      </c>
      <c r="BR147" s="338"/>
      <c r="BS147" s="436">
        <f>IF(OR(BQ147=0,BR147=0),'Data Standar'!$AF$237/3,((MAX(BQ147:BR147)-(MIN(BQ147:BR147)))))</f>
        <v>8.3333333333333329E-2</v>
      </c>
      <c r="BT147" s="434">
        <f>(0.12-0)/2</f>
        <v>0.06</v>
      </c>
      <c r="BU147" s="988">
        <f>(((BU145-BU143)/(BU141-BU139))*(BU138-BU139))+BU143</f>
        <v>8.3333333333333329E-2</v>
      </c>
      <c r="BV147" s="435">
        <v>44</v>
      </c>
      <c r="BW147" s="337">
        <f>'Data Standar'!AG232</f>
        <v>0.68</v>
      </c>
      <c r="BX147" s="338"/>
      <c r="BY147" s="436">
        <f>IF(OR(BW147=0,BX147=0),'Data Standar'!$AG$237/3,((MAX(BW147:BX147)-(MIN(BW147:BX147)))))</f>
        <v>9.0000000000000011E-2</v>
      </c>
      <c r="BZ147" s="434">
        <f>(0.12-0)/2</f>
        <v>0.06</v>
      </c>
      <c r="CA147" s="988">
        <f>(((CA145-CA143)/(CA141-CA139))*(CA138-CA139))+CA143</f>
        <v>9.0000000000000011E-2</v>
      </c>
      <c r="CB147" s="435">
        <v>44</v>
      </c>
      <c r="CC147" s="337">
        <f t="shared" si="75"/>
        <v>-1</v>
      </c>
      <c r="CD147" s="338">
        <f t="shared" si="78"/>
        <v>-0.7</v>
      </c>
      <c r="CE147" s="436">
        <f t="shared" si="81"/>
        <v>0.19999999999999998</v>
      </c>
      <c r="CF147" s="434">
        <f>(0.12-0)/2</f>
        <v>0.06</v>
      </c>
      <c r="CG147" s="451"/>
      <c r="CH147" s="435">
        <v>44</v>
      </c>
      <c r="CI147" s="337">
        <f t="shared" si="76"/>
        <v>0.25</v>
      </c>
      <c r="CJ147" s="338">
        <f t="shared" si="79"/>
        <v>0.21</v>
      </c>
      <c r="CK147" s="436">
        <f t="shared" si="82"/>
        <v>4.0000000000000008E-2</v>
      </c>
      <c r="CL147" s="434">
        <f>(0.12-0)/2</f>
        <v>0.06</v>
      </c>
      <c r="CM147" s="423"/>
      <c r="CN147" s="435">
        <v>44</v>
      </c>
      <c r="CO147" s="337">
        <f t="shared" si="77"/>
        <v>0.56999999999999995</v>
      </c>
      <c r="CP147" s="338">
        <f t="shared" si="80"/>
        <v>0.52</v>
      </c>
      <c r="CQ147" s="436">
        <f t="shared" si="83"/>
        <v>4.9999999999999933E-2</v>
      </c>
      <c r="CR147" s="434">
        <f>(0.12-0)/2</f>
        <v>0.06</v>
      </c>
      <c r="CS147" s="423"/>
    </row>
    <row r="148" spans="1:97" s="427" customFormat="1" ht="13">
      <c r="A148" s="423"/>
      <c r="B148" s="435">
        <v>50</v>
      </c>
      <c r="C148" s="337">
        <v>9.9999999999999995E-7</v>
      </c>
      <c r="D148" s="337">
        <v>9.9999999999999995E-7</v>
      </c>
      <c r="E148" s="436">
        <v>9.9999999999999995E-7</v>
      </c>
      <c r="F148" s="437"/>
      <c r="G148" s="438"/>
      <c r="H148" s="435">
        <v>50</v>
      </c>
      <c r="I148" s="337">
        <v>9.9999999999999995E-7</v>
      </c>
      <c r="J148" s="337">
        <v>9.9999999999999995E-7</v>
      </c>
      <c r="K148" s="436">
        <v>9.9999999999999995E-7</v>
      </c>
      <c r="L148" s="437"/>
      <c r="M148" s="438"/>
      <c r="N148" s="435">
        <v>50</v>
      </c>
      <c r="O148" s="337">
        <v>9.9999999999999995E-7</v>
      </c>
      <c r="P148" s="337">
        <f>'Data Standar'!W233</f>
        <v>-0.03</v>
      </c>
      <c r="Q148" s="436">
        <f>IF(OR(O148=0,P148=0),'Data Standar'!$E$237/3,((MAX(O148:P148)-(MIN(O148:P148)))))</f>
        <v>3.0001E-2</v>
      </c>
      <c r="R148" s="434">
        <f>(0.18-0)/2</f>
        <v>0.09</v>
      </c>
      <c r="S148" s="423"/>
      <c r="T148" s="435">
        <v>50</v>
      </c>
      <c r="U148" s="337">
        <f>'Data Standar'!X233</f>
        <v>0.86</v>
      </c>
      <c r="V148" s="338"/>
      <c r="W148" s="436">
        <f>IF(OR(U148=0,V148=0),'Data Standar'!$X$237/3,((MAX(U148:V148)-(MIN(U148:V148)))))</f>
        <v>8.666666666666667E-2</v>
      </c>
      <c r="X148" s="434">
        <f>(0.18-0)/2</f>
        <v>0.09</v>
      </c>
      <c r="Y148" s="423"/>
      <c r="Z148" s="435">
        <v>50</v>
      </c>
      <c r="AA148" s="337">
        <f>'Data Standar'!Y233</f>
        <v>0.27</v>
      </c>
      <c r="AB148" s="338"/>
      <c r="AC148" s="436">
        <f>IF(OR(AA148=0,AB148=0),'Data Standar'!$Y$237/3,((MAX(AA148:AB148)-(MIN(AA148:AB148)))))</f>
        <v>8.666666666666667E-2</v>
      </c>
      <c r="AD148" s="434">
        <f>(0.18-0)/2</f>
        <v>0.09</v>
      </c>
      <c r="AE148" s="423"/>
      <c r="AF148" s="435">
        <v>50</v>
      </c>
      <c r="AG148" s="337">
        <f>'Data Standar'!Z233</f>
        <v>0.3</v>
      </c>
      <c r="AH148" s="338"/>
      <c r="AI148" s="436">
        <f>IF(OR(AG148=0,AH148=0),'Data Standar'!$Z$237/3,((MAX(AG148:AH148)-(MIN(AG148:AH148)))))</f>
        <v>9.3333333333333338E-2</v>
      </c>
      <c r="AJ148" s="434">
        <f>(0.18-0)/2</f>
        <v>0.09</v>
      </c>
      <c r="AK148" s="423"/>
      <c r="AL148" s="435">
        <v>50</v>
      </c>
      <c r="AM148" s="337">
        <f>'Data Standar'!AA233</f>
        <v>0.53</v>
      </c>
      <c r="AN148" s="338"/>
      <c r="AO148" s="436">
        <f>IF(OR(AM148=0,AN148=0),'Data Standar'!$AA$237/3,((MAX(AM148:AN148)-(MIN(AM148:AN148)))))</f>
        <v>0.08</v>
      </c>
      <c r="AP148" s="434">
        <f>(0.18-0)/2</f>
        <v>0.09</v>
      </c>
      <c r="AQ148" s="423"/>
      <c r="AR148" s="435">
        <v>50</v>
      </c>
      <c r="AS148" s="337">
        <f>'Data Standar'!AB233</f>
        <v>0.35</v>
      </c>
      <c r="AT148" s="338"/>
      <c r="AU148" s="436">
        <f>IF(OR(AS148=0,AT148=0),'Data Standar'!$AB$237/3,((MAX(AS148:AT148)-(MIN(AS148:AT148)))))</f>
        <v>8.3333333333333329E-2</v>
      </c>
      <c r="AV148" s="434">
        <f>(0.18-0)/2</f>
        <v>0.09</v>
      </c>
      <c r="AW148" s="423"/>
      <c r="AX148" s="435">
        <v>50</v>
      </c>
      <c r="AY148" s="337">
        <f>'Data Standar'!AC233</f>
        <v>0.34</v>
      </c>
      <c r="AZ148" s="338"/>
      <c r="BA148" s="436">
        <f>IF(OR(AY148=0,AZ148=0),'Data Standar'!$AC$237/3,((MAX(AY148:AZ148)-(MIN(AY148:AZ148)))))</f>
        <v>0.26333333333333336</v>
      </c>
      <c r="BB148" s="434">
        <f>(0.18-0)/2</f>
        <v>0.09</v>
      </c>
      <c r="BC148" s="423"/>
      <c r="BD148" s="435">
        <v>50</v>
      </c>
      <c r="BE148" s="337">
        <f>'Data Standar'!AD233</f>
        <v>1.01</v>
      </c>
      <c r="BF148" s="338"/>
      <c r="BG148" s="436">
        <f>IF(OR(BE148=0,BF148=0),'Data Standar'!$AD$237/3,((MAX(BE148:BF148)-(MIN(BE148:BF148)))))</f>
        <v>9.0000000000000011E-2</v>
      </c>
      <c r="BH148" s="434">
        <f>(0.18-0)/2</f>
        <v>0.09</v>
      </c>
      <c r="BI148" s="423"/>
      <c r="BJ148" s="435">
        <v>50</v>
      </c>
      <c r="BK148" s="337">
        <f>'Data Standar'!AE233</f>
        <v>0.34</v>
      </c>
      <c r="BL148" s="338"/>
      <c r="BM148" s="436">
        <f>IF(OR(BK148=0,BL148=0),'Data Standar'!$AE$237/3,((MAX(BK148:BL148)-(MIN(BK148:BL148)))))</f>
        <v>0.26333333333333336</v>
      </c>
      <c r="BN148" s="434">
        <f>(0.18-0)/2</f>
        <v>0.09</v>
      </c>
      <c r="BO148" s="423"/>
      <c r="BP148" s="435">
        <v>50</v>
      </c>
      <c r="BQ148" s="337">
        <f>'Data Standar'!AF233</f>
        <v>0.66</v>
      </c>
      <c r="BR148" s="338"/>
      <c r="BS148" s="436">
        <f>IF(OR(BQ148=0,BR148=0),'Data Standar'!$AF$237/3,((MAX(BQ148:BR148)-(MIN(BQ148:BR148)))))</f>
        <v>8.3333333333333329E-2</v>
      </c>
      <c r="BT148" s="434">
        <f>(0.18-0)/2</f>
        <v>0.09</v>
      </c>
      <c r="BU148" s="423"/>
      <c r="BV148" s="435">
        <v>50</v>
      </c>
      <c r="BW148" s="337">
        <f>'Data Standar'!AG233</f>
        <v>0.75</v>
      </c>
      <c r="BX148" s="338"/>
      <c r="BY148" s="436">
        <f>IF(OR(BW148=0,BX148=0),'Data Standar'!$AG$237/3,((MAX(BW148:BX148)-(MIN(BW148:BX148)))))</f>
        <v>9.0000000000000011E-2</v>
      </c>
      <c r="BZ148" s="434">
        <f>(0.18-0)/2</f>
        <v>0.09</v>
      </c>
      <c r="CA148" s="423"/>
      <c r="CB148" s="435">
        <v>50</v>
      </c>
      <c r="CC148" s="337">
        <f t="shared" si="75"/>
        <v>-1.6</v>
      </c>
      <c r="CD148" s="338">
        <f t="shared" si="78"/>
        <v>-0.7</v>
      </c>
      <c r="CE148" s="436">
        <f t="shared" si="81"/>
        <v>0.30000000000000004</v>
      </c>
      <c r="CF148" s="434">
        <f>(0.18-0)/2</f>
        <v>0.09</v>
      </c>
      <c r="CG148" s="423"/>
      <c r="CH148" s="435">
        <v>50</v>
      </c>
      <c r="CI148" s="337">
        <f t="shared" si="76"/>
        <v>0.27</v>
      </c>
      <c r="CJ148" s="338">
        <f t="shared" si="79"/>
        <v>0.22</v>
      </c>
      <c r="CK148" s="436">
        <f t="shared" si="82"/>
        <v>5.0000000000000017E-2</v>
      </c>
      <c r="CL148" s="434">
        <f>(0.18-0)/2</f>
        <v>0.09</v>
      </c>
      <c r="CM148" s="423"/>
      <c r="CN148" s="435">
        <v>50</v>
      </c>
      <c r="CO148" s="337">
        <f t="shared" si="77"/>
        <v>0.67</v>
      </c>
      <c r="CP148" s="338">
        <f t="shared" si="80"/>
        <v>0.56999999999999995</v>
      </c>
      <c r="CQ148" s="436">
        <f t="shared" si="83"/>
        <v>0.10000000000000009</v>
      </c>
      <c r="CR148" s="434">
        <f>(0.18-0)/2</f>
        <v>0.09</v>
      </c>
      <c r="CS148" s="423"/>
    </row>
    <row r="149" spans="1:97" s="427" customFormat="1" ht="13">
      <c r="A149" s="423"/>
      <c r="B149" s="435">
        <v>100</v>
      </c>
      <c r="C149" s="337">
        <v>9.9999999999999995E-7</v>
      </c>
      <c r="D149" s="337">
        <v>9.9999999999999995E-7</v>
      </c>
      <c r="E149" s="436">
        <v>9.9999999999999995E-7</v>
      </c>
      <c r="F149" s="437"/>
      <c r="G149" s="438"/>
      <c r="H149" s="435">
        <v>100</v>
      </c>
      <c r="I149" s="337">
        <v>9.9999999999999995E-7</v>
      </c>
      <c r="J149" s="337">
        <v>9.9999999999999995E-7</v>
      </c>
      <c r="K149" s="436">
        <v>9.9999999999999995E-7</v>
      </c>
      <c r="L149" s="437"/>
      <c r="M149" s="438"/>
      <c r="N149" s="435">
        <v>100</v>
      </c>
      <c r="O149" s="337">
        <v>9.9999999999999995E-7</v>
      </c>
      <c r="P149" s="337">
        <f>'Data Standar'!W234</f>
        <v>-0.16</v>
      </c>
      <c r="Q149" s="436">
        <f>IF(OR(O149=0,P149=0),'Data Standar'!$E$237/3,((MAX(O149:P149)-(MIN(O149:P149)))))</f>
        <v>0.160001</v>
      </c>
      <c r="R149" s="434">
        <f>(0.21-0)/2</f>
        <v>0.105</v>
      </c>
      <c r="S149" s="423"/>
      <c r="T149" s="435">
        <v>100</v>
      </c>
      <c r="U149" s="337">
        <f>'Data Standar'!X234</f>
        <v>0.99</v>
      </c>
      <c r="V149" s="338"/>
      <c r="W149" s="436">
        <f>IF(OR(U149=0,V149=0),'Data Standar'!$X$237/3,((MAX(U149:V149)-(MIN(U149:V149)))))</f>
        <v>8.666666666666667E-2</v>
      </c>
      <c r="X149" s="434">
        <f>(0.21-0)/2</f>
        <v>0.105</v>
      </c>
      <c r="Y149" s="423"/>
      <c r="Z149" s="435">
        <v>100</v>
      </c>
      <c r="AA149" s="337">
        <f>'Data Standar'!Y234</f>
        <v>0.34</v>
      </c>
      <c r="AB149" s="338"/>
      <c r="AC149" s="436">
        <f>IF(OR(AA149=0,AB149=0),'Data Standar'!$Y$237/3,((MAX(AA149:AB149)-(MIN(AA149:AB149)))))</f>
        <v>8.666666666666667E-2</v>
      </c>
      <c r="AD149" s="434">
        <f>(0.21-0)/2</f>
        <v>0.105</v>
      </c>
      <c r="AE149" s="423"/>
      <c r="AF149" s="435">
        <v>100</v>
      </c>
      <c r="AG149" s="337">
        <f>'Data Standar'!Z234</f>
        <v>0.38</v>
      </c>
      <c r="AH149" s="338"/>
      <c r="AI149" s="436">
        <f>IF(OR(AG149=0,AH149=0),'Data Standar'!$Z$237/3,((MAX(AG149:AH149)-(MIN(AG149:AH149)))))</f>
        <v>9.3333333333333338E-2</v>
      </c>
      <c r="AJ149" s="434">
        <f>(0.21-0)/2</f>
        <v>0.105</v>
      </c>
      <c r="AK149" s="423"/>
      <c r="AL149" s="435">
        <v>100</v>
      </c>
      <c r="AM149" s="337">
        <f>'Data Standar'!AA234</f>
        <v>0.6</v>
      </c>
      <c r="AN149" s="338"/>
      <c r="AO149" s="436">
        <f>IF(OR(AM149=0,AN149=0),'Data Standar'!$AA$237/3,((MAX(AM149:AN149)-(MIN(AM149:AN149)))))</f>
        <v>0.08</v>
      </c>
      <c r="AP149" s="434">
        <f>(0.21-0)/2</f>
        <v>0.105</v>
      </c>
      <c r="AQ149" s="423"/>
      <c r="AR149" s="435">
        <v>100</v>
      </c>
      <c r="AS149" s="337">
        <f>'Data Standar'!AB234</f>
        <v>0.44</v>
      </c>
      <c r="AT149" s="338"/>
      <c r="AU149" s="436">
        <f>IF(OR(AS149=0,AT149=0),'Data Standar'!$AB$237/3,((MAX(AS149:AT149)-(MIN(AS149:AT149)))))</f>
        <v>8.3333333333333329E-2</v>
      </c>
      <c r="AV149" s="434">
        <f>(0.21-0)/2</f>
        <v>0.105</v>
      </c>
      <c r="AW149" s="423"/>
      <c r="AX149" s="435">
        <v>100</v>
      </c>
      <c r="AY149" s="337">
        <f>'Data Standar'!AC234</f>
        <v>0.18</v>
      </c>
      <c r="AZ149" s="338"/>
      <c r="BA149" s="436">
        <f>IF(OR(AY149=0,AZ149=0),'Data Standar'!$AC$237/3,((MAX(AY149:AZ149)-(MIN(AY149:AZ149)))))</f>
        <v>0.26333333333333336</v>
      </c>
      <c r="BB149" s="434">
        <f>(0.21-0)/2</f>
        <v>0.105</v>
      </c>
      <c r="BC149" s="423"/>
      <c r="BD149" s="435">
        <v>100</v>
      </c>
      <c r="BE149" s="337">
        <f>'Data Standar'!AD234</f>
        <v>1.06</v>
      </c>
      <c r="BF149" s="338"/>
      <c r="BG149" s="436">
        <f>IF(OR(BE149=0,BF149=0),'Data Standar'!$AD$237/3,((MAX(BE149:BF149)-(MIN(BE149:BF149)))))</f>
        <v>9.0000000000000011E-2</v>
      </c>
      <c r="BH149" s="434">
        <f>(0.21-0)/2</f>
        <v>0.105</v>
      </c>
      <c r="BI149" s="423"/>
      <c r="BJ149" s="435">
        <v>100</v>
      </c>
      <c r="BK149" s="337">
        <f>'Data Standar'!AE234</f>
        <v>0.18</v>
      </c>
      <c r="BL149" s="338"/>
      <c r="BM149" s="436">
        <f>IF(OR(BK149=0,BL149=0),'Data Standar'!$AE$237/3,((MAX(BK149:BL149)-(MIN(BK149:BL149)))))</f>
        <v>0.26333333333333336</v>
      </c>
      <c r="BN149" s="434">
        <f>(0.21-0)/2</f>
        <v>0.105</v>
      </c>
      <c r="BO149" s="423"/>
      <c r="BP149" s="435">
        <v>100</v>
      </c>
      <c r="BQ149" s="337">
        <f>'Data Standar'!AF234</f>
        <v>0.54</v>
      </c>
      <c r="BR149" s="338"/>
      <c r="BS149" s="436">
        <f>IF(OR(BQ149=0,BR149=0),'Data Standar'!$AF$237/3,((MAX(BQ149:BR149)-(MIN(BQ149:BR149)))))</f>
        <v>8.3333333333333329E-2</v>
      </c>
      <c r="BT149" s="434">
        <f>(0.21-0)/2</f>
        <v>0.105</v>
      </c>
      <c r="BU149" s="423"/>
      <c r="BV149" s="435">
        <v>100</v>
      </c>
      <c r="BW149" s="337">
        <f>'Data Standar'!AG234</f>
        <v>0.56000000000000005</v>
      </c>
      <c r="BX149" s="338"/>
      <c r="BY149" s="436">
        <f>IF(OR(BW149=0,BX149=0),'Data Standar'!$AG$237/3,((MAX(BW149:BX149)-(MIN(BW149:BX149)))))</f>
        <v>9.0000000000000011E-2</v>
      </c>
      <c r="BZ149" s="434">
        <f>(0.21-0)/2</f>
        <v>0.105</v>
      </c>
      <c r="CA149" s="423"/>
      <c r="CB149" s="435">
        <v>100</v>
      </c>
      <c r="CC149" s="337">
        <f t="shared" si="75"/>
        <v>-1.7</v>
      </c>
      <c r="CD149" s="338">
        <f t="shared" si="78"/>
        <v>-0.7</v>
      </c>
      <c r="CE149" s="436">
        <f t="shared" si="81"/>
        <v>0.90000000000000013</v>
      </c>
      <c r="CF149" s="434">
        <f>(0.21-0)/2</f>
        <v>0.105</v>
      </c>
      <c r="CG149" s="423"/>
      <c r="CH149" s="435">
        <v>100</v>
      </c>
      <c r="CI149" s="337">
        <f t="shared" si="76"/>
        <v>0.31</v>
      </c>
      <c r="CJ149" s="338">
        <f t="shared" si="79"/>
        <v>0.23</v>
      </c>
      <c r="CK149" s="436">
        <f t="shared" si="82"/>
        <v>7.9999999999999988E-2</v>
      </c>
      <c r="CL149" s="434">
        <f>(0.21-0)/2</f>
        <v>0.105</v>
      </c>
      <c r="CM149" s="423"/>
      <c r="CN149" s="435">
        <v>100</v>
      </c>
      <c r="CO149" s="337">
        <f t="shared" si="77"/>
        <v>0.95</v>
      </c>
      <c r="CP149" s="338">
        <f t="shared" si="80"/>
        <v>0.81</v>
      </c>
      <c r="CQ149" s="436">
        <f t="shared" si="83"/>
        <v>0.1399999999999999</v>
      </c>
      <c r="CR149" s="434">
        <f>(0.21-0)/2</f>
        <v>0.105</v>
      </c>
      <c r="CS149" s="423"/>
    </row>
    <row r="150" spans="1:97" s="427" customFormat="1" ht="13">
      <c r="A150" s="423"/>
      <c r="B150" s="435">
        <v>150</v>
      </c>
      <c r="C150" s="337">
        <v>9.9999999999999995E-7</v>
      </c>
      <c r="D150" s="337">
        <v>9.9999999999999995E-7</v>
      </c>
      <c r="E150" s="436">
        <v>9.9999999999999995E-7</v>
      </c>
      <c r="F150" s="437"/>
      <c r="G150" s="438"/>
      <c r="H150" s="435">
        <v>150</v>
      </c>
      <c r="I150" s="337">
        <v>9.9999999999999995E-7</v>
      </c>
      <c r="J150" s="337">
        <v>9.9999999999999995E-7</v>
      </c>
      <c r="K150" s="436">
        <v>9.9999999999999995E-7</v>
      </c>
      <c r="L150" s="437"/>
      <c r="M150" s="438"/>
      <c r="N150" s="435">
        <v>150</v>
      </c>
      <c r="O150" s="337">
        <v>9.9999999999999995E-7</v>
      </c>
      <c r="P150" s="337">
        <f>'Data Standar'!W235</f>
        <v>-0.28000000000000003</v>
      </c>
      <c r="Q150" s="436">
        <f>IF(OR(O150=0,P150=0),'Data Standar'!$E$237/3,((MAX(O150:P150)-(MIN(O150:P150)))))</f>
        <v>0.280001</v>
      </c>
      <c r="R150" s="434">
        <f>(0.22-0)/2</f>
        <v>0.11</v>
      </c>
      <c r="S150" s="423"/>
      <c r="T150" s="435">
        <v>150</v>
      </c>
      <c r="U150" s="337">
        <f>'Data Standar'!X235</f>
        <v>0.28000000000000003</v>
      </c>
      <c r="V150" s="338"/>
      <c r="W150" s="436">
        <f>IF(OR(U150=0,V150=0),'Data Standar'!$X$237/3,((MAX(U150:V150)-(MIN(U150:V150)))))</f>
        <v>8.666666666666667E-2</v>
      </c>
      <c r="X150" s="434">
        <f>(0.22-0)/2</f>
        <v>0.11</v>
      </c>
      <c r="Y150" s="423"/>
      <c r="Z150" s="435">
        <v>150</v>
      </c>
      <c r="AA150" s="337">
        <f>'Data Standar'!Y235</f>
        <v>0.51</v>
      </c>
      <c r="AB150" s="338"/>
      <c r="AC150" s="436">
        <f>IF(OR(AA150=0,AB150=0),'Data Standar'!$Y$237/3,((MAX(AA150:AB150)-(MIN(AA150:AB150)))))</f>
        <v>8.666666666666667E-2</v>
      </c>
      <c r="AD150" s="434">
        <f>(0.22-0)/2</f>
        <v>0.11</v>
      </c>
      <c r="AE150" s="423"/>
      <c r="AF150" s="435">
        <v>150</v>
      </c>
      <c r="AG150" s="337">
        <f>'Data Standar'!Z235</f>
        <v>0.54</v>
      </c>
      <c r="AH150" s="338"/>
      <c r="AI150" s="436">
        <f>IF(OR(AG150=0,AH150=0),'Data Standar'!$Z$237/3,((MAX(AG150:AH150)-(MIN(AG150:AH150)))))</f>
        <v>9.3333333333333338E-2</v>
      </c>
      <c r="AJ150" s="434">
        <f>(0.22-0)/2</f>
        <v>0.11</v>
      </c>
      <c r="AK150" s="423"/>
      <c r="AL150" s="435">
        <v>150</v>
      </c>
      <c r="AM150" s="337">
        <f>'Data Standar'!AA235</f>
        <v>0.72</v>
      </c>
      <c r="AN150" s="338"/>
      <c r="AO150" s="436">
        <f>IF(OR(AM150=0,AN150=0),'Data Standar'!$AA$237/3,((MAX(AM150:AN150)-(MIN(AM150:AN150)))))</f>
        <v>0.08</v>
      </c>
      <c r="AP150" s="434">
        <f>(0.22-0)/2</f>
        <v>0.11</v>
      </c>
      <c r="AQ150" s="423"/>
      <c r="AR150" s="435">
        <v>150</v>
      </c>
      <c r="AS150" s="337">
        <f>'Data Standar'!AB235</f>
        <v>0.61</v>
      </c>
      <c r="AT150" s="338"/>
      <c r="AU150" s="436">
        <f>IF(OR(AS150=0,AT150=0),'Data Standar'!$AB$237/3,((MAX(AS150:AT150)-(MIN(AS150:AT150)))))</f>
        <v>8.3333333333333329E-2</v>
      </c>
      <c r="AV150" s="434">
        <f>(0.22-0)/2</f>
        <v>0.11</v>
      </c>
      <c r="AW150" s="423"/>
      <c r="AX150" s="435">
        <v>150</v>
      </c>
      <c r="AY150" s="337">
        <f>'Data Standar'!AC235</f>
        <v>-0.02</v>
      </c>
      <c r="AZ150" s="338"/>
      <c r="BA150" s="436">
        <f>IF(OR(AY150=0,AZ150=0),'Data Standar'!$AC$237/3,((MAX(AY150:AZ150)-(MIN(AY150:AZ150)))))</f>
        <v>0.26333333333333336</v>
      </c>
      <c r="BB150" s="434">
        <f>(0.22-0)/2</f>
        <v>0.11</v>
      </c>
      <c r="BC150" s="423"/>
      <c r="BD150" s="435">
        <v>150</v>
      </c>
      <c r="BE150" s="337">
        <f>'Data Standar'!AD235</f>
        <v>0.62</v>
      </c>
      <c r="BF150" s="338"/>
      <c r="BG150" s="436">
        <f>IF(OR(BE150=0,BF150=0),'Data Standar'!$AD$237/3,((MAX(BE150:BF150)-(MIN(BE150:BF150)))))</f>
        <v>9.0000000000000011E-2</v>
      </c>
      <c r="BH150" s="434">
        <f>(0.22-0)/2</f>
        <v>0.11</v>
      </c>
      <c r="BI150" s="423"/>
      <c r="BJ150" s="435">
        <v>150</v>
      </c>
      <c r="BK150" s="337">
        <f>'Data Standar'!AE235</f>
        <v>-0.02</v>
      </c>
      <c r="BL150" s="338"/>
      <c r="BM150" s="436">
        <f>IF(OR(BK150=0,BL150=0),'Data Standar'!$AE$237/3,((MAX(BK150:BL150)-(MIN(BK150:BL150)))))</f>
        <v>0.26333333333333336</v>
      </c>
      <c r="BN150" s="434">
        <f>(0.22-0)/2</f>
        <v>0.11</v>
      </c>
      <c r="BO150" s="423"/>
      <c r="BP150" s="435">
        <v>150</v>
      </c>
      <c r="BQ150" s="337">
        <f>'Data Standar'!AF235</f>
        <v>-0.15</v>
      </c>
      <c r="BR150" s="338"/>
      <c r="BS150" s="436">
        <f>IF(OR(BQ150=0,BR150=0),'Data Standar'!$AF$237/3,((MAX(BQ150:BR150)-(MIN(BQ150:BR150)))))</f>
        <v>8.3333333333333329E-2</v>
      </c>
      <c r="BT150" s="434">
        <f>(0.22-0)/2</f>
        <v>0.11</v>
      </c>
      <c r="BU150" s="423"/>
      <c r="BV150" s="435">
        <v>150</v>
      </c>
      <c r="BW150" s="337">
        <f>'Data Standar'!AG235</f>
        <v>-0.39</v>
      </c>
      <c r="BX150" s="338"/>
      <c r="BY150" s="436">
        <f>IF(OR(BW150=0,BX150=0),'Data Standar'!$AG$237/3,((MAX(BW150:BX150)-(MIN(BW150:BX150)))))</f>
        <v>9.0000000000000011E-2</v>
      </c>
      <c r="BZ150" s="434">
        <f>(0.22-0)/2</f>
        <v>0.11</v>
      </c>
      <c r="CA150" s="423"/>
      <c r="CB150" s="435">
        <v>150</v>
      </c>
      <c r="CC150" s="337">
        <f t="shared" si="75"/>
        <v>-0.9</v>
      </c>
      <c r="CD150" s="338">
        <f t="shared" si="78"/>
        <v>-0.7</v>
      </c>
      <c r="CE150" s="436">
        <f t="shared" si="81"/>
        <v>1</v>
      </c>
      <c r="CF150" s="434">
        <f>(0.22-0)/2</f>
        <v>0.11</v>
      </c>
      <c r="CG150" s="423"/>
      <c r="CH150" s="435">
        <v>150</v>
      </c>
      <c r="CI150" s="337">
        <f t="shared" si="76"/>
        <v>0.3</v>
      </c>
      <c r="CJ150" s="338">
        <f t="shared" si="79"/>
        <v>0.22</v>
      </c>
      <c r="CK150" s="436">
        <f t="shared" si="82"/>
        <v>7.9999999999999988E-2</v>
      </c>
      <c r="CL150" s="434">
        <f>(0.22-0)/2</f>
        <v>0.11</v>
      </c>
      <c r="CM150" s="423"/>
      <c r="CN150" s="435">
        <v>150</v>
      </c>
      <c r="CO150" s="337">
        <f t="shared" si="77"/>
        <v>0.49</v>
      </c>
      <c r="CP150" s="338">
        <f t="shared" si="80"/>
        <v>0.87</v>
      </c>
      <c r="CQ150" s="436">
        <f t="shared" si="83"/>
        <v>0.38</v>
      </c>
      <c r="CR150" s="434">
        <f>(0.22-0)/2</f>
        <v>0.11</v>
      </c>
      <c r="CS150" s="423"/>
    </row>
    <row r="151" spans="1:97" s="427" customFormat="1" ht="13">
      <c r="A151" s="423"/>
      <c r="B151" s="452">
        <v>200</v>
      </c>
      <c r="C151" s="337">
        <v>9.9999999999999995E-7</v>
      </c>
      <c r="D151" s="337">
        <v>9.9999999999999995E-7</v>
      </c>
      <c r="E151" s="436">
        <v>9.9999999999999995E-7</v>
      </c>
      <c r="F151" s="453"/>
      <c r="G151" s="438"/>
      <c r="H151" s="452">
        <v>200</v>
      </c>
      <c r="I151" s="337">
        <v>9.9999999999999995E-7</v>
      </c>
      <c r="J151" s="337">
        <v>9.9999999999999995E-7</v>
      </c>
      <c r="K151" s="436">
        <v>9.9999999999999995E-7</v>
      </c>
      <c r="L151" s="453"/>
      <c r="M151" s="438"/>
      <c r="N151" s="452">
        <v>200</v>
      </c>
      <c r="O151" s="337">
        <v>9.9999999999999995E-7</v>
      </c>
      <c r="P151" s="337">
        <f>'Data Standar'!W236</f>
        <v>0</v>
      </c>
      <c r="Q151" s="436">
        <f>IF(OR(O151=0,P151=0),'Data Standar'!$E$237/3,((MAX(O151:P151)-(MIN(O151:P151)))))</f>
        <v>9.3333333333333338E-2</v>
      </c>
      <c r="R151" s="454">
        <f>(0.19-0)/2</f>
        <v>9.5000000000000001E-2</v>
      </c>
      <c r="S151" s="423"/>
      <c r="T151" s="452">
        <v>200</v>
      </c>
      <c r="U151" s="337">
        <f>'Data Standar'!X236</f>
        <v>-0.8</v>
      </c>
      <c r="V151" s="455"/>
      <c r="W151" s="436">
        <f>IF(OR(U151=0,V151=0),'Data Standar'!$X$237/3,((MAX(U151:V151)-(MIN(U151:V151)))))</f>
        <v>8.666666666666667E-2</v>
      </c>
      <c r="X151" s="454">
        <f>(0.19-0)/2</f>
        <v>9.5000000000000001E-2</v>
      </c>
      <c r="Y151" s="423"/>
      <c r="Z151" s="452">
        <v>200</v>
      </c>
      <c r="AA151" s="337">
        <f>'Data Standar'!Y236</f>
        <v>0.73</v>
      </c>
      <c r="AB151" s="455"/>
      <c r="AC151" s="436">
        <f>IF(OR(AA151=0,AB151=0),'Data Standar'!$Y$237/3,((MAX(AA151:AB151)-(MIN(AA151:AB151)))))</f>
        <v>8.666666666666667E-2</v>
      </c>
      <c r="AD151" s="454">
        <f>(0.19-0)/2</f>
        <v>9.5000000000000001E-2</v>
      </c>
      <c r="AE151" s="423"/>
      <c r="AF151" s="452">
        <v>200</v>
      </c>
      <c r="AG151" s="337">
        <f>'Data Standar'!Z236</f>
        <v>0.81</v>
      </c>
      <c r="AH151" s="455"/>
      <c r="AI151" s="457">
        <f>IF(OR(AG151=0,AH151=0),'Data Standar'!$Z$237/3,((MAX(AG151:AH151)-(MIN(AG151:AH151)))))</f>
        <v>9.3333333333333338E-2</v>
      </c>
      <c r="AJ151" s="454">
        <f>(0.19-0)/2</f>
        <v>9.5000000000000001E-2</v>
      </c>
      <c r="AK151" s="423"/>
      <c r="AL151" s="452">
        <v>200</v>
      </c>
      <c r="AM151" s="456">
        <f>'Data Standar'!AA236</f>
        <v>0.95</v>
      </c>
      <c r="AN151" s="455"/>
      <c r="AO151" s="457">
        <f>IF(OR(AM151=0,AN151=0),'Data Standar'!$AA$237/3,((MAX(AM151:AN151)-(MIN(AM151:AN151)))))</f>
        <v>0.08</v>
      </c>
      <c r="AP151" s="454">
        <f>(0.19-0)/2</f>
        <v>9.5000000000000001E-2</v>
      </c>
      <c r="AQ151" s="423"/>
      <c r="AR151" s="452">
        <v>200</v>
      </c>
      <c r="AS151" s="456">
        <f>'Data Standar'!AB236</f>
        <v>0.84</v>
      </c>
      <c r="AT151" s="455"/>
      <c r="AU151" s="457">
        <f>IF(OR(AS151=0,AT151=0),'Data Standar'!$AB$237/3,((MAX(AS151:AT151)-(MIN(AS151:AT151)))))</f>
        <v>8.3333333333333329E-2</v>
      </c>
      <c r="AV151" s="454">
        <f>(0.19-0)/2</f>
        <v>9.5000000000000001E-2</v>
      </c>
      <c r="AW151" s="423"/>
      <c r="AX151" s="452">
        <v>200</v>
      </c>
      <c r="AY151" s="337">
        <f>'Data Standar'!AC236</f>
        <v>-0.28000000000000003</v>
      </c>
      <c r="AZ151" s="455"/>
      <c r="BA151" s="436">
        <f>IF(OR(AY151=0,AZ151=0),'Data Standar'!$AC$237/3,((MAX(AY151:AZ151)-(MIN(AY151:AZ151)))))</f>
        <v>0.26333333333333336</v>
      </c>
      <c r="BB151" s="454">
        <f>(0.19-0)/2</f>
        <v>9.5000000000000001E-2</v>
      </c>
      <c r="BC151" s="423"/>
      <c r="BD151" s="452">
        <v>200</v>
      </c>
      <c r="BE151" s="439">
        <f>'Data Standar'!AD236</f>
        <v>0.66</v>
      </c>
      <c r="BF151" s="455"/>
      <c r="BG151" s="436">
        <f>IF(OR(BE151=0,BF151=0),'Data Standar'!$AD$237/3,((MAX(BE151:BF151)-(MIN(BE151:BF151)))))</f>
        <v>9.0000000000000011E-2</v>
      </c>
      <c r="BH151" s="454">
        <f>(0.19-0)/2</f>
        <v>9.5000000000000001E-2</v>
      </c>
      <c r="BI151" s="423"/>
      <c r="BJ151" s="452">
        <v>200</v>
      </c>
      <c r="BK151" s="337">
        <f>'Data Standar'!AE236</f>
        <v>-0.28000000000000003</v>
      </c>
      <c r="BL151" s="455"/>
      <c r="BM151" s="436">
        <f>IF(OR(BK151=0,BL151=0),'Data Standar'!$AE$237/3,((MAX(BK151:BL151)-(MIN(BK151:BL151)))))</f>
        <v>0.26333333333333336</v>
      </c>
      <c r="BN151" s="454">
        <f>(0.19-0)/2</f>
        <v>9.5000000000000001E-2</v>
      </c>
      <c r="BO151" s="423"/>
      <c r="BP151" s="452">
        <v>200</v>
      </c>
      <c r="BQ151" s="337">
        <f>'Data Standar'!AF236</f>
        <v>-0.66</v>
      </c>
      <c r="BR151" s="455"/>
      <c r="BS151" s="436">
        <f>IF(OR(BQ151=0,BR151=0),'Data Standar'!$AF$237/3,((MAX(BQ151:BR151)-(MIN(BQ151:BR151)))))</f>
        <v>8.3333333333333329E-2</v>
      </c>
      <c r="BT151" s="454">
        <f>(0.19-0)/2</f>
        <v>9.5000000000000001E-2</v>
      </c>
      <c r="BU151" s="423"/>
      <c r="BV151" s="452">
        <v>200</v>
      </c>
      <c r="BW151" s="337">
        <f>'Data Standar'!AG236</f>
        <v>-1.22</v>
      </c>
      <c r="BX151" s="455"/>
      <c r="BY151" s="436">
        <f>IF(OR(BW151=0,BX151=0),'Data Standar'!$AG$237/3,((MAX(BW151:BX151)-(MIN(BW151:BX151)))))</f>
        <v>9.0000000000000011E-2</v>
      </c>
      <c r="BZ151" s="454">
        <f>(0.19-0)/2</f>
        <v>9.5000000000000001E-2</v>
      </c>
      <c r="CA151" s="423"/>
      <c r="CB151" s="452">
        <v>200</v>
      </c>
      <c r="CC151" s="337">
        <f t="shared" si="75"/>
        <v>0</v>
      </c>
      <c r="CD151" s="338">
        <f t="shared" si="78"/>
        <v>-0.6</v>
      </c>
      <c r="CE151" s="436">
        <f t="shared" si="81"/>
        <v>0.30000000000000004</v>
      </c>
      <c r="CF151" s="454">
        <f>(0.19-0)/2</f>
        <v>9.5000000000000001E-2</v>
      </c>
      <c r="CG151" s="423"/>
      <c r="CH151" s="452">
        <v>200</v>
      </c>
      <c r="CI151" s="337">
        <f t="shared" si="76"/>
        <v>0.34</v>
      </c>
      <c r="CJ151" s="338">
        <f t="shared" si="79"/>
        <v>0.47</v>
      </c>
      <c r="CK151" s="436">
        <f t="shared" si="82"/>
        <v>0.12999999999999995</v>
      </c>
      <c r="CL151" s="454">
        <f>(0.19-0)/2</f>
        <v>9.5000000000000001E-2</v>
      </c>
      <c r="CM151" s="423"/>
      <c r="CN151" s="452">
        <v>200</v>
      </c>
      <c r="CO151" s="337">
        <f t="shared" si="77"/>
        <v>-0.26</v>
      </c>
      <c r="CP151" s="338">
        <f t="shared" si="80"/>
        <v>0.99</v>
      </c>
      <c r="CQ151" s="436">
        <f t="shared" si="83"/>
        <v>1.25</v>
      </c>
      <c r="CR151" s="454">
        <f>(0.19-0)/2</f>
        <v>9.5000000000000001E-2</v>
      </c>
      <c r="CS151" s="423"/>
    </row>
    <row r="153" spans="1:97" s="423" customFormat="1" ht="30" customHeight="1" thickBot="1">
      <c r="B153" s="1312" t="s">
        <v>401</v>
      </c>
      <c r="C153" s="1312"/>
      <c r="D153" s="1312"/>
      <c r="E153" s="1312"/>
      <c r="F153" s="1312"/>
      <c r="G153" s="1312"/>
      <c r="H153" s="1312"/>
      <c r="I153" s="1312"/>
      <c r="J153" s="1312"/>
      <c r="K153" s="1312"/>
      <c r="L153" s="1312"/>
      <c r="M153" s="1312"/>
      <c r="N153" s="1312"/>
      <c r="O153" s="1312"/>
      <c r="P153" s="1312"/>
      <c r="Q153" s="1312"/>
      <c r="R153" s="1312"/>
      <c r="V153" s="497"/>
      <c r="W153" s="497"/>
      <c r="X153" s="497"/>
      <c r="Y153" s="497"/>
      <c r="Z153" s="497"/>
      <c r="AT153" s="424"/>
      <c r="AV153" s="425"/>
      <c r="AZ153" s="424"/>
      <c r="BB153" s="425"/>
      <c r="BF153" s="424"/>
      <c r="BH153" s="425"/>
    </row>
    <row r="154" spans="1:97" s="427" customFormat="1" ht="93.5" thickBot="1">
      <c r="A154" s="423"/>
      <c r="B154" s="498" t="s">
        <v>402</v>
      </c>
      <c r="C154" s="499" t="str">
        <f>'Data Standar'!C239</f>
        <v>Thermocouple Data Logger, Merek : MADGETECH, Model : OctTemp 2000, SN : P40270</v>
      </c>
      <c r="D154" s="499" t="str">
        <f>'Data Standar'!D239</f>
        <v>Thermocouple Data Logger, Merek : MADGETECH, Model : OctTemp 2000, SN : P41878</v>
      </c>
      <c r="E154" s="499" t="str">
        <f>'Data Standar'!E239</f>
        <v>Mobile Corder, Merek : Yokogawa, Model : GP 10, SN : S5T810599</v>
      </c>
      <c r="F154" s="499" t="str">
        <f>'Data Standar'!F239</f>
        <v>Wireless Temperature Recorder : Merek : HIOKI, Model : LR 8510, SN : 200936000</v>
      </c>
      <c r="G154" s="499" t="str">
        <f>'Data Standar'!G239</f>
        <v>Wireless Temperature Recorder : Merek : HIOKI, Model : LR 8510, SN : 200936001</v>
      </c>
      <c r="H154" s="499" t="str">
        <f>'Data Standar'!H239</f>
        <v>Wireless Temperature Recorder : Merek : HIOKI, Model : LR 8510, SN : 200821397</v>
      </c>
      <c r="I154" s="499" t="str">
        <f>'Data Standar'!I239</f>
        <v>Wireless Temperature Recorder : Merek : HIOKI, Model : LR 8510, SN : 210411983</v>
      </c>
      <c r="J154" s="499" t="str">
        <f>'Data Standar'!J239</f>
        <v>Wireless Temperature Recorder : Merek : HIOKI, Model : LR 8510, SN : 210411984</v>
      </c>
      <c r="K154" s="499" t="str">
        <f>'Data Standar'!K239</f>
        <v>Wireless Temperature Recorder : Merek : HIOKI, Model : LR 8510, SN : 210411985</v>
      </c>
      <c r="L154" s="499" t="str">
        <f>'Data Standar'!L239</f>
        <v>Wireless Temperature Recorder : Merek : HIOKI, Model : LR 8510, SN : 210746054</v>
      </c>
      <c r="M154" s="499" t="str">
        <f>'Data Standar'!M239</f>
        <v>Wireless Temperature Recorder : Merek : HIOKI, Model : LR 8510, SN : 210746055</v>
      </c>
      <c r="N154" s="1012" t="str">
        <f>'Data Standar'!N239</f>
        <v>Wireless Temperature Recorder : Merek : HIOKI, Model : LR 8510, SN : 210746056</v>
      </c>
      <c r="O154" s="499" t="str">
        <f>'Data Standar'!O239</f>
        <v>Wireless Temperature Recorder : Merek : HIOKI, Model : LR 8510, SN : 200821396</v>
      </c>
      <c r="P154" s="500" t="s">
        <v>403</v>
      </c>
      <c r="Q154" s="500" t="s">
        <v>404</v>
      </c>
      <c r="R154" s="500" t="s">
        <v>405</v>
      </c>
      <c r="S154" s="423"/>
      <c r="V154" s="106"/>
      <c r="W154" s="106"/>
      <c r="X154" s="106"/>
      <c r="Y154" s="106"/>
      <c r="Z154" s="106"/>
      <c r="AR154" s="501"/>
      <c r="AS154" s="463"/>
      <c r="AT154" s="464"/>
      <c r="AV154" s="501"/>
      <c r="AW154" s="501"/>
      <c r="AX154" s="501"/>
      <c r="AY154" s="463"/>
      <c r="AZ154" s="464"/>
      <c r="BB154" s="501"/>
      <c r="BC154" s="463"/>
      <c r="BD154" s="501"/>
      <c r="BE154" s="463"/>
      <c r="BF154" s="464"/>
      <c r="BH154" s="501"/>
      <c r="BI154" s="463"/>
      <c r="CA154" s="463"/>
      <c r="CB154" s="464"/>
      <c r="CD154" s="501"/>
      <c r="CE154" s="471"/>
      <c r="CF154" s="501"/>
      <c r="CG154" s="424"/>
      <c r="CH154" s="464"/>
      <c r="CM154" s="423"/>
      <c r="CS154" s="423"/>
    </row>
    <row r="155" spans="1:97" s="463" customFormat="1" ht="13.9" customHeight="1">
      <c r="A155" s="424"/>
      <c r="B155" s="502" t="s">
        <v>381</v>
      </c>
      <c r="C155" s="989">
        <f>G12</f>
        <v>0.50555149999999993</v>
      </c>
      <c r="D155" s="989">
        <f>M12</f>
        <v>0.55013716666666668</v>
      </c>
      <c r="E155" s="989">
        <f>S12</f>
        <v>0.14980683333333333</v>
      </c>
      <c r="F155" s="989">
        <f>Y12</f>
        <v>8.3333333333333329E-2</v>
      </c>
      <c r="G155" s="989">
        <f>AE12</f>
        <v>0.23820550000000007</v>
      </c>
      <c r="H155" s="989">
        <f>AK12</f>
        <v>0.47737683333333336</v>
      </c>
      <c r="I155" s="989">
        <f>AQ12</f>
        <v>8.3333333333333329E-2</v>
      </c>
      <c r="J155" s="989">
        <f>Drift!$AW$12</f>
        <v>0.08</v>
      </c>
      <c r="K155" s="989">
        <f>BC12</f>
        <v>0.26333333333333336</v>
      </c>
      <c r="L155" s="989">
        <f>BI12</f>
        <v>0.10270716666666667</v>
      </c>
      <c r="M155" s="989">
        <f>BO12</f>
        <v>0.10270716666666667</v>
      </c>
      <c r="N155" s="989">
        <f>BU12</f>
        <v>8.666666666666667E-2</v>
      </c>
      <c r="O155" s="989">
        <f>CA12</f>
        <v>9.0000000000000011E-2</v>
      </c>
      <c r="P155" s="989">
        <f>$CG$12</f>
        <v>0.83950166666666659</v>
      </c>
      <c r="Q155" s="989">
        <f>$CM$12</f>
        <v>9.1464166666666652E-2</v>
      </c>
      <c r="R155" s="989">
        <f>$CS$12</f>
        <v>0.57947650000000006</v>
      </c>
      <c r="S155" s="424"/>
      <c r="AT155" s="464"/>
      <c r="AV155" s="503"/>
      <c r="AZ155" s="464"/>
      <c r="BB155" s="503"/>
      <c r="BF155" s="464"/>
      <c r="BH155" s="503"/>
      <c r="CB155" s="464"/>
      <c r="CD155" s="503"/>
      <c r="CG155" s="424"/>
      <c r="CH155" s="464"/>
      <c r="CM155" s="424"/>
      <c r="CS155" s="424"/>
    </row>
    <row r="156" spans="1:97" s="463" customFormat="1" ht="13.9" customHeight="1">
      <c r="A156" s="424"/>
      <c r="B156" s="502" t="s">
        <v>386</v>
      </c>
      <c r="C156" s="989">
        <f>G27</f>
        <v>0.42999999999999994</v>
      </c>
      <c r="D156" s="989">
        <f>M27</f>
        <v>0.51682250000000007</v>
      </c>
      <c r="E156" s="989">
        <f>S27</f>
        <v>0.16541433333333333</v>
      </c>
      <c r="F156" s="989">
        <f>Y27</f>
        <v>9.0000000000000011E-2</v>
      </c>
      <c r="G156" s="989">
        <f>AE27</f>
        <v>0.37361983333333337</v>
      </c>
      <c r="H156" s="989">
        <f>AK27</f>
        <v>0.58279039595000004</v>
      </c>
      <c r="I156" s="989">
        <f>AQ27</f>
        <v>8.3333333333333329E-2</v>
      </c>
      <c r="J156" s="989">
        <f>Drift!$AW$27</f>
        <v>0.08</v>
      </c>
      <c r="K156" s="989">
        <f>BC27</f>
        <v>0.26333333333333336</v>
      </c>
      <c r="L156" s="989">
        <f>BI27</f>
        <v>9.3333333333333338E-2</v>
      </c>
      <c r="M156" s="989">
        <f>BO27</f>
        <v>0.26333333333333336</v>
      </c>
      <c r="N156" s="989">
        <f>BU27</f>
        <v>8.3333333333333329E-2</v>
      </c>
      <c r="O156" s="989">
        <f>CA27</f>
        <v>9.0000000000000011E-2</v>
      </c>
      <c r="P156" s="989">
        <f t="shared" ref="P156:P164" si="84">$CG$12</f>
        <v>0.83950166666666659</v>
      </c>
      <c r="Q156" s="989">
        <f t="shared" ref="Q156:Q164" si="85">$CM$12</f>
        <v>9.1464166666666652E-2</v>
      </c>
      <c r="R156" s="989">
        <f t="shared" ref="R156:R164" si="86">$CS$12</f>
        <v>0.57947650000000006</v>
      </c>
      <c r="S156" s="424"/>
      <c r="AT156" s="464"/>
      <c r="AV156" s="503"/>
      <c r="AZ156" s="464"/>
      <c r="BB156" s="503"/>
      <c r="BF156" s="464"/>
      <c r="BH156" s="503"/>
      <c r="CB156" s="464"/>
      <c r="CD156" s="503"/>
      <c r="CG156" s="424"/>
      <c r="CH156" s="464"/>
      <c r="CM156" s="424"/>
      <c r="CS156" s="424"/>
    </row>
    <row r="157" spans="1:97" s="463" customFormat="1" ht="13.9" customHeight="1">
      <c r="A157" s="424"/>
      <c r="B157" s="502" t="s">
        <v>387</v>
      </c>
      <c r="C157" s="989">
        <f>G42</f>
        <v>0.44312149999999995</v>
      </c>
      <c r="D157" s="989">
        <f>M42</f>
        <v>0.48242999999999991</v>
      </c>
      <c r="E157" s="989">
        <f>S42</f>
        <v>2.4585666666666638E-2</v>
      </c>
      <c r="F157" s="989">
        <f>Y42</f>
        <v>8.3333333333333329E-2</v>
      </c>
      <c r="G157" s="989">
        <f>AE42</f>
        <v>0.2867413333333334</v>
      </c>
      <c r="H157" s="989">
        <f>AK42</f>
        <v>0.57049833333333333</v>
      </c>
      <c r="I157" s="989">
        <f>AQ42</f>
        <v>0.08</v>
      </c>
      <c r="J157" s="989">
        <f>Drift!$AW$42</f>
        <v>0.08</v>
      </c>
      <c r="K157" s="989">
        <f>BC42</f>
        <v>0.26333333333333336</v>
      </c>
      <c r="L157" s="989">
        <f>BI42</f>
        <v>9.0000000000000011E-2</v>
      </c>
      <c r="M157" s="989">
        <f>BO42</f>
        <v>0.26333333333333336</v>
      </c>
      <c r="N157" s="989">
        <f>BU42</f>
        <v>8.3333333333333329E-2</v>
      </c>
      <c r="O157" s="989">
        <f>CA42</f>
        <v>9.0000000000000011E-2</v>
      </c>
      <c r="P157" s="989">
        <f t="shared" si="84"/>
        <v>0.83950166666666659</v>
      </c>
      <c r="Q157" s="989">
        <f t="shared" si="85"/>
        <v>9.1464166666666652E-2</v>
      </c>
      <c r="R157" s="989">
        <f t="shared" si="86"/>
        <v>0.57947650000000006</v>
      </c>
      <c r="S157" s="424"/>
      <c r="AT157" s="464"/>
      <c r="AV157" s="503"/>
      <c r="AZ157" s="464"/>
      <c r="BB157" s="503"/>
      <c r="BF157" s="464"/>
      <c r="BH157" s="503"/>
      <c r="CB157" s="464"/>
      <c r="CD157" s="503"/>
      <c r="CG157" s="424"/>
      <c r="CH157" s="464"/>
      <c r="CM157" s="424"/>
      <c r="CS157" s="424"/>
    </row>
    <row r="158" spans="1:97" s="463" customFormat="1" ht="13.9" customHeight="1">
      <c r="A158" s="424"/>
      <c r="B158" s="502" t="s">
        <v>388</v>
      </c>
      <c r="C158" s="989">
        <f>G57</f>
        <v>0.56433650000000002</v>
      </c>
      <c r="D158" s="989">
        <f>M57</f>
        <v>0.46306549999999991</v>
      </c>
      <c r="E158" s="989">
        <f>S57</f>
        <v>0.24375699999999997</v>
      </c>
      <c r="F158" s="989">
        <f>Y57</f>
        <v>8.666666666666667E-2</v>
      </c>
      <c r="G158" s="989">
        <f>AE57</f>
        <v>0.28757000000000005</v>
      </c>
      <c r="H158" s="989">
        <f>AK57</f>
        <v>0.40069150000000009</v>
      </c>
      <c r="I158" s="989">
        <f>AQ57</f>
        <v>8.3333333333333329E-2</v>
      </c>
      <c r="J158" s="989">
        <f>Drift!$AW$57</f>
        <v>0.08</v>
      </c>
      <c r="K158" s="989">
        <f>BC57</f>
        <v>0.26333333333333336</v>
      </c>
      <c r="L158" s="989">
        <f>BI57</f>
        <v>9.0000000000000011E-2</v>
      </c>
      <c r="M158" s="989">
        <f>BO57</f>
        <v>0.26333333333333336</v>
      </c>
      <c r="N158" s="989">
        <f>BU57</f>
        <v>8.3333333333333329E-2</v>
      </c>
      <c r="O158" s="989">
        <f>CA57</f>
        <v>8.666666666666667E-2</v>
      </c>
      <c r="P158" s="989">
        <f t="shared" si="84"/>
        <v>0.83950166666666659</v>
      </c>
      <c r="Q158" s="989">
        <f t="shared" si="85"/>
        <v>9.1464166666666652E-2</v>
      </c>
      <c r="R158" s="989">
        <f t="shared" si="86"/>
        <v>0.57947650000000006</v>
      </c>
      <c r="S158" s="424"/>
      <c r="AT158" s="464"/>
      <c r="AV158" s="503"/>
      <c r="AZ158" s="464"/>
      <c r="BB158" s="503"/>
      <c r="BF158" s="464"/>
      <c r="BH158" s="503"/>
      <c r="CB158" s="464"/>
      <c r="CD158" s="503"/>
      <c r="CG158" s="424"/>
      <c r="CH158" s="464"/>
      <c r="CM158" s="424"/>
      <c r="CS158" s="424"/>
    </row>
    <row r="159" spans="1:97" s="463" customFormat="1" ht="13.9" customHeight="1">
      <c r="A159" s="424"/>
      <c r="B159" s="502" t="s">
        <v>389</v>
      </c>
      <c r="C159" s="989">
        <f>G72</f>
        <v>0.48624299999999998</v>
      </c>
      <c r="D159" s="989">
        <f>M72</f>
        <v>0.47121499999999994</v>
      </c>
      <c r="E159" s="989">
        <f>S72</f>
        <v>0.16082866666666665</v>
      </c>
      <c r="F159" s="989">
        <f>Y72</f>
        <v>8.666666666666667E-2</v>
      </c>
      <c r="G159" s="989">
        <f>AE72</f>
        <v>0.57585666666666668</v>
      </c>
      <c r="H159" s="989">
        <f>AK72</f>
        <v>0.52591266666666669</v>
      </c>
      <c r="I159" s="989">
        <f>AQ72</f>
        <v>8.3333333333333329E-2</v>
      </c>
      <c r="J159" s="989">
        <f>Drift!$AW$72</f>
        <v>8.3333333333333329E-2</v>
      </c>
      <c r="K159" s="989">
        <f>BC72</f>
        <v>0.26333333333333336</v>
      </c>
      <c r="L159" s="989">
        <f>BI72</f>
        <v>8.666666666666667E-2</v>
      </c>
      <c r="M159" s="989">
        <f>BO72</f>
        <v>0.26333333333333336</v>
      </c>
      <c r="N159" s="989">
        <f>BU72</f>
        <v>8.666666666666667E-2</v>
      </c>
      <c r="O159" s="989">
        <f>CA72</f>
        <v>8.3333333333333329E-2</v>
      </c>
      <c r="P159" s="989">
        <f t="shared" si="84"/>
        <v>0.83950166666666659</v>
      </c>
      <c r="Q159" s="989">
        <f t="shared" si="85"/>
        <v>9.1464166666666652E-2</v>
      </c>
      <c r="R159" s="989">
        <f t="shared" si="86"/>
        <v>0.57947650000000006</v>
      </c>
      <c r="S159" s="424"/>
      <c r="AT159" s="464"/>
      <c r="AV159" s="503"/>
      <c r="AZ159" s="464"/>
      <c r="BB159" s="503"/>
      <c r="BF159" s="464"/>
      <c r="BH159" s="503"/>
      <c r="CB159" s="464"/>
      <c r="CD159" s="503"/>
      <c r="CG159" s="424"/>
      <c r="CH159" s="464"/>
      <c r="CM159" s="424"/>
      <c r="CS159" s="424"/>
    </row>
    <row r="160" spans="1:97" s="463" customFormat="1" ht="13.9" customHeight="1">
      <c r="A160" s="424"/>
      <c r="B160" s="502" t="s">
        <v>390</v>
      </c>
      <c r="C160" s="989">
        <f>G87</f>
        <v>0.51790033333333341</v>
      </c>
      <c r="D160" s="989">
        <f>M87</f>
        <v>0.44077266666666659</v>
      </c>
      <c r="E160" s="989">
        <f>S87</f>
        <v>9.5221166666666662E-2</v>
      </c>
      <c r="F160" s="989">
        <f>Y87</f>
        <v>8.666666666666667E-2</v>
      </c>
      <c r="G160" s="989">
        <f>AE87</f>
        <v>0.31215566666666666</v>
      </c>
      <c r="H160" s="989">
        <f>AK87</f>
        <v>0.46591266666666664</v>
      </c>
      <c r="I160" s="989">
        <f>AQ87</f>
        <v>0.08</v>
      </c>
      <c r="J160" s="989">
        <f>Drift!$AW$87</f>
        <v>8.3333333333333329E-2</v>
      </c>
      <c r="K160" s="989">
        <f>BC87</f>
        <v>0.26333333333333336</v>
      </c>
      <c r="L160" s="989">
        <f>BI87</f>
        <v>9.0000000000000011E-2</v>
      </c>
      <c r="M160" s="989">
        <f>BO87</f>
        <v>0.26333333333333336</v>
      </c>
      <c r="N160" s="989">
        <f>BU87</f>
        <v>8.666666666666667E-2</v>
      </c>
      <c r="O160" s="989">
        <f>CA87</f>
        <v>8.3333333333333329E-2</v>
      </c>
      <c r="P160" s="989">
        <f t="shared" si="84"/>
        <v>0.83950166666666659</v>
      </c>
      <c r="Q160" s="989">
        <f t="shared" si="85"/>
        <v>9.1464166666666652E-2</v>
      </c>
      <c r="R160" s="989">
        <f t="shared" si="86"/>
        <v>0.57947650000000006</v>
      </c>
      <c r="S160" s="424"/>
      <c r="AT160" s="464"/>
      <c r="AV160" s="503"/>
      <c r="AZ160" s="464"/>
      <c r="BB160" s="503"/>
      <c r="BF160" s="464"/>
      <c r="BH160" s="503"/>
      <c r="CB160" s="464"/>
      <c r="CD160" s="503"/>
      <c r="CG160" s="424"/>
      <c r="CH160" s="464"/>
      <c r="CM160" s="424"/>
      <c r="CS160" s="424"/>
    </row>
    <row r="161" spans="1:97" s="463" customFormat="1" ht="13.9" customHeight="1">
      <c r="A161" s="424"/>
      <c r="B161" s="502" t="s">
        <v>391</v>
      </c>
      <c r="C161" s="989">
        <f>G102</f>
        <v>0.47395016666666667</v>
      </c>
      <c r="D161" s="989">
        <f>M102</f>
        <v>0.44057950000000001</v>
      </c>
      <c r="E161" s="989">
        <f>S102</f>
        <v>0.3543925</v>
      </c>
      <c r="F161" s="989">
        <f>Y102</f>
        <v>8.3333333333333329E-2</v>
      </c>
      <c r="G161" s="989">
        <f>AE102</f>
        <v>0.23903416666666671</v>
      </c>
      <c r="H161" s="989">
        <f>AK102</f>
        <v>0.46527716666666674</v>
      </c>
      <c r="I161" s="989">
        <f>AQ102</f>
        <v>8.3333333333333329E-2</v>
      </c>
      <c r="J161" s="989">
        <f>Drift!$AW$102</f>
        <v>8.3333333333333329E-2</v>
      </c>
      <c r="K161" s="989">
        <f>BC102</f>
        <v>0.26333333333333336</v>
      </c>
      <c r="L161" s="989">
        <f>BI102</f>
        <v>9.0000000000000011E-2</v>
      </c>
      <c r="M161" s="989">
        <f>BO102</f>
        <v>0.26333333333333336</v>
      </c>
      <c r="N161" s="989">
        <f>BU102</f>
        <v>8.666666666666667E-2</v>
      </c>
      <c r="O161" s="989">
        <f>CA102</f>
        <v>9.0000000000000011E-2</v>
      </c>
      <c r="P161" s="989">
        <f t="shared" si="84"/>
        <v>0.83950166666666659</v>
      </c>
      <c r="Q161" s="989">
        <f t="shared" si="85"/>
        <v>9.1464166666666652E-2</v>
      </c>
      <c r="R161" s="989">
        <f t="shared" si="86"/>
        <v>0.57947650000000006</v>
      </c>
      <c r="S161" s="424"/>
      <c r="AT161" s="464"/>
      <c r="AV161" s="503"/>
      <c r="AZ161" s="464"/>
      <c r="BB161" s="503"/>
      <c r="BF161" s="464"/>
      <c r="BH161" s="503"/>
      <c r="CB161" s="464"/>
      <c r="CD161" s="503"/>
      <c r="CG161" s="424"/>
      <c r="CH161" s="464"/>
      <c r="CM161" s="424"/>
      <c r="CS161" s="424"/>
    </row>
    <row r="162" spans="1:97" s="463" customFormat="1" ht="13.9" customHeight="1">
      <c r="A162" s="424"/>
      <c r="B162" s="502" t="s">
        <v>392</v>
      </c>
      <c r="C162" s="989">
        <f>G117</f>
        <v>0.44834266666666661</v>
      </c>
      <c r="D162" s="989">
        <f>M117</f>
        <v>0.47765116666666663</v>
      </c>
      <c r="E162" s="989">
        <f>S117</f>
        <v>0.40395016666666667</v>
      </c>
      <c r="F162" s="989">
        <f>Y117</f>
        <v>8.666666666666667E-2</v>
      </c>
      <c r="G162" s="989">
        <f>AE117</f>
        <v>0.25820550000000009</v>
      </c>
      <c r="H162" s="989">
        <f>AK117</f>
        <v>0.50132700000000008</v>
      </c>
      <c r="I162" s="989">
        <f>AQ117</f>
        <v>8.3333333333333329E-2</v>
      </c>
      <c r="J162" s="989">
        <f>Drift!$AW$117</f>
        <v>8.3333333333333329E-2</v>
      </c>
      <c r="K162" s="989">
        <f>BC117</f>
        <v>0.26333333333333336</v>
      </c>
      <c r="L162" s="989">
        <f>BI117</f>
        <v>9.0000000000000011E-2</v>
      </c>
      <c r="M162" s="989">
        <f>BO117</f>
        <v>0.26333333333333336</v>
      </c>
      <c r="N162" s="989">
        <f>BU117</f>
        <v>8.666666666666667E-2</v>
      </c>
      <c r="O162" s="989">
        <f>CA117</f>
        <v>9.3333333333333338E-2</v>
      </c>
      <c r="P162" s="989">
        <f t="shared" si="84"/>
        <v>0.83950166666666659</v>
      </c>
      <c r="Q162" s="989">
        <f t="shared" si="85"/>
        <v>9.1464166666666652E-2</v>
      </c>
      <c r="R162" s="989">
        <f t="shared" si="86"/>
        <v>0.57947650000000006</v>
      </c>
      <c r="S162" s="424"/>
      <c r="AT162" s="464"/>
      <c r="AV162" s="503"/>
      <c r="AZ162" s="464"/>
      <c r="BB162" s="503"/>
      <c r="BF162" s="464"/>
      <c r="BH162" s="503"/>
      <c r="CB162" s="464"/>
      <c r="CD162" s="503"/>
      <c r="CG162" s="424"/>
      <c r="CH162" s="464"/>
      <c r="CM162" s="424"/>
      <c r="CS162" s="424"/>
    </row>
    <row r="163" spans="1:97" s="463" customFormat="1" ht="13.9" customHeight="1">
      <c r="A163" s="424"/>
      <c r="B163" s="480" t="s">
        <v>393</v>
      </c>
      <c r="C163" s="989">
        <f>G132</f>
        <v>9.9999999999999995E-7</v>
      </c>
      <c r="D163" s="989">
        <f>M132</f>
        <v>9.9999999999999995E-7</v>
      </c>
      <c r="E163" s="989">
        <f>S132</f>
        <v>0.23720121516111109</v>
      </c>
      <c r="F163" s="989">
        <f>Y132</f>
        <v>8.3333333333333329E-2</v>
      </c>
      <c r="G163" s="989">
        <f>AE132</f>
        <v>8.666666666666667E-2</v>
      </c>
      <c r="H163" s="989">
        <f>AK132</f>
        <v>9.0000000000000011E-2</v>
      </c>
      <c r="I163" s="989">
        <f>AQ132</f>
        <v>8.3333333333333329E-2</v>
      </c>
      <c r="J163" s="989">
        <f>Drift!$AW$132</f>
        <v>8.3333333333333329E-2</v>
      </c>
      <c r="K163" s="989">
        <f>BC132</f>
        <v>0.26333333333333336</v>
      </c>
      <c r="L163" s="989">
        <f>BI132</f>
        <v>9.3333333333333338E-2</v>
      </c>
      <c r="M163" s="989">
        <f>BO132</f>
        <v>0.26333333333333336</v>
      </c>
      <c r="N163" s="989">
        <f>BU132</f>
        <v>8.3333333333333329E-2</v>
      </c>
      <c r="O163" s="989">
        <f>CA132</f>
        <v>9.0000000000000011E-2</v>
      </c>
      <c r="P163" s="989">
        <f t="shared" si="84"/>
        <v>0.83950166666666659</v>
      </c>
      <c r="Q163" s="989">
        <f t="shared" si="85"/>
        <v>9.1464166666666652E-2</v>
      </c>
      <c r="R163" s="989">
        <f t="shared" si="86"/>
        <v>0.57947650000000006</v>
      </c>
      <c r="S163" s="424"/>
      <c r="AT163" s="464"/>
      <c r="AZ163" s="464"/>
      <c r="BF163" s="464"/>
      <c r="CB163" s="464"/>
      <c r="CG163" s="424"/>
      <c r="CH163" s="464"/>
      <c r="CM163" s="424"/>
      <c r="CS163" s="424"/>
    </row>
    <row r="164" spans="1:97" s="463" customFormat="1" ht="13.9" customHeight="1">
      <c r="A164" s="424"/>
      <c r="B164" s="480" t="s">
        <v>394</v>
      </c>
      <c r="C164" s="989">
        <f>G147</f>
        <v>9.9999999999999995E-7</v>
      </c>
      <c r="D164" s="989">
        <f>M147</f>
        <v>9.9999999999999995E-7</v>
      </c>
      <c r="E164" s="989">
        <f>S147</f>
        <v>0.23720121516111109</v>
      </c>
      <c r="F164" s="989">
        <f>Y147</f>
        <v>8.666666666666667E-2</v>
      </c>
      <c r="G164" s="989">
        <f>AE147</f>
        <v>8.666666666666667E-2</v>
      </c>
      <c r="H164" s="989">
        <f>AK147</f>
        <v>9.3333333333333338E-2</v>
      </c>
      <c r="I164" s="989">
        <f>AQ147</f>
        <v>0.08</v>
      </c>
      <c r="J164" s="989">
        <f>Drift!$AW$147</f>
        <v>8.3333333333333329E-2</v>
      </c>
      <c r="K164" s="989">
        <f>BC147</f>
        <v>0.26333333333333336</v>
      </c>
      <c r="L164" s="989">
        <f>BI147</f>
        <v>9.0000000000000011E-2</v>
      </c>
      <c r="M164" s="989">
        <f>BO147</f>
        <v>0.26333333333333336</v>
      </c>
      <c r="N164" s="989">
        <f>BU147</f>
        <v>8.3333333333333329E-2</v>
      </c>
      <c r="O164" s="989">
        <f>CA147</f>
        <v>9.0000000000000011E-2</v>
      </c>
      <c r="P164" s="989">
        <f t="shared" si="84"/>
        <v>0.83950166666666659</v>
      </c>
      <c r="Q164" s="989">
        <f t="shared" si="85"/>
        <v>9.1464166666666652E-2</v>
      </c>
      <c r="R164" s="989">
        <f t="shared" si="86"/>
        <v>0.57947650000000006</v>
      </c>
      <c r="S164" s="424"/>
      <c r="AR164" s="504"/>
      <c r="AT164" s="464"/>
      <c r="AV164" s="501"/>
      <c r="AW164" s="504"/>
      <c r="AX164" s="504"/>
      <c r="AZ164" s="464"/>
      <c r="BB164" s="501"/>
      <c r="BD164" s="504"/>
      <c r="BF164" s="464"/>
      <c r="BH164" s="501"/>
      <c r="CB164" s="464"/>
      <c r="CD164" s="501"/>
      <c r="CE164" s="471"/>
      <c r="CF164" s="504"/>
      <c r="CG164" s="424"/>
      <c r="CH164" s="464"/>
      <c r="CM164" s="424"/>
      <c r="CS164" s="424"/>
    </row>
    <row r="165" spans="1:97" s="427" customFormat="1">
      <c r="A165" s="423"/>
      <c r="B165" s="505">
        <f>ID!L97</f>
        <v>161.46416666666667</v>
      </c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3"/>
      <c r="P165" s="423"/>
      <c r="Q165" s="423"/>
      <c r="R165" s="423"/>
      <c r="S165" s="423"/>
      <c r="T165" s="463"/>
      <c r="U165" s="463"/>
      <c r="V165" s="463"/>
      <c r="W165" s="463"/>
      <c r="X165" s="463"/>
      <c r="Y165" s="463"/>
      <c r="Z165" s="463"/>
      <c r="AR165" s="463"/>
      <c r="AS165" s="463"/>
      <c r="AT165" s="464"/>
      <c r="AV165" s="422"/>
      <c r="AW165" s="463"/>
      <c r="AX165" s="463"/>
      <c r="AY165" s="463"/>
      <c r="AZ165" s="464"/>
      <c r="BB165" s="422"/>
      <c r="BC165" s="463"/>
      <c r="BD165" s="463"/>
      <c r="BE165" s="463"/>
      <c r="BF165" s="464"/>
      <c r="BH165" s="422"/>
      <c r="BI165" s="463"/>
      <c r="CA165" s="463"/>
      <c r="CB165" s="464"/>
      <c r="CD165" s="422"/>
      <c r="CE165" s="463"/>
      <c r="CF165" s="463"/>
      <c r="CG165" s="424"/>
      <c r="CH165" s="464"/>
      <c r="CM165" s="423"/>
      <c r="CS165" s="423"/>
    </row>
    <row r="166" spans="1:97" s="427" customFormat="1">
      <c r="A166" s="423"/>
      <c r="B166" s="506" t="s">
        <v>406</v>
      </c>
      <c r="C166" s="506">
        <f>MAX('Data Standar'!C274:R274)</f>
        <v>8.3333333333333329E-2</v>
      </c>
      <c r="D166" s="423"/>
      <c r="E166" s="423"/>
      <c r="F166" s="423"/>
      <c r="G166" s="423"/>
      <c r="H166" s="423"/>
      <c r="I166" s="423"/>
      <c r="J166" s="423"/>
      <c r="K166" s="423"/>
      <c r="L166" s="423"/>
      <c r="M166" s="423"/>
      <c r="N166" s="423"/>
      <c r="O166" s="423"/>
      <c r="P166" s="423"/>
      <c r="Q166" s="423"/>
      <c r="R166" s="423"/>
      <c r="S166" s="423"/>
      <c r="T166" s="463"/>
      <c r="U166" s="463"/>
      <c r="V166" s="463"/>
      <c r="W166" s="463"/>
      <c r="X166" s="463"/>
      <c r="Y166" s="463"/>
      <c r="Z166" s="463"/>
      <c r="AR166" s="463"/>
      <c r="AS166" s="463"/>
      <c r="AT166" s="464"/>
      <c r="AV166" s="422"/>
      <c r="AW166" s="463"/>
      <c r="AX166" s="463"/>
      <c r="AY166" s="463"/>
      <c r="AZ166" s="464"/>
      <c r="BB166" s="422"/>
      <c r="BC166" s="463"/>
      <c r="BD166" s="463"/>
      <c r="BE166" s="463"/>
      <c r="BF166" s="464"/>
      <c r="BH166" s="422"/>
      <c r="BI166" s="463"/>
      <c r="CA166" s="463"/>
      <c r="CB166" s="464"/>
      <c r="CD166" s="422"/>
      <c r="CE166" s="463"/>
      <c r="CF166" s="463"/>
      <c r="CG166" s="424"/>
      <c r="CH166" s="464"/>
      <c r="CM166" s="423"/>
      <c r="CS166" s="423"/>
    </row>
    <row r="167" spans="1:97" s="427" customFormat="1">
      <c r="A167" s="423"/>
      <c r="B167" s="506" t="s">
        <v>407</v>
      </c>
      <c r="C167" s="506">
        <f>MAX('Data Standar'!C273:R273)</f>
        <v>0.25</v>
      </c>
      <c r="D167" s="423"/>
      <c r="E167" s="423"/>
      <c r="F167" s="423"/>
      <c r="G167" s="423"/>
      <c r="H167" s="423"/>
      <c r="I167" s="423"/>
      <c r="J167" s="423"/>
      <c r="K167" s="423"/>
      <c r="L167" s="423"/>
      <c r="M167" s="423"/>
      <c r="N167" s="423"/>
      <c r="O167" s="423"/>
      <c r="P167" s="423"/>
      <c r="Q167" s="423"/>
      <c r="R167" s="423"/>
      <c r="S167" s="423"/>
      <c r="T167" s="463"/>
      <c r="U167" s="463"/>
      <c r="V167" s="463"/>
      <c r="W167" s="463"/>
      <c r="X167" s="463"/>
      <c r="Y167" s="463"/>
      <c r="Z167" s="463"/>
      <c r="AR167" s="463"/>
      <c r="AS167" s="463"/>
      <c r="AT167" s="464"/>
      <c r="AV167" s="422"/>
      <c r="AW167" s="463"/>
      <c r="AX167" s="463"/>
      <c r="AY167" s="463"/>
      <c r="AZ167" s="464"/>
      <c r="BB167" s="422"/>
      <c r="BC167" s="463"/>
      <c r="BD167" s="463"/>
      <c r="BE167" s="463"/>
      <c r="BF167" s="464"/>
      <c r="BH167" s="422"/>
      <c r="BI167" s="463"/>
      <c r="CA167" s="463"/>
      <c r="CB167" s="464"/>
      <c r="CD167" s="422"/>
      <c r="CE167" s="463"/>
      <c r="CF167" s="463"/>
      <c r="CG167" s="424"/>
      <c r="CH167" s="464"/>
      <c r="CM167" s="423"/>
      <c r="CS167" s="423"/>
    </row>
    <row r="168" spans="1:97" s="427" customFormat="1">
      <c r="A168" s="423"/>
      <c r="B168" s="423"/>
      <c r="C168" s="423"/>
      <c r="D168" s="423"/>
      <c r="E168" s="423"/>
      <c r="F168" s="423"/>
      <c r="G168" s="423"/>
      <c r="H168" s="423"/>
      <c r="I168" s="423"/>
      <c r="J168" s="423"/>
      <c r="K168" s="423"/>
      <c r="L168" s="423"/>
      <c r="M168" s="423"/>
      <c r="N168" s="423"/>
      <c r="O168" s="423"/>
      <c r="P168" s="423"/>
      <c r="Q168" s="423"/>
      <c r="R168" s="423"/>
      <c r="S168" s="423"/>
      <c r="T168" s="463"/>
      <c r="U168" s="463"/>
      <c r="V168" s="463"/>
      <c r="W168" s="463"/>
      <c r="X168" s="463"/>
      <c r="Y168" s="463"/>
      <c r="Z168" s="463"/>
      <c r="AA168" s="463"/>
      <c r="AB168" s="463"/>
      <c r="AE168" s="463"/>
      <c r="AF168" s="463"/>
      <c r="AG168" s="463"/>
      <c r="AH168" s="464"/>
      <c r="AJ168" s="422"/>
      <c r="AK168" s="463"/>
      <c r="AL168" s="463"/>
      <c r="AM168" s="463"/>
      <c r="AN168" s="464"/>
      <c r="AP168" s="422"/>
      <c r="AQ168" s="463"/>
      <c r="AR168" s="463"/>
      <c r="AS168" s="463"/>
      <c r="AT168" s="464"/>
      <c r="AV168" s="422"/>
      <c r="AW168" s="463"/>
      <c r="AX168" s="463"/>
      <c r="AY168" s="463"/>
      <c r="AZ168" s="464"/>
      <c r="BB168" s="422"/>
      <c r="BC168" s="463"/>
      <c r="BD168" s="463"/>
      <c r="BE168" s="463"/>
      <c r="BF168" s="464"/>
      <c r="BH168" s="422"/>
      <c r="BI168" s="463"/>
      <c r="BJ168" s="463"/>
      <c r="BK168" s="463"/>
      <c r="BL168" s="464"/>
      <c r="BN168" s="422"/>
      <c r="BO168" s="463"/>
      <c r="BP168" s="463"/>
      <c r="BQ168" s="463"/>
      <c r="BR168" s="464"/>
      <c r="BT168" s="422"/>
      <c r="BU168" s="463"/>
      <c r="BV168" s="463"/>
      <c r="BW168" s="463"/>
      <c r="BX168" s="464"/>
      <c r="BZ168" s="422"/>
      <c r="CA168" s="463"/>
      <c r="CB168" s="464"/>
      <c r="CD168" s="422"/>
      <c r="CE168" s="463"/>
      <c r="CF168" s="463"/>
      <c r="CG168" s="424"/>
      <c r="CH168" s="464"/>
      <c r="CM168" s="423"/>
      <c r="CS168" s="423"/>
    </row>
    <row r="169" spans="1:97" s="423" customFormat="1">
      <c r="T169" s="424"/>
      <c r="U169" s="424"/>
      <c r="V169" s="424"/>
      <c r="W169" s="424"/>
      <c r="X169" s="424"/>
      <c r="Y169" s="424"/>
      <c r="Z169" s="424"/>
      <c r="AA169" s="424"/>
      <c r="AB169" s="424"/>
      <c r="AE169" s="424"/>
      <c r="AF169" s="424"/>
      <c r="AG169" s="424"/>
      <c r="AH169" s="425"/>
      <c r="AJ169" s="441"/>
      <c r="AK169" s="424"/>
      <c r="AL169" s="424"/>
      <c r="AM169" s="424"/>
      <c r="AN169" s="425"/>
      <c r="AP169" s="441"/>
      <c r="AQ169" s="424"/>
      <c r="AR169" s="424"/>
      <c r="AS169" s="424"/>
      <c r="AT169" s="425"/>
      <c r="AV169" s="441"/>
      <c r="AW169" s="424"/>
      <c r="AX169" s="424"/>
      <c r="AY169" s="424"/>
      <c r="AZ169" s="425"/>
      <c r="BB169" s="441"/>
      <c r="BC169" s="424"/>
      <c r="BD169" s="424"/>
      <c r="BE169" s="424"/>
      <c r="BF169" s="425"/>
      <c r="BH169" s="441"/>
      <c r="BI169" s="424"/>
      <c r="BJ169" s="424"/>
      <c r="BK169" s="424"/>
      <c r="BL169" s="425"/>
      <c r="BN169" s="441"/>
      <c r="BO169" s="424"/>
      <c r="BP169" s="424"/>
      <c r="BQ169" s="424"/>
      <c r="BR169" s="425"/>
      <c r="BT169" s="441"/>
      <c r="BU169" s="424"/>
      <c r="BV169" s="424"/>
      <c r="BW169" s="424"/>
      <c r="BX169" s="425"/>
      <c r="BZ169" s="441"/>
      <c r="CA169" s="424"/>
      <c r="CB169" s="425"/>
      <c r="CD169" s="441"/>
      <c r="CE169" s="424"/>
      <c r="CF169" s="424"/>
      <c r="CG169" s="424"/>
      <c r="CH169" s="425"/>
    </row>
  </sheetData>
  <mergeCells count="337">
    <mergeCell ref="BD1:BH1"/>
    <mergeCell ref="BJ1:BN1"/>
    <mergeCell ref="BP1:BT1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B1:F1"/>
    <mergeCell ref="H1:L1"/>
    <mergeCell ref="N1:R1"/>
    <mergeCell ref="T1:X1"/>
    <mergeCell ref="Z1:AD1"/>
    <mergeCell ref="AF1:AJ1"/>
    <mergeCell ref="AL1:AP1"/>
    <mergeCell ref="AR1:AV1"/>
    <mergeCell ref="AX1:BB1"/>
    <mergeCell ref="AS3:AU3"/>
    <mergeCell ref="AX3:AX4"/>
    <mergeCell ref="AY3:BA3"/>
    <mergeCell ref="T3:T4"/>
    <mergeCell ref="U3:W3"/>
    <mergeCell ref="Z3:Z4"/>
    <mergeCell ref="AA3:AC3"/>
    <mergeCell ref="AF3:AF4"/>
    <mergeCell ref="AG3:AI3"/>
    <mergeCell ref="B18:B19"/>
    <mergeCell ref="C18:E18"/>
    <mergeCell ref="H18:H19"/>
    <mergeCell ref="I18:K18"/>
    <mergeCell ref="N18:N19"/>
    <mergeCell ref="O18:Q18"/>
    <mergeCell ref="T18:T19"/>
    <mergeCell ref="U18:W18"/>
    <mergeCell ref="AR3:AR4"/>
    <mergeCell ref="CI18:CK18"/>
    <mergeCell ref="CN18:CN19"/>
    <mergeCell ref="CO18:CQ18"/>
    <mergeCell ref="BJ18:BJ19"/>
    <mergeCell ref="BK18:BM18"/>
    <mergeCell ref="BP18:BP19"/>
    <mergeCell ref="BQ18:BS18"/>
    <mergeCell ref="BV18:BV19"/>
    <mergeCell ref="BD3:BD4"/>
    <mergeCell ref="BE3:BG3"/>
    <mergeCell ref="BJ3:BJ4"/>
    <mergeCell ref="BK3:BM3"/>
    <mergeCell ref="BP3:BP4"/>
    <mergeCell ref="BQ3:BS3"/>
    <mergeCell ref="BV3:BV4"/>
    <mergeCell ref="BW3:BY3"/>
    <mergeCell ref="CB3:CB4"/>
    <mergeCell ref="CC3:CE3"/>
    <mergeCell ref="CH3:CH4"/>
    <mergeCell ref="CI3:CK3"/>
    <mergeCell ref="CN3:CN4"/>
    <mergeCell ref="CO3:CQ3"/>
    <mergeCell ref="H33:H34"/>
    <mergeCell ref="I33:K33"/>
    <mergeCell ref="N33:N34"/>
    <mergeCell ref="O33:Q33"/>
    <mergeCell ref="Z18:Z19"/>
    <mergeCell ref="AA18:AC18"/>
    <mergeCell ref="AF18:AF19"/>
    <mergeCell ref="AL3:AL4"/>
    <mergeCell ref="AM3:AO3"/>
    <mergeCell ref="AG18:AI18"/>
    <mergeCell ref="AL18:AL19"/>
    <mergeCell ref="AM18:AO18"/>
    <mergeCell ref="AR33:AR34"/>
    <mergeCell ref="AS33:AU33"/>
    <mergeCell ref="AX33:AX34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BW18:BY18"/>
    <mergeCell ref="CC33:CE33"/>
    <mergeCell ref="CH33:CH34"/>
    <mergeCell ref="BJ33:BJ34"/>
    <mergeCell ref="BK33:BM33"/>
    <mergeCell ref="BP33:BP34"/>
    <mergeCell ref="BQ33:BS33"/>
    <mergeCell ref="BV33:BV34"/>
    <mergeCell ref="BW33:BY33"/>
    <mergeCell ref="CB33:CB34"/>
    <mergeCell ref="CI33:CK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AY33:BA33"/>
    <mergeCell ref="T33:T34"/>
    <mergeCell ref="U33:W33"/>
    <mergeCell ref="Z33:Z34"/>
    <mergeCell ref="AA33:AC33"/>
    <mergeCell ref="AF33:AF34"/>
    <mergeCell ref="AG33:AI33"/>
    <mergeCell ref="AL33:AL34"/>
    <mergeCell ref="AM33:AO33"/>
    <mergeCell ref="B33:B34"/>
    <mergeCell ref="C33:E33"/>
    <mergeCell ref="BD33:BD34"/>
    <mergeCell ref="BE33:BG33"/>
    <mergeCell ref="Z48:Z49"/>
    <mergeCell ref="AA48:AC48"/>
    <mergeCell ref="AF48:AF49"/>
    <mergeCell ref="AG48:AI48"/>
    <mergeCell ref="AL48:AL49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N63:CN64"/>
    <mergeCell ref="CO63:CQ63"/>
    <mergeCell ref="BW63:BY63"/>
    <mergeCell ref="CB63:CB64"/>
    <mergeCell ref="CC63:CE63"/>
    <mergeCell ref="CH63:CH64"/>
    <mergeCell ref="CI63:CK63"/>
    <mergeCell ref="AM48:AO48"/>
    <mergeCell ref="AR63:AR64"/>
    <mergeCell ref="AS63:AU63"/>
    <mergeCell ref="AX63:AX64"/>
    <mergeCell ref="AR48:AR49"/>
    <mergeCell ref="AS48:AU48"/>
    <mergeCell ref="AX48:AX49"/>
    <mergeCell ref="AM63:AO63"/>
    <mergeCell ref="CC48:CE48"/>
    <mergeCell ref="CH48:CH49"/>
    <mergeCell ref="AY48:BA48"/>
    <mergeCell ref="BD48:BD49"/>
    <mergeCell ref="BE48:BG4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B78:B79"/>
    <mergeCell ref="C78:E78"/>
    <mergeCell ref="H78:H79"/>
    <mergeCell ref="I78:K78"/>
    <mergeCell ref="N78:N79"/>
    <mergeCell ref="O78:Q78"/>
    <mergeCell ref="B63:B64"/>
    <mergeCell ref="C63:E63"/>
    <mergeCell ref="H63:H64"/>
    <mergeCell ref="I63:K63"/>
    <mergeCell ref="N63:N64"/>
    <mergeCell ref="O63:Q63"/>
    <mergeCell ref="AY63:BA63"/>
    <mergeCell ref="T63:T64"/>
    <mergeCell ref="U63:W63"/>
    <mergeCell ref="Z63:Z64"/>
    <mergeCell ref="AA63:AC63"/>
    <mergeCell ref="AF63:AF64"/>
    <mergeCell ref="AG63:AI63"/>
    <mergeCell ref="T78:T79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CN93:CN94"/>
    <mergeCell ref="CO93:CQ93"/>
    <mergeCell ref="BW93:BY93"/>
    <mergeCell ref="CB93:CB94"/>
    <mergeCell ref="CC93:CE93"/>
    <mergeCell ref="CH93:CH94"/>
    <mergeCell ref="CI93:CK93"/>
    <mergeCell ref="AR93:AR94"/>
    <mergeCell ref="AS93:AU93"/>
    <mergeCell ref="AX93:AX94"/>
    <mergeCell ref="B93:B94"/>
    <mergeCell ref="C93:E93"/>
    <mergeCell ref="H93:H94"/>
    <mergeCell ref="I93:K93"/>
    <mergeCell ref="N93:N94"/>
    <mergeCell ref="O93:Q93"/>
    <mergeCell ref="AM93:AO93"/>
    <mergeCell ref="AY93:BA93"/>
    <mergeCell ref="AY78:BA78"/>
    <mergeCell ref="T93:T94"/>
    <mergeCell ref="U93:W93"/>
    <mergeCell ref="Z93:Z94"/>
    <mergeCell ref="AA93:AC93"/>
    <mergeCell ref="AF93:AF94"/>
    <mergeCell ref="AG93:AI93"/>
    <mergeCell ref="U78:W78"/>
    <mergeCell ref="BE78:BG78"/>
    <mergeCell ref="AR78:AR79"/>
    <mergeCell ref="AS78:AU78"/>
    <mergeCell ref="AX78:AX79"/>
    <mergeCell ref="Z78:Z79"/>
    <mergeCell ref="AA78:AC78"/>
    <mergeCell ref="AF78:AF79"/>
    <mergeCell ref="AG78:AI78"/>
    <mergeCell ref="AL78:AL79"/>
    <mergeCell ref="AM78:AO78"/>
    <mergeCell ref="BD78:BD79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F108:AF109"/>
    <mergeCell ref="AG108:AI108"/>
    <mergeCell ref="AL108:AL109"/>
    <mergeCell ref="AM108:AO108"/>
    <mergeCell ref="B123:B124"/>
    <mergeCell ref="C123:E123"/>
    <mergeCell ref="H123:H124"/>
    <mergeCell ref="I123:K123"/>
    <mergeCell ref="N123:N124"/>
    <mergeCell ref="O123:Q123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CB108:CB109"/>
    <mergeCell ref="B108:B109"/>
    <mergeCell ref="C108:E108"/>
    <mergeCell ref="H108:H109"/>
    <mergeCell ref="I108:K108"/>
    <mergeCell ref="N108:N109"/>
    <mergeCell ref="O108:Q108"/>
    <mergeCell ref="Z108:Z109"/>
    <mergeCell ref="AA108:AC108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AR123:AR124"/>
    <mergeCell ref="AS123:AU123"/>
    <mergeCell ref="AX123:AX124"/>
    <mergeCell ref="BD123:BD124"/>
    <mergeCell ref="BE123:BG123"/>
    <mergeCell ref="T123:T124"/>
    <mergeCell ref="U123:W123"/>
    <mergeCell ref="Z123:Z124"/>
    <mergeCell ref="AA123:AC123"/>
    <mergeCell ref="AF123:AF124"/>
    <mergeCell ref="AG123:AI123"/>
    <mergeCell ref="AL123:AL124"/>
    <mergeCell ref="AM123:AO123"/>
    <mergeCell ref="AY123:BA123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BV123:BV124"/>
    <mergeCell ref="BJ123:BJ124"/>
    <mergeCell ref="BK123:BM123"/>
    <mergeCell ref="BP123:BP124"/>
    <mergeCell ref="BQ123:BS123"/>
    <mergeCell ref="CN123:CN124"/>
    <mergeCell ref="CO123:CQ123"/>
    <mergeCell ref="BW123:BY123"/>
    <mergeCell ref="CB123:CB124"/>
    <mergeCell ref="CC123:CE123"/>
    <mergeCell ref="CH123:CH124"/>
    <mergeCell ref="CI123:CK123"/>
    <mergeCell ref="CB138:CB139"/>
    <mergeCell ref="CC138:CE138"/>
    <mergeCell ref="CH138:CH139"/>
    <mergeCell ref="CI138:CK138"/>
    <mergeCell ref="AY138:BA138"/>
    <mergeCell ref="BD138:BD139"/>
    <mergeCell ref="BE138:BG138"/>
    <mergeCell ref="T138:T139"/>
    <mergeCell ref="U138:W138"/>
    <mergeCell ref="B153:R153"/>
    <mergeCell ref="B138:B139"/>
    <mergeCell ref="C138:E138"/>
    <mergeCell ref="H138:H139"/>
    <mergeCell ref="I138:K138"/>
    <mergeCell ref="N138:N139"/>
    <mergeCell ref="O138:Q138"/>
    <mergeCell ref="Z138:Z139"/>
    <mergeCell ref="AA138:AC138"/>
    <mergeCell ref="AF138:AF139"/>
    <mergeCell ref="AG138:AI138"/>
    <mergeCell ref="AL138:AL139"/>
    <mergeCell ref="AM138:AO138"/>
    <mergeCell ref="AR138:AR139"/>
    <mergeCell ref="AS138:AU138"/>
    <mergeCell ref="AX138:AX1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Lembar Kerja</vt:lpstr>
      <vt:lpstr>Riwayat Revisi</vt:lpstr>
      <vt:lpstr>ID</vt:lpstr>
      <vt:lpstr>Uncertainty Budget</vt:lpstr>
      <vt:lpstr>Lembar Penyelia</vt:lpstr>
      <vt:lpstr>LH</vt:lpstr>
      <vt:lpstr>ESA</vt:lpstr>
      <vt:lpstr>Data Standar</vt:lpstr>
      <vt:lpstr>Drift</vt:lpstr>
      <vt:lpstr>DB Thermo</vt:lpstr>
      <vt:lpstr>Data Alat</vt:lpstr>
      <vt:lpstr>ID!Print_Area</vt:lpstr>
      <vt:lpstr>'Lembar Kerja'!Print_Area</vt:lpstr>
      <vt:lpstr>'Lembar Penyelia'!Print_Area</vt:lpstr>
      <vt:lpstr>LH!Print_Area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MyBook PRO K7</cp:lastModifiedBy>
  <cp:revision/>
  <cp:lastPrinted>2023-06-09T03:05:20Z</cp:lastPrinted>
  <dcterms:created xsi:type="dcterms:W3CDTF">2002-06-28T14:09:00Z</dcterms:created>
  <dcterms:modified xsi:type="dcterms:W3CDTF">2023-10-18T07:24:59Z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