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drawings/drawing3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drawings/drawing4.xml" ContentType="application/vnd.openxmlformats-officedocument.drawing+xml"/>
  <Override PartName="/xl/embeddings/oleObject441.bin" ContentType="application/vnd.openxmlformats-officedocument.oleObject"/>
  <Override PartName="/xl/embeddings/oleObject442.bin" ContentType="application/vnd.openxmlformats-officedocument.oleObject"/>
  <Override PartName="/xl/embeddings/oleObject443.bin" ContentType="application/vnd.openxmlformats-officedocument.oleObject"/>
  <Override PartName="/xl/embeddings/oleObject444.bin" ContentType="application/vnd.openxmlformats-officedocument.oleObject"/>
  <Override PartName="/xl/embeddings/oleObject445.bin" ContentType="application/vnd.openxmlformats-officedocument.oleObject"/>
  <Override PartName="/xl/embeddings/oleObject446.bin" ContentType="application/vnd.openxmlformats-officedocument.oleObject"/>
  <Override PartName="/xl/embeddings/oleObject447.bin" ContentType="application/vnd.openxmlformats-officedocument.oleObject"/>
  <Override PartName="/xl/embeddings/oleObject448.bin" ContentType="application/vnd.openxmlformats-officedocument.oleObject"/>
  <Override PartName="/xl/embeddings/oleObject449.bin" ContentType="application/vnd.openxmlformats-officedocument.oleObject"/>
  <Override PartName="/xl/embeddings/oleObject450.bin" ContentType="application/vnd.openxmlformats-officedocument.oleObject"/>
  <Override PartName="/xl/embeddings/oleObject451.bin" ContentType="application/vnd.openxmlformats-officedocument.oleObject"/>
  <Override PartName="/xl/embeddings/oleObject452.bin" ContentType="application/vnd.openxmlformats-officedocument.oleObject"/>
  <Override PartName="/xl/embeddings/oleObject453.bin" ContentType="application/vnd.openxmlformats-officedocument.oleObject"/>
  <Override PartName="/xl/embeddings/oleObject454.bin" ContentType="application/vnd.openxmlformats-officedocument.oleObject"/>
  <Override PartName="/xl/embeddings/oleObject455.bin" ContentType="application/vnd.openxmlformats-officedocument.oleObject"/>
  <Override PartName="/xl/embeddings/oleObject456.bin" ContentType="application/vnd.openxmlformats-officedocument.oleObject"/>
  <Override PartName="/xl/embeddings/oleObject457.bin" ContentType="application/vnd.openxmlformats-officedocument.oleObject"/>
  <Override PartName="/xl/embeddings/oleObject458.bin" ContentType="application/vnd.openxmlformats-officedocument.oleObject"/>
  <Override PartName="/xl/embeddings/oleObject459.bin" ContentType="application/vnd.openxmlformats-officedocument.oleObject"/>
  <Override PartName="/xl/embeddings/oleObject460.bin" ContentType="application/vnd.openxmlformats-officedocument.oleObject"/>
  <Override PartName="/xl/embeddings/oleObject461.bin" ContentType="application/vnd.openxmlformats-officedocument.oleObject"/>
  <Override PartName="/xl/embeddings/oleObject462.bin" ContentType="application/vnd.openxmlformats-officedocument.oleObject"/>
  <Override PartName="/xl/embeddings/oleObject463.bin" ContentType="application/vnd.openxmlformats-officedocument.oleObject"/>
  <Override PartName="/xl/embeddings/oleObject464.bin" ContentType="application/vnd.openxmlformats-officedocument.oleObject"/>
  <Override PartName="/xl/embeddings/oleObject465.bin" ContentType="application/vnd.openxmlformats-officedocument.oleObject"/>
  <Override PartName="/xl/embeddings/oleObject466.bin" ContentType="application/vnd.openxmlformats-officedocument.oleObject"/>
  <Override PartName="/xl/embeddings/oleObject467.bin" ContentType="application/vnd.openxmlformats-officedocument.oleObject"/>
  <Override PartName="/xl/embeddings/oleObject468.bin" ContentType="application/vnd.openxmlformats-officedocument.oleObject"/>
  <Override PartName="/xl/embeddings/oleObject469.bin" ContentType="application/vnd.openxmlformats-officedocument.oleObject"/>
  <Override PartName="/xl/embeddings/oleObject470.bin" ContentType="application/vnd.openxmlformats-officedocument.oleObject"/>
  <Override PartName="/xl/embeddings/oleObject471.bin" ContentType="application/vnd.openxmlformats-officedocument.oleObject"/>
  <Override PartName="/xl/embeddings/oleObject472.bin" ContentType="application/vnd.openxmlformats-officedocument.oleObject"/>
  <Override PartName="/xl/embeddings/oleObject473.bin" ContentType="application/vnd.openxmlformats-officedocument.oleObject"/>
  <Override PartName="/xl/embeddings/oleObject474.bin" ContentType="application/vnd.openxmlformats-officedocument.oleObject"/>
  <Override PartName="/xl/embeddings/oleObject475.bin" ContentType="application/vnd.openxmlformats-officedocument.oleObject"/>
  <Override PartName="/xl/embeddings/oleObject476.bin" ContentType="application/vnd.openxmlformats-officedocument.oleObject"/>
  <Override PartName="/xl/embeddings/oleObject477.bin" ContentType="application/vnd.openxmlformats-officedocument.oleObject"/>
  <Override PartName="/xl/embeddings/oleObject478.bin" ContentType="application/vnd.openxmlformats-officedocument.oleObject"/>
  <Override PartName="/xl/embeddings/oleObject479.bin" ContentType="application/vnd.openxmlformats-officedocument.oleObject"/>
  <Override PartName="/xl/embeddings/oleObject480.bin" ContentType="application/vnd.openxmlformats-officedocument.oleObject"/>
  <Override PartName="/xl/embeddings/oleObject481.bin" ContentType="application/vnd.openxmlformats-officedocument.oleObject"/>
  <Override PartName="/xl/embeddings/oleObject482.bin" ContentType="application/vnd.openxmlformats-officedocument.oleObject"/>
  <Override PartName="/xl/embeddings/oleObject483.bin" ContentType="application/vnd.openxmlformats-officedocument.oleObject"/>
  <Override PartName="/xl/embeddings/oleObject484.bin" ContentType="application/vnd.openxmlformats-officedocument.oleObject"/>
  <Override PartName="/xl/embeddings/oleObject485.bin" ContentType="application/vnd.openxmlformats-officedocument.oleObject"/>
  <Override PartName="/xl/embeddings/oleObject486.bin" ContentType="application/vnd.openxmlformats-officedocument.oleObject"/>
  <Override PartName="/xl/embeddings/oleObject487.bin" ContentType="application/vnd.openxmlformats-officedocument.oleObject"/>
  <Override PartName="/xl/embeddings/oleObject488.bin" ContentType="application/vnd.openxmlformats-officedocument.oleObject"/>
  <Override PartName="/xl/embeddings/oleObject489.bin" ContentType="application/vnd.openxmlformats-officedocument.oleObject"/>
  <Override PartName="/xl/embeddings/oleObject490.bin" ContentType="application/vnd.openxmlformats-officedocument.oleObject"/>
  <Override PartName="/xl/embeddings/oleObject491.bin" ContentType="application/vnd.openxmlformats-officedocument.oleObject"/>
  <Override PartName="/xl/embeddings/oleObject492.bin" ContentType="application/vnd.openxmlformats-officedocument.oleObject"/>
  <Override PartName="/xl/embeddings/oleObject493.bin" ContentType="application/vnd.openxmlformats-officedocument.oleObject"/>
  <Override PartName="/xl/embeddings/oleObject494.bin" ContentType="application/vnd.openxmlformats-officedocument.oleObject"/>
  <Override PartName="/xl/embeddings/oleObject495.bin" ContentType="application/vnd.openxmlformats-officedocument.oleObject"/>
  <Override PartName="/xl/embeddings/oleObject496.bin" ContentType="application/vnd.openxmlformats-officedocument.oleObject"/>
  <Override PartName="/xl/embeddings/oleObject497.bin" ContentType="application/vnd.openxmlformats-officedocument.oleObject"/>
  <Override PartName="/xl/embeddings/oleObject498.bin" ContentType="application/vnd.openxmlformats-officedocument.oleObject"/>
  <Override PartName="/xl/embeddings/oleObject499.bin" ContentType="application/vnd.openxmlformats-officedocument.oleObject"/>
  <Override PartName="/xl/embeddings/oleObject500.bin" ContentType="application/vnd.openxmlformats-officedocument.oleObject"/>
  <Override PartName="/xl/embeddings/oleObject501.bin" ContentType="application/vnd.openxmlformats-officedocument.oleObject"/>
  <Override PartName="/xl/embeddings/oleObject502.bin" ContentType="application/vnd.openxmlformats-officedocument.oleObject"/>
  <Override PartName="/xl/embeddings/oleObject503.bin" ContentType="application/vnd.openxmlformats-officedocument.oleObject"/>
  <Override PartName="/xl/embeddings/oleObject504.bin" ContentType="application/vnd.openxmlformats-officedocument.oleObject"/>
  <Override PartName="/xl/embeddings/oleObject505.bin" ContentType="application/vnd.openxmlformats-officedocument.oleObject"/>
  <Override PartName="/xl/embeddings/oleObject506.bin" ContentType="application/vnd.openxmlformats-officedocument.oleObject"/>
  <Override PartName="/xl/embeddings/oleObject507.bin" ContentType="application/vnd.openxmlformats-officedocument.oleObject"/>
  <Override PartName="/xl/embeddings/oleObject508.bin" ContentType="application/vnd.openxmlformats-officedocument.oleObject"/>
  <Override PartName="/xl/embeddings/oleObject509.bin" ContentType="application/vnd.openxmlformats-officedocument.oleObject"/>
  <Override PartName="/xl/embeddings/oleObject510.bin" ContentType="application/vnd.openxmlformats-officedocument.oleObject"/>
  <Override PartName="/xl/embeddings/oleObject511.bin" ContentType="application/vnd.openxmlformats-officedocument.oleObject"/>
  <Override PartName="/xl/embeddings/oleObject512.bin" ContentType="application/vnd.openxmlformats-officedocument.oleObject"/>
  <Override PartName="/xl/embeddings/oleObject513.bin" ContentType="application/vnd.openxmlformats-officedocument.oleObject"/>
  <Override PartName="/xl/embeddings/oleObject514.bin" ContentType="application/vnd.openxmlformats-officedocument.oleObject"/>
  <Override PartName="/xl/embeddings/oleObject515.bin" ContentType="application/vnd.openxmlformats-officedocument.oleObject"/>
  <Override PartName="/xl/embeddings/oleObject516.bin" ContentType="application/vnd.openxmlformats-officedocument.oleObject"/>
  <Override PartName="/xl/embeddings/oleObject517.bin" ContentType="application/vnd.openxmlformats-officedocument.oleObject"/>
  <Override PartName="/xl/embeddings/oleObject518.bin" ContentType="application/vnd.openxmlformats-officedocument.oleObject"/>
  <Override PartName="/xl/embeddings/oleObject519.bin" ContentType="application/vnd.openxmlformats-officedocument.oleObject"/>
  <Override PartName="/xl/embeddings/oleObject520.bin" ContentType="application/vnd.openxmlformats-officedocument.oleObject"/>
  <Override PartName="/xl/embeddings/oleObject521.bin" ContentType="application/vnd.openxmlformats-officedocument.oleObject"/>
  <Override PartName="/xl/embeddings/oleObject522.bin" ContentType="application/vnd.openxmlformats-officedocument.oleObject"/>
  <Override PartName="/xl/embeddings/oleObject523.bin" ContentType="application/vnd.openxmlformats-officedocument.oleObject"/>
  <Override PartName="/xl/embeddings/oleObject524.bin" ContentType="application/vnd.openxmlformats-officedocument.oleObject"/>
  <Override PartName="/xl/embeddings/oleObject525.bin" ContentType="application/vnd.openxmlformats-officedocument.oleObject"/>
  <Override PartName="/xl/embeddings/oleObject526.bin" ContentType="application/vnd.openxmlformats-officedocument.oleObject"/>
  <Override PartName="/xl/embeddings/oleObject527.bin" ContentType="application/vnd.openxmlformats-officedocument.oleObject"/>
  <Override PartName="/xl/embeddings/oleObject528.bin" ContentType="application/vnd.openxmlformats-officedocument.oleObject"/>
  <Override PartName="/xl/embeddings/oleObject529.bin" ContentType="application/vnd.openxmlformats-officedocument.oleObject"/>
  <Override PartName="/xl/embeddings/oleObject530.bin" ContentType="application/vnd.openxmlformats-officedocument.oleObject"/>
  <Override PartName="/xl/embeddings/oleObject531.bin" ContentType="application/vnd.openxmlformats-officedocument.oleObject"/>
  <Override PartName="/xl/embeddings/oleObject532.bin" ContentType="application/vnd.openxmlformats-officedocument.oleObject"/>
  <Override PartName="/xl/embeddings/oleObject533.bin" ContentType="application/vnd.openxmlformats-officedocument.oleObject"/>
  <Override PartName="/xl/embeddings/oleObject534.bin" ContentType="application/vnd.openxmlformats-officedocument.oleObject"/>
  <Override PartName="/xl/embeddings/oleObject535.bin" ContentType="application/vnd.openxmlformats-officedocument.oleObject"/>
  <Override PartName="/xl/embeddings/oleObject536.bin" ContentType="application/vnd.openxmlformats-officedocument.oleObject"/>
  <Override PartName="/xl/embeddings/oleObject537.bin" ContentType="application/vnd.openxmlformats-officedocument.oleObject"/>
  <Override PartName="/xl/embeddings/oleObject538.bin" ContentType="application/vnd.openxmlformats-officedocument.oleObject"/>
  <Override PartName="/xl/embeddings/oleObject539.bin" ContentType="application/vnd.openxmlformats-officedocument.oleObject"/>
  <Override PartName="/xl/embeddings/oleObject540.bin" ContentType="application/vnd.openxmlformats-officedocument.oleObject"/>
  <Override PartName="/xl/embeddings/oleObject541.bin" ContentType="application/vnd.openxmlformats-officedocument.oleObject"/>
  <Override PartName="/xl/embeddings/oleObject542.bin" ContentType="application/vnd.openxmlformats-officedocument.oleObject"/>
  <Override PartName="/xl/embeddings/oleObject543.bin" ContentType="application/vnd.openxmlformats-officedocument.oleObject"/>
  <Override PartName="/xl/embeddings/oleObject544.bin" ContentType="application/vnd.openxmlformats-officedocument.oleObject"/>
  <Override PartName="/xl/embeddings/oleObject545.bin" ContentType="application/vnd.openxmlformats-officedocument.oleObject"/>
  <Override PartName="/xl/embeddings/oleObject546.bin" ContentType="application/vnd.openxmlformats-officedocument.oleObject"/>
  <Override PartName="/xl/embeddings/oleObject547.bin" ContentType="application/vnd.openxmlformats-officedocument.oleObject"/>
  <Override PartName="/xl/embeddings/oleObject548.bin" ContentType="application/vnd.openxmlformats-officedocument.oleObject"/>
  <Override PartName="/xl/embeddings/oleObject549.bin" ContentType="application/vnd.openxmlformats-officedocument.oleObject"/>
  <Override PartName="/xl/embeddings/oleObject550.bin" ContentType="application/vnd.openxmlformats-officedocument.oleObject"/>
  <Override PartName="/xl/embeddings/oleObject551.bin" ContentType="application/vnd.openxmlformats-officedocument.oleObject"/>
  <Override PartName="/xl/embeddings/oleObject552.bin" ContentType="application/vnd.openxmlformats-officedocument.oleObject"/>
  <Override PartName="/xl/embeddings/oleObject553.bin" ContentType="application/vnd.openxmlformats-officedocument.oleObject"/>
  <Override PartName="/xl/embeddings/oleObject554.bin" ContentType="application/vnd.openxmlformats-officedocument.oleObject"/>
  <Override PartName="/xl/embeddings/oleObject555.bin" ContentType="application/vnd.openxmlformats-officedocument.oleObject"/>
  <Override PartName="/xl/embeddings/oleObject556.bin" ContentType="application/vnd.openxmlformats-officedocument.oleObject"/>
  <Override PartName="/xl/embeddings/oleObject557.bin" ContentType="application/vnd.openxmlformats-officedocument.oleObject"/>
  <Override PartName="/xl/embeddings/oleObject558.bin" ContentType="application/vnd.openxmlformats-officedocument.oleObject"/>
  <Override PartName="/xl/embeddings/oleObject559.bin" ContentType="application/vnd.openxmlformats-officedocument.oleObject"/>
  <Override PartName="/xl/embeddings/oleObject560.bin" ContentType="application/vnd.openxmlformats-officedocument.oleObject"/>
  <Override PartName="/xl/embeddings/oleObject561.bin" ContentType="application/vnd.openxmlformats-officedocument.oleObject"/>
  <Override PartName="/xl/embeddings/oleObject562.bin" ContentType="application/vnd.openxmlformats-officedocument.oleObject"/>
  <Override PartName="/xl/embeddings/oleObject563.bin" ContentType="application/vnd.openxmlformats-officedocument.oleObject"/>
  <Override PartName="/xl/embeddings/oleObject564.bin" ContentType="application/vnd.openxmlformats-officedocument.oleObject"/>
  <Override PartName="/xl/embeddings/oleObject565.bin" ContentType="application/vnd.openxmlformats-officedocument.oleObject"/>
  <Override PartName="/xl/embeddings/oleObject566.bin" ContentType="application/vnd.openxmlformats-officedocument.oleObject"/>
  <Override PartName="/xl/embeddings/oleObject567.bin" ContentType="application/vnd.openxmlformats-officedocument.oleObject"/>
  <Override PartName="/xl/embeddings/oleObject568.bin" ContentType="application/vnd.openxmlformats-officedocument.oleObject"/>
  <Override PartName="/xl/embeddings/oleObject569.bin" ContentType="application/vnd.openxmlformats-officedocument.oleObject"/>
  <Override PartName="/xl/embeddings/oleObject570.bin" ContentType="application/vnd.openxmlformats-officedocument.oleObject"/>
  <Override PartName="/xl/embeddings/oleObject571.bin" ContentType="application/vnd.openxmlformats-officedocument.oleObject"/>
  <Override PartName="/xl/embeddings/oleObject572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672394F0-1560-4D69-892B-E4E5E2D68FCC}" xr6:coauthVersionLast="47" xr6:coauthVersionMax="47" xr10:uidLastSave="{00000000-0000-0000-0000-000000000000}"/>
  <bookViews>
    <workbookView xWindow="-110" yWindow="-110" windowWidth="19420" windowHeight="10300" tabRatio="700" activeTab="6" xr2:uid="{00000000-000D-0000-FFFF-FFFF00000000}"/>
  </bookViews>
  <sheets>
    <sheet name="Riwayat Revisi" sheetId="25" r:id="rId1"/>
    <sheet name="LK" sheetId="8" r:id="rId2"/>
    <sheet name="ID" sheetId="5" r:id="rId3"/>
    <sheet name="UB RPM" sheetId="9" state="hidden" r:id="rId4"/>
    <sheet name="UB TIMER" sheetId="45" state="hidden" r:id="rId5"/>
    <sheet name="PENYELIA" sheetId="4" r:id="rId6"/>
    <sheet name="LH" sheetId="1" r:id="rId7"/>
    <sheet name="Laporan" sheetId="46" state="hidden" r:id="rId8"/>
    <sheet name="SERTIFIKAT" sheetId="43" r:id="rId9"/>
    <sheet name="DB TACHO" sheetId="44" state="hidden" r:id="rId10"/>
    <sheet name="DB Stopwatch" sheetId="40" state="hidden" r:id="rId11"/>
    <sheet name="DB ESA" sheetId="41" state="hidden" r:id="rId12"/>
    <sheet name="DB Suhu" sheetId="42" state="hidden" r:id="rId13"/>
  </sheets>
  <externalReferences>
    <externalReference r:id="rId14"/>
  </externalReferences>
  <definedNames>
    <definedName name="_xlnm.Print_Area" localSheetId="2">ID!$A$1:$N$68</definedName>
    <definedName name="_xlnm.Print_Area" localSheetId="7">Laporan!$A$1:$L$74</definedName>
    <definedName name="_xlnm.Print_Area" localSheetId="6">LH!$A$1:$M$75</definedName>
    <definedName name="_xlnm.Print_Area" localSheetId="1">LK!$A$1:$M$65</definedName>
    <definedName name="_xlnm.Print_Area" localSheetId="5">PENYELIA!$A$1:$M$68</definedName>
    <definedName name="_xlnm.Print_Area" localSheetId="8">SERTIFIKAT!$A$1:$F$33</definedName>
    <definedName name="_xlnm.Print_Area" localSheetId="3">'UB RPM'!$A$1:$K$69</definedName>
    <definedName name="_xlnm.Print_Area" localSheetId="4">'UB TIMER'!$A$1:$K$13</definedName>
  </definedNames>
  <calcPr calcId="191029"/>
</workbook>
</file>

<file path=xl/calcChain.xml><?xml version="1.0" encoding="utf-8"?>
<calcChain xmlns="http://schemas.openxmlformats.org/spreadsheetml/2006/main">
  <c r="I27" i="1" l="1"/>
  <c r="I26" i="1"/>
  <c r="I25" i="1"/>
  <c r="H17" i="1" l="1"/>
  <c r="F17" i="1"/>
  <c r="H16" i="1"/>
  <c r="F16" i="1"/>
  <c r="H15" i="1"/>
  <c r="F15" i="1"/>
  <c r="I70" i="46"/>
  <c r="H63" i="46"/>
  <c r="I38" i="46"/>
  <c r="I37" i="46"/>
  <c r="G37" i="46"/>
  <c r="F37" i="46"/>
  <c r="D37" i="46"/>
  <c r="B25" i="46"/>
  <c r="D21" i="46"/>
  <c r="D20" i="46"/>
  <c r="D17" i="46"/>
  <c r="D16" i="46"/>
  <c r="D15" i="46"/>
  <c r="D12" i="46"/>
  <c r="A12" i="46"/>
  <c r="A1" i="46"/>
  <c r="T41" i="5"/>
  <c r="E11" i="5"/>
  <c r="M131" i="41"/>
  <c r="N131" i="41"/>
  <c r="O131" i="41"/>
  <c r="P131" i="41"/>
  <c r="M132" i="41"/>
  <c r="N132" i="41"/>
  <c r="O132" i="41"/>
  <c r="P132" i="41"/>
  <c r="M133" i="41"/>
  <c r="N133" i="41"/>
  <c r="O133" i="41"/>
  <c r="P133" i="41"/>
  <c r="M134" i="41"/>
  <c r="N134" i="41"/>
  <c r="O134" i="41"/>
  <c r="P134" i="41"/>
  <c r="M135" i="41"/>
  <c r="N135" i="41"/>
  <c r="O135" i="41"/>
  <c r="P135" i="41"/>
  <c r="M136" i="41"/>
  <c r="N136" i="41"/>
  <c r="O136" i="41"/>
  <c r="P136" i="41"/>
  <c r="M137" i="41"/>
  <c r="N137" i="41"/>
  <c r="O137" i="41"/>
  <c r="P137" i="41"/>
  <c r="M138" i="41"/>
  <c r="N138" i="41"/>
  <c r="O138" i="41"/>
  <c r="P138" i="41"/>
  <c r="M139" i="41"/>
  <c r="N139" i="41"/>
  <c r="O139" i="41"/>
  <c r="P139" i="41"/>
  <c r="M140" i="41"/>
  <c r="N140" i="41"/>
  <c r="O140" i="41"/>
  <c r="P140" i="41"/>
  <c r="M141" i="41"/>
  <c r="N141" i="41"/>
  <c r="O141" i="41"/>
  <c r="P141" i="41"/>
  <c r="M142" i="41"/>
  <c r="N142" i="41"/>
  <c r="O142" i="41"/>
  <c r="P142" i="41"/>
  <c r="M144" i="41"/>
  <c r="N144" i="41"/>
  <c r="O144" i="41"/>
  <c r="P144" i="41"/>
  <c r="M145" i="41"/>
  <c r="N145" i="41"/>
  <c r="O145" i="41"/>
  <c r="P145" i="41"/>
  <c r="M146" i="41"/>
  <c r="N146" i="41"/>
  <c r="O146" i="41"/>
  <c r="P146" i="41"/>
  <c r="M147" i="41"/>
  <c r="N147" i="41"/>
  <c r="O147" i="41"/>
  <c r="P147" i="41"/>
  <c r="M148" i="41"/>
  <c r="N148" i="41"/>
  <c r="O148" i="41"/>
  <c r="P148" i="41"/>
  <c r="M149" i="41"/>
  <c r="N149" i="41"/>
  <c r="O149" i="41"/>
  <c r="P149" i="41"/>
  <c r="M150" i="41"/>
  <c r="N150" i="41"/>
  <c r="O150" i="41"/>
  <c r="P150" i="41"/>
  <c r="M151" i="41"/>
  <c r="N151" i="41"/>
  <c r="O151" i="41"/>
  <c r="P151" i="41"/>
  <c r="M152" i="41"/>
  <c r="N152" i="41"/>
  <c r="O152" i="41"/>
  <c r="P152" i="41"/>
  <c r="M153" i="41"/>
  <c r="N153" i="41"/>
  <c r="O153" i="41"/>
  <c r="P153" i="41"/>
  <c r="M154" i="41"/>
  <c r="N154" i="41"/>
  <c r="O154" i="41"/>
  <c r="P154" i="41"/>
  <c r="M155" i="41"/>
  <c r="N155" i="41"/>
  <c r="O155" i="41"/>
  <c r="P155" i="41"/>
  <c r="M157" i="41"/>
  <c r="N157" i="41"/>
  <c r="O157" i="41"/>
  <c r="P157" i="41"/>
  <c r="M158" i="41"/>
  <c r="N158" i="41"/>
  <c r="O158" i="41"/>
  <c r="P158" i="41"/>
  <c r="M159" i="41"/>
  <c r="N159" i="41"/>
  <c r="O159" i="41"/>
  <c r="P159" i="41"/>
  <c r="M160" i="41"/>
  <c r="N160" i="41"/>
  <c r="O160" i="41"/>
  <c r="P160" i="41"/>
  <c r="M161" i="41"/>
  <c r="N161" i="41"/>
  <c r="O161" i="41"/>
  <c r="P161" i="41"/>
  <c r="M162" i="41"/>
  <c r="N162" i="41"/>
  <c r="O162" i="41"/>
  <c r="P162" i="41"/>
  <c r="M163" i="41"/>
  <c r="N163" i="41"/>
  <c r="O163" i="41"/>
  <c r="P163" i="41"/>
  <c r="M164" i="41"/>
  <c r="N164" i="41"/>
  <c r="O164" i="41"/>
  <c r="P164" i="41"/>
  <c r="M165" i="41"/>
  <c r="N165" i="41"/>
  <c r="O165" i="41"/>
  <c r="P165" i="41"/>
  <c r="M166" i="41"/>
  <c r="N166" i="41"/>
  <c r="O166" i="41"/>
  <c r="P166" i="41"/>
  <c r="M167" i="41"/>
  <c r="N167" i="41"/>
  <c r="O167" i="41"/>
  <c r="P167" i="41"/>
  <c r="M168" i="41"/>
  <c r="N168" i="41"/>
  <c r="O168" i="41"/>
  <c r="P168" i="41"/>
  <c r="M170" i="41"/>
  <c r="N170" i="41"/>
  <c r="O170" i="41"/>
  <c r="P170" i="41"/>
  <c r="M171" i="41"/>
  <c r="N171" i="41"/>
  <c r="O171" i="41"/>
  <c r="P171" i="41"/>
  <c r="M172" i="41"/>
  <c r="N172" i="41"/>
  <c r="O172" i="41"/>
  <c r="P172" i="41"/>
  <c r="M173" i="41"/>
  <c r="N173" i="41"/>
  <c r="O173" i="41"/>
  <c r="P173" i="41"/>
  <c r="M174" i="41"/>
  <c r="N174" i="41"/>
  <c r="O174" i="41"/>
  <c r="P174" i="41"/>
  <c r="M175" i="41"/>
  <c r="N175" i="41"/>
  <c r="O175" i="41"/>
  <c r="P175" i="41"/>
  <c r="M176" i="41"/>
  <c r="N176" i="41"/>
  <c r="O176" i="41"/>
  <c r="P176" i="41"/>
  <c r="M177" i="41"/>
  <c r="N177" i="41"/>
  <c r="O177" i="41"/>
  <c r="P177" i="41"/>
  <c r="M178" i="41"/>
  <c r="N178" i="41"/>
  <c r="O178" i="41"/>
  <c r="P178" i="41"/>
  <c r="M179" i="41"/>
  <c r="N179" i="41"/>
  <c r="O179" i="41"/>
  <c r="P179" i="41"/>
  <c r="M180" i="41"/>
  <c r="N180" i="41"/>
  <c r="O180" i="41"/>
  <c r="P180" i="41"/>
  <c r="M181" i="41"/>
  <c r="N181" i="41"/>
  <c r="O181" i="41"/>
  <c r="P181" i="41"/>
  <c r="M183" i="41"/>
  <c r="N183" i="41"/>
  <c r="O183" i="41"/>
  <c r="P183" i="41"/>
  <c r="M184" i="41"/>
  <c r="N184" i="41"/>
  <c r="O184" i="41"/>
  <c r="P184" i="41"/>
  <c r="M185" i="41"/>
  <c r="N185" i="41"/>
  <c r="O185" i="41"/>
  <c r="P185" i="41"/>
  <c r="M186" i="41"/>
  <c r="N186" i="41"/>
  <c r="O186" i="41"/>
  <c r="P186" i="41"/>
  <c r="M187" i="41"/>
  <c r="N187" i="41"/>
  <c r="O187" i="41"/>
  <c r="P187" i="41"/>
  <c r="M188" i="41"/>
  <c r="N188" i="41"/>
  <c r="O188" i="41"/>
  <c r="P188" i="41"/>
  <c r="M189" i="41"/>
  <c r="N189" i="41"/>
  <c r="O189" i="41"/>
  <c r="P189" i="41"/>
  <c r="M190" i="41"/>
  <c r="N190" i="41"/>
  <c r="O190" i="41"/>
  <c r="P190" i="41"/>
  <c r="M191" i="41"/>
  <c r="N191" i="41"/>
  <c r="O191" i="41"/>
  <c r="P191" i="41"/>
  <c r="M192" i="41"/>
  <c r="N192" i="41"/>
  <c r="O192" i="41"/>
  <c r="P192" i="41"/>
  <c r="M193" i="41"/>
  <c r="N193" i="41"/>
  <c r="O193" i="41"/>
  <c r="P193" i="41"/>
  <c r="M194" i="41"/>
  <c r="N194" i="41"/>
  <c r="O194" i="41"/>
  <c r="P194" i="41"/>
  <c r="M196" i="41"/>
  <c r="N196" i="41"/>
  <c r="O196" i="41"/>
  <c r="P196" i="41"/>
  <c r="M197" i="41"/>
  <c r="N197" i="41"/>
  <c r="O197" i="41"/>
  <c r="P197" i="41"/>
  <c r="M198" i="41"/>
  <c r="N198" i="41"/>
  <c r="O198" i="41"/>
  <c r="P198" i="41"/>
  <c r="M199" i="41"/>
  <c r="N199" i="41"/>
  <c r="O199" i="41"/>
  <c r="P199" i="41"/>
  <c r="M200" i="41"/>
  <c r="N200" i="41"/>
  <c r="O200" i="41"/>
  <c r="P200" i="41"/>
  <c r="M201" i="41"/>
  <c r="N201" i="41"/>
  <c r="O201" i="41"/>
  <c r="P201" i="41"/>
  <c r="M202" i="41"/>
  <c r="N202" i="41"/>
  <c r="O202" i="41"/>
  <c r="P202" i="41"/>
  <c r="M203" i="41"/>
  <c r="N203" i="41"/>
  <c r="O203" i="41"/>
  <c r="P203" i="41"/>
  <c r="M204" i="41"/>
  <c r="N204" i="41"/>
  <c r="O204" i="41"/>
  <c r="P204" i="41"/>
  <c r="M205" i="41"/>
  <c r="N205" i="41"/>
  <c r="O205" i="41"/>
  <c r="P205" i="41"/>
  <c r="M206" i="41"/>
  <c r="N206" i="41"/>
  <c r="O206" i="41"/>
  <c r="P206" i="41"/>
  <c r="M207" i="41"/>
  <c r="N207" i="41"/>
  <c r="O207" i="41"/>
  <c r="P207" i="41"/>
  <c r="M212" i="41"/>
  <c r="N212" i="41"/>
  <c r="O212" i="41"/>
  <c r="P212" i="41"/>
  <c r="M213" i="41"/>
  <c r="N213" i="41"/>
  <c r="O213" i="41"/>
  <c r="P213" i="41"/>
  <c r="M214" i="41"/>
  <c r="N214" i="41"/>
  <c r="O214" i="41"/>
  <c r="P214" i="41"/>
  <c r="M215" i="41"/>
  <c r="N215" i="41"/>
  <c r="O215" i="41"/>
  <c r="P215" i="41"/>
  <c r="M216" i="41"/>
  <c r="N216" i="41"/>
  <c r="O216" i="41"/>
  <c r="P216" i="41"/>
  <c r="M217" i="41"/>
  <c r="N217" i="41"/>
  <c r="O217" i="41"/>
  <c r="P217" i="41"/>
  <c r="M218" i="41"/>
  <c r="N218" i="41"/>
  <c r="O218" i="41"/>
  <c r="P218" i="41"/>
  <c r="M219" i="41"/>
  <c r="N219" i="41"/>
  <c r="O219" i="41"/>
  <c r="P219" i="41"/>
  <c r="M220" i="41"/>
  <c r="N220" i="41"/>
  <c r="O220" i="41"/>
  <c r="P220" i="41"/>
  <c r="M221" i="41"/>
  <c r="N221" i="41"/>
  <c r="O221" i="41"/>
  <c r="P221" i="41"/>
  <c r="M222" i="41"/>
  <c r="N222" i="41"/>
  <c r="O222" i="41"/>
  <c r="P222" i="41"/>
  <c r="M223" i="41"/>
  <c r="N223" i="41"/>
  <c r="O223" i="41"/>
  <c r="P223" i="41"/>
  <c r="M225" i="41"/>
  <c r="N225" i="41"/>
  <c r="O225" i="41"/>
  <c r="P225" i="41"/>
  <c r="M226" i="41"/>
  <c r="N226" i="41"/>
  <c r="O226" i="41"/>
  <c r="P226" i="41"/>
  <c r="M227" i="41"/>
  <c r="N227" i="41"/>
  <c r="O227" i="41"/>
  <c r="P227" i="41"/>
  <c r="M228" i="41"/>
  <c r="N228" i="41"/>
  <c r="O228" i="41"/>
  <c r="P228" i="41"/>
  <c r="M229" i="41"/>
  <c r="N229" i="41"/>
  <c r="O229" i="41"/>
  <c r="P229" i="41"/>
  <c r="M230" i="41"/>
  <c r="N230" i="41"/>
  <c r="O230" i="41"/>
  <c r="P230" i="41"/>
  <c r="M231" i="41"/>
  <c r="N231" i="41"/>
  <c r="O231" i="41"/>
  <c r="P231" i="41"/>
  <c r="M232" i="41"/>
  <c r="N232" i="41"/>
  <c r="O232" i="41"/>
  <c r="P232" i="41"/>
  <c r="M233" i="41"/>
  <c r="N233" i="41"/>
  <c r="O233" i="41"/>
  <c r="P233" i="41"/>
  <c r="M234" i="41"/>
  <c r="N234" i="41"/>
  <c r="O234" i="41"/>
  <c r="P234" i="41"/>
  <c r="M235" i="41"/>
  <c r="N235" i="41"/>
  <c r="O235" i="41"/>
  <c r="P235" i="41"/>
  <c r="M236" i="41"/>
  <c r="N236" i="41"/>
  <c r="O236" i="41"/>
  <c r="P236" i="41"/>
  <c r="M238" i="41"/>
  <c r="N238" i="41"/>
  <c r="O238" i="41"/>
  <c r="P238" i="41"/>
  <c r="M239" i="41"/>
  <c r="N239" i="41"/>
  <c r="O239" i="41"/>
  <c r="P239" i="41"/>
  <c r="M240" i="41"/>
  <c r="N240" i="41"/>
  <c r="O240" i="41"/>
  <c r="P240" i="41"/>
  <c r="M241" i="41"/>
  <c r="N241" i="41"/>
  <c r="O241" i="41"/>
  <c r="P241" i="41"/>
  <c r="M242" i="41"/>
  <c r="N242" i="41"/>
  <c r="O242" i="41"/>
  <c r="P242" i="41"/>
  <c r="M243" i="41"/>
  <c r="N243" i="41"/>
  <c r="O243" i="41"/>
  <c r="P243" i="41"/>
  <c r="M244" i="41"/>
  <c r="N244" i="41"/>
  <c r="O244" i="41"/>
  <c r="P244" i="41"/>
  <c r="M245" i="41"/>
  <c r="N245" i="41"/>
  <c r="O245" i="41"/>
  <c r="P245" i="41"/>
  <c r="M246" i="41"/>
  <c r="N246" i="41"/>
  <c r="O246" i="41"/>
  <c r="P246" i="41"/>
  <c r="M247" i="41"/>
  <c r="N247" i="41"/>
  <c r="O247" i="41"/>
  <c r="P247" i="41"/>
  <c r="M248" i="41"/>
  <c r="N248" i="41"/>
  <c r="O248" i="41"/>
  <c r="P248" i="41"/>
  <c r="M249" i="41"/>
  <c r="N249" i="41"/>
  <c r="O249" i="41"/>
  <c r="P249" i="41"/>
  <c r="M251" i="41"/>
  <c r="N251" i="41"/>
  <c r="O251" i="41"/>
  <c r="P251" i="41"/>
  <c r="M252" i="41"/>
  <c r="N252" i="41"/>
  <c r="O252" i="41"/>
  <c r="P252" i="41"/>
  <c r="M253" i="41"/>
  <c r="N253" i="41"/>
  <c r="O253" i="41"/>
  <c r="P253" i="41"/>
  <c r="M254" i="41"/>
  <c r="N254" i="41"/>
  <c r="O254" i="41"/>
  <c r="P254" i="41"/>
  <c r="M255" i="41"/>
  <c r="N255" i="41"/>
  <c r="O255" i="41"/>
  <c r="P255" i="41"/>
  <c r="M256" i="41"/>
  <c r="N256" i="41"/>
  <c r="O256" i="41"/>
  <c r="P256" i="41"/>
  <c r="M257" i="41"/>
  <c r="N257" i="41"/>
  <c r="O257" i="41"/>
  <c r="P257" i="41"/>
  <c r="M258" i="41"/>
  <c r="N258" i="41"/>
  <c r="O258" i="41"/>
  <c r="P258" i="41"/>
  <c r="M259" i="41"/>
  <c r="N259" i="41"/>
  <c r="O259" i="41"/>
  <c r="P259" i="41"/>
  <c r="M260" i="41"/>
  <c r="N260" i="41"/>
  <c r="O260" i="41"/>
  <c r="P260" i="41"/>
  <c r="M261" i="41"/>
  <c r="N261" i="41"/>
  <c r="O261" i="41"/>
  <c r="P261" i="41"/>
  <c r="M262" i="41"/>
  <c r="N262" i="41"/>
  <c r="O262" i="41"/>
  <c r="P262" i="41"/>
  <c r="D131" i="41"/>
  <c r="E131" i="41"/>
  <c r="F131" i="41"/>
  <c r="G131" i="41"/>
  <c r="D132" i="41"/>
  <c r="E132" i="41"/>
  <c r="F132" i="41"/>
  <c r="G132" i="41"/>
  <c r="D133" i="41"/>
  <c r="E133" i="41"/>
  <c r="F133" i="41"/>
  <c r="G133" i="41"/>
  <c r="D134" i="41"/>
  <c r="E134" i="41"/>
  <c r="F134" i="41"/>
  <c r="G134" i="41"/>
  <c r="D135" i="41"/>
  <c r="E135" i="41"/>
  <c r="F135" i="41"/>
  <c r="G135" i="41"/>
  <c r="D136" i="41"/>
  <c r="E136" i="41"/>
  <c r="F136" i="41"/>
  <c r="G136" i="41"/>
  <c r="D137" i="41"/>
  <c r="E137" i="41"/>
  <c r="F137" i="41"/>
  <c r="G137" i="41"/>
  <c r="D138" i="41"/>
  <c r="E138" i="41"/>
  <c r="F138" i="41"/>
  <c r="G138" i="41"/>
  <c r="D139" i="41"/>
  <c r="E139" i="41"/>
  <c r="F139" i="41"/>
  <c r="G139" i="41"/>
  <c r="D140" i="41"/>
  <c r="E140" i="41"/>
  <c r="F140" i="41"/>
  <c r="G140" i="41"/>
  <c r="D141" i="41"/>
  <c r="E141" i="41"/>
  <c r="F141" i="41"/>
  <c r="G141" i="41"/>
  <c r="D142" i="41"/>
  <c r="E142" i="41"/>
  <c r="F142" i="41"/>
  <c r="G142" i="41"/>
  <c r="D144" i="41"/>
  <c r="E144" i="41"/>
  <c r="F144" i="41"/>
  <c r="G144" i="41"/>
  <c r="D145" i="41"/>
  <c r="E145" i="41"/>
  <c r="F145" i="41"/>
  <c r="G145" i="41"/>
  <c r="D146" i="41"/>
  <c r="E146" i="41"/>
  <c r="F146" i="41"/>
  <c r="G146" i="41"/>
  <c r="D147" i="41"/>
  <c r="E147" i="41"/>
  <c r="F147" i="41"/>
  <c r="G147" i="41"/>
  <c r="D148" i="41"/>
  <c r="E148" i="41"/>
  <c r="F148" i="41"/>
  <c r="G148" i="41"/>
  <c r="D149" i="41"/>
  <c r="E149" i="41"/>
  <c r="F149" i="41"/>
  <c r="G149" i="41"/>
  <c r="D150" i="41"/>
  <c r="E150" i="41"/>
  <c r="F150" i="41"/>
  <c r="G150" i="41"/>
  <c r="D151" i="41"/>
  <c r="E151" i="41"/>
  <c r="F151" i="41"/>
  <c r="G151" i="41"/>
  <c r="D152" i="41"/>
  <c r="E152" i="41"/>
  <c r="F152" i="41"/>
  <c r="G152" i="41"/>
  <c r="D153" i="41"/>
  <c r="E153" i="41"/>
  <c r="F153" i="41"/>
  <c r="G153" i="41"/>
  <c r="D154" i="41"/>
  <c r="E154" i="41"/>
  <c r="F154" i="41"/>
  <c r="G154" i="41"/>
  <c r="D155" i="41"/>
  <c r="E155" i="41"/>
  <c r="F155" i="41"/>
  <c r="G155" i="41"/>
  <c r="D157" i="41"/>
  <c r="E157" i="41"/>
  <c r="F157" i="41"/>
  <c r="G157" i="41"/>
  <c r="D158" i="41"/>
  <c r="E158" i="41"/>
  <c r="F158" i="41"/>
  <c r="G158" i="41"/>
  <c r="D159" i="41"/>
  <c r="E159" i="41"/>
  <c r="F159" i="41"/>
  <c r="G159" i="41"/>
  <c r="D160" i="41"/>
  <c r="E160" i="41"/>
  <c r="F160" i="41"/>
  <c r="G160" i="41"/>
  <c r="D161" i="41"/>
  <c r="E161" i="41"/>
  <c r="F161" i="41"/>
  <c r="G161" i="41"/>
  <c r="D162" i="41"/>
  <c r="E162" i="41"/>
  <c r="F162" i="41"/>
  <c r="G162" i="41"/>
  <c r="D163" i="41"/>
  <c r="E163" i="41"/>
  <c r="F163" i="41"/>
  <c r="G163" i="41"/>
  <c r="D164" i="41"/>
  <c r="E164" i="41"/>
  <c r="F164" i="41"/>
  <c r="G164" i="41"/>
  <c r="D165" i="41"/>
  <c r="E165" i="41"/>
  <c r="F165" i="41"/>
  <c r="G165" i="41"/>
  <c r="D166" i="41"/>
  <c r="E166" i="41"/>
  <c r="F166" i="41"/>
  <c r="G166" i="41"/>
  <c r="D167" i="41"/>
  <c r="E167" i="41"/>
  <c r="F167" i="41"/>
  <c r="G167" i="41"/>
  <c r="D168" i="41"/>
  <c r="E168" i="41"/>
  <c r="F168" i="41"/>
  <c r="G168" i="41"/>
  <c r="D170" i="41"/>
  <c r="E170" i="41"/>
  <c r="F170" i="41"/>
  <c r="G170" i="41"/>
  <c r="D171" i="41"/>
  <c r="E171" i="41"/>
  <c r="F171" i="41"/>
  <c r="G171" i="41"/>
  <c r="D172" i="41"/>
  <c r="E172" i="41"/>
  <c r="F172" i="41"/>
  <c r="G172" i="41"/>
  <c r="D173" i="41"/>
  <c r="E173" i="41"/>
  <c r="F173" i="41"/>
  <c r="G173" i="41"/>
  <c r="D174" i="41"/>
  <c r="E174" i="41"/>
  <c r="F174" i="41"/>
  <c r="G174" i="41"/>
  <c r="D175" i="41"/>
  <c r="E175" i="41"/>
  <c r="F175" i="41"/>
  <c r="G175" i="41"/>
  <c r="D176" i="41"/>
  <c r="E176" i="41"/>
  <c r="F176" i="41"/>
  <c r="G176" i="41"/>
  <c r="D177" i="41"/>
  <c r="E177" i="41"/>
  <c r="F177" i="41"/>
  <c r="G177" i="41"/>
  <c r="D178" i="41"/>
  <c r="E178" i="41"/>
  <c r="F178" i="41"/>
  <c r="G178" i="41"/>
  <c r="D179" i="41"/>
  <c r="E179" i="41"/>
  <c r="F179" i="41"/>
  <c r="G179" i="41"/>
  <c r="D180" i="41"/>
  <c r="E180" i="41"/>
  <c r="F180" i="41"/>
  <c r="G180" i="41"/>
  <c r="D181" i="41"/>
  <c r="E181" i="41"/>
  <c r="F181" i="41"/>
  <c r="G181" i="41"/>
  <c r="D183" i="41"/>
  <c r="E183" i="41"/>
  <c r="F183" i="41"/>
  <c r="G183" i="41"/>
  <c r="D184" i="41"/>
  <c r="E184" i="41"/>
  <c r="F184" i="41"/>
  <c r="G184" i="41"/>
  <c r="D185" i="41"/>
  <c r="E185" i="41"/>
  <c r="F185" i="41"/>
  <c r="G185" i="41"/>
  <c r="D186" i="41"/>
  <c r="E186" i="41"/>
  <c r="F186" i="41"/>
  <c r="G186" i="41"/>
  <c r="D187" i="41"/>
  <c r="E187" i="41"/>
  <c r="F187" i="41"/>
  <c r="G187" i="41"/>
  <c r="D188" i="41"/>
  <c r="E188" i="41"/>
  <c r="F188" i="41"/>
  <c r="G188" i="41"/>
  <c r="D189" i="41"/>
  <c r="E189" i="41"/>
  <c r="F189" i="41"/>
  <c r="G189" i="41"/>
  <c r="D190" i="41"/>
  <c r="E190" i="41"/>
  <c r="F190" i="41"/>
  <c r="G190" i="41"/>
  <c r="D191" i="41"/>
  <c r="E191" i="41"/>
  <c r="F191" i="41"/>
  <c r="G191" i="41"/>
  <c r="D192" i="41"/>
  <c r="E192" i="41"/>
  <c r="F192" i="41"/>
  <c r="G192" i="41"/>
  <c r="D193" i="41"/>
  <c r="E193" i="41"/>
  <c r="F193" i="41"/>
  <c r="G193" i="41"/>
  <c r="D194" i="41"/>
  <c r="E194" i="41"/>
  <c r="F194" i="41"/>
  <c r="G194" i="41"/>
  <c r="D196" i="41"/>
  <c r="E196" i="41"/>
  <c r="F196" i="41"/>
  <c r="G196" i="41"/>
  <c r="D197" i="41"/>
  <c r="E197" i="41"/>
  <c r="F197" i="41"/>
  <c r="G197" i="41"/>
  <c r="D198" i="41"/>
  <c r="E198" i="41"/>
  <c r="F198" i="41"/>
  <c r="G198" i="41"/>
  <c r="D199" i="41"/>
  <c r="E199" i="41"/>
  <c r="F199" i="41"/>
  <c r="G199" i="41"/>
  <c r="D200" i="41"/>
  <c r="E200" i="41"/>
  <c r="F200" i="41"/>
  <c r="G200" i="41"/>
  <c r="D201" i="41"/>
  <c r="E201" i="41"/>
  <c r="F201" i="41"/>
  <c r="G201" i="41"/>
  <c r="D202" i="41"/>
  <c r="E202" i="41"/>
  <c r="F202" i="41"/>
  <c r="G202" i="41"/>
  <c r="D203" i="41"/>
  <c r="E203" i="41"/>
  <c r="F203" i="41"/>
  <c r="G203" i="41"/>
  <c r="D204" i="41"/>
  <c r="E204" i="41"/>
  <c r="F204" i="41"/>
  <c r="G204" i="41"/>
  <c r="D205" i="41"/>
  <c r="E205" i="41"/>
  <c r="F205" i="41"/>
  <c r="G205" i="41"/>
  <c r="D206" i="41"/>
  <c r="E206" i="41"/>
  <c r="F206" i="41"/>
  <c r="G206" i="41"/>
  <c r="D207" i="41"/>
  <c r="E207" i="41"/>
  <c r="F207" i="41"/>
  <c r="G207" i="41"/>
  <c r="D212" i="41"/>
  <c r="E212" i="41"/>
  <c r="F212" i="41"/>
  <c r="G212" i="41"/>
  <c r="D213" i="41"/>
  <c r="E213" i="41"/>
  <c r="F213" i="41"/>
  <c r="G213" i="41"/>
  <c r="D214" i="41"/>
  <c r="E214" i="41"/>
  <c r="F214" i="41"/>
  <c r="G214" i="41"/>
  <c r="D215" i="41"/>
  <c r="E215" i="41"/>
  <c r="F215" i="41"/>
  <c r="G215" i="41"/>
  <c r="D216" i="41"/>
  <c r="E216" i="41"/>
  <c r="F216" i="41"/>
  <c r="G216" i="41"/>
  <c r="D217" i="41"/>
  <c r="E217" i="41"/>
  <c r="F217" i="41"/>
  <c r="G217" i="41"/>
  <c r="D218" i="41"/>
  <c r="E218" i="41"/>
  <c r="F218" i="41"/>
  <c r="G218" i="41"/>
  <c r="D219" i="41"/>
  <c r="E219" i="41"/>
  <c r="F219" i="41"/>
  <c r="G219" i="41"/>
  <c r="D220" i="41"/>
  <c r="E220" i="41"/>
  <c r="F220" i="41"/>
  <c r="G220" i="41"/>
  <c r="D221" i="41"/>
  <c r="E221" i="41"/>
  <c r="F221" i="41"/>
  <c r="G221" i="41"/>
  <c r="D222" i="41"/>
  <c r="E222" i="41"/>
  <c r="F222" i="41"/>
  <c r="G222" i="41"/>
  <c r="D223" i="41"/>
  <c r="E223" i="41"/>
  <c r="F223" i="41"/>
  <c r="G223" i="41"/>
  <c r="D225" i="41"/>
  <c r="E225" i="41"/>
  <c r="F225" i="41"/>
  <c r="G225" i="41"/>
  <c r="D226" i="41"/>
  <c r="E226" i="41"/>
  <c r="F226" i="41"/>
  <c r="G226" i="41"/>
  <c r="D227" i="41"/>
  <c r="E227" i="41"/>
  <c r="F227" i="41"/>
  <c r="G227" i="41"/>
  <c r="D228" i="41"/>
  <c r="E228" i="41"/>
  <c r="F228" i="41"/>
  <c r="G228" i="41"/>
  <c r="D229" i="41"/>
  <c r="E229" i="41"/>
  <c r="F229" i="41"/>
  <c r="G229" i="41"/>
  <c r="D230" i="41"/>
  <c r="E230" i="41"/>
  <c r="F230" i="41"/>
  <c r="G230" i="41"/>
  <c r="D231" i="41"/>
  <c r="E231" i="41"/>
  <c r="F231" i="41"/>
  <c r="G231" i="41"/>
  <c r="D232" i="41"/>
  <c r="E232" i="41"/>
  <c r="F232" i="41"/>
  <c r="G232" i="41"/>
  <c r="D233" i="41"/>
  <c r="E233" i="41"/>
  <c r="F233" i="41"/>
  <c r="G233" i="41"/>
  <c r="D234" i="41"/>
  <c r="E234" i="41"/>
  <c r="F234" i="41"/>
  <c r="G234" i="41"/>
  <c r="D235" i="41"/>
  <c r="E235" i="41"/>
  <c r="F235" i="41"/>
  <c r="G235" i="41"/>
  <c r="D236" i="41"/>
  <c r="E236" i="41"/>
  <c r="F236" i="41"/>
  <c r="G236" i="41"/>
  <c r="D238" i="41"/>
  <c r="E238" i="41"/>
  <c r="F238" i="41"/>
  <c r="G238" i="41"/>
  <c r="D239" i="41"/>
  <c r="E239" i="41"/>
  <c r="F239" i="41"/>
  <c r="G239" i="41"/>
  <c r="D240" i="41"/>
  <c r="E240" i="41"/>
  <c r="F240" i="41"/>
  <c r="G240" i="41"/>
  <c r="D241" i="41"/>
  <c r="E241" i="41"/>
  <c r="F241" i="41"/>
  <c r="G241" i="41"/>
  <c r="D242" i="41"/>
  <c r="E242" i="41"/>
  <c r="F242" i="41"/>
  <c r="G242" i="41"/>
  <c r="D243" i="41"/>
  <c r="E243" i="41"/>
  <c r="F243" i="41"/>
  <c r="G243" i="41"/>
  <c r="D244" i="41"/>
  <c r="E244" i="41"/>
  <c r="F244" i="41"/>
  <c r="G244" i="41"/>
  <c r="D245" i="41"/>
  <c r="E245" i="41"/>
  <c r="F245" i="41"/>
  <c r="G245" i="41"/>
  <c r="D246" i="41"/>
  <c r="E246" i="41"/>
  <c r="F246" i="41"/>
  <c r="G246" i="41"/>
  <c r="D247" i="41"/>
  <c r="E247" i="41"/>
  <c r="F247" i="41"/>
  <c r="G247" i="41"/>
  <c r="D248" i="41"/>
  <c r="E248" i="41"/>
  <c r="F248" i="41"/>
  <c r="G248" i="41"/>
  <c r="D249" i="41"/>
  <c r="E249" i="41"/>
  <c r="F249" i="41"/>
  <c r="G249" i="41"/>
  <c r="D251" i="41"/>
  <c r="E251" i="41"/>
  <c r="F251" i="41"/>
  <c r="G251" i="41"/>
  <c r="D252" i="41"/>
  <c r="E252" i="41"/>
  <c r="F252" i="41"/>
  <c r="G252" i="41"/>
  <c r="D253" i="41"/>
  <c r="E253" i="41"/>
  <c r="F253" i="41"/>
  <c r="G253" i="41"/>
  <c r="D254" i="41"/>
  <c r="E254" i="41"/>
  <c r="F254" i="41"/>
  <c r="G254" i="41"/>
  <c r="D255" i="41"/>
  <c r="E255" i="41"/>
  <c r="F255" i="41"/>
  <c r="G255" i="41"/>
  <c r="D256" i="41"/>
  <c r="E256" i="41"/>
  <c r="F256" i="41"/>
  <c r="G256" i="41"/>
  <c r="D257" i="41"/>
  <c r="E257" i="41"/>
  <c r="F257" i="41"/>
  <c r="G257" i="41"/>
  <c r="D258" i="41"/>
  <c r="E258" i="41"/>
  <c r="F258" i="41"/>
  <c r="G258" i="41"/>
  <c r="D259" i="41"/>
  <c r="E259" i="41"/>
  <c r="F259" i="41"/>
  <c r="G259" i="41"/>
  <c r="D260" i="41"/>
  <c r="E260" i="41"/>
  <c r="F260" i="41"/>
  <c r="G260" i="41"/>
  <c r="D261" i="41"/>
  <c r="E261" i="41"/>
  <c r="F261" i="41"/>
  <c r="G261" i="41"/>
  <c r="D262" i="41"/>
  <c r="E262" i="41"/>
  <c r="F262" i="41"/>
  <c r="G262" i="41"/>
  <c r="T226" i="42"/>
  <c r="U226" i="42"/>
  <c r="V226" i="42"/>
  <c r="T227" i="42"/>
  <c r="U227" i="42"/>
  <c r="V227" i="42"/>
  <c r="T228" i="42"/>
  <c r="U228" i="42"/>
  <c r="V228" i="42"/>
  <c r="T229" i="42"/>
  <c r="U229" i="42"/>
  <c r="V229" i="42"/>
  <c r="T230" i="42"/>
  <c r="U230" i="42"/>
  <c r="V230" i="42"/>
  <c r="T231" i="42"/>
  <c r="U231" i="42"/>
  <c r="V231" i="42"/>
  <c r="T232" i="42"/>
  <c r="U232" i="42"/>
  <c r="V232" i="42"/>
  <c r="T233" i="42"/>
  <c r="U233" i="42"/>
  <c r="V233" i="42"/>
  <c r="T234" i="42"/>
  <c r="U234" i="42"/>
  <c r="V234" i="42"/>
  <c r="T235" i="42"/>
  <c r="U235" i="42"/>
  <c r="V235" i="42"/>
  <c r="T236" i="42"/>
  <c r="U236" i="42"/>
  <c r="V236" i="42"/>
  <c r="T237" i="42"/>
  <c r="U237" i="42"/>
  <c r="V237" i="42"/>
  <c r="T238" i="42"/>
  <c r="U238" i="42"/>
  <c r="V238" i="42"/>
  <c r="T239" i="42"/>
  <c r="U239" i="42"/>
  <c r="V239" i="42"/>
  <c r="T240" i="42"/>
  <c r="U240" i="42"/>
  <c r="V240" i="42"/>
  <c r="T241" i="42"/>
  <c r="U241" i="42"/>
  <c r="V241" i="42"/>
  <c r="T242" i="42"/>
  <c r="U242" i="42"/>
  <c r="V242" i="42"/>
  <c r="T243" i="42"/>
  <c r="U243" i="42"/>
  <c r="V243" i="42"/>
  <c r="T244" i="42"/>
  <c r="U244" i="42"/>
  <c r="V244" i="42"/>
  <c r="T245" i="42"/>
  <c r="U245" i="42"/>
  <c r="V245" i="42"/>
  <c r="T247" i="42"/>
  <c r="U247" i="42"/>
  <c r="V247" i="42"/>
  <c r="T248" i="42"/>
  <c r="U248" i="42"/>
  <c r="V248" i="42"/>
  <c r="T249" i="42"/>
  <c r="U249" i="42"/>
  <c r="V249" i="42"/>
  <c r="T250" i="42"/>
  <c r="U250" i="42"/>
  <c r="V250" i="42"/>
  <c r="T251" i="42"/>
  <c r="U251" i="42"/>
  <c r="V251" i="42"/>
  <c r="T252" i="42"/>
  <c r="U252" i="42"/>
  <c r="V252" i="42"/>
  <c r="T253" i="42"/>
  <c r="U253" i="42"/>
  <c r="V253" i="42"/>
  <c r="T254" i="42"/>
  <c r="U254" i="42"/>
  <c r="V254" i="42"/>
  <c r="T255" i="42"/>
  <c r="U255" i="42"/>
  <c r="V255" i="42"/>
  <c r="T256" i="42"/>
  <c r="U256" i="42"/>
  <c r="V256" i="42"/>
  <c r="T257" i="42"/>
  <c r="U257" i="42"/>
  <c r="V257" i="42"/>
  <c r="T258" i="42"/>
  <c r="U258" i="42"/>
  <c r="V258" i="42"/>
  <c r="T259" i="42"/>
  <c r="U259" i="42"/>
  <c r="V259" i="42"/>
  <c r="T260" i="42"/>
  <c r="U260" i="42"/>
  <c r="V260" i="42"/>
  <c r="T261" i="42"/>
  <c r="U261" i="42"/>
  <c r="V261" i="42"/>
  <c r="T262" i="42"/>
  <c r="U262" i="42"/>
  <c r="V262" i="42"/>
  <c r="T263" i="42"/>
  <c r="U263" i="42"/>
  <c r="V263" i="42"/>
  <c r="T264" i="42"/>
  <c r="U264" i="42"/>
  <c r="V264" i="42"/>
  <c r="T265" i="42"/>
  <c r="U265" i="42"/>
  <c r="V265" i="42"/>
  <c r="T266" i="42"/>
  <c r="U266" i="42"/>
  <c r="V266" i="42"/>
  <c r="T268" i="42"/>
  <c r="U268" i="42"/>
  <c r="V268" i="42"/>
  <c r="T269" i="42"/>
  <c r="U269" i="42"/>
  <c r="V269" i="42"/>
  <c r="T270" i="42"/>
  <c r="U270" i="42"/>
  <c r="V270" i="42"/>
  <c r="T271" i="42"/>
  <c r="U271" i="42"/>
  <c r="V271" i="42"/>
  <c r="T272" i="42"/>
  <c r="U272" i="42"/>
  <c r="V272" i="42"/>
  <c r="T273" i="42"/>
  <c r="U273" i="42"/>
  <c r="V273" i="42"/>
  <c r="T274" i="42"/>
  <c r="U274" i="42"/>
  <c r="V274" i="42"/>
  <c r="T275" i="42"/>
  <c r="U275" i="42"/>
  <c r="V275" i="42"/>
  <c r="T276" i="42"/>
  <c r="U276" i="42"/>
  <c r="V276" i="42"/>
  <c r="T277" i="42"/>
  <c r="U277" i="42"/>
  <c r="V277" i="42"/>
  <c r="T278" i="42"/>
  <c r="U278" i="42"/>
  <c r="V278" i="42"/>
  <c r="T279" i="42"/>
  <c r="U279" i="42"/>
  <c r="V279" i="42"/>
  <c r="T280" i="42"/>
  <c r="U280" i="42"/>
  <c r="V280" i="42"/>
  <c r="T281" i="42"/>
  <c r="U281" i="42"/>
  <c r="V281" i="42"/>
  <c r="T282" i="42"/>
  <c r="U282" i="42"/>
  <c r="V282" i="42"/>
  <c r="T283" i="42"/>
  <c r="U283" i="42"/>
  <c r="V283" i="42"/>
  <c r="T284" i="42"/>
  <c r="U284" i="42"/>
  <c r="V284" i="42"/>
  <c r="T285" i="42"/>
  <c r="U285" i="42"/>
  <c r="V285" i="42"/>
  <c r="T286" i="42"/>
  <c r="U286" i="42"/>
  <c r="V286" i="42"/>
  <c r="T287" i="42"/>
  <c r="U287" i="42"/>
  <c r="V287" i="42"/>
  <c r="T289" i="42"/>
  <c r="U289" i="42"/>
  <c r="V289" i="42"/>
  <c r="T290" i="42"/>
  <c r="U290" i="42"/>
  <c r="V290" i="42"/>
  <c r="T291" i="42"/>
  <c r="U291" i="42"/>
  <c r="V291" i="42"/>
  <c r="T292" i="42"/>
  <c r="U292" i="42"/>
  <c r="V292" i="42"/>
  <c r="T293" i="42"/>
  <c r="U293" i="42"/>
  <c r="V293" i="42"/>
  <c r="T294" i="42"/>
  <c r="U294" i="42"/>
  <c r="V294" i="42"/>
  <c r="T295" i="42"/>
  <c r="U295" i="42"/>
  <c r="V295" i="42"/>
  <c r="T296" i="42"/>
  <c r="U296" i="42"/>
  <c r="V296" i="42"/>
  <c r="T297" i="42"/>
  <c r="U297" i="42"/>
  <c r="V297" i="42"/>
  <c r="T298" i="42"/>
  <c r="U298" i="42"/>
  <c r="V298" i="42"/>
  <c r="T299" i="42"/>
  <c r="U299" i="42"/>
  <c r="V299" i="42"/>
  <c r="T300" i="42"/>
  <c r="U300" i="42"/>
  <c r="V300" i="42"/>
  <c r="T301" i="42"/>
  <c r="U301" i="42"/>
  <c r="V301" i="42"/>
  <c r="T302" i="42"/>
  <c r="U302" i="42"/>
  <c r="V302" i="42"/>
  <c r="T303" i="42"/>
  <c r="U303" i="42"/>
  <c r="V303" i="42"/>
  <c r="T304" i="42"/>
  <c r="U304" i="42"/>
  <c r="V304" i="42"/>
  <c r="T305" i="42"/>
  <c r="U305" i="42"/>
  <c r="V305" i="42"/>
  <c r="T306" i="42"/>
  <c r="U306" i="42"/>
  <c r="V306" i="42"/>
  <c r="T307" i="42"/>
  <c r="U307" i="42"/>
  <c r="V307" i="42"/>
  <c r="T308" i="42"/>
  <c r="U308" i="42"/>
  <c r="V308" i="42"/>
  <c r="T310" i="42"/>
  <c r="U310" i="42"/>
  <c r="V310" i="42"/>
  <c r="T311" i="42"/>
  <c r="U311" i="42"/>
  <c r="V311" i="42"/>
  <c r="T312" i="42"/>
  <c r="U312" i="42"/>
  <c r="V312" i="42"/>
  <c r="T313" i="42"/>
  <c r="U313" i="42"/>
  <c r="V313" i="42"/>
  <c r="T314" i="42"/>
  <c r="U314" i="42"/>
  <c r="V314" i="42"/>
  <c r="T315" i="42"/>
  <c r="U315" i="42"/>
  <c r="V315" i="42"/>
  <c r="T316" i="42"/>
  <c r="U316" i="42"/>
  <c r="V316" i="42"/>
  <c r="T317" i="42"/>
  <c r="U317" i="42"/>
  <c r="V317" i="42"/>
  <c r="T318" i="42"/>
  <c r="U318" i="42"/>
  <c r="V318" i="42"/>
  <c r="T319" i="42"/>
  <c r="U319" i="42"/>
  <c r="V319" i="42"/>
  <c r="T320" i="42"/>
  <c r="U320" i="42"/>
  <c r="V320" i="42"/>
  <c r="T321" i="42"/>
  <c r="U321" i="42"/>
  <c r="V321" i="42"/>
  <c r="T322" i="42"/>
  <c r="U322" i="42"/>
  <c r="V322" i="42"/>
  <c r="T323" i="42"/>
  <c r="U323" i="42"/>
  <c r="V323" i="42"/>
  <c r="T324" i="42"/>
  <c r="U324" i="42"/>
  <c r="V324" i="42"/>
  <c r="T325" i="42"/>
  <c r="U325" i="42"/>
  <c r="V325" i="42"/>
  <c r="T326" i="42"/>
  <c r="U326" i="42"/>
  <c r="V326" i="42"/>
  <c r="T327" i="42"/>
  <c r="U327" i="42"/>
  <c r="V327" i="42"/>
  <c r="T328" i="42"/>
  <c r="U328" i="42"/>
  <c r="V328" i="42"/>
  <c r="T329" i="42"/>
  <c r="U329" i="42"/>
  <c r="V329" i="42"/>
  <c r="T331" i="42"/>
  <c r="U331" i="42"/>
  <c r="V331" i="42"/>
  <c r="T332" i="42"/>
  <c r="U332" i="42"/>
  <c r="V332" i="42"/>
  <c r="T333" i="42"/>
  <c r="U333" i="42"/>
  <c r="V333" i="42"/>
  <c r="T334" i="42"/>
  <c r="U334" i="42"/>
  <c r="V334" i="42"/>
  <c r="T335" i="42"/>
  <c r="U335" i="42"/>
  <c r="V335" i="42"/>
  <c r="T336" i="42"/>
  <c r="U336" i="42"/>
  <c r="V336" i="42"/>
  <c r="T337" i="42"/>
  <c r="U337" i="42"/>
  <c r="V337" i="42"/>
  <c r="T338" i="42"/>
  <c r="U338" i="42"/>
  <c r="V338" i="42"/>
  <c r="T339" i="42"/>
  <c r="U339" i="42"/>
  <c r="V339" i="42"/>
  <c r="T340" i="42"/>
  <c r="U340" i="42"/>
  <c r="V340" i="42"/>
  <c r="T341" i="42"/>
  <c r="U341" i="42"/>
  <c r="V341" i="42"/>
  <c r="T342" i="42"/>
  <c r="U342" i="42"/>
  <c r="V342" i="42"/>
  <c r="T343" i="42"/>
  <c r="U343" i="42"/>
  <c r="V343" i="42"/>
  <c r="T344" i="42"/>
  <c r="U344" i="42"/>
  <c r="V344" i="42"/>
  <c r="T345" i="42"/>
  <c r="U345" i="42"/>
  <c r="V345" i="42"/>
  <c r="T346" i="42"/>
  <c r="U346" i="42"/>
  <c r="V346" i="42"/>
  <c r="T347" i="42"/>
  <c r="U347" i="42"/>
  <c r="V347" i="42"/>
  <c r="T348" i="42"/>
  <c r="U348" i="42"/>
  <c r="V348" i="42"/>
  <c r="T349" i="42"/>
  <c r="U349" i="42"/>
  <c r="V349" i="42"/>
  <c r="T350" i="42"/>
  <c r="U350" i="42"/>
  <c r="V350" i="42"/>
  <c r="T352" i="42"/>
  <c r="U352" i="42"/>
  <c r="V352" i="42"/>
  <c r="T353" i="42"/>
  <c r="U353" i="42"/>
  <c r="V353" i="42"/>
  <c r="T354" i="42"/>
  <c r="U354" i="42"/>
  <c r="V354" i="42"/>
  <c r="T355" i="42"/>
  <c r="U355" i="42"/>
  <c r="V355" i="42"/>
  <c r="T356" i="42"/>
  <c r="U356" i="42"/>
  <c r="V356" i="42"/>
  <c r="T357" i="42"/>
  <c r="U357" i="42"/>
  <c r="V357" i="42"/>
  <c r="T358" i="42"/>
  <c r="U358" i="42"/>
  <c r="V358" i="42"/>
  <c r="T359" i="42"/>
  <c r="U359" i="42"/>
  <c r="V359" i="42"/>
  <c r="T360" i="42"/>
  <c r="U360" i="42"/>
  <c r="V360" i="42"/>
  <c r="T361" i="42"/>
  <c r="U361" i="42"/>
  <c r="V361" i="42"/>
  <c r="T362" i="42"/>
  <c r="U362" i="42"/>
  <c r="V362" i="42"/>
  <c r="T363" i="42"/>
  <c r="U363" i="42"/>
  <c r="V363" i="42"/>
  <c r="T364" i="42"/>
  <c r="U364" i="42"/>
  <c r="V364" i="42"/>
  <c r="T365" i="42"/>
  <c r="U365" i="42"/>
  <c r="V365" i="42"/>
  <c r="T366" i="42"/>
  <c r="U366" i="42"/>
  <c r="V366" i="42"/>
  <c r="T367" i="42"/>
  <c r="U367" i="42"/>
  <c r="V367" i="42"/>
  <c r="T368" i="42"/>
  <c r="U368" i="42"/>
  <c r="V368" i="42"/>
  <c r="T369" i="42"/>
  <c r="U369" i="42"/>
  <c r="V369" i="42"/>
  <c r="T370" i="42"/>
  <c r="U370" i="42"/>
  <c r="V370" i="42"/>
  <c r="T371" i="42"/>
  <c r="U371" i="42"/>
  <c r="V371" i="42"/>
  <c r="L226" i="42"/>
  <c r="M226" i="42"/>
  <c r="N226" i="42"/>
  <c r="L227" i="42"/>
  <c r="M227" i="42"/>
  <c r="N227" i="42"/>
  <c r="L228" i="42"/>
  <c r="M228" i="42"/>
  <c r="N228" i="42"/>
  <c r="L229" i="42"/>
  <c r="M229" i="42"/>
  <c r="N229" i="42"/>
  <c r="L230" i="42"/>
  <c r="M230" i="42"/>
  <c r="N230" i="42"/>
  <c r="L231" i="42"/>
  <c r="M231" i="42"/>
  <c r="N231" i="42"/>
  <c r="L232" i="42"/>
  <c r="M232" i="42"/>
  <c r="N232" i="42"/>
  <c r="L233" i="42"/>
  <c r="M233" i="42"/>
  <c r="N233" i="42"/>
  <c r="L234" i="42"/>
  <c r="M234" i="42"/>
  <c r="N234" i="42"/>
  <c r="L235" i="42"/>
  <c r="M235" i="42"/>
  <c r="N235" i="42"/>
  <c r="L236" i="42"/>
  <c r="M236" i="42"/>
  <c r="N236" i="42"/>
  <c r="L237" i="42"/>
  <c r="M237" i="42"/>
  <c r="N237" i="42"/>
  <c r="L238" i="42"/>
  <c r="M238" i="42"/>
  <c r="N238" i="42"/>
  <c r="L239" i="42"/>
  <c r="M239" i="42"/>
  <c r="N239" i="42"/>
  <c r="L240" i="42"/>
  <c r="M240" i="42"/>
  <c r="N240" i="42"/>
  <c r="L241" i="42"/>
  <c r="M241" i="42"/>
  <c r="N241" i="42"/>
  <c r="L242" i="42"/>
  <c r="M242" i="42"/>
  <c r="N242" i="42"/>
  <c r="L243" i="42"/>
  <c r="M243" i="42"/>
  <c r="N243" i="42"/>
  <c r="L244" i="42"/>
  <c r="M244" i="42"/>
  <c r="N244" i="42"/>
  <c r="L245" i="42"/>
  <c r="M245" i="42"/>
  <c r="N245" i="42"/>
  <c r="L247" i="42"/>
  <c r="M247" i="42"/>
  <c r="N247" i="42"/>
  <c r="L248" i="42"/>
  <c r="M248" i="42"/>
  <c r="N248" i="42"/>
  <c r="L249" i="42"/>
  <c r="M249" i="42"/>
  <c r="N249" i="42"/>
  <c r="L250" i="42"/>
  <c r="M250" i="42"/>
  <c r="N250" i="42"/>
  <c r="L251" i="42"/>
  <c r="M251" i="42"/>
  <c r="N251" i="42"/>
  <c r="L252" i="42"/>
  <c r="M252" i="42"/>
  <c r="N252" i="42"/>
  <c r="L253" i="42"/>
  <c r="M253" i="42"/>
  <c r="N253" i="42"/>
  <c r="L254" i="42"/>
  <c r="M254" i="42"/>
  <c r="N254" i="42"/>
  <c r="L255" i="42"/>
  <c r="M255" i="42"/>
  <c r="N255" i="42"/>
  <c r="L256" i="42"/>
  <c r="M256" i="42"/>
  <c r="N256" i="42"/>
  <c r="L257" i="42"/>
  <c r="M257" i="42"/>
  <c r="N257" i="42"/>
  <c r="L258" i="42"/>
  <c r="M258" i="42"/>
  <c r="N258" i="42"/>
  <c r="L259" i="42"/>
  <c r="M259" i="42"/>
  <c r="N259" i="42"/>
  <c r="L260" i="42"/>
  <c r="M260" i="42"/>
  <c r="N260" i="42"/>
  <c r="L261" i="42"/>
  <c r="M261" i="42"/>
  <c r="N261" i="42"/>
  <c r="L262" i="42"/>
  <c r="M262" i="42"/>
  <c r="N262" i="42"/>
  <c r="L263" i="42"/>
  <c r="M263" i="42"/>
  <c r="N263" i="42"/>
  <c r="L264" i="42"/>
  <c r="M264" i="42"/>
  <c r="N264" i="42"/>
  <c r="L265" i="42"/>
  <c r="M265" i="42"/>
  <c r="N265" i="42"/>
  <c r="L266" i="42"/>
  <c r="M266" i="42"/>
  <c r="N266" i="42"/>
  <c r="L268" i="42"/>
  <c r="M268" i="42"/>
  <c r="N268" i="42"/>
  <c r="L269" i="42"/>
  <c r="M269" i="42"/>
  <c r="N269" i="42"/>
  <c r="L270" i="42"/>
  <c r="M270" i="42"/>
  <c r="N270" i="42"/>
  <c r="L271" i="42"/>
  <c r="M271" i="42"/>
  <c r="N271" i="42"/>
  <c r="L272" i="42"/>
  <c r="M272" i="42"/>
  <c r="N272" i="42"/>
  <c r="L273" i="42"/>
  <c r="M273" i="42"/>
  <c r="N273" i="42"/>
  <c r="L274" i="42"/>
  <c r="M274" i="42"/>
  <c r="N274" i="42"/>
  <c r="L275" i="42"/>
  <c r="M275" i="42"/>
  <c r="N275" i="42"/>
  <c r="L276" i="42"/>
  <c r="M276" i="42"/>
  <c r="N276" i="42"/>
  <c r="L277" i="42"/>
  <c r="M277" i="42"/>
  <c r="N277" i="42"/>
  <c r="L278" i="42"/>
  <c r="M278" i="42"/>
  <c r="N278" i="42"/>
  <c r="L279" i="42"/>
  <c r="M279" i="42"/>
  <c r="N279" i="42"/>
  <c r="L280" i="42"/>
  <c r="M280" i="42"/>
  <c r="N280" i="42"/>
  <c r="L281" i="42"/>
  <c r="M281" i="42"/>
  <c r="N281" i="42"/>
  <c r="L282" i="42"/>
  <c r="M282" i="42"/>
  <c r="N282" i="42"/>
  <c r="L283" i="42"/>
  <c r="M283" i="42"/>
  <c r="N283" i="42"/>
  <c r="L284" i="42"/>
  <c r="M284" i="42"/>
  <c r="N284" i="42"/>
  <c r="L285" i="42"/>
  <c r="M285" i="42"/>
  <c r="N285" i="42"/>
  <c r="L286" i="42"/>
  <c r="M286" i="42"/>
  <c r="N286" i="42"/>
  <c r="L287" i="42"/>
  <c r="M287" i="42"/>
  <c r="N287" i="42"/>
  <c r="L289" i="42"/>
  <c r="M289" i="42"/>
  <c r="N289" i="42"/>
  <c r="L290" i="42"/>
  <c r="M290" i="42"/>
  <c r="N290" i="42"/>
  <c r="L291" i="42"/>
  <c r="M291" i="42"/>
  <c r="N291" i="42"/>
  <c r="L292" i="42"/>
  <c r="M292" i="42"/>
  <c r="N292" i="42"/>
  <c r="L293" i="42"/>
  <c r="M293" i="42"/>
  <c r="N293" i="42"/>
  <c r="L294" i="42"/>
  <c r="M294" i="42"/>
  <c r="N294" i="42"/>
  <c r="L295" i="42"/>
  <c r="M295" i="42"/>
  <c r="N295" i="42"/>
  <c r="L296" i="42"/>
  <c r="M296" i="42"/>
  <c r="N296" i="42"/>
  <c r="L297" i="42"/>
  <c r="M297" i="42"/>
  <c r="N297" i="42"/>
  <c r="L298" i="42"/>
  <c r="M298" i="42"/>
  <c r="N298" i="42"/>
  <c r="L299" i="42"/>
  <c r="M299" i="42"/>
  <c r="N299" i="42"/>
  <c r="L300" i="42"/>
  <c r="M300" i="42"/>
  <c r="N300" i="42"/>
  <c r="L301" i="42"/>
  <c r="M301" i="42"/>
  <c r="N301" i="42"/>
  <c r="L302" i="42"/>
  <c r="M302" i="42"/>
  <c r="N302" i="42"/>
  <c r="L303" i="42"/>
  <c r="M303" i="42"/>
  <c r="N303" i="42"/>
  <c r="L304" i="42"/>
  <c r="M304" i="42"/>
  <c r="N304" i="42"/>
  <c r="L305" i="42"/>
  <c r="M305" i="42"/>
  <c r="N305" i="42"/>
  <c r="L306" i="42"/>
  <c r="M306" i="42"/>
  <c r="N306" i="42"/>
  <c r="L307" i="42"/>
  <c r="M307" i="42"/>
  <c r="N307" i="42"/>
  <c r="L308" i="42"/>
  <c r="M308" i="42"/>
  <c r="N308" i="42"/>
  <c r="L310" i="42"/>
  <c r="M310" i="42"/>
  <c r="N310" i="42"/>
  <c r="L311" i="42"/>
  <c r="M311" i="42"/>
  <c r="N311" i="42"/>
  <c r="L312" i="42"/>
  <c r="M312" i="42"/>
  <c r="N312" i="42"/>
  <c r="L313" i="42"/>
  <c r="M313" i="42"/>
  <c r="N313" i="42"/>
  <c r="L314" i="42"/>
  <c r="M314" i="42"/>
  <c r="N314" i="42"/>
  <c r="L315" i="42"/>
  <c r="M315" i="42"/>
  <c r="N315" i="42"/>
  <c r="L316" i="42"/>
  <c r="M316" i="42"/>
  <c r="N316" i="42"/>
  <c r="L317" i="42"/>
  <c r="M317" i="42"/>
  <c r="N317" i="42"/>
  <c r="L318" i="42"/>
  <c r="M318" i="42"/>
  <c r="N318" i="42"/>
  <c r="L319" i="42"/>
  <c r="M319" i="42"/>
  <c r="N319" i="42"/>
  <c r="L320" i="42"/>
  <c r="M320" i="42"/>
  <c r="N320" i="42"/>
  <c r="L321" i="42"/>
  <c r="M321" i="42"/>
  <c r="N321" i="42"/>
  <c r="L322" i="42"/>
  <c r="M322" i="42"/>
  <c r="N322" i="42"/>
  <c r="L323" i="42"/>
  <c r="M323" i="42"/>
  <c r="N323" i="42"/>
  <c r="L324" i="42"/>
  <c r="M324" i="42"/>
  <c r="N324" i="42"/>
  <c r="L325" i="42"/>
  <c r="M325" i="42"/>
  <c r="N325" i="42"/>
  <c r="L326" i="42"/>
  <c r="M326" i="42"/>
  <c r="N326" i="42"/>
  <c r="L327" i="42"/>
  <c r="M327" i="42"/>
  <c r="N327" i="42"/>
  <c r="L328" i="42"/>
  <c r="M328" i="42"/>
  <c r="N328" i="42"/>
  <c r="L329" i="42"/>
  <c r="M329" i="42"/>
  <c r="N329" i="42"/>
  <c r="L331" i="42"/>
  <c r="M331" i="42"/>
  <c r="N331" i="42"/>
  <c r="L332" i="42"/>
  <c r="M332" i="42"/>
  <c r="N332" i="42"/>
  <c r="L333" i="42"/>
  <c r="M333" i="42"/>
  <c r="N333" i="42"/>
  <c r="L334" i="42"/>
  <c r="M334" i="42"/>
  <c r="N334" i="42"/>
  <c r="L335" i="42"/>
  <c r="M335" i="42"/>
  <c r="N335" i="42"/>
  <c r="L336" i="42"/>
  <c r="M336" i="42"/>
  <c r="N336" i="42"/>
  <c r="L337" i="42"/>
  <c r="M337" i="42"/>
  <c r="N337" i="42"/>
  <c r="L338" i="42"/>
  <c r="M338" i="42"/>
  <c r="N338" i="42"/>
  <c r="L339" i="42"/>
  <c r="M339" i="42"/>
  <c r="N339" i="42"/>
  <c r="L340" i="42"/>
  <c r="M340" i="42"/>
  <c r="N340" i="42"/>
  <c r="L341" i="42"/>
  <c r="M341" i="42"/>
  <c r="N341" i="42"/>
  <c r="L342" i="42"/>
  <c r="M342" i="42"/>
  <c r="N342" i="42"/>
  <c r="L343" i="42"/>
  <c r="M343" i="42"/>
  <c r="N343" i="42"/>
  <c r="L344" i="42"/>
  <c r="M344" i="42"/>
  <c r="N344" i="42"/>
  <c r="L345" i="42"/>
  <c r="M345" i="42"/>
  <c r="N345" i="42"/>
  <c r="L346" i="42"/>
  <c r="M346" i="42"/>
  <c r="N346" i="42"/>
  <c r="L347" i="42"/>
  <c r="M347" i="42"/>
  <c r="N347" i="42"/>
  <c r="L348" i="42"/>
  <c r="M348" i="42"/>
  <c r="N348" i="42"/>
  <c r="L349" i="42"/>
  <c r="M349" i="42"/>
  <c r="N349" i="42"/>
  <c r="L350" i="42"/>
  <c r="M350" i="42"/>
  <c r="N350" i="42"/>
  <c r="L352" i="42"/>
  <c r="M352" i="42"/>
  <c r="N352" i="42"/>
  <c r="L353" i="42"/>
  <c r="M353" i="42"/>
  <c r="N353" i="42"/>
  <c r="L354" i="42"/>
  <c r="M354" i="42"/>
  <c r="N354" i="42"/>
  <c r="L355" i="42"/>
  <c r="M355" i="42"/>
  <c r="N355" i="42"/>
  <c r="L356" i="42"/>
  <c r="M356" i="42"/>
  <c r="N356" i="42"/>
  <c r="L357" i="42"/>
  <c r="M357" i="42"/>
  <c r="N357" i="42"/>
  <c r="L358" i="42"/>
  <c r="M358" i="42"/>
  <c r="N358" i="42"/>
  <c r="L359" i="42"/>
  <c r="M359" i="42"/>
  <c r="N359" i="42"/>
  <c r="L360" i="42"/>
  <c r="M360" i="42"/>
  <c r="N360" i="42"/>
  <c r="L361" i="42"/>
  <c r="M361" i="42"/>
  <c r="N361" i="42"/>
  <c r="L362" i="42"/>
  <c r="M362" i="42"/>
  <c r="N362" i="42"/>
  <c r="L363" i="42"/>
  <c r="M363" i="42"/>
  <c r="N363" i="42"/>
  <c r="L364" i="42"/>
  <c r="M364" i="42"/>
  <c r="N364" i="42"/>
  <c r="L365" i="42"/>
  <c r="M365" i="42"/>
  <c r="N365" i="42"/>
  <c r="L366" i="42"/>
  <c r="M366" i="42"/>
  <c r="N366" i="42"/>
  <c r="L367" i="42"/>
  <c r="M367" i="42"/>
  <c r="N367" i="42"/>
  <c r="L368" i="42"/>
  <c r="M368" i="42"/>
  <c r="N368" i="42"/>
  <c r="L369" i="42"/>
  <c r="M369" i="42"/>
  <c r="N369" i="42"/>
  <c r="L370" i="42"/>
  <c r="M370" i="42"/>
  <c r="N370" i="42"/>
  <c r="L371" i="42"/>
  <c r="M371" i="42"/>
  <c r="N371" i="42"/>
  <c r="D226" i="42"/>
  <c r="E226" i="42"/>
  <c r="F226" i="42"/>
  <c r="D227" i="42"/>
  <c r="E227" i="42"/>
  <c r="F227" i="42"/>
  <c r="D228" i="42"/>
  <c r="E228" i="42"/>
  <c r="F228" i="42"/>
  <c r="D229" i="42"/>
  <c r="E229" i="42"/>
  <c r="F229" i="42"/>
  <c r="D230" i="42"/>
  <c r="E230" i="42"/>
  <c r="F230" i="42"/>
  <c r="D231" i="42"/>
  <c r="E231" i="42"/>
  <c r="F231" i="42"/>
  <c r="D232" i="42"/>
  <c r="E232" i="42"/>
  <c r="F232" i="42"/>
  <c r="D233" i="42"/>
  <c r="E233" i="42"/>
  <c r="F233" i="42"/>
  <c r="D234" i="42"/>
  <c r="E234" i="42"/>
  <c r="F234" i="42"/>
  <c r="D235" i="42"/>
  <c r="E235" i="42"/>
  <c r="F235" i="42"/>
  <c r="D236" i="42"/>
  <c r="E236" i="42"/>
  <c r="F236" i="42"/>
  <c r="D237" i="42"/>
  <c r="E237" i="42"/>
  <c r="F237" i="42"/>
  <c r="D238" i="42"/>
  <c r="E238" i="42"/>
  <c r="F238" i="42"/>
  <c r="D239" i="42"/>
  <c r="E239" i="42"/>
  <c r="F239" i="42"/>
  <c r="D240" i="42"/>
  <c r="E240" i="42"/>
  <c r="F240" i="42"/>
  <c r="D241" i="42"/>
  <c r="E241" i="42"/>
  <c r="F241" i="42"/>
  <c r="D242" i="42"/>
  <c r="E242" i="42"/>
  <c r="F242" i="42"/>
  <c r="D243" i="42"/>
  <c r="E243" i="42"/>
  <c r="F243" i="42"/>
  <c r="D244" i="42"/>
  <c r="E244" i="42"/>
  <c r="F244" i="42"/>
  <c r="D245" i="42"/>
  <c r="E245" i="42"/>
  <c r="F245" i="42"/>
  <c r="D247" i="42"/>
  <c r="E247" i="42"/>
  <c r="F247" i="42"/>
  <c r="D248" i="42"/>
  <c r="E248" i="42"/>
  <c r="F248" i="42"/>
  <c r="D249" i="42"/>
  <c r="E249" i="42"/>
  <c r="F249" i="42"/>
  <c r="D250" i="42"/>
  <c r="E250" i="42"/>
  <c r="F250" i="42"/>
  <c r="D251" i="42"/>
  <c r="E251" i="42"/>
  <c r="F251" i="42"/>
  <c r="D252" i="42"/>
  <c r="E252" i="42"/>
  <c r="F252" i="42"/>
  <c r="D253" i="42"/>
  <c r="E253" i="42"/>
  <c r="F253" i="42"/>
  <c r="D254" i="42"/>
  <c r="E254" i="42"/>
  <c r="F254" i="42"/>
  <c r="D255" i="42"/>
  <c r="E255" i="42"/>
  <c r="F255" i="42"/>
  <c r="D256" i="42"/>
  <c r="E256" i="42"/>
  <c r="F256" i="42"/>
  <c r="D257" i="42"/>
  <c r="E257" i="42"/>
  <c r="F257" i="42"/>
  <c r="D258" i="42"/>
  <c r="E258" i="42"/>
  <c r="F258" i="42"/>
  <c r="D259" i="42"/>
  <c r="E259" i="42"/>
  <c r="F259" i="42"/>
  <c r="D260" i="42"/>
  <c r="E260" i="42"/>
  <c r="F260" i="42"/>
  <c r="D261" i="42"/>
  <c r="E261" i="42"/>
  <c r="F261" i="42"/>
  <c r="D262" i="42"/>
  <c r="E262" i="42"/>
  <c r="F262" i="42"/>
  <c r="D263" i="42"/>
  <c r="E263" i="42"/>
  <c r="F263" i="42"/>
  <c r="D264" i="42"/>
  <c r="E264" i="42"/>
  <c r="F264" i="42"/>
  <c r="D265" i="42"/>
  <c r="E265" i="42"/>
  <c r="F265" i="42"/>
  <c r="D266" i="42"/>
  <c r="E266" i="42"/>
  <c r="F266" i="42"/>
  <c r="D268" i="42"/>
  <c r="E268" i="42"/>
  <c r="F268" i="42"/>
  <c r="D269" i="42"/>
  <c r="E269" i="42"/>
  <c r="F269" i="42"/>
  <c r="D270" i="42"/>
  <c r="E270" i="42"/>
  <c r="F270" i="42"/>
  <c r="D271" i="42"/>
  <c r="E271" i="42"/>
  <c r="F271" i="42"/>
  <c r="D272" i="42"/>
  <c r="E272" i="42"/>
  <c r="F272" i="42"/>
  <c r="D273" i="42"/>
  <c r="E273" i="42"/>
  <c r="F273" i="42"/>
  <c r="D274" i="42"/>
  <c r="E274" i="42"/>
  <c r="F274" i="42"/>
  <c r="D275" i="42"/>
  <c r="E275" i="42"/>
  <c r="F275" i="42"/>
  <c r="D276" i="42"/>
  <c r="E276" i="42"/>
  <c r="F276" i="42"/>
  <c r="D277" i="42"/>
  <c r="E277" i="42"/>
  <c r="F277" i="42"/>
  <c r="D278" i="42"/>
  <c r="E278" i="42"/>
  <c r="F278" i="42"/>
  <c r="D279" i="42"/>
  <c r="E279" i="42"/>
  <c r="F279" i="42"/>
  <c r="D280" i="42"/>
  <c r="E280" i="42"/>
  <c r="F280" i="42"/>
  <c r="D281" i="42"/>
  <c r="E281" i="42"/>
  <c r="F281" i="42"/>
  <c r="D282" i="42"/>
  <c r="E282" i="42"/>
  <c r="F282" i="42"/>
  <c r="D283" i="42"/>
  <c r="E283" i="42"/>
  <c r="F283" i="42"/>
  <c r="D284" i="42"/>
  <c r="E284" i="42"/>
  <c r="F284" i="42"/>
  <c r="D285" i="42"/>
  <c r="E285" i="42"/>
  <c r="F285" i="42"/>
  <c r="D286" i="42"/>
  <c r="E286" i="42"/>
  <c r="F286" i="42"/>
  <c r="D287" i="42"/>
  <c r="E287" i="42"/>
  <c r="F287" i="42"/>
  <c r="D289" i="42"/>
  <c r="E289" i="42"/>
  <c r="F289" i="42"/>
  <c r="D290" i="42"/>
  <c r="E290" i="42"/>
  <c r="F290" i="42"/>
  <c r="D291" i="42"/>
  <c r="E291" i="42"/>
  <c r="F291" i="42"/>
  <c r="D292" i="42"/>
  <c r="E292" i="42"/>
  <c r="F292" i="42"/>
  <c r="D293" i="42"/>
  <c r="E293" i="42"/>
  <c r="F293" i="42"/>
  <c r="D294" i="42"/>
  <c r="E294" i="42"/>
  <c r="F294" i="42"/>
  <c r="D295" i="42"/>
  <c r="E295" i="42"/>
  <c r="F295" i="42"/>
  <c r="D296" i="42"/>
  <c r="E296" i="42"/>
  <c r="F296" i="42"/>
  <c r="D297" i="42"/>
  <c r="E297" i="42"/>
  <c r="F297" i="42"/>
  <c r="D298" i="42"/>
  <c r="E298" i="42"/>
  <c r="F298" i="42"/>
  <c r="D299" i="42"/>
  <c r="E299" i="42"/>
  <c r="F299" i="42"/>
  <c r="D300" i="42"/>
  <c r="E300" i="42"/>
  <c r="F300" i="42"/>
  <c r="D301" i="42"/>
  <c r="E301" i="42"/>
  <c r="F301" i="42"/>
  <c r="D302" i="42"/>
  <c r="E302" i="42"/>
  <c r="F302" i="42"/>
  <c r="D303" i="42"/>
  <c r="E303" i="42"/>
  <c r="F303" i="42"/>
  <c r="D304" i="42"/>
  <c r="E304" i="42"/>
  <c r="F304" i="42"/>
  <c r="D305" i="42"/>
  <c r="E305" i="42"/>
  <c r="F305" i="42"/>
  <c r="D306" i="42"/>
  <c r="E306" i="42"/>
  <c r="F306" i="42"/>
  <c r="D307" i="42"/>
  <c r="E307" i="42"/>
  <c r="F307" i="42"/>
  <c r="D308" i="42"/>
  <c r="E308" i="42"/>
  <c r="F308" i="42"/>
  <c r="D310" i="42"/>
  <c r="E310" i="42"/>
  <c r="F310" i="42"/>
  <c r="D311" i="42"/>
  <c r="E311" i="42"/>
  <c r="F311" i="42"/>
  <c r="D312" i="42"/>
  <c r="E312" i="42"/>
  <c r="F312" i="42"/>
  <c r="D313" i="42"/>
  <c r="E313" i="42"/>
  <c r="F313" i="42"/>
  <c r="D314" i="42"/>
  <c r="E314" i="42"/>
  <c r="F314" i="42"/>
  <c r="D315" i="42"/>
  <c r="E315" i="42"/>
  <c r="F315" i="42"/>
  <c r="D316" i="42"/>
  <c r="E316" i="42"/>
  <c r="F316" i="42"/>
  <c r="D317" i="42"/>
  <c r="E317" i="42"/>
  <c r="F317" i="42"/>
  <c r="D318" i="42"/>
  <c r="E318" i="42"/>
  <c r="F318" i="42"/>
  <c r="D319" i="42"/>
  <c r="E319" i="42"/>
  <c r="F319" i="42"/>
  <c r="D320" i="42"/>
  <c r="E320" i="42"/>
  <c r="F320" i="42"/>
  <c r="D321" i="42"/>
  <c r="E321" i="42"/>
  <c r="F321" i="42"/>
  <c r="D322" i="42"/>
  <c r="E322" i="42"/>
  <c r="F322" i="42"/>
  <c r="D323" i="42"/>
  <c r="E323" i="42"/>
  <c r="F323" i="42"/>
  <c r="D324" i="42"/>
  <c r="E324" i="42"/>
  <c r="F324" i="42"/>
  <c r="D325" i="42"/>
  <c r="E325" i="42"/>
  <c r="F325" i="42"/>
  <c r="D326" i="42"/>
  <c r="E326" i="42"/>
  <c r="F326" i="42"/>
  <c r="D327" i="42"/>
  <c r="E327" i="42"/>
  <c r="F327" i="42"/>
  <c r="D328" i="42"/>
  <c r="E328" i="42"/>
  <c r="F328" i="42"/>
  <c r="D329" i="42"/>
  <c r="E329" i="42"/>
  <c r="F329" i="42"/>
  <c r="D331" i="42"/>
  <c r="E331" i="42"/>
  <c r="F331" i="42"/>
  <c r="D332" i="42"/>
  <c r="E332" i="42"/>
  <c r="F332" i="42"/>
  <c r="D333" i="42"/>
  <c r="E333" i="42"/>
  <c r="F333" i="42"/>
  <c r="D334" i="42"/>
  <c r="E334" i="42"/>
  <c r="F334" i="42"/>
  <c r="D335" i="42"/>
  <c r="E335" i="42"/>
  <c r="F335" i="42"/>
  <c r="D336" i="42"/>
  <c r="E336" i="42"/>
  <c r="F336" i="42"/>
  <c r="D337" i="42"/>
  <c r="E337" i="42"/>
  <c r="F337" i="42"/>
  <c r="D338" i="42"/>
  <c r="E338" i="42"/>
  <c r="F338" i="42"/>
  <c r="D339" i="42"/>
  <c r="E339" i="42"/>
  <c r="F339" i="42"/>
  <c r="D340" i="42"/>
  <c r="E340" i="42"/>
  <c r="F340" i="42"/>
  <c r="D341" i="42"/>
  <c r="E341" i="42"/>
  <c r="F341" i="42"/>
  <c r="D342" i="42"/>
  <c r="E342" i="42"/>
  <c r="F342" i="42"/>
  <c r="D343" i="42"/>
  <c r="E343" i="42"/>
  <c r="F343" i="42"/>
  <c r="D344" i="42"/>
  <c r="E344" i="42"/>
  <c r="F344" i="42"/>
  <c r="D345" i="42"/>
  <c r="E345" i="42"/>
  <c r="F345" i="42"/>
  <c r="D346" i="42"/>
  <c r="E346" i="42"/>
  <c r="F346" i="42"/>
  <c r="D347" i="42"/>
  <c r="E347" i="42"/>
  <c r="F347" i="42"/>
  <c r="D348" i="42"/>
  <c r="E348" i="42"/>
  <c r="F348" i="42"/>
  <c r="D349" i="42"/>
  <c r="E349" i="42"/>
  <c r="F349" i="42"/>
  <c r="D350" i="42"/>
  <c r="E350" i="42"/>
  <c r="F350" i="42"/>
  <c r="D352" i="42"/>
  <c r="E352" i="42"/>
  <c r="F352" i="42"/>
  <c r="D353" i="42"/>
  <c r="E353" i="42"/>
  <c r="F353" i="42"/>
  <c r="D354" i="42"/>
  <c r="E354" i="42"/>
  <c r="F354" i="42"/>
  <c r="D355" i="42"/>
  <c r="E355" i="42"/>
  <c r="F355" i="42"/>
  <c r="D356" i="42"/>
  <c r="E356" i="42"/>
  <c r="F356" i="42"/>
  <c r="D357" i="42"/>
  <c r="E357" i="42"/>
  <c r="F357" i="42"/>
  <c r="D358" i="42"/>
  <c r="E358" i="42"/>
  <c r="F358" i="42"/>
  <c r="D359" i="42"/>
  <c r="E359" i="42"/>
  <c r="F359" i="42"/>
  <c r="D360" i="42"/>
  <c r="E360" i="42"/>
  <c r="F360" i="42"/>
  <c r="D361" i="42"/>
  <c r="E361" i="42"/>
  <c r="F361" i="42"/>
  <c r="D362" i="42"/>
  <c r="E362" i="42"/>
  <c r="F362" i="42"/>
  <c r="D363" i="42"/>
  <c r="E363" i="42"/>
  <c r="F363" i="42"/>
  <c r="D364" i="42"/>
  <c r="E364" i="42"/>
  <c r="F364" i="42"/>
  <c r="D365" i="42"/>
  <c r="E365" i="42"/>
  <c r="F365" i="42"/>
  <c r="D366" i="42"/>
  <c r="E366" i="42"/>
  <c r="F366" i="42"/>
  <c r="D367" i="42"/>
  <c r="E367" i="42"/>
  <c r="F367" i="42"/>
  <c r="D368" i="42"/>
  <c r="E368" i="42"/>
  <c r="F368" i="42"/>
  <c r="D369" i="42"/>
  <c r="E369" i="42"/>
  <c r="F369" i="42"/>
  <c r="D370" i="42"/>
  <c r="E370" i="42"/>
  <c r="F370" i="42"/>
  <c r="D371" i="42"/>
  <c r="E371" i="42"/>
  <c r="F371" i="42"/>
  <c r="Z12" i="45"/>
  <c r="K12" i="45"/>
  <c r="Z7" i="45"/>
  <c r="Y7" i="45"/>
  <c r="X7" i="45"/>
  <c r="V7" i="45"/>
  <c r="P7" i="45"/>
  <c r="G7" i="45"/>
  <c r="I7" i="45" s="1"/>
  <c r="F7" i="45"/>
  <c r="E7" i="45"/>
  <c r="D7" i="45"/>
  <c r="V6" i="45"/>
  <c r="X6" i="45" s="1"/>
  <c r="U6" i="45"/>
  <c r="Q6" i="45"/>
  <c r="F6" i="45"/>
  <c r="B6" i="45"/>
  <c r="V5" i="45"/>
  <c r="X5" i="45" s="1"/>
  <c r="U5" i="45"/>
  <c r="Q5" i="45"/>
  <c r="F5" i="45"/>
  <c r="E5" i="45"/>
  <c r="B5" i="45"/>
  <c r="X4" i="45"/>
  <c r="Z4" i="45" s="1"/>
  <c r="V4" i="45"/>
  <c r="U4" i="45"/>
  <c r="Q4" i="45"/>
  <c r="G4" i="45"/>
  <c r="I4" i="45" s="1"/>
  <c r="F4" i="45"/>
  <c r="E4" i="45"/>
  <c r="D4" i="45"/>
  <c r="B4" i="45"/>
  <c r="T3" i="45"/>
  <c r="V3" i="45" s="1"/>
  <c r="X3" i="45" s="1"/>
  <c r="Q3" i="45"/>
  <c r="E3" i="45"/>
  <c r="B3" i="45"/>
  <c r="C1" i="45"/>
  <c r="R1" i="45" s="1"/>
  <c r="A1" i="45"/>
  <c r="P1" i="45" s="1"/>
  <c r="A215" i="44"/>
  <c r="B170" i="44" s="1"/>
  <c r="D172" i="44" s="1"/>
  <c r="E210" i="44"/>
  <c r="D19" i="9" s="1"/>
  <c r="G19" i="9" s="1"/>
  <c r="E211" i="44"/>
  <c r="D32" i="9" s="1"/>
  <c r="E212" i="44"/>
  <c r="D45" i="9" s="1"/>
  <c r="E209" i="44"/>
  <c r="D6" i="9" s="1"/>
  <c r="B210" i="44"/>
  <c r="A196" i="44" s="1"/>
  <c r="B211" i="44"/>
  <c r="A200" i="44" s="1"/>
  <c r="B212" i="44"/>
  <c r="A204" i="44" s="1"/>
  <c r="B209" i="44"/>
  <c r="A210" i="44"/>
  <c r="A211" i="44"/>
  <c r="A212" i="44"/>
  <c r="A209" i="44"/>
  <c r="L225" i="44"/>
  <c r="K225" i="44"/>
  <c r="J225" i="44"/>
  <c r="L224" i="44"/>
  <c r="K224" i="44"/>
  <c r="J224" i="44"/>
  <c r="L223" i="44"/>
  <c r="K223" i="44"/>
  <c r="J223" i="44"/>
  <c r="N222" i="44"/>
  <c r="L222" i="44"/>
  <c r="K222" i="44"/>
  <c r="J222" i="44"/>
  <c r="N221" i="44"/>
  <c r="L221" i="44"/>
  <c r="K221" i="44"/>
  <c r="J221" i="44"/>
  <c r="N220" i="44"/>
  <c r="L220" i="44"/>
  <c r="K220" i="44"/>
  <c r="J220" i="44"/>
  <c r="N219" i="44"/>
  <c r="L219" i="44"/>
  <c r="K219" i="44"/>
  <c r="J219" i="44"/>
  <c r="N218" i="44"/>
  <c r="L218" i="44"/>
  <c r="K218" i="44"/>
  <c r="J218" i="44"/>
  <c r="N217" i="44"/>
  <c r="L217" i="44"/>
  <c r="K217" i="44"/>
  <c r="J217" i="44"/>
  <c r="N216" i="44"/>
  <c r="L216" i="44"/>
  <c r="K216" i="44"/>
  <c r="J216" i="44"/>
  <c r="A192" i="44"/>
  <c r="R167" i="44"/>
  <c r="Q167" i="44"/>
  <c r="P167" i="44"/>
  <c r="O167" i="44"/>
  <c r="N167" i="44"/>
  <c r="M167" i="44"/>
  <c r="H167" i="44"/>
  <c r="G167" i="44"/>
  <c r="F167" i="44"/>
  <c r="E167" i="44"/>
  <c r="D167" i="44"/>
  <c r="C167" i="44"/>
  <c r="R166" i="44"/>
  <c r="Q166" i="44"/>
  <c r="P166" i="44"/>
  <c r="O166" i="44"/>
  <c r="N166" i="44"/>
  <c r="M166" i="44"/>
  <c r="H166" i="44"/>
  <c r="G166" i="44"/>
  <c r="F166" i="44"/>
  <c r="E166" i="44"/>
  <c r="D166" i="44"/>
  <c r="C166" i="44"/>
  <c r="R165" i="44"/>
  <c r="Q165" i="44"/>
  <c r="P165" i="44"/>
  <c r="O165" i="44"/>
  <c r="N165" i="44"/>
  <c r="M165" i="44"/>
  <c r="H165" i="44"/>
  <c r="G165" i="44"/>
  <c r="F165" i="44"/>
  <c r="E165" i="44"/>
  <c r="D165" i="44"/>
  <c r="C165" i="44"/>
  <c r="P164" i="44"/>
  <c r="O164" i="44"/>
  <c r="N164" i="44"/>
  <c r="M164" i="44"/>
  <c r="F164" i="44"/>
  <c r="E164" i="44"/>
  <c r="D164" i="44"/>
  <c r="C164" i="44"/>
  <c r="P163" i="44"/>
  <c r="O163" i="44"/>
  <c r="N163" i="44"/>
  <c r="M163" i="44"/>
  <c r="H163" i="44"/>
  <c r="G163" i="44"/>
  <c r="F163" i="44"/>
  <c r="E163" i="44"/>
  <c r="D163" i="44"/>
  <c r="C163" i="44"/>
  <c r="P162" i="44"/>
  <c r="O162" i="44"/>
  <c r="N162" i="44"/>
  <c r="M162" i="44"/>
  <c r="F162" i="44"/>
  <c r="E162" i="44"/>
  <c r="D162" i="44"/>
  <c r="C162" i="44"/>
  <c r="P161" i="44"/>
  <c r="O161" i="44"/>
  <c r="N161" i="44"/>
  <c r="M161" i="44"/>
  <c r="H161" i="44"/>
  <c r="G161" i="44"/>
  <c r="F161" i="44"/>
  <c r="E161" i="44"/>
  <c r="D161" i="44"/>
  <c r="C161" i="44"/>
  <c r="P160" i="44"/>
  <c r="O160" i="44"/>
  <c r="N160" i="44"/>
  <c r="M160" i="44"/>
  <c r="F160" i="44"/>
  <c r="E160" i="44"/>
  <c r="D160" i="44"/>
  <c r="C160" i="44"/>
  <c r="P159" i="44"/>
  <c r="O159" i="44"/>
  <c r="N159" i="44"/>
  <c r="M159" i="44"/>
  <c r="H159" i="44"/>
  <c r="G159" i="44"/>
  <c r="F159" i="44"/>
  <c r="E159" i="44"/>
  <c r="D159" i="44"/>
  <c r="C159" i="44"/>
  <c r="P158" i="44"/>
  <c r="O158" i="44"/>
  <c r="N158" i="44"/>
  <c r="M158" i="44"/>
  <c r="F158" i="44"/>
  <c r="E158" i="44"/>
  <c r="D158" i="44"/>
  <c r="C158" i="44"/>
  <c r="R157" i="44"/>
  <c r="Q157" i="44"/>
  <c r="P157" i="44"/>
  <c r="O157" i="44"/>
  <c r="N157" i="44"/>
  <c r="M157" i="44"/>
  <c r="H157" i="44"/>
  <c r="G157" i="44"/>
  <c r="F157" i="44"/>
  <c r="E157" i="44"/>
  <c r="D157" i="44"/>
  <c r="C157" i="44"/>
  <c r="R156" i="44"/>
  <c r="Q156" i="44"/>
  <c r="P156" i="44"/>
  <c r="O156" i="44"/>
  <c r="N156" i="44"/>
  <c r="M156" i="44"/>
  <c r="H156" i="44"/>
  <c r="G156" i="44"/>
  <c r="F156" i="44"/>
  <c r="E156" i="44"/>
  <c r="D156" i="44"/>
  <c r="C156" i="44"/>
  <c r="R155" i="44"/>
  <c r="Q155" i="44"/>
  <c r="P155" i="44"/>
  <c r="O155" i="44"/>
  <c r="N155" i="44"/>
  <c r="M155" i="44"/>
  <c r="H155" i="44"/>
  <c r="G155" i="44"/>
  <c r="F155" i="44"/>
  <c r="E155" i="44"/>
  <c r="D155" i="44"/>
  <c r="C155" i="44"/>
  <c r="P154" i="44"/>
  <c r="O154" i="44"/>
  <c r="N154" i="44"/>
  <c r="M154" i="44"/>
  <c r="F154" i="44"/>
  <c r="E154" i="44"/>
  <c r="D154" i="44"/>
  <c r="C154" i="44"/>
  <c r="P153" i="44"/>
  <c r="O153" i="44"/>
  <c r="N153" i="44"/>
  <c r="M153" i="44"/>
  <c r="F153" i="44"/>
  <c r="E153" i="44"/>
  <c r="D153" i="44"/>
  <c r="C153" i="44"/>
  <c r="P152" i="44"/>
  <c r="O152" i="44"/>
  <c r="N152" i="44"/>
  <c r="M152" i="44"/>
  <c r="F152" i="44"/>
  <c r="E152" i="44"/>
  <c r="D152" i="44"/>
  <c r="C152" i="44"/>
  <c r="P151" i="44"/>
  <c r="O151" i="44"/>
  <c r="N151" i="44"/>
  <c r="M151" i="44"/>
  <c r="H151" i="44"/>
  <c r="G151" i="44"/>
  <c r="F151" i="44"/>
  <c r="E151" i="44"/>
  <c r="D151" i="44"/>
  <c r="C151" i="44"/>
  <c r="P150" i="44"/>
  <c r="O150" i="44"/>
  <c r="N150" i="44"/>
  <c r="M150" i="44"/>
  <c r="F150" i="44"/>
  <c r="E150" i="44"/>
  <c r="D150" i="44"/>
  <c r="C150" i="44"/>
  <c r="P149" i="44"/>
  <c r="O149" i="44"/>
  <c r="N149" i="44"/>
  <c r="M149" i="44"/>
  <c r="H149" i="44"/>
  <c r="G149" i="44"/>
  <c r="F149" i="44"/>
  <c r="E149" i="44"/>
  <c r="D149" i="44"/>
  <c r="C149" i="44"/>
  <c r="P148" i="44"/>
  <c r="O148" i="44"/>
  <c r="N148" i="44"/>
  <c r="M148" i="44"/>
  <c r="F148" i="44"/>
  <c r="E148" i="44"/>
  <c r="D148" i="44"/>
  <c r="C148" i="44"/>
  <c r="R147" i="44"/>
  <c r="Q147" i="44"/>
  <c r="P147" i="44"/>
  <c r="O147" i="44"/>
  <c r="N147" i="44"/>
  <c r="M147" i="44"/>
  <c r="H147" i="44"/>
  <c r="G147" i="44"/>
  <c r="F147" i="44"/>
  <c r="E147" i="44"/>
  <c r="D147" i="44"/>
  <c r="C147" i="44"/>
  <c r="R146" i="44"/>
  <c r="Q146" i="44"/>
  <c r="P146" i="44"/>
  <c r="O146" i="44"/>
  <c r="N146" i="44"/>
  <c r="M146" i="44"/>
  <c r="H146" i="44"/>
  <c r="G146" i="44"/>
  <c r="F146" i="44"/>
  <c r="E146" i="44"/>
  <c r="D146" i="44"/>
  <c r="C146" i="44"/>
  <c r="R145" i="44"/>
  <c r="Q145" i="44"/>
  <c r="P145" i="44"/>
  <c r="O145" i="44"/>
  <c r="N145" i="44"/>
  <c r="M145" i="44"/>
  <c r="H145" i="44"/>
  <c r="G145" i="44"/>
  <c r="F145" i="44"/>
  <c r="E145" i="44"/>
  <c r="D145" i="44"/>
  <c r="C145" i="44"/>
  <c r="P144" i="44"/>
  <c r="O144" i="44"/>
  <c r="N144" i="44"/>
  <c r="M144" i="44"/>
  <c r="F144" i="44"/>
  <c r="E144" i="44"/>
  <c r="D144" i="44"/>
  <c r="C144" i="44"/>
  <c r="P143" i="44"/>
  <c r="O143" i="44"/>
  <c r="N143" i="44"/>
  <c r="M143" i="44"/>
  <c r="H143" i="44"/>
  <c r="G143" i="44"/>
  <c r="F143" i="44"/>
  <c r="E143" i="44"/>
  <c r="D143" i="44"/>
  <c r="C143" i="44"/>
  <c r="P142" i="44"/>
  <c r="O142" i="44"/>
  <c r="N142" i="44"/>
  <c r="M142" i="44"/>
  <c r="F142" i="44"/>
  <c r="E142" i="44"/>
  <c r="D142" i="44"/>
  <c r="C142" i="44"/>
  <c r="P141" i="44"/>
  <c r="O141" i="44"/>
  <c r="N141" i="44"/>
  <c r="M141" i="44"/>
  <c r="H141" i="44"/>
  <c r="G141" i="44"/>
  <c r="F141" i="44"/>
  <c r="E141" i="44"/>
  <c r="D141" i="44"/>
  <c r="C141" i="44"/>
  <c r="P140" i="44"/>
  <c r="O140" i="44"/>
  <c r="N140" i="44"/>
  <c r="M140" i="44"/>
  <c r="F140" i="44"/>
  <c r="E140" i="44"/>
  <c r="D140" i="44"/>
  <c r="C140" i="44"/>
  <c r="P139" i="44"/>
  <c r="O139" i="44"/>
  <c r="N139" i="44"/>
  <c r="M139" i="44"/>
  <c r="G139" i="44"/>
  <c r="F139" i="44"/>
  <c r="E139" i="44"/>
  <c r="D139" i="44"/>
  <c r="C139" i="44"/>
  <c r="P138" i="44"/>
  <c r="O138" i="44"/>
  <c r="N138" i="44"/>
  <c r="M138" i="44"/>
  <c r="F138" i="44"/>
  <c r="E138" i="44"/>
  <c r="D138" i="44"/>
  <c r="C138" i="44"/>
  <c r="R137" i="44"/>
  <c r="Q137" i="44"/>
  <c r="P137" i="44"/>
  <c r="O137" i="44"/>
  <c r="N137" i="44"/>
  <c r="M137" i="44"/>
  <c r="H137" i="44"/>
  <c r="G137" i="44"/>
  <c r="F137" i="44"/>
  <c r="E137" i="44"/>
  <c r="D137" i="44"/>
  <c r="C137" i="44"/>
  <c r="R136" i="44"/>
  <c r="Q136" i="44"/>
  <c r="P136" i="44"/>
  <c r="O136" i="44"/>
  <c r="N136" i="44"/>
  <c r="M136" i="44"/>
  <c r="H136" i="44"/>
  <c r="G136" i="44"/>
  <c r="F136" i="44"/>
  <c r="E136" i="44"/>
  <c r="D136" i="44"/>
  <c r="C136" i="44"/>
  <c r="R135" i="44"/>
  <c r="Q135" i="44"/>
  <c r="P135" i="44"/>
  <c r="O135" i="44"/>
  <c r="N135" i="44"/>
  <c r="M135" i="44"/>
  <c r="H135" i="44"/>
  <c r="G135" i="44"/>
  <c r="F135" i="44"/>
  <c r="E135" i="44"/>
  <c r="D135" i="44"/>
  <c r="C135" i="44"/>
  <c r="P134" i="44"/>
  <c r="O134" i="44"/>
  <c r="N134" i="44"/>
  <c r="M134" i="44"/>
  <c r="F134" i="44"/>
  <c r="E134" i="44"/>
  <c r="D134" i="44"/>
  <c r="C134" i="44"/>
  <c r="P133" i="44"/>
  <c r="O133" i="44"/>
  <c r="N133" i="44"/>
  <c r="M133" i="44"/>
  <c r="H133" i="44"/>
  <c r="G133" i="44"/>
  <c r="F133" i="44"/>
  <c r="E133" i="44"/>
  <c r="D133" i="44"/>
  <c r="C133" i="44"/>
  <c r="P132" i="44"/>
  <c r="O132" i="44"/>
  <c r="N132" i="44"/>
  <c r="M132" i="44"/>
  <c r="F132" i="44"/>
  <c r="E132" i="44"/>
  <c r="D132" i="44"/>
  <c r="C132" i="44"/>
  <c r="P131" i="44"/>
  <c r="O131" i="44"/>
  <c r="N131" i="44"/>
  <c r="M131" i="44"/>
  <c r="G131" i="44"/>
  <c r="F131" i="44"/>
  <c r="E131" i="44"/>
  <c r="D131" i="44"/>
  <c r="C131" i="44"/>
  <c r="P130" i="44"/>
  <c r="O130" i="44"/>
  <c r="N130" i="44"/>
  <c r="M130" i="44"/>
  <c r="F130" i="44"/>
  <c r="E130" i="44"/>
  <c r="D130" i="44"/>
  <c r="C130" i="44"/>
  <c r="P129" i="44"/>
  <c r="O129" i="44"/>
  <c r="N129" i="44"/>
  <c r="M129" i="44"/>
  <c r="H129" i="44"/>
  <c r="G129" i="44"/>
  <c r="F129" i="44"/>
  <c r="E129" i="44"/>
  <c r="D129" i="44"/>
  <c r="C129" i="44"/>
  <c r="P128" i="44"/>
  <c r="O128" i="44"/>
  <c r="N128" i="44"/>
  <c r="M128" i="44"/>
  <c r="F128" i="44"/>
  <c r="E128" i="44"/>
  <c r="D128" i="44"/>
  <c r="C128" i="44"/>
  <c r="R127" i="44"/>
  <c r="Q127" i="44"/>
  <c r="P127" i="44"/>
  <c r="O127" i="44"/>
  <c r="N127" i="44"/>
  <c r="M127" i="44"/>
  <c r="H127" i="44"/>
  <c r="G127" i="44"/>
  <c r="F127" i="44"/>
  <c r="E127" i="44"/>
  <c r="D127" i="44"/>
  <c r="C127" i="44"/>
  <c r="R126" i="44"/>
  <c r="Q126" i="44"/>
  <c r="P126" i="44"/>
  <c r="O126" i="44"/>
  <c r="N126" i="44"/>
  <c r="M126" i="44"/>
  <c r="H126" i="44"/>
  <c r="G126" i="44"/>
  <c r="F126" i="44"/>
  <c r="E126" i="44"/>
  <c r="D126" i="44"/>
  <c r="C126" i="44"/>
  <c r="R125" i="44"/>
  <c r="Q125" i="44"/>
  <c r="P125" i="44"/>
  <c r="O125" i="44"/>
  <c r="N125" i="44"/>
  <c r="M125" i="44"/>
  <c r="H125" i="44"/>
  <c r="G125" i="44"/>
  <c r="F125" i="44"/>
  <c r="E125" i="44"/>
  <c r="D125" i="44"/>
  <c r="C125" i="44"/>
  <c r="P124" i="44"/>
  <c r="O124" i="44"/>
  <c r="N124" i="44"/>
  <c r="M124" i="44"/>
  <c r="F124" i="44"/>
  <c r="E124" i="44"/>
  <c r="D124" i="44"/>
  <c r="C124" i="44"/>
  <c r="P123" i="44"/>
  <c r="O123" i="44"/>
  <c r="N123" i="44"/>
  <c r="M123" i="44"/>
  <c r="H123" i="44"/>
  <c r="G123" i="44"/>
  <c r="F123" i="44"/>
  <c r="E123" i="44"/>
  <c r="D123" i="44"/>
  <c r="C123" i="44"/>
  <c r="P122" i="44"/>
  <c r="O122" i="44"/>
  <c r="N122" i="44"/>
  <c r="M122" i="44"/>
  <c r="F122" i="44"/>
  <c r="E122" i="44"/>
  <c r="D122" i="44"/>
  <c r="C122" i="44"/>
  <c r="P121" i="44"/>
  <c r="O121" i="44"/>
  <c r="N121" i="44"/>
  <c r="M121" i="44"/>
  <c r="H121" i="44"/>
  <c r="G121" i="44"/>
  <c r="F121" i="44"/>
  <c r="E121" i="44"/>
  <c r="D121" i="44"/>
  <c r="C121" i="44"/>
  <c r="P120" i="44"/>
  <c r="O120" i="44"/>
  <c r="N120" i="44"/>
  <c r="M120" i="44"/>
  <c r="F120" i="44"/>
  <c r="E120" i="44"/>
  <c r="D120" i="44"/>
  <c r="C120" i="44"/>
  <c r="P119" i="44"/>
  <c r="O119" i="44"/>
  <c r="N119" i="44"/>
  <c r="M119" i="44"/>
  <c r="H119" i="44"/>
  <c r="G119" i="44"/>
  <c r="F119" i="44"/>
  <c r="E119" i="44"/>
  <c r="D119" i="44"/>
  <c r="C119" i="44"/>
  <c r="P118" i="44"/>
  <c r="O118" i="44"/>
  <c r="N118" i="44"/>
  <c r="M118" i="44"/>
  <c r="F118" i="44"/>
  <c r="E118" i="44"/>
  <c r="D118" i="44"/>
  <c r="C118" i="44"/>
  <c r="R117" i="44"/>
  <c r="Q117" i="44"/>
  <c r="P117" i="44"/>
  <c r="O117" i="44"/>
  <c r="N117" i="44"/>
  <c r="M117" i="44"/>
  <c r="H117" i="44"/>
  <c r="G117" i="44"/>
  <c r="F117" i="44"/>
  <c r="E117" i="44"/>
  <c r="D117" i="44"/>
  <c r="C117" i="44"/>
  <c r="R116" i="44"/>
  <c r="Q116" i="44"/>
  <c r="P116" i="44"/>
  <c r="O116" i="44"/>
  <c r="N116" i="44"/>
  <c r="M116" i="44"/>
  <c r="H116" i="44"/>
  <c r="G116" i="44"/>
  <c r="F116" i="44"/>
  <c r="E116" i="44"/>
  <c r="D116" i="44"/>
  <c r="C116" i="44"/>
  <c r="R115" i="44"/>
  <c r="Q115" i="44"/>
  <c r="P115" i="44"/>
  <c r="O115" i="44"/>
  <c r="N115" i="44"/>
  <c r="M115" i="44"/>
  <c r="H115" i="44"/>
  <c r="G115" i="44"/>
  <c r="F115" i="44"/>
  <c r="E115" i="44"/>
  <c r="D115" i="44"/>
  <c r="C115" i="44"/>
  <c r="P114" i="44"/>
  <c r="O114" i="44"/>
  <c r="N114" i="44"/>
  <c r="M114" i="44"/>
  <c r="H114" i="44"/>
  <c r="F114" i="44"/>
  <c r="E114" i="44"/>
  <c r="D114" i="44"/>
  <c r="C114" i="44"/>
  <c r="P113" i="44"/>
  <c r="O113" i="44"/>
  <c r="N113" i="44"/>
  <c r="M113" i="44"/>
  <c r="F113" i="44"/>
  <c r="E113" i="44"/>
  <c r="D113" i="44"/>
  <c r="C113" i="44"/>
  <c r="P112" i="44"/>
  <c r="O112" i="44"/>
  <c r="N112" i="44"/>
  <c r="M112" i="44"/>
  <c r="F112" i="44"/>
  <c r="E112" i="44"/>
  <c r="D112" i="44"/>
  <c r="C112" i="44"/>
  <c r="P111" i="44"/>
  <c r="O111" i="44"/>
  <c r="N111" i="44"/>
  <c r="M111" i="44"/>
  <c r="H111" i="44"/>
  <c r="F111" i="44"/>
  <c r="E111" i="44"/>
  <c r="D111" i="44"/>
  <c r="C111" i="44"/>
  <c r="P110" i="44"/>
  <c r="O110" i="44"/>
  <c r="N110" i="44"/>
  <c r="M110" i="44"/>
  <c r="F110" i="44"/>
  <c r="E110" i="44"/>
  <c r="D110" i="44"/>
  <c r="C110" i="44"/>
  <c r="P109" i="44"/>
  <c r="O109" i="44"/>
  <c r="N109" i="44"/>
  <c r="M109" i="44"/>
  <c r="H109" i="44"/>
  <c r="G109" i="44"/>
  <c r="F109" i="44"/>
  <c r="E109" i="44"/>
  <c r="D109" i="44"/>
  <c r="C109" i="44"/>
  <c r="P108" i="44"/>
  <c r="O108" i="44"/>
  <c r="N108" i="44"/>
  <c r="M108" i="44"/>
  <c r="F108" i="44"/>
  <c r="E108" i="44"/>
  <c r="D108" i="44"/>
  <c r="C108" i="44"/>
  <c r="R107" i="44"/>
  <c r="Q107" i="44"/>
  <c r="P107" i="44"/>
  <c r="O107" i="44"/>
  <c r="N107" i="44"/>
  <c r="M107" i="44"/>
  <c r="H107" i="44"/>
  <c r="G107" i="44"/>
  <c r="F107" i="44"/>
  <c r="E107" i="44"/>
  <c r="D107" i="44"/>
  <c r="C107" i="44"/>
  <c r="R106" i="44"/>
  <c r="Q106" i="44"/>
  <c r="P106" i="44"/>
  <c r="O106" i="44"/>
  <c r="N106" i="44"/>
  <c r="M106" i="44"/>
  <c r="H106" i="44"/>
  <c r="G106" i="44"/>
  <c r="F106" i="44"/>
  <c r="E106" i="44"/>
  <c r="D106" i="44"/>
  <c r="C106" i="44"/>
  <c r="R105" i="44"/>
  <c r="Q105" i="44"/>
  <c r="P105" i="44"/>
  <c r="O105" i="44"/>
  <c r="N105" i="44"/>
  <c r="M105" i="44"/>
  <c r="H105" i="44"/>
  <c r="G105" i="44"/>
  <c r="F105" i="44"/>
  <c r="E105" i="44"/>
  <c r="D105" i="44"/>
  <c r="C105" i="44"/>
  <c r="P104" i="44"/>
  <c r="O104" i="44"/>
  <c r="N104" i="44"/>
  <c r="M104" i="44"/>
  <c r="H104" i="44"/>
  <c r="F104" i="44"/>
  <c r="E104" i="44"/>
  <c r="D104" i="44"/>
  <c r="C104" i="44"/>
  <c r="P103" i="44"/>
  <c r="O103" i="44"/>
  <c r="N103" i="44"/>
  <c r="M103" i="44"/>
  <c r="H103" i="44"/>
  <c r="G103" i="44"/>
  <c r="F103" i="44"/>
  <c r="E103" i="44"/>
  <c r="D103" i="44"/>
  <c r="C103" i="44"/>
  <c r="P102" i="44"/>
  <c r="O102" i="44"/>
  <c r="N102" i="44"/>
  <c r="M102" i="44"/>
  <c r="F102" i="44"/>
  <c r="E102" i="44"/>
  <c r="D102" i="44"/>
  <c r="C102" i="44"/>
  <c r="P101" i="44"/>
  <c r="O101" i="44"/>
  <c r="N101" i="44"/>
  <c r="M101" i="44"/>
  <c r="H101" i="44"/>
  <c r="F101" i="44"/>
  <c r="E101" i="44"/>
  <c r="D101" i="44"/>
  <c r="C101" i="44"/>
  <c r="P100" i="44"/>
  <c r="O100" i="44"/>
  <c r="N100" i="44"/>
  <c r="M100" i="44"/>
  <c r="F100" i="44"/>
  <c r="E100" i="44"/>
  <c r="D100" i="44"/>
  <c r="C100" i="44"/>
  <c r="P99" i="44"/>
  <c r="O99" i="44"/>
  <c r="N99" i="44"/>
  <c r="M99" i="44"/>
  <c r="G99" i="44"/>
  <c r="F99" i="44"/>
  <c r="E99" i="44"/>
  <c r="D99" i="44"/>
  <c r="C99" i="44"/>
  <c r="P98" i="44"/>
  <c r="O98" i="44"/>
  <c r="N98" i="44"/>
  <c r="M98" i="44"/>
  <c r="F98" i="44"/>
  <c r="E98" i="44"/>
  <c r="D98" i="44"/>
  <c r="C98" i="44"/>
  <c r="R97" i="44"/>
  <c r="Q97" i="44"/>
  <c r="P97" i="44"/>
  <c r="O97" i="44"/>
  <c r="N97" i="44"/>
  <c r="M97" i="44"/>
  <c r="H97" i="44"/>
  <c r="G97" i="44"/>
  <c r="F97" i="44"/>
  <c r="E97" i="44"/>
  <c r="D97" i="44"/>
  <c r="C97" i="44"/>
  <c r="R96" i="44"/>
  <c r="Q96" i="44"/>
  <c r="P96" i="44"/>
  <c r="O96" i="44"/>
  <c r="N96" i="44"/>
  <c r="M96" i="44"/>
  <c r="H96" i="44"/>
  <c r="G96" i="44"/>
  <c r="F96" i="44"/>
  <c r="E96" i="44"/>
  <c r="D96" i="44"/>
  <c r="C96" i="44"/>
  <c r="R95" i="44"/>
  <c r="Q95" i="44"/>
  <c r="P95" i="44"/>
  <c r="O95" i="44"/>
  <c r="N95" i="44"/>
  <c r="M95" i="44"/>
  <c r="H95" i="44"/>
  <c r="G95" i="44"/>
  <c r="F95" i="44"/>
  <c r="E95" i="44"/>
  <c r="D95" i="44"/>
  <c r="C95" i="44"/>
  <c r="P94" i="44"/>
  <c r="O94" i="44"/>
  <c r="N94" i="44"/>
  <c r="M94" i="44"/>
  <c r="H94" i="44"/>
  <c r="F94" i="44"/>
  <c r="E94" i="44"/>
  <c r="D94" i="44"/>
  <c r="C94" i="44"/>
  <c r="P93" i="44"/>
  <c r="O93" i="44"/>
  <c r="N93" i="44"/>
  <c r="M93" i="44"/>
  <c r="H93" i="44"/>
  <c r="G93" i="44"/>
  <c r="F93" i="44"/>
  <c r="E93" i="44"/>
  <c r="D93" i="44"/>
  <c r="C93" i="44"/>
  <c r="P92" i="44"/>
  <c r="O92" i="44"/>
  <c r="N92" i="44"/>
  <c r="M92" i="44"/>
  <c r="H92" i="44"/>
  <c r="F92" i="44"/>
  <c r="E92" i="44"/>
  <c r="D92" i="44"/>
  <c r="C92" i="44"/>
  <c r="P91" i="44"/>
  <c r="O91" i="44"/>
  <c r="N91" i="44"/>
  <c r="M91" i="44"/>
  <c r="F91" i="44"/>
  <c r="E91" i="44"/>
  <c r="D91" i="44"/>
  <c r="C91" i="44"/>
  <c r="P90" i="44"/>
  <c r="O90" i="44"/>
  <c r="N90" i="44"/>
  <c r="M90" i="44"/>
  <c r="F90" i="44"/>
  <c r="E90" i="44"/>
  <c r="D90" i="44"/>
  <c r="C90" i="44"/>
  <c r="P89" i="44"/>
  <c r="O89" i="44"/>
  <c r="N89" i="44"/>
  <c r="M89" i="44"/>
  <c r="H89" i="44"/>
  <c r="G89" i="44"/>
  <c r="F89" i="44"/>
  <c r="E89" i="44"/>
  <c r="D89" i="44"/>
  <c r="C89" i="44"/>
  <c r="P88" i="44"/>
  <c r="O88" i="44"/>
  <c r="N88" i="44"/>
  <c r="M88" i="44"/>
  <c r="F88" i="44"/>
  <c r="E88" i="44"/>
  <c r="D88" i="44"/>
  <c r="C88" i="44"/>
  <c r="K85" i="44"/>
  <c r="F61" i="44"/>
  <c r="R164" i="44" s="1"/>
  <c r="E61" i="44"/>
  <c r="Q164" i="44" s="1"/>
  <c r="F60" i="44"/>
  <c r="R154" i="44" s="1"/>
  <c r="E60" i="44"/>
  <c r="Q154" i="44" s="1"/>
  <c r="F59" i="44"/>
  <c r="R144" i="44" s="1"/>
  <c r="E59" i="44"/>
  <c r="Q144" i="44" s="1"/>
  <c r="F58" i="44"/>
  <c r="R134" i="44" s="1"/>
  <c r="E58" i="44"/>
  <c r="Q134" i="44" s="1"/>
  <c r="F57" i="44"/>
  <c r="F56" i="44"/>
  <c r="R114" i="44" s="1"/>
  <c r="E56" i="44"/>
  <c r="Q114" i="44" s="1"/>
  <c r="F55" i="44"/>
  <c r="R104" i="44" s="1"/>
  <c r="E55" i="44"/>
  <c r="Q104" i="44" s="1"/>
  <c r="F54" i="44"/>
  <c r="R94" i="44" s="1"/>
  <c r="E54" i="44"/>
  <c r="Q94" i="44" s="1"/>
  <c r="F53" i="44"/>
  <c r="H164" i="44" s="1"/>
  <c r="E53" i="44"/>
  <c r="G164" i="44" s="1"/>
  <c r="F52" i="44"/>
  <c r="H154" i="44" s="1"/>
  <c r="E52" i="44"/>
  <c r="G154" i="44" s="1"/>
  <c r="F51" i="44"/>
  <c r="H144" i="44" s="1"/>
  <c r="E51" i="44"/>
  <c r="G144" i="44" s="1"/>
  <c r="F50" i="44"/>
  <c r="H134" i="44" s="1"/>
  <c r="E50" i="44"/>
  <c r="G134" i="44" s="1"/>
  <c r="F49" i="44"/>
  <c r="H124" i="44" s="1"/>
  <c r="E49" i="44"/>
  <c r="G124" i="44" s="1"/>
  <c r="F48" i="44"/>
  <c r="E48" i="44"/>
  <c r="G114" i="44" s="1"/>
  <c r="F47" i="44"/>
  <c r="E47" i="44"/>
  <c r="G104" i="44" s="1"/>
  <c r="F46" i="44"/>
  <c r="E46" i="44"/>
  <c r="G94" i="44" s="1"/>
  <c r="F43" i="44"/>
  <c r="T41" i="44"/>
  <c r="R163" i="44" s="1"/>
  <c r="S41" i="44"/>
  <c r="Q163" i="44" s="1"/>
  <c r="M41" i="44"/>
  <c r="R162" i="44" s="1"/>
  <c r="L41" i="44"/>
  <c r="Q162" i="44" s="1"/>
  <c r="F41" i="44"/>
  <c r="R161" i="44" s="1"/>
  <c r="T40" i="44"/>
  <c r="R153" i="44" s="1"/>
  <c r="S40" i="44"/>
  <c r="Q153" i="44" s="1"/>
  <c r="M40" i="44"/>
  <c r="R152" i="44" s="1"/>
  <c r="L40" i="44"/>
  <c r="Q152" i="44" s="1"/>
  <c r="F40" i="44"/>
  <c r="R151" i="44" s="1"/>
  <c r="T39" i="44"/>
  <c r="R143" i="44" s="1"/>
  <c r="S39" i="44"/>
  <c r="Q143" i="44" s="1"/>
  <c r="M39" i="44"/>
  <c r="R142" i="44" s="1"/>
  <c r="L39" i="44"/>
  <c r="Q142" i="44" s="1"/>
  <c r="F39" i="44"/>
  <c r="R141" i="44" s="1"/>
  <c r="T38" i="44"/>
  <c r="R133" i="44" s="1"/>
  <c r="M38" i="44"/>
  <c r="R132" i="44" s="1"/>
  <c r="F38" i="44"/>
  <c r="R131" i="44" s="1"/>
  <c r="E38" i="44"/>
  <c r="Q131" i="44" s="1"/>
  <c r="T37" i="44"/>
  <c r="R123" i="44" s="1"/>
  <c r="M37" i="44"/>
  <c r="L37" i="44" s="1"/>
  <c r="Q122" i="44" s="1"/>
  <c r="F37" i="44"/>
  <c r="R121" i="44" s="1"/>
  <c r="T36" i="44"/>
  <c r="R113" i="44" s="1"/>
  <c r="S36" i="44"/>
  <c r="Q113" i="44" s="1"/>
  <c r="M36" i="44"/>
  <c r="R112" i="44" s="1"/>
  <c r="L36" i="44"/>
  <c r="Q112" i="44" s="1"/>
  <c r="F36" i="44"/>
  <c r="R111" i="44" s="1"/>
  <c r="T35" i="44"/>
  <c r="R103" i="44" s="1"/>
  <c r="S35" i="44"/>
  <c r="Q103" i="44" s="1"/>
  <c r="M35" i="44"/>
  <c r="R102" i="44" s="1"/>
  <c r="L35" i="44"/>
  <c r="Q102" i="44" s="1"/>
  <c r="F35" i="44"/>
  <c r="R101" i="44" s="1"/>
  <c r="T34" i="44"/>
  <c r="R93" i="44" s="1"/>
  <c r="S34" i="44"/>
  <c r="Q93" i="44" s="1"/>
  <c r="M34" i="44"/>
  <c r="R92" i="44" s="1"/>
  <c r="L34" i="44"/>
  <c r="Q92" i="44" s="1"/>
  <c r="F34" i="44"/>
  <c r="R91" i="44" s="1"/>
  <c r="E34" i="44"/>
  <c r="Q91" i="44" s="1"/>
  <c r="T33" i="44"/>
  <c r="S33" i="44"/>
  <c r="M33" i="44"/>
  <c r="H162" i="44" s="1"/>
  <c r="L33" i="44"/>
  <c r="G162" i="44" s="1"/>
  <c r="F33" i="44"/>
  <c r="E33" i="44"/>
  <c r="T32" i="44"/>
  <c r="H153" i="44" s="1"/>
  <c r="S32" i="44"/>
  <c r="G153" i="44" s="1"/>
  <c r="M32" i="44"/>
  <c r="H152" i="44" s="1"/>
  <c r="L32" i="44"/>
  <c r="G152" i="44" s="1"/>
  <c r="F32" i="44"/>
  <c r="E32" i="44"/>
  <c r="T31" i="44"/>
  <c r="S31" i="44"/>
  <c r="M31" i="44"/>
  <c r="H142" i="44" s="1"/>
  <c r="L31" i="44"/>
  <c r="G142" i="44" s="1"/>
  <c r="F31" i="44"/>
  <c r="E31" i="44"/>
  <c r="T30" i="44"/>
  <c r="S30" i="44"/>
  <c r="M30" i="44"/>
  <c r="H132" i="44" s="1"/>
  <c r="L30" i="44"/>
  <c r="G132" i="44" s="1"/>
  <c r="F30" i="44"/>
  <c r="H131" i="44" s="1"/>
  <c r="E30" i="44"/>
  <c r="T29" i="44"/>
  <c r="S29" i="44"/>
  <c r="M29" i="44"/>
  <c r="H122" i="44" s="1"/>
  <c r="L29" i="44"/>
  <c r="G122" i="44" s="1"/>
  <c r="F29" i="44"/>
  <c r="E29" i="44"/>
  <c r="T28" i="44"/>
  <c r="H113" i="44" s="1"/>
  <c r="S28" i="44"/>
  <c r="G113" i="44" s="1"/>
  <c r="M28" i="44"/>
  <c r="H112" i="44" s="1"/>
  <c r="L28" i="44"/>
  <c r="G112" i="44" s="1"/>
  <c r="F28" i="44"/>
  <c r="E28" i="44" s="1"/>
  <c r="G111" i="44" s="1"/>
  <c r="T27" i="44"/>
  <c r="S27" i="44"/>
  <c r="M27" i="44"/>
  <c r="H102" i="44" s="1"/>
  <c r="L27" i="44"/>
  <c r="G102" i="44" s="1"/>
  <c r="F27" i="44"/>
  <c r="E27" i="44" s="1"/>
  <c r="G101" i="44" s="1"/>
  <c r="T26" i="44"/>
  <c r="S26" i="44"/>
  <c r="M26" i="44"/>
  <c r="L26" i="44"/>
  <c r="G92" i="44" s="1"/>
  <c r="F26" i="44"/>
  <c r="H91" i="44" s="1"/>
  <c r="E26" i="44"/>
  <c r="G91" i="44" s="1"/>
  <c r="A25" i="44"/>
  <c r="A45" i="44" s="1"/>
  <c r="A24" i="44"/>
  <c r="A44" i="44" s="1"/>
  <c r="M23" i="44"/>
  <c r="T23" i="44" s="1"/>
  <c r="F23" i="44"/>
  <c r="T21" i="44"/>
  <c r="R160" i="44" s="1"/>
  <c r="S21" i="44"/>
  <c r="Q160" i="44" s="1"/>
  <c r="M21" i="44"/>
  <c r="R159" i="44" s="1"/>
  <c r="F21" i="44"/>
  <c r="R158" i="44" s="1"/>
  <c r="E21" i="44"/>
  <c r="Q158" i="44" s="1"/>
  <c r="T20" i="44"/>
  <c r="R150" i="44" s="1"/>
  <c r="S20" i="44"/>
  <c r="Q150" i="44" s="1"/>
  <c r="M20" i="44"/>
  <c r="R149" i="44" s="1"/>
  <c r="L20" i="44"/>
  <c r="Q149" i="44" s="1"/>
  <c r="F20" i="44"/>
  <c r="R148" i="44" s="1"/>
  <c r="E20" i="44"/>
  <c r="Q148" i="44" s="1"/>
  <c r="T19" i="44"/>
  <c r="R140" i="44" s="1"/>
  <c r="S19" i="44"/>
  <c r="Q140" i="44" s="1"/>
  <c r="M19" i="44"/>
  <c r="F19" i="44"/>
  <c r="R138" i="44" s="1"/>
  <c r="E19" i="44"/>
  <c r="Q138" i="44" s="1"/>
  <c r="T18" i="44"/>
  <c r="R130" i="44" s="1"/>
  <c r="M18" i="44"/>
  <c r="R129" i="44" s="1"/>
  <c r="L18" i="44"/>
  <c r="Q129" i="44" s="1"/>
  <c r="F18" i="44"/>
  <c r="T17" i="44"/>
  <c r="R120" i="44" s="1"/>
  <c r="S17" i="44"/>
  <c r="Q120" i="44" s="1"/>
  <c r="M17" i="44"/>
  <c r="R119" i="44" s="1"/>
  <c r="F17" i="44"/>
  <c r="R118" i="44" s="1"/>
  <c r="E17" i="44"/>
  <c r="Q118" i="44" s="1"/>
  <c r="T16" i="44"/>
  <c r="R110" i="44" s="1"/>
  <c r="S16" i="44"/>
  <c r="Q110" i="44" s="1"/>
  <c r="M16" i="44"/>
  <c r="R109" i="44" s="1"/>
  <c r="L16" i="44"/>
  <c r="Q109" i="44" s="1"/>
  <c r="F16" i="44"/>
  <c r="R108" i="44" s="1"/>
  <c r="T15" i="44"/>
  <c r="R100" i="44" s="1"/>
  <c r="S15" i="44"/>
  <c r="Q100" i="44" s="1"/>
  <c r="M15" i="44"/>
  <c r="R99" i="44" s="1"/>
  <c r="L15" i="44"/>
  <c r="Q99" i="44" s="1"/>
  <c r="F15" i="44"/>
  <c r="R98" i="44" s="1"/>
  <c r="E15" i="44"/>
  <c r="Q98" i="44" s="1"/>
  <c r="T14" i="44"/>
  <c r="R90" i="44" s="1"/>
  <c r="S14" i="44"/>
  <c r="Q90" i="44" s="1"/>
  <c r="M14" i="44"/>
  <c r="R89" i="44" s="1"/>
  <c r="L14" i="44"/>
  <c r="Q89" i="44" s="1"/>
  <c r="F14" i="44"/>
  <c r="R88" i="44" s="1"/>
  <c r="E14" i="44"/>
  <c r="Q88" i="44" s="1"/>
  <c r="T13" i="44"/>
  <c r="H160" i="44" s="1"/>
  <c r="S13" i="44"/>
  <c r="G160" i="44" s="1"/>
  <c r="M13" i="44"/>
  <c r="L13" i="44"/>
  <c r="F13" i="44"/>
  <c r="H158" i="44" s="1"/>
  <c r="E13" i="44"/>
  <c r="G158" i="44" s="1"/>
  <c r="T12" i="44"/>
  <c r="H150" i="44" s="1"/>
  <c r="S12" i="44"/>
  <c r="G150" i="44" s="1"/>
  <c r="M12" i="44"/>
  <c r="L12" i="44"/>
  <c r="F12" i="44"/>
  <c r="H148" i="44" s="1"/>
  <c r="T11" i="44"/>
  <c r="H140" i="44" s="1"/>
  <c r="S11" i="44"/>
  <c r="G140" i="44" s="1"/>
  <c r="M11" i="44"/>
  <c r="H139" i="44" s="1"/>
  <c r="L11" i="44"/>
  <c r="F11" i="44"/>
  <c r="H138" i="44" s="1"/>
  <c r="E11" i="44"/>
  <c r="G138" i="44" s="1"/>
  <c r="T10" i="44"/>
  <c r="H130" i="44" s="1"/>
  <c r="S10" i="44"/>
  <c r="G130" i="44" s="1"/>
  <c r="M10" i="44"/>
  <c r="L10" i="44"/>
  <c r="F10" i="44"/>
  <c r="H128" i="44" s="1"/>
  <c r="E10" i="44"/>
  <c r="G128" i="44" s="1"/>
  <c r="T9" i="44"/>
  <c r="H120" i="44" s="1"/>
  <c r="S9" i="44"/>
  <c r="G120" i="44" s="1"/>
  <c r="M9" i="44"/>
  <c r="L9" i="44"/>
  <c r="F9" i="44"/>
  <c r="H118" i="44" s="1"/>
  <c r="E9" i="44"/>
  <c r="G118" i="44" s="1"/>
  <c r="T8" i="44"/>
  <c r="H110" i="44" s="1"/>
  <c r="S8" i="44"/>
  <c r="G110" i="44" s="1"/>
  <c r="M8" i="44"/>
  <c r="L8" i="44"/>
  <c r="F8" i="44"/>
  <c r="H108" i="44" s="1"/>
  <c r="E8" i="44"/>
  <c r="G108" i="44" s="1"/>
  <c r="T7" i="44"/>
  <c r="H100" i="44" s="1"/>
  <c r="S7" i="44"/>
  <c r="G100" i="44" s="1"/>
  <c r="M7" i="44"/>
  <c r="H99" i="44" s="1"/>
  <c r="L7" i="44"/>
  <c r="F7" i="44"/>
  <c r="H98" i="44" s="1"/>
  <c r="E7" i="44"/>
  <c r="G98" i="44" s="1"/>
  <c r="T6" i="44"/>
  <c r="H90" i="44" s="1"/>
  <c r="S6" i="44"/>
  <c r="G90" i="44" s="1"/>
  <c r="M6" i="44"/>
  <c r="L6" i="44"/>
  <c r="F6" i="44"/>
  <c r="H88" i="44" s="1"/>
  <c r="E6" i="44"/>
  <c r="G88" i="44" s="1"/>
  <c r="H5" i="44"/>
  <c r="O5" i="44" s="1"/>
  <c r="H4" i="44"/>
  <c r="O4" i="44" s="1"/>
  <c r="M3" i="44"/>
  <c r="T3" i="44" s="1"/>
  <c r="Z3" i="45" l="1"/>
  <c r="Z8" i="45" s="1"/>
  <c r="Y3" i="45"/>
  <c r="Y8" i="45" s="1"/>
  <c r="Y9" i="45" s="1"/>
  <c r="K7" i="45"/>
  <c r="J7" i="45"/>
  <c r="K4" i="45"/>
  <c r="J4" i="45"/>
  <c r="Z6" i="45"/>
  <c r="Y6" i="45"/>
  <c r="Y5" i="45"/>
  <c r="Z5" i="45"/>
  <c r="Y4" i="45"/>
  <c r="A226" i="44"/>
  <c r="H44" i="44"/>
  <c r="A64" i="44"/>
  <c r="H45" i="44"/>
  <c r="A65" i="44"/>
  <c r="R139" i="44"/>
  <c r="L19" i="44"/>
  <c r="Q139" i="44" s="1"/>
  <c r="E18" i="44"/>
  <c r="Q128" i="44" s="1"/>
  <c r="R128" i="44"/>
  <c r="M43" i="44"/>
  <c r="F63" i="44"/>
  <c r="E57" i="44"/>
  <c r="Q124" i="44" s="1"/>
  <c r="R124" i="44"/>
  <c r="E37" i="44"/>
  <c r="Q121" i="44" s="1"/>
  <c r="L38" i="44"/>
  <c r="Q132" i="44" s="1"/>
  <c r="E41" i="44"/>
  <c r="Q161" i="44" s="1"/>
  <c r="B172" i="44"/>
  <c r="E12" i="44"/>
  <c r="G148" i="44" s="1"/>
  <c r="E16" i="44"/>
  <c r="Q108" i="44" s="1"/>
  <c r="L17" i="44"/>
  <c r="Q119" i="44" s="1"/>
  <c r="S18" i="44"/>
  <c r="Q130" i="44" s="1"/>
  <c r="L21" i="44"/>
  <c r="Q159" i="44" s="1"/>
  <c r="H24" i="44"/>
  <c r="O24" i="44" s="1"/>
  <c r="R122" i="44"/>
  <c r="C172" i="44"/>
  <c r="E36" i="44"/>
  <c r="Q111" i="44" s="1"/>
  <c r="S38" i="44"/>
  <c r="Q133" i="44" s="1"/>
  <c r="E40" i="44"/>
  <c r="Q151" i="44" s="1"/>
  <c r="H25" i="44"/>
  <c r="O25" i="44" s="1"/>
  <c r="E35" i="44"/>
  <c r="Q101" i="44" s="1"/>
  <c r="S37" i="44"/>
  <c r="Q123" i="44" s="1"/>
  <c r="E39" i="44"/>
  <c r="Q141" i="44" s="1"/>
  <c r="Y10" i="45" l="1"/>
  <c r="Y11" i="45" s="1"/>
  <c r="Y12" i="45" s="1"/>
  <c r="S215" i="44"/>
  <c r="S226" i="44" s="1"/>
  <c r="B49" i="5" s="1"/>
  <c r="A170" i="44"/>
  <c r="N226" i="44"/>
  <c r="D10" i="9" s="1"/>
  <c r="O44" i="44"/>
  <c r="H64" i="44"/>
  <c r="M63" i="44"/>
  <c r="T43" i="44"/>
  <c r="H65" i="44"/>
  <c r="O45" i="44"/>
  <c r="D177" i="44" l="1"/>
  <c r="D173" i="44"/>
  <c r="D178" i="44"/>
  <c r="D174" i="44"/>
  <c r="D181" i="44"/>
  <c r="C186" i="44"/>
  <c r="C178" i="44"/>
  <c r="B188" i="44"/>
  <c r="B180" i="44"/>
  <c r="A188" i="44"/>
  <c r="A180" i="44"/>
  <c r="D188" i="44"/>
  <c r="H182" i="44"/>
  <c r="G182" i="44" s="1"/>
  <c r="H174" i="44"/>
  <c r="G174" i="44" s="1"/>
  <c r="C175" i="44"/>
  <c r="B177" i="44"/>
  <c r="H187" i="44"/>
  <c r="G187" i="44" s="1"/>
  <c r="B176" i="44"/>
  <c r="H178" i="44"/>
  <c r="G178" i="44" s="1"/>
  <c r="C185" i="44"/>
  <c r="C177" i="44"/>
  <c r="B187" i="44"/>
  <c r="B179" i="44"/>
  <c r="A187" i="44"/>
  <c r="A179" i="44"/>
  <c r="D183" i="44"/>
  <c r="H181" i="44"/>
  <c r="G181" i="44" s="1"/>
  <c r="H173" i="44"/>
  <c r="G173" i="44" s="1"/>
  <c r="C183" i="44"/>
  <c r="B185" i="44"/>
  <c r="A177" i="44"/>
  <c r="D187" i="44"/>
  <c r="D175" i="44"/>
  <c r="C182" i="44"/>
  <c r="C174" i="44"/>
  <c r="A184" i="44"/>
  <c r="H186" i="44"/>
  <c r="G186" i="44" s="1"/>
  <c r="C187" i="44"/>
  <c r="B181" i="44"/>
  <c r="H183" i="44"/>
  <c r="G183" i="44" s="1"/>
  <c r="C184" i="44"/>
  <c r="C176" i="44"/>
  <c r="B186" i="44"/>
  <c r="B178" i="44"/>
  <c r="A186" i="44"/>
  <c r="A178" i="44"/>
  <c r="H188" i="44"/>
  <c r="G188" i="44" s="1"/>
  <c r="H180" i="44"/>
  <c r="G180" i="44" s="1"/>
  <c r="D185" i="44"/>
  <c r="A185" i="44"/>
  <c r="H179" i="44"/>
  <c r="G179" i="44" s="1"/>
  <c r="B184" i="44"/>
  <c r="A176" i="44"/>
  <c r="D182" i="44"/>
  <c r="D176" i="44"/>
  <c r="D180" i="44"/>
  <c r="A181" i="44"/>
  <c r="H175" i="44"/>
  <c r="G175" i="44" s="1"/>
  <c r="C181" i="44"/>
  <c r="C173" i="44"/>
  <c r="B183" i="44"/>
  <c r="B175" i="44"/>
  <c r="A183" i="44"/>
  <c r="A175" i="44"/>
  <c r="H185" i="44"/>
  <c r="G185" i="44" s="1"/>
  <c r="H177" i="44"/>
  <c r="G177" i="44" s="1"/>
  <c r="D184" i="44"/>
  <c r="C188" i="44"/>
  <c r="C180" i="44"/>
  <c r="D186" i="44"/>
  <c r="B182" i="44"/>
  <c r="B174" i="44"/>
  <c r="A182" i="44"/>
  <c r="A174" i="44"/>
  <c r="H184" i="44"/>
  <c r="G184" i="44" s="1"/>
  <c r="H176" i="44"/>
  <c r="G176" i="44" s="1"/>
  <c r="D179" i="44"/>
  <c r="C179" i="44"/>
  <c r="B173" i="44"/>
  <c r="A173" i="44"/>
  <c r="E199" i="44" l="1"/>
  <c r="E174" i="44"/>
  <c r="F174" i="44"/>
  <c r="E177" i="44"/>
  <c r="F177" i="44"/>
  <c r="F188" i="44"/>
  <c r="E188" i="44"/>
  <c r="F173" i="44"/>
  <c r="E173" i="44"/>
  <c r="E182" i="44"/>
  <c r="F182" i="44"/>
  <c r="F181" i="44"/>
  <c r="E181" i="44"/>
  <c r="E205" i="44"/>
  <c r="F179" i="44"/>
  <c r="E179" i="44"/>
  <c r="E187" i="44"/>
  <c r="F187" i="44"/>
  <c r="E184" i="44"/>
  <c r="F184" i="44"/>
  <c r="E178" i="44"/>
  <c r="F178" i="44"/>
  <c r="F186" i="44"/>
  <c r="E186" i="44"/>
  <c r="E175" i="44"/>
  <c r="F175" i="44"/>
  <c r="E185" i="44"/>
  <c r="F185" i="44"/>
  <c r="C191" i="44"/>
  <c r="E191" i="44"/>
  <c r="E197" i="44"/>
  <c r="C193" i="44"/>
  <c r="C199" i="44"/>
  <c r="E203" i="44"/>
  <c r="C201" i="44"/>
  <c r="E195" i="44"/>
  <c r="C205" i="44"/>
  <c r="C195" i="44"/>
  <c r="C197" i="44"/>
  <c r="E193" i="44"/>
  <c r="C203" i="44"/>
  <c r="E201" i="44"/>
  <c r="F176" i="44"/>
  <c r="E176" i="44"/>
  <c r="E183" i="44"/>
  <c r="F183" i="44"/>
  <c r="F180" i="44"/>
  <c r="E180" i="44"/>
  <c r="D204" i="44" l="1"/>
  <c r="C209" i="44"/>
  <c r="D209" i="44" s="1"/>
  <c r="L36" i="5" s="1"/>
  <c r="M36" i="5" s="1"/>
  <c r="C212" i="44"/>
  <c r="D212" i="44" s="1"/>
  <c r="L39" i="5" s="1"/>
  <c r="C211" i="44"/>
  <c r="D211" i="44" s="1"/>
  <c r="L38" i="5" s="1"/>
  <c r="C210" i="44"/>
  <c r="D210" i="44" s="1"/>
  <c r="L37" i="5" s="1"/>
  <c r="D192" i="44"/>
  <c r="D196" i="44"/>
  <c r="D200" i="44"/>
  <c r="M210" i="44" l="1"/>
  <c r="D21" i="9" s="1"/>
  <c r="K210" i="44"/>
  <c r="D22" i="9" s="1"/>
  <c r="J210" i="44"/>
  <c r="G196" i="44"/>
  <c r="I210" i="44"/>
  <c r="H210" i="44"/>
  <c r="F210" i="44"/>
  <c r="G210" i="44" s="1"/>
  <c r="G200" i="44"/>
  <c r="K211" i="44"/>
  <c r="D35" i="9" s="1"/>
  <c r="M211" i="44"/>
  <c r="D34" i="9" s="1"/>
  <c r="F211" i="44"/>
  <c r="G211" i="44" s="1"/>
  <c r="J211" i="44"/>
  <c r="I211" i="44"/>
  <c r="H211" i="44"/>
  <c r="K212" i="44"/>
  <c r="D48" i="9" s="1"/>
  <c r="H212" i="44"/>
  <c r="I212" i="44"/>
  <c r="F212" i="44"/>
  <c r="G212" i="44" s="1"/>
  <c r="M212" i="44"/>
  <c r="D47" i="9" s="1"/>
  <c r="J212" i="44"/>
  <c r="G204" i="44"/>
  <c r="I209" i="44"/>
  <c r="H209" i="44"/>
  <c r="M209" i="44"/>
  <c r="D8" i="9" s="1"/>
  <c r="G192" i="44"/>
  <c r="F209" i="44"/>
  <c r="G209" i="44" s="1"/>
  <c r="J209" i="44"/>
  <c r="K209" i="44"/>
  <c r="D9" i="9" s="1"/>
  <c r="K199" i="44" l="1"/>
  <c r="K201" i="44"/>
  <c r="K205" i="44"/>
  <c r="K203" i="44"/>
  <c r="K195" i="44"/>
  <c r="K197" i="44"/>
  <c r="J196" i="44" s="1"/>
  <c r="K193" i="44"/>
  <c r="K191" i="44"/>
  <c r="H205" i="44"/>
  <c r="H203" i="44"/>
  <c r="H197" i="44"/>
  <c r="H195" i="44"/>
  <c r="H199" i="44"/>
  <c r="H201" i="44"/>
  <c r="H191" i="44"/>
  <c r="H193" i="44"/>
  <c r="J192" i="44" s="1"/>
  <c r="J204" i="44" l="1"/>
  <c r="J200" i="44"/>
  <c r="A3" i="43"/>
  <c r="F6" i="43" s="1"/>
  <c r="B44" i="43"/>
  <c r="B45" i="43" s="1"/>
  <c r="B42" i="43"/>
  <c r="E25" i="43"/>
  <c r="A2" i="43" l="1"/>
  <c r="B49" i="43" s="1"/>
  <c r="A18" i="43" l="1"/>
  <c r="A19" i="43"/>
  <c r="A21" i="43"/>
  <c r="A20" i="43"/>
  <c r="A389" i="42" l="1"/>
  <c r="A410" i="42" s="1"/>
  <c r="A373" i="42" s="1"/>
  <c r="V378" i="42"/>
  <c r="V377" i="42"/>
  <c r="T378" i="42"/>
  <c r="T377" i="42"/>
  <c r="K409" i="42"/>
  <c r="J409" i="42"/>
  <c r="I409" i="42"/>
  <c r="K408" i="42"/>
  <c r="J408" i="42"/>
  <c r="I408" i="42"/>
  <c r="K407" i="42"/>
  <c r="J407" i="42"/>
  <c r="I407" i="42"/>
  <c r="K406" i="42"/>
  <c r="J406" i="42"/>
  <c r="I406" i="42"/>
  <c r="K405" i="42"/>
  <c r="J405" i="42"/>
  <c r="I405" i="42"/>
  <c r="K404" i="42"/>
  <c r="J404" i="42"/>
  <c r="I404" i="42"/>
  <c r="K403" i="42"/>
  <c r="J403" i="42"/>
  <c r="I403" i="42"/>
  <c r="K402" i="42"/>
  <c r="J402" i="42"/>
  <c r="I402" i="42"/>
  <c r="K401" i="42"/>
  <c r="J401" i="42"/>
  <c r="I401" i="42"/>
  <c r="K400" i="42"/>
  <c r="J400" i="42"/>
  <c r="I400" i="42"/>
  <c r="K399" i="42"/>
  <c r="J399" i="42"/>
  <c r="I399" i="42"/>
  <c r="K398" i="42"/>
  <c r="J398" i="42"/>
  <c r="I398" i="42"/>
  <c r="K397" i="42"/>
  <c r="J397" i="42"/>
  <c r="I397" i="42"/>
  <c r="K396" i="42"/>
  <c r="J396" i="42"/>
  <c r="I396" i="42"/>
  <c r="K395" i="42"/>
  <c r="J395" i="42"/>
  <c r="I395" i="42"/>
  <c r="K394" i="42"/>
  <c r="J394" i="42"/>
  <c r="I394" i="42"/>
  <c r="K393" i="42"/>
  <c r="J393" i="42"/>
  <c r="I393" i="42"/>
  <c r="K392" i="42"/>
  <c r="J392" i="42"/>
  <c r="I392" i="42"/>
  <c r="K391" i="42"/>
  <c r="J391" i="42"/>
  <c r="I391" i="42"/>
  <c r="K390" i="42"/>
  <c r="J390" i="42"/>
  <c r="I390" i="42"/>
  <c r="B373" i="42"/>
  <c r="D375" i="42" s="1"/>
  <c r="J375" i="42" s="1"/>
  <c r="P375" i="42" s="1"/>
  <c r="S371" i="42"/>
  <c r="K371" i="42"/>
  <c r="C371" i="42"/>
  <c r="S370" i="42"/>
  <c r="K370" i="42"/>
  <c r="C370" i="42"/>
  <c r="S369" i="42"/>
  <c r="K369" i="42"/>
  <c r="C369" i="42"/>
  <c r="S368" i="42"/>
  <c r="K368" i="42"/>
  <c r="C368" i="42"/>
  <c r="S367" i="42"/>
  <c r="K367" i="42"/>
  <c r="C367" i="42"/>
  <c r="S366" i="42"/>
  <c r="K366" i="42"/>
  <c r="C366" i="42"/>
  <c r="S365" i="42"/>
  <c r="K365" i="42"/>
  <c r="C365" i="42"/>
  <c r="S364" i="42"/>
  <c r="K364" i="42"/>
  <c r="C364" i="42"/>
  <c r="S363" i="42"/>
  <c r="K363" i="42"/>
  <c r="C363" i="42"/>
  <c r="S362" i="42"/>
  <c r="K362" i="42"/>
  <c r="C362" i="42"/>
  <c r="S361" i="42"/>
  <c r="K361" i="42"/>
  <c r="C361" i="42"/>
  <c r="S360" i="42"/>
  <c r="K360" i="42"/>
  <c r="C360" i="42"/>
  <c r="S359" i="42"/>
  <c r="K359" i="42"/>
  <c r="C359" i="42"/>
  <c r="S358" i="42"/>
  <c r="K358" i="42"/>
  <c r="C358" i="42"/>
  <c r="W357" i="42"/>
  <c r="S357" i="42"/>
  <c r="K357" i="42"/>
  <c r="C357" i="42"/>
  <c r="S356" i="42"/>
  <c r="K356" i="42"/>
  <c r="C356" i="42"/>
  <c r="S355" i="42"/>
  <c r="K355" i="42"/>
  <c r="C355" i="42"/>
  <c r="S354" i="42"/>
  <c r="K354" i="42"/>
  <c r="C354" i="42"/>
  <c r="S353" i="42"/>
  <c r="K353" i="42"/>
  <c r="C353" i="42"/>
  <c r="S352" i="42"/>
  <c r="K352" i="42"/>
  <c r="C352" i="42"/>
  <c r="S350" i="42"/>
  <c r="K350" i="42"/>
  <c r="C350" i="42"/>
  <c r="S349" i="42"/>
  <c r="K349" i="42"/>
  <c r="C349" i="42"/>
  <c r="S348" i="42"/>
  <c r="K348" i="42"/>
  <c r="C348" i="42"/>
  <c r="S347" i="42"/>
  <c r="K347" i="42"/>
  <c r="C347" i="42"/>
  <c r="S346" i="42"/>
  <c r="K346" i="42"/>
  <c r="C346" i="42"/>
  <c r="S345" i="42"/>
  <c r="K345" i="42"/>
  <c r="C345" i="42"/>
  <c r="S344" i="42"/>
  <c r="K344" i="42"/>
  <c r="C344" i="42"/>
  <c r="S343" i="42"/>
  <c r="K343" i="42"/>
  <c r="C343" i="42"/>
  <c r="S342" i="42"/>
  <c r="K342" i="42"/>
  <c r="C342" i="42"/>
  <c r="S341" i="42"/>
  <c r="K341" i="42"/>
  <c r="C341" i="42"/>
  <c r="S340" i="42"/>
  <c r="K340" i="42"/>
  <c r="C340" i="42"/>
  <c r="S339" i="42"/>
  <c r="K339" i="42"/>
  <c r="C339" i="42"/>
  <c r="S338" i="42"/>
  <c r="K338" i="42"/>
  <c r="C338" i="42"/>
  <c r="W337" i="42"/>
  <c r="S337" i="42"/>
  <c r="K337" i="42"/>
  <c r="C337" i="42"/>
  <c r="S336" i="42"/>
  <c r="K336" i="42"/>
  <c r="C336" i="42"/>
  <c r="S335" i="42"/>
  <c r="K335" i="42"/>
  <c r="C335" i="42"/>
  <c r="S334" i="42"/>
  <c r="K334" i="42"/>
  <c r="C334" i="42"/>
  <c r="S333" i="42"/>
  <c r="K333" i="42"/>
  <c r="C333" i="42"/>
  <c r="S332" i="42"/>
  <c r="K332" i="42"/>
  <c r="C332" i="42"/>
  <c r="W331" i="42"/>
  <c r="S331" i="42"/>
  <c r="K331" i="42"/>
  <c r="C331" i="42"/>
  <c r="S329" i="42"/>
  <c r="K329" i="42"/>
  <c r="C329" i="42"/>
  <c r="S328" i="42"/>
  <c r="K328" i="42"/>
  <c r="C328" i="42"/>
  <c r="S327" i="42"/>
  <c r="K327" i="42"/>
  <c r="C327" i="42"/>
  <c r="S326" i="42"/>
  <c r="K326" i="42"/>
  <c r="C326" i="42"/>
  <c r="S325" i="42"/>
  <c r="K325" i="42"/>
  <c r="C325" i="42"/>
  <c r="S324" i="42"/>
  <c r="K324" i="42"/>
  <c r="C324" i="42"/>
  <c r="S323" i="42"/>
  <c r="K323" i="42"/>
  <c r="C323" i="42"/>
  <c r="S322" i="42"/>
  <c r="K322" i="42"/>
  <c r="C322" i="42"/>
  <c r="S321" i="42"/>
  <c r="K321" i="42"/>
  <c r="C321" i="42"/>
  <c r="S320" i="42"/>
  <c r="K320" i="42"/>
  <c r="C320" i="42"/>
  <c r="S319" i="42"/>
  <c r="K319" i="42"/>
  <c r="C319" i="42"/>
  <c r="S318" i="42"/>
  <c r="K318" i="42"/>
  <c r="C318" i="42"/>
  <c r="S317" i="42"/>
  <c r="K317" i="42"/>
  <c r="C317" i="42"/>
  <c r="S316" i="42"/>
  <c r="K316" i="42"/>
  <c r="C316" i="42"/>
  <c r="S315" i="42"/>
  <c r="K315" i="42"/>
  <c r="C315" i="42"/>
  <c r="S314" i="42"/>
  <c r="K314" i="42"/>
  <c r="C314" i="42"/>
  <c r="S313" i="42"/>
  <c r="K313" i="42"/>
  <c r="C313" i="42"/>
  <c r="S312" i="42"/>
  <c r="K312" i="42"/>
  <c r="C312" i="42"/>
  <c r="S311" i="42"/>
  <c r="K311" i="42"/>
  <c r="C311" i="42"/>
  <c r="S310" i="42"/>
  <c r="K310" i="42"/>
  <c r="C310" i="42"/>
  <c r="S308" i="42"/>
  <c r="K308" i="42"/>
  <c r="C308" i="42"/>
  <c r="S307" i="42"/>
  <c r="K307" i="42"/>
  <c r="C307" i="42"/>
  <c r="S306" i="42"/>
  <c r="K306" i="42"/>
  <c r="C306" i="42"/>
  <c r="S305" i="42"/>
  <c r="K305" i="42"/>
  <c r="C305" i="42"/>
  <c r="S304" i="42"/>
  <c r="K304" i="42"/>
  <c r="G304" i="42"/>
  <c r="C304" i="42"/>
  <c r="S303" i="42"/>
  <c r="K303" i="42"/>
  <c r="C303" i="42"/>
  <c r="S302" i="42"/>
  <c r="K302" i="42"/>
  <c r="C302" i="42"/>
  <c r="S301" i="42"/>
  <c r="K301" i="42"/>
  <c r="C301" i="42"/>
  <c r="S300" i="42"/>
  <c r="K300" i="42"/>
  <c r="C300" i="42"/>
  <c r="S299" i="42"/>
  <c r="K299" i="42"/>
  <c r="C299" i="42"/>
  <c r="S298" i="42"/>
  <c r="K298" i="42"/>
  <c r="C298" i="42"/>
  <c r="S297" i="42"/>
  <c r="K297" i="42"/>
  <c r="C297" i="42"/>
  <c r="S296" i="42"/>
  <c r="K296" i="42"/>
  <c r="C296" i="42"/>
  <c r="S295" i="42"/>
  <c r="K295" i="42"/>
  <c r="C295" i="42"/>
  <c r="S294" i="42"/>
  <c r="K294" i="42"/>
  <c r="C294" i="42"/>
  <c r="S293" i="42"/>
  <c r="K293" i="42"/>
  <c r="C293" i="42"/>
  <c r="Z292" i="42"/>
  <c r="S292" i="42"/>
  <c r="K292" i="42"/>
  <c r="C292" i="42"/>
  <c r="Z291" i="42"/>
  <c r="S291" i="42"/>
  <c r="K291" i="42"/>
  <c r="C291" i="42"/>
  <c r="Z290" i="42"/>
  <c r="S290" i="42"/>
  <c r="K290" i="42"/>
  <c r="C290" i="42"/>
  <c r="Z289" i="42"/>
  <c r="S289" i="42"/>
  <c r="K289" i="42"/>
  <c r="C289" i="42"/>
  <c r="Z288" i="42"/>
  <c r="Z287" i="42"/>
  <c r="S287" i="42"/>
  <c r="O287" i="42"/>
  <c r="K287" i="42"/>
  <c r="C287" i="42"/>
  <c r="Z286" i="42"/>
  <c r="S286" i="42"/>
  <c r="K286" i="42"/>
  <c r="C286" i="42"/>
  <c r="Z285" i="42"/>
  <c r="S285" i="42"/>
  <c r="K285" i="42"/>
  <c r="C285" i="42"/>
  <c r="Z284" i="42"/>
  <c r="S284" i="42"/>
  <c r="K284" i="42"/>
  <c r="C284" i="42"/>
  <c r="Z283" i="42"/>
  <c r="S283" i="42"/>
  <c r="K283" i="42"/>
  <c r="C283" i="42"/>
  <c r="Z282" i="42"/>
  <c r="S282" i="42"/>
  <c r="K282" i="42"/>
  <c r="C282" i="42"/>
  <c r="Z281" i="42"/>
  <c r="S281" i="42"/>
  <c r="K281" i="42"/>
  <c r="C281" i="42"/>
  <c r="Z280" i="42"/>
  <c r="S280" i="42"/>
  <c r="K280" i="42"/>
  <c r="C280" i="42"/>
  <c r="Z279" i="42"/>
  <c r="S279" i="42"/>
  <c r="K279" i="42"/>
  <c r="C279" i="42"/>
  <c r="Z278" i="42"/>
  <c r="S278" i="42"/>
  <c r="K278" i="42"/>
  <c r="C278" i="42"/>
  <c r="Z277" i="42"/>
  <c r="S277" i="42"/>
  <c r="K277" i="42"/>
  <c r="C277" i="42"/>
  <c r="Z276" i="42"/>
  <c r="S276" i="42"/>
  <c r="K276" i="42"/>
  <c r="C276" i="42"/>
  <c r="Z275" i="42"/>
  <c r="S275" i="42"/>
  <c r="K275" i="42"/>
  <c r="C275" i="42"/>
  <c r="Z274" i="42"/>
  <c r="S274" i="42"/>
  <c r="K274" i="42"/>
  <c r="C274" i="42"/>
  <c r="Z273" i="42"/>
  <c r="S273" i="42"/>
  <c r="K273" i="42"/>
  <c r="C273" i="42"/>
  <c r="S272" i="42"/>
  <c r="K272" i="42"/>
  <c r="C272" i="42"/>
  <c r="S271" i="42"/>
  <c r="K271" i="42"/>
  <c r="C271" i="42"/>
  <c r="S270" i="42"/>
  <c r="K270" i="42"/>
  <c r="C270" i="42"/>
  <c r="S269" i="42"/>
  <c r="K269" i="42"/>
  <c r="C269" i="42"/>
  <c r="Z268" i="42"/>
  <c r="S268" i="42"/>
  <c r="K268" i="42"/>
  <c r="C268" i="42"/>
  <c r="Z267" i="42"/>
  <c r="Z266" i="42"/>
  <c r="S266" i="42"/>
  <c r="K266" i="42"/>
  <c r="C266" i="42"/>
  <c r="Z265" i="42"/>
  <c r="S265" i="42"/>
  <c r="K265" i="42"/>
  <c r="C265" i="42"/>
  <c r="Z264" i="42"/>
  <c r="S264" i="42"/>
  <c r="K264" i="42"/>
  <c r="C264" i="42"/>
  <c r="Z263" i="42"/>
  <c r="S263" i="42"/>
  <c r="K263" i="42"/>
  <c r="C263" i="42"/>
  <c r="Z262" i="42"/>
  <c r="S262" i="42"/>
  <c r="K262" i="42"/>
  <c r="C262" i="42"/>
  <c r="Z261" i="42"/>
  <c r="S261" i="42"/>
  <c r="K261" i="42"/>
  <c r="C261" i="42"/>
  <c r="Z260" i="42"/>
  <c r="S260" i="42"/>
  <c r="K260" i="42"/>
  <c r="C260" i="42"/>
  <c r="Z259" i="42"/>
  <c r="S259" i="42"/>
  <c r="K259" i="42"/>
  <c r="C259" i="42"/>
  <c r="Z258" i="42"/>
  <c r="S258" i="42"/>
  <c r="K258" i="42"/>
  <c r="C258" i="42"/>
  <c r="Z257" i="42"/>
  <c r="S257" i="42"/>
  <c r="K257" i="42"/>
  <c r="C257" i="42"/>
  <c r="Z256" i="42"/>
  <c r="S256" i="42"/>
  <c r="K256" i="42"/>
  <c r="C256" i="42"/>
  <c r="Z255" i="42"/>
  <c r="S255" i="42"/>
  <c r="K255" i="42"/>
  <c r="C255" i="42"/>
  <c r="Z254" i="42"/>
  <c r="S254" i="42"/>
  <c r="K254" i="42"/>
  <c r="C254" i="42"/>
  <c r="Z253" i="42"/>
  <c r="S253" i="42"/>
  <c r="K253" i="42"/>
  <c r="C253" i="42"/>
  <c r="Z252" i="42"/>
  <c r="S252" i="42"/>
  <c r="K252" i="42"/>
  <c r="C252" i="42"/>
  <c r="Z251" i="42"/>
  <c r="S251" i="42"/>
  <c r="K251" i="42"/>
  <c r="C251" i="42"/>
  <c r="Z250" i="42"/>
  <c r="W250" i="42"/>
  <c r="S250" i="42"/>
  <c r="K250" i="42"/>
  <c r="C250" i="42"/>
  <c r="Z249" i="42"/>
  <c r="S249" i="42"/>
  <c r="K249" i="42"/>
  <c r="C249" i="42"/>
  <c r="S248" i="42"/>
  <c r="K248" i="42"/>
  <c r="C248" i="42"/>
  <c r="S247" i="42"/>
  <c r="K247" i="42"/>
  <c r="C247" i="42"/>
  <c r="S245" i="42"/>
  <c r="K245" i="42"/>
  <c r="C245" i="42"/>
  <c r="Z244" i="42"/>
  <c r="S244" i="42"/>
  <c r="K244" i="42"/>
  <c r="C244" i="42"/>
  <c r="Z243" i="42"/>
  <c r="S243" i="42"/>
  <c r="K243" i="42"/>
  <c r="C243" i="42"/>
  <c r="Z242" i="42"/>
  <c r="S242" i="42"/>
  <c r="K242" i="42"/>
  <c r="C242" i="42"/>
  <c r="Z241" i="42"/>
  <c r="S241" i="42"/>
  <c r="K241" i="42"/>
  <c r="C241" i="42"/>
  <c r="Z240" i="42"/>
  <c r="S240" i="42"/>
  <c r="K240" i="42"/>
  <c r="C240" i="42"/>
  <c r="Z239" i="42"/>
  <c r="S239" i="42"/>
  <c r="K239" i="42"/>
  <c r="C239" i="42"/>
  <c r="Z238" i="42"/>
  <c r="S238" i="42"/>
  <c r="K238" i="42"/>
  <c r="C238" i="42"/>
  <c r="Z237" i="42"/>
  <c r="W237" i="42"/>
  <c r="S237" i="42"/>
  <c r="K237" i="42"/>
  <c r="C237" i="42"/>
  <c r="Z236" i="42"/>
  <c r="S236" i="42"/>
  <c r="K236" i="42"/>
  <c r="C236" i="42"/>
  <c r="Z235" i="42"/>
  <c r="S235" i="42"/>
  <c r="K235" i="42"/>
  <c r="G235" i="42"/>
  <c r="C235" i="42"/>
  <c r="Z234" i="42"/>
  <c r="S234" i="42"/>
  <c r="K234" i="42"/>
  <c r="C234" i="42"/>
  <c r="Z233" i="42"/>
  <c r="S233" i="42"/>
  <c r="K233" i="42"/>
  <c r="C233" i="42"/>
  <c r="Z232" i="42"/>
  <c r="S232" i="42"/>
  <c r="K232" i="42"/>
  <c r="C232" i="42"/>
  <c r="Z231" i="42"/>
  <c r="S231" i="42"/>
  <c r="K231" i="42"/>
  <c r="C231" i="42"/>
  <c r="Z230" i="42"/>
  <c r="S230" i="42"/>
  <c r="K230" i="42"/>
  <c r="C230" i="42"/>
  <c r="Z229" i="42"/>
  <c r="S229" i="42"/>
  <c r="K229" i="42"/>
  <c r="C229" i="42"/>
  <c r="Z228" i="42"/>
  <c r="S228" i="42"/>
  <c r="K228" i="42"/>
  <c r="C228" i="42"/>
  <c r="Z227" i="42"/>
  <c r="S227" i="42"/>
  <c r="K227" i="42"/>
  <c r="C227" i="42"/>
  <c r="Z226" i="42"/>
  <c r="S226" i="42"/>
  <c r="K226" i="42"/>
  <c r="C226" i="42"/>
  <c r="Z225" i="42"/>
  <c r="U220" i="42"/>
  <c r="W371" i="42" s="1"/>
  <c r="N220" i="42"/>
  <c r="O371" i="42" s="1"/>
  <c r="G220" i="42"/>
  <c r="G371" i="42" s="1"/>
  <c r="U219" i="42"/>
  <c r="W350" i="42" s="1"/>
  <c r="N219" i="42"/>
  <c r="O350" i="42" s="1"/>
  <c r="G219" i="42"/>
  <c r="G350" i="42" s="1"/>
  <c r="U218" i="42"/>
  <c r="W329" i="42" s="1"/>
  <c r="N218" i="42"/>
  <c r="O329" i="42" s="1"/>
  <c r="G218" i="42"/>
  <c r="G329" i="42" s="1"/>
  <c r="U217" i="42"/>
  <c r="W308" i="42" s="1"/>
  <c r="N217" i="42"/>
  <c r="O308" i="42" s="1"/>
  <c r="G217" i="42"/>
  <c r="G308" i="42" s="1"/>
  <c r="U216" i="42"/>
  <c r="W287" i="42" s="1"/>
  <c r="N216" i="42"/>
  <c r="G216" i="42"/>
  <c r="G287" i="42" s="1"/>
  <c r="U215" i="42"/>
  <c r="W266" i="42" s="1"/>
  <c r="N215" i="42"/>
  <c r="O266" i="42" s="1"/>
  <c r="G215" i="42"/>
  <c r="G266" i="42" s="1"/>
  <c r="U214" i="42"/>
  <c r="W245" i="42" s="1"/>
  <c r="N214" i="42"/>
  <c r="O245" i="42" s="1"/>
  <c r="G214" i="42"/>
  <c r="G245" i="42" s="1"/>
  <c r="L213" i="42"/>
  <c r="S213" i="42" s="1"/>
  <c r="K213" i="42"/>
  <c r="R213" i="42" s="1"/>
  <c r="I211" i="42"/>
  <c r="P211" i="42" s="1"/>
  <c r="U209" i="42"/>
  <c r="W370" i="42" s="1"/>
  <c r="N209" i="42"/>
  <c r="O370" i="42" s="1"/>
  <c r="G209" i="42"/>
  <c r="G370" i="42" s="1"/>
  <c r="U208" i="42"/>
  <c r="W349" i="42" s="1"/>
  <c r="N208" i="42"/>
  <c r="O349" i="42" s="1"/>
  <c r="G208" i="42"/>
  <c r="G349" i="42" s="1"/>
  <c r="U207" i="42"/>
  <c r="W328" i="42" s="1"/>
  <c r="N207" i="42"/>
  <c r="O328" i="42" s="1"/>
  <c r="G207" i="42"/>
  <c r="G328" i="42" s="1"/>
  <c r="U206" i="42"/>
  <c r="W307" i="42" s="1"/>
  <c r="N206" i="42"/>
  <c r="O307" i="42" s="1"/>
  <c r="G206" i="42"/>
  <c r="G307" i="42" s="1"/>
  <c r="U205" i="42"/>
  <c r="W286" i="42" s="1"/>
  <c r="N205" i="42"/>
  <c r="O286" i="42" s="1"/>
  <c r="G205" i="42"/>
  <c r="U204" i="42"/>
  <c r="W265" i="42" s="1"/>
  <c r="N204" i="42"/>
  <c r="O265" i="42" s="1"/>
  <c r="G204" i="42"/>
  <c r="G265" i="42" s="1"/>
  <c r="U203" i="42"/>
  <c r="W244" i="42" s="1"/>
  <c r="N203" i="42"/>
  <c r="O244" i="42" s="1"/>
  <c r="G203" i="42"/>
  <c r="G244" i="42" s="1"/>
  <c r="R202" i="42"/>
  <c r="L202" i="42"/>
  <c r="S202" i="42" s="1"/>
  <c r="K202" i="42"/>
  <c r="I200" i="42"/>
  <c r="P200" i="42" s="1"/>
  <c r="U198" i="42"/>
  <c r="W369" i="42" s="1"/>
  <c r="N198" i="42"/>
  <c r="O369" i="42" s="1"/>
  <c r="G198" i="42"/>
  <c r="G369" i="42" s="1"/>
  <c r="U197" i="42"/>
  <c r="W348" i="42" s="1"/>
  <c r="N197" i="42"/>
  <c r="O348" i="42" s="1"/>
  <c r="G197" i="42"/>
  <c r="G348" i="42" s="1"/>
  <c r="U196" i="42"/>
  <c r="W327" i="42" s="1"/>
  <c r="N196" i="42"/>
  <c r="O327" i="42" s="1"/>
  <c r="G196" i="42"/>
  <c r="G327" i="42" s="1"/>
  <c r="U195" i="42"/>
  <c r="W306" i="42" s="1"/>
  <c r="N195" i="42"/>
  <c r="O306" i="42" s="1"/>
  <c r="G195" i="42"/>
  <c r="G306" i="42" s="1"/>
  <c r="U194" i="42"/>
  <c r="W285" i="42" s="1"/>
  <c r="N194" i="42"/>
  <c r="O285" i="42" s="1"/>
  <c r="G194" i="42"/>
  <c r="U193" i="42"/>
  <c r="W264" i="42" s="1"/>
  <c r="N193" i="42"/>
  <c r="O264" i="42" s="1"/>
  <c r="G193" i="42"/>
  <c r="G264" i="42" s="1"/>
  <c r="U192" i="42"/>
  <c r="W243" i="42" s="1"/>
  <c r="N192" i="42"/>
  <c r="O243" i="42" s="1"/>
  <c r="G192" i="42"/>
  <c r="G243" i="42" s="1"/>
  <c r="L191" i="42"/>
  <c r="S191" i="42" s="1"/>
  <c r="K191" i="42"/>
  <c r="R191" i="42" s="1"/>
  <c r="I189" i="42"/>
  <c r="P189" i="42" s="1"/>
  <c r="U187" i="42"/>
  <c r="W368" i="42" s="1"/>
  <c r="N187" i="42"/>
  <c r="O368" i="42" s="1"/>
  <c r="G187" i="42"/>
  <c r="G368" i="42" s="1"/>
  <c r="U186" i="42"/>
  <c r="W347" i="42" s="1"/>
  <c r="N186" i="42"/>
  <c r="O347" i="42" s="1"/>
  <c r="G186" i="42"/>
  <c r="G347" i="42" s="1"/>
  <c r="U185" i="42"/>
  <c r="W326" i="42" s="1"/>
  <c r="N185" i="42"/>
  <c r="O326" i="42" s="1"/>
  <c r="G185" i="42"/>
  <c r="G326" i="42" s="1"/>
  <c r="U184" i="42"/>
  <c r="W305" i="42" s="1"/>
  <c r="N184" i="42"/>
  <c r="O305" i="42" s="1"/>
  <c r="G184" i="42"/>
  <c r="G305" i="42" s="1"/>
  <c r="U183" i="42"/>
  <c r="W284" i="42" s="1"/>
  <c r="N183" i="42"/>
  <c r="O284" i="42" s="1"/>
  <c r="G183" i="42"/>
  <c r="G284" i="42" s="1"/>
  <c r="U182" i="42"/>
  <c r="W263" i="42" s="1"/>
  <c r="N182" i="42"/>
  <c r="O263" i="42" s="1"/>
  <c r="G182" i="42"/>
  <c r="G263" i="42" s="1"/>
  <c r="U181" i="42"/>
  <c r="W242" i="42" s="1"/>
  <c r="N181" i="42"/>
  <c r="O242" i="42" s="1"/>
  <c r="G181" i="42"/>
  <c r="G242" i="42" s="1"/>
  <c r="L180" i="42"/>
  <c r="S180" i="42" s="1"/>
  <c r="K180" i="42"/>
  <c r="R180" i="42" s="1"/>
  <c r="I178" i="42"/>
  <c r="P178" i="42" s="1"/>
  <c r="U176" i="42"/>
  <c r="W367" i="42" s="1"/>
  <c r="N176" i="42"/>
  <c r="O367" i="42" s="1"/>
  <c r="G176" i="42"/>
  <c r="G367" i="42" s="1"/>
  <c r="U175" i="42"/>
  <c r="W346" i="42" s="1"/>
  <c r="N175" i="42"/>
  <c r="O346" i="42" s="1"/>
  <c r="G175" i="42"/>
  <c r="G346" i="42" s="1"/>
  <c r="U174" i="42"/>
  <c r="W325" i="42" s="1"/>
  <c r="N174" i="42"/>
  <c r="O325" i="42" s="1"/>
  <c r="G174" i="42"/>
  <c r="G325" i="42" s="1"/>
  <c r="U173" i="42"/>
  <c r="W304" i="42" s="1"/>
  <c r="N173" i="42"/>
  <c r="O304" i="42" s="1"/>
  <c r="G173" i="42"/>
  <c r="U172" i="42"/>
  <c r="W283" i="42" s="1"/>
  <c r="N172" i="42"/>
  <c r="O283" i="42" s="1"/>
  <c r="G172" i="42"/>
  <c r="G283" i="42" s="1"/>
  <c r="U171" i="42"/>
  <c r="W262" i="42" s="1"/>
  <c r="N171" i="42"/>
  <c r="O262" i="42" s="1"/>
  <c r="G171" i="42"/>
  <c r="G262" i="42" s="1"/>
  <c r="U170" i="42"/>
  <c r="W241" i="42" s="1"/>
  <c r="N170" i="42"/>
  <c r="O241" i="42" s="1"/>
  <c r="G170" i="42"/>
  <c r="G241" i="42" s="1"/>
  <c r="S169" i="42"/>
  <c r="L169" i="42"/>
  <c r="K169" i="42"/>
  <c r="R169" i="42" s="1"/>
  <c r="I167" i="42"/>
  <c r="P167" i="42" s="1"/>
  <c r="U165" i="42"/>
  <c r="W366" i="42" s="1"/>
  <c r="N165" i="42"/>
  <c r="O366" i="42" s="1"/>
  <c r="G165" i="42"/>
  <c r="G366" i="42" s="1"/>
  <c r="U164" i="42"/>
  <c r="W345" i="42" s="1"/>
  <c r="N164" i="42"/>
  <c r="O345" i="42" s="1"/>
  <c r="G164" i="42"/>
  <c r="G345" i="42" s="1"/>
  <c r="U163" i="42"/>
  <c r="W324" i="42" s="1"/>
  <c r="N163" i="42"/>
  <c r="O324" i="42" s="1"/>
  <c r="G163" i="42"/>
  <c r="G324" i="42" s="1"/>
  <c r="U162" i="42"/>
  <c r="W303" i="42" s="1"/>
  <c r="N162" i="42"/>
  <c r="O303" i="42" s="1"/>
  <c r="G162" i="42"/>
  <c r="G303" i="42" s="1"/>
  <c r="U161" i="42"/>
  <c r="W282" i="42" s="1"/>
  <c r="N161" i="42"/>
  <c r="O282" i="42" s="1"/>
  <c r="G161" i="42"/>
  <c r="G282" i="42" s="1"/>
  <c r="U160" i="42"/>
  <c r="W261" i="42" s="1"/>
  <c r="N160" i="42"/>
  <c r="O261" i="42" s="1"/>
  <c r="G160" i="42"/>
  <c r="G261" i="42" s="1"/>
  <c r="U159" i="42"/>
  <c r="W240" i="42" s="1"/>
  <c r="R159" i="42"/>
  <c r="N159" i="42"/>
  <c r="O240" i="42" s="1"/>
  <c r="G159" i="42"/>
  <c r="G240" i="42" s="1"/>
  <c r="M158" i="42"/>
  <c r="T158" i="42" s="1"/>
  <c r="L158" i="42"/>
  <c r="S158" i="42" s="1"/>
  <c r="I156" i="42"/>
  <c r="P156" i="42" s="1"/>
  <c r="U154" i="42"/>
  <c r="W365" i="42" s="1"/>
  <c r="N154" i="42"/>
  <c r="O365" i="42" s="1"/>
  <c r="G154" i="42"/>
  <c r="G365" i="42" s="1"/>
  <c r="U153" i="42"/>
  <c r="W344" i="42" s="1"/>
  <c r="N153" i="42"/>
  <c r="O344" i="42" s="1"/>
  <c r="G153" i="42"/>
  <c r="G344" i="42" s="1"/>
  <c r="U152" i="42"/>
  <c r="W323" i="42" s="1"/>
  <c r="N152" i="42"/>
  <c r="O323" i="42" s="1"/>
  <c r="G152" i="42"/>
  <c r="G323" i="42" s="1"/>
  <c r="U151" i="42"/>
  <c r="W302" i="42" s="1"/>
  <c r="N151" i="42"/>
  <c r="O281" i="42" s="1"/>
  <c r="G151" i="42"/>
  <c r="G302" i="42" s="1"/>
  <c r="U150" i="42"/>
  <c r="W281" i="42" s="1"/>
  <c r="N150" i="42"/>
  <c r="G150" i="42"/>
  <c r="G281" i="42" s="1"/>
  <c r="U149" i="42"/>
  <c r="W260" i="42" s="1"/>
  <c r="N149" i="42"/>
  <c r="O260" i="42" s="1"/>
  <c r="G149" i="42"/>
  <c r="G260" i="42" s="1"/>
  <c r="U148" i="42"/>
  <c r="W239" i="42" s="1"/>
  <c r="R148" i="42"/>
  <c r="N148" i="42"/>
  <c r="O239" i="42" s="1"/>
  <c r="G148" i="42"/>
  <c r="G239" i="42" s="1"/>
  <c r="M147" i="42"/>
  <c r="T147" i="42" s="1"/>
  <c r="L147" i="42"/>
  <c r="S147" i="42" s="1"/>
  <c r="I145" i="42"/>
  <c r="P145" i="42" s="1"/>
  <c r="S143" i="42"/>
  <c r="N143" i="42"/>
  <c r="O364" i="42" s="1"/>
  <c r="G143" i="42"/>
  <c r="G364" i="42" s="1"/>
  <c r="U142" i="42"/>
  <c r="W343" i="42" s="1"/>
  <c r="N142" i="42"/>
  <c r="O343" i="42" s="1"/>
  <c r="G142" i="42"/>
  <c r="G343" i="42" s="1"/>
  <c r="U141" i="42"/>
  <c r="W322" i="42" s="1"/>
  <c r="N141" i="42"/>
  <c r="O322" i="42" s="1"/>
  <c r="G141" i="42"/>
  <c r="G322" i="42" s="1"/>
  <c r="U140" i="42"/>
  <c r="W301" i="42" s="1"/>
  <c r="N140" i="42"/>
  <c r="O301" i="42" s="1"/>
  <c r="G140" i="42"/>
  <c r="U139" i="42"/>
  <c r="W280" i="42" s="1"/>
  <c r="N139" i="42"/>
  <c r="O280" i="42" s="1"/>
  <c r="G139" i="42"/>
  <c r="G280" i="42" s="1"/>
  <c r="U138" i="42"/>
  <c r="W259" i="42" s="1"/>
  <c r="N138" i="42"/>
  <c r="O259" i="42" s="1"/>
  <c r="G138" i="42"/>
  <c r="G259" i="42" s="1"/>
  <c r="U137" i="42"/>
  <c r="W238" i="42" s="1"/>
  <c r="R137" i="42"/>
  <c r="N137" i="42"/>
  <c r="O238" i="42" s="1"/>
  <c r="G137" i="42"/>
  <c r="G238" i="42" s="1"/>
  <c r="M136" i="42"/>
  <c r="T136" i="42" s="1"/>
  <c r="L136" i="42"/>
  <c r="S136" i="42" s="1"/>
  <c r="I134" i="42"/>
  <c r="P134" i="42" s="1"/>
  <c r="U132" i="42"/>
  <c r="W363" i="42" s="1"/>
  <c r="N132" i="42"/>
  <c r="O363" i="42" s="1"/>
  <c r="G132" i="42"/>
  <c r="G363" i="42" s="1"/>
  <c r="U131" i="42"/>
  <c r="W342" i="42" s="1"/>
  <c r="N131" i="42"/>
  <c r="O342" i="42" s="1"/>
  <c r="G131" i="42"/>
  <c r="G342" i="42" s="1"/>
  <c r="U130" i="42"/>
  <c r="W321" i="42" s="1"/>
  <c r="N130" i="42"/>
  <c r="O321" i="42" s="1"/>
  <c r="G130" i="42"/>
  <c r="G321" i="42" s="1"/>
  <c r="U129" i="42"/>
  <c r="W300" i="42" s="1"/>
  <c r="N129" i="42"/>
  <c r="O300" i="42" s="1"/>
  <c r="G129" i="42"/>
  <c r="G300" i="42" s="1"/>
  <c r="U128" i="42"/>
  <c r="W279" i="42" s="1"/>
  <c r="N128" i="42"/>
  <c r="O279" i="42" s="1"/>
  <c r="G128" i="42"/>
  <c r="G279" i="42" s="1"/>
  <c r="U127" i="42"/>
  <c r="W258" i="42" s="1"/>
  <c r="N127" i="42"/>
  <c r="O258" i="42" s="1"/>
  <c r="G127" i="42"/>
  <c r="G258" i="42" s="1"/>
  <c r="U126" i="42"/>
  <c r="N126" i="42"/>
  <c r="O237" i="42" s="1"/>
  <c r="G126" i="42"/>
  <c r="G237" i="42" s="1"/>
  <c r="L125" i="42"/>
  <c r="S125" i="42" s="1"/>
  <c r="K125" i="42"/>
  <c r="R125" i="42" s="1"/>
  <c r="I123" i="42"/>
  <c r="P123" i="42" s="1"/>
  <c r="U121" i="42"/>
  <c r="W362" i="42" s="1"/>
  <c r="N121" i="42"/>
  <c r="O362" i="42" s="1"/>
  <c r="G121" i="42"/>
  <c r="G362" i="42" s="1"/>
  <c r="U120" i="42"/>
  <c r="W341" i="42" s="1"/>
  <c r="N120" i="42"/>
  <c r="O341" i="42" s="1"/>
  <c r="G120" i="42"/>
  <c r="G341" i="42" s="1"/>
  <c r="U119" i="42"/>
  <c r="W320" i="42" s="1"/>
  <c r="N119" i="42"/>
  <c r="O320" i="42" s="1"/>
  <c r="G119" i="42"/>
  <c r="G320" i="42" s="1"/>
  <c r="U118" i="42"/>
  <c r="W299" i="42" s="1"/>
  <c r="N118" i="42"/>
  <c r="O299" i="42" s="1"/>
  <c r="G118" i="42"/>
  <c r="G299" i="42" s="1"/>
  <c r="U117" i="42"/>
  <c r="W278" i="42" s="1"/>
  <c r="N117" i="42"/>
  <c r="O278" i="42" s="1"/>
  <c r="G117" i="42"/>
  <c r="G278" i="42" s="1"/>
  <c r="U116" i="42"/>
  <c r="W257" i="42" s="1"/>
  <c r="N116" i="42"/>
  <c r="O257" i="42" s="1"/>
  <c r="G116" i="42"/>
  <c r="G257" i="42" s="1"/>
  <c r="U115" i="42"/>
  <c r="W236" i="42" s="1"/>
  <c r="N115" i="42"/>
  <c r="O236" i="42" s="1"/>
  <c r="G115" i="42"/>
  <c r="G236" i="42" s="1"/>
  <c r="L114" i="42"/>
  <c r="S114" i="42" s="1"/>
  <c r="K114" i="42"/>
  <c r="R114" i="42" s="1"/>
  <c r="I112" i="42"/>
  <c r="P112" i="42" s="1"/>
  <c r="U110" i="42"/>
  <c r="W361" i="42" s="1"/>
  <c r="N110" i="42"/>
  <c r="O361" i="42" s="1"/>
  <c r="G110" i="42"/>
  <c r="G361" i="42" s="1"/>
  <c r="U109" i="42"/>
  <c r="W340" i="42" s="1"/>
  <c r="N109" i="42"/>
  <c r="O340" i="42" s="1"/>
  <c r="G109" i="42"/>
  <c r="G340" i="42" s="1"/>
  <c r="U108" i="42"/>
  <c r="W319" i="42" s="1"/>
  <c r="N108" i="42"/>
  <c r="O319" i="42" s="1"/>
  <c r="G108" i="42"/>
  <c r="G319" i="42" s="1"/>
  <c r="U107" i="42"/>
  <c r="W298" i="42" s="1"/>
  <c r="N107" i="42"/>
  <c r="O298" i="42" s="1"/>
  <c r="G107" i="42"/>
  <c r="G298" i="42" s="1"/>
  <c r="U106" i="42"/>
  <c r="W277" i="42" s="1"/>
  <c r="N106" i="42"/>
  <c r="O277" i="42" s="1"/>
  <c r="G106" i="42"/>
  <c r="G277" i="42" s="1"/>
  <c r="U105" i="42"/>
  <c r="W256" i="42" s="1"/>
  <c r="N105" i="42"/>
  <c r="O256" i="42" s="1"/>
  <c r="G105" i="42"/>
  <c r="G256" i="42" s="1"/>
  <c r="U104" i="42"/>
  <c r="W235" i="42" s="1"/>
  <c r="N104" i="42"/>
  <c r="O235" i="42" s="1"/>
  <c r="G104" i="42"/>
  <c r="R103" i="42"/>
  <c r="L103" i="42"/>
  <c r="S103" i="42" s="1"/>
  <c r="K103" i="42"/>
  <c r="I101" i="42"/>
  <c r="P101" i="42" s="1"/>
  <c r="U99" i="42"/>
  <c r="W360" i="42" s="1"/>
  <c r="N99" i="42"/>
  <c r="O360" i="42" s="1"/>
  <c r="G99" i="42"/>
  <c r="G360" i="42" s="1"/>
  <c r="U98" i="42"/>
  <c r="W339" i="42" s="1"/>
  <c r="N98" i="42"/>
  <c r="O339" i="42" s="1"/>
  <c r="G98" i="42"/>
  <c r="G339" i="42" s="1"/>
  <c r="U97" i="42"/>
  <c r="W318" i="42" s="1"/>
  <c r="N97" i="42"/>
  <c r="O318" i="42" s="1"/>
  <c r="G97" i="42"/>
  <c r="G318" i="42" s="1"/>
  <c r="U96" i="42"/>
  <c r="W297" i="42" s="1"/>
  <c r="N96" i="42"/>
  <c r="O297" i="42" s="1"/>
  <c r="G96" i="42"/>
  <c r="G297" i="42" s="1"/>
  <c r="U95" i="42"/>
  <c r="W276" i="42" s="1"/>
  <c r="N95" i="42"/>
  <c r="O276" i="42" s="1"/>
  <c r="G95" i="42"/>
  <c r="G276" i="42" s="1"/>
  <c r="U94" i="42"/>
  <c r="W255" i="42" s="1"/>
  <c r="N94" i="42"/>
  <c r="O255" i="42" s="1"/>
  <c r="G94" i="42"/>
  <c r="G255" i="42" s="1"/>
  <c r="U93" i="42"/>
  <c r="W234" i="42" s="1"/>
  <c r="N93" i="42"/>
  <c r="O234" i="42" s="1"/>
  <c r="G93" i="42"/>
  <c r="G234" i="42" s="1"/>
  <c r="L92" i="42"/>
  <c r="S92" i="42" s="1"/>
  <c r="K92" i="42"/>
  <c r="R92" i="42" s="1"/>
  <c r="I90" i="42"/>
  <c r="P90" i="42" s="1"/>
  <c r="U88" i="42"/>
  <c r="W359" i="42" s="1"/>
  <c r="N88" i="42"/>
  <c r="O359" i="42" s="1"/>
  <c r="G88" i="42"/>
  <c r="G359" i="42" s="1"/>
  <c r="U87" i="42"/>
  <c r="W338" i="42" s="1"/>
  <c r="N87" i="42"/>
  <c r="O338" i="42" s="1"/>
  <c r="G87" i="42"/>
  <c r="G338" i="42" s="1"/>
  <c r="U86" i="42"/>
  <c r="W317" i="42" s="1"/>
  <c r="N86" i="42"/>
  <c r="O317" i="42" s="1"/>
  <c r="G86" i="42"/>
  <c r="G317" i="42" s="1"/>
  <c r="U85" i="42"/>
  <c r="W296" i="42" s="1"/>
  <c r="N85" i="42"/>
  <c r="O296" i="42" s="1"/>
  <c r="G85" i="42"/>
  <c r="G296" i="42" s="1"/>
  <c r="U84" i="42"/>
  <c r="W275" i="42" s="1"/>
  <c r="N84" i="42"/>
  <c r="O275" i="42" s="1"/>
  <c r="G84" i="42"/>
  <c r="G275" i="42" s="1"/>
  <c r="U83" i="42"/>
  <c r="W254" i="42" s="1"/>
  <c r="N83" i="42"/>
  <c r="O254" i="42" s="1"/>
  <c r="G83" i="42"/>
  <c r="G254" i="42" s="1"/>
  <c r="U82" i="42"/>
  <c r="W233" i="42" s="1"/>
  <c r="N82" i="42"/>
  <c r="O233" i="42" s="1"/>
  <c r="G82" i="42"/>
  <c r="G233" i="42" s="1"/>
  <c r="L81" i="42"/>
  <c r="S81" i="42" s="1"/>
  <c r="K81" i="42"/>
  <c r="R81" i="42" s="1"/>
  <c r="I79" i="42"/>
  <c r="P79" i="42" s="1"/>
  <c r="U77" i="42"/>
  <c r="W358" i="42" s="1"/>
  <c r="N77" i="42"/>
  <c r="O358" i="42" s="1"/>
  <c r="G77" i="42"/>
  <c r="G358" i="42" s="1"/>
  <c r="U76" i="42"/>
  <c r="N76" i="42"/>
  <c r="O337" i="42" s="1"/>
  <c r="G76" i="42"/>
  <c r="G337" i="42" s="1"/>
  <c r="U75" i="42"/>
  <c r="W316" i="42" s="1"/>
  <c r="N75" i="42"/>
  <c r="O316" i="42" s="1"/>
  <c r="G75" i="42"/>
  <c r="G316" i="42" s="1"/>
  <c r="U74" i="42"/>
  <c r="W295" i="42" s="1"/>
  <c r="N74" i="42"/>
  <c r="O295" i="42" s="1"/>
  <c r="G74" i="42"/>
  <c r="G295" i="42" s="1"/>
  <c r="U73" i="42"/>
  <c r="W274" i="42" s="1"/>
  <c r="N73" i="42"/>
  <c r="O274" i="42" s="1"/>
  <c r="G73" i="42"/>
  <c r="G274" i="42" s="1"/>
  <c r="U72" i="42"/>
  <c r="W253" i="42" s="1"/>
  <c r="N72" i="42"/>
  <c r="O253" i="42" s="1"/>
  <c r="G72" i="42"/>
  <c r="G253" i="42" s="1"/>
  <c r="U71" i="42"/>
  <c r="W232" i="42" s="1"/>
  <c r="N71" i="42"/>
  <c r="O232" i="42" s="1"/>
  <c r="G71" i="42"/>
  <c r="G232" i="42" s="1"/>
  <c r="L70" i="42"/>
  <c r="S70" i="42" s="1"/>
  <c r="K70" i="42"/>
  <c r="R70" i="42" s="1"/>
  <c r="I68" i="42"/>
  <c r="P68" i="42" s="1"/>
  <c r="U66" i="42"/>
  <c r="N66" i="42"/>
  <c r="O357" i="42" s="1"/>
  <c r="G66" i="42"/>
  <c r="G357" i="42" s="1"/>
  <c r="U65" i="42"/>
  <c r="W336" i="42" s="1"/>
  <c r="N65" i="42"/>
  <c r="O336" i="42" s="1"/>
  <c r="G65" i="42"/>
  <c r="G336" i="42" s="1"/>
  <c r="U64" i="42"/>
  <c r="W315" i="42" s="1"/>
  <c r="N64" i="42"/>
  <c r="O315" i="42" s="1"/>
  <c r="G64" i="42"/>
  <c r="G315" i="42" s="1"/>
  <c r="U63" i="42"/>
  <c r="W294" i="42" s="1"/>
  <c r="N63" i="42"/>
  <c r="O294" i="42" s="1"/>
  <c r="G63" i="42"/>
  <c r="G294" i="42" s="1"/>
  <c r="U62" i="42"/>
  <c r="W273" i="42" s="1"/>
  <c r="N62" i="42"/>
  <c r="O273" i="42" s="1"/>
  <c r="G62" i="42"/>
  <c r="G273" i="42" s="1"/>
  <c r="U61" i="42"/>
  <c r="W252" i="42" s="1"/>
  <c r="N61" i="42"/>
  <c r="O252" i="42" s="1"/>
  <c r="G61" i="42"/>
  <c r="G252" i="42" s="1"/>
  <c r="U60" i="42"/>
  <c r="W231" i="42" s="1"/>
  <c r="N60" i="42"/>
  <c r="O231" i="42" s="1"/>
  <c r="G60" i="42"/>
  <c r="G231" i="42" s="1"/>
  <c r="L59" i="42"/>
  <c r="S59" i="42" s="1"/>
  <c r="K59" i="42"/>
  <c r="R59" i="42" s="1"/>
  <c r="I57" i="42"/>
  <c r="P57" i="42" s="1"/>
  <c r="U55" i="42"/>
  <c r="W356" i="42" s="1"/>
  <c r="N55" i="42"/>
  <c r="O356" i="42" s="1"/>
  <c r="G55" i="42"/>
  <c r="G356" i="42" s="1"/>
  <c r="U54" i="42"/>
  <c r="W335" i="42" s="1"/>
  <c r="N54" i="42"/>
  <c r="O335" i="42" s="1"/>
  <c r="G54" i="42"/>
  <c r="G335" i="42" s="1"/>
  <c r="U53" i="42"/>
  <c r="W314" i="42" s="1"/>
  <c r="N53" i="42"/>
  <c r="O314" i="42" s="1"/>
  <c r="G53" i="42"/>
  <c r="G314" i="42" s="1"/>
  <c r="U52" i="42"/>
  <c r="W293" i="42" s="1"/>
  <c r="N52" i="42"/>
  <c r="O293" i="42" s="1"/>
  <c r="G52" i="42"/>
  <c r="G293" i="42" s="1"/>
  <c r="U51" i="42"/>
  <c r="W272" i="42" s="1"/>
  <c r="N51" i="42"/>
  <c r="O272" i="42" s="1"/>
  <c r="G51" i="42"/>
  <c r="G272" i="42" s="1"/>
  <c r="U50" i="42"/>
  <c r="W251" i="42" s="1"/>
  <c r="N50" i="42"/>
  <c r="O251" i="42" s="1"/>
  <c r="G50" i="42"/>
  <c r="G251" i="42" s="1"/>
  <c r="U49" i="42"/>
  <c r="W230" i="42" s="1"/>
  <c r="N49" i="42"/>
  <c r="O230" i="42" s="1"/>
  <c r="G49" i="42"/>
  <c r="G230" i="42" s="1"/>
  <c r="L48" i="42"/>
  <c r="S48" i="42" s="1"/>
  <c r="K48" i="42"/>
  <c r="R48" i="42" s="1"/>
  <c r="I46" i="42"/>
  <c r="P46" i="42" s="1"/>
  <c r="U44" i="42"/>
  <c r="W355" i="42" s="1"/>
  <c r="N44" i="42"/>
  <c r="O355" i="42" s="1"/>
  <c r="G44" i="42"/>
  <c r="G355" i="42" s="1"/>
  <c r="U43" i="42"/>
  <c r="W334" i="42" s="1"/>
  <c r="N43" i="42"/>
  <c r="O334" i="42" s="1"/>
  <c r="G43" i="42"/>
  <c r="G334" i="42" s="1"/>
  <c r="U42" i="42"/>
  <c r="W313" i="42" s="1"/>
  <c r="N42" i="42"/>
  <c r="O313" i="42" s="1"/>
  <c r="G42" i="42"/>
  <c r="G313" i="42" s="1"/>
  <c r="U41" i="42"/>
  <c r="W292" i="42" s="1"/>
  <c r="N41" i="42"/>
  <c r="O292" i="42" s="1"/>
  <c r="G41" i="42"/>
  <c r="G292" i="42" s="1"/>
  <c r="U40" i="42"/>
  <c r="W271" i="42" s="1"/>
  <c r="N40" i="42"/>
  <c r="O271" i="42" s="1"/>
  <c r="G40" i="42"/>
  <c r="G271" i="42" s="1"/>
  <c r="U39" i="42"/>
  <c r="N39" i="42"/>
  <c r="O250" i="42" s="1"/>
  <c r="G39" i="42"/>
  <c r="G250" i="42" s="1"/>
  <c r="U38" i="42"/>
  <c r="W229" i="42" s="1"/>
  <c r="N38" i="42"/>
  <c r="O229" i="42" s="1"/>
  <c r="G38" i="42"/>
  <c r="G229" i="42" s="1"/>
  <c r="L37" i="42"/>
  <c r="S37" i="42" s="1"/>
  <c r="K37" i="42"/>
  <c r="R37" i="42" s="1"/>
  <c r="I35" i="42"/>
  <c r="P35" i="42" s="1"/>
  <c r="U33" i="42"/>
  <c r="W354" i="42" s="1"/>
  <c r="N33" i="42"/>
  <c r="O354" i="42" s="1"/>
  <c r="G33" i="42"/>
  <c r="G354" i="42" s="1"/>
  <c r="U32" i="42"/>
  <c r="W333" i="42" s="1"/>
  <c r="N32" i="42"/>
  <c r="O333" i="42" s="1"/>
  <c r="G32" i="42"/>
  <c r="G333" i="42" s="1"/>
  <c r="U31" i="42"/>
  <c r="W312" i="42" s="1"/>
  <c r="N31" i="42"/>
  <c r="O312" i="42" s="1"/>
  <c r="G31" i="42"/>
  <c r="G312" i="42" s="1"/>
  <c r="U30" i="42"/>
  <c r="W291" i="42" s="1"/>
  <c r="N30" i="42"/>
  <c r="O291" i="42" s="1"/>
  <c r="G30" i="42"/>
  <c r="G291" i="42" s="1"/>
  <c r="U29" i="42"/>
  <c r="W270" i="42" s="1"/>
  <c r="N29" i="42"/>
  <c r="O270" i="42" s="1"/>
  <c r="G29" i="42"/>
  <c r="G270" i="42" s="1"/>
  <c r="U28" i="42"/>
  <c r="W249" i="42" s="1"/>
  <c r="N28" i="42"/>
  <c r="O249" i="42" s="1"/>
  <c r="G28" i="42"/>
  <c r="G249" i="42" s="1"/>
  <c r="U27" i="42"/>
  <c r="W228" i="42" s="1"/>
  <c r="N27" i="42"/>
  <c r="O228" i="42" s="1"/>
  <c r="G27" i="42"/>
  <c r="G228" i="42" s="1"/>
  <c r="L26" i="42"/>
  <c r="S26" i="42" s="1"/>
  <c r="K26" i="42"/>
  <c r="R26" i="42" s="1"/>
  <c r="I24" i="42"/>
  <c r="P24" i="42" s="1"/>
  <c r="U22" i="42"/>
  <c r="W353" i="42" s="1"/>
  <c r="N22" i="42"/>
  <c r="O353" i="42" s="1"/>
  <c r="G22" i="42"/>
  <c r="G353" i="42" s="1"/>
  <c r="U21" i="42"/>
  <c r="W332" i="42" s="1"/>
  <c r="N21" i="42"/>
  <c r="O332" i="42" s="1"/>
  <c r="G21" i="42"/>
  <c r="G332" i="42" s="1"/>
  <c r="U20" i="42"/>
  <c r="W311" i="42" s="1"/>
  <c r="N20" i="42"/>
  <c r="O311" i="42" s="1"/>
  <c r="G20" i="42"/>
  <c r="G311" i="42" s="1"/>
  <c r="U19" i="42"/>
  <c r="W290" i="42" s="1"/>
  <c r="N19" i="42"/>
  <c r="O290" i="42" s="1"/>
  <c r="G19" i="42"/>
  <c r="G290" i="42" s="1"/>
  <c r="U18" i="42"/>
  <c r="W269" i="42" s="1"/>
  <c r="N18" i="42"/>
  <c r="O269" i="42" s="1"/>
  <c r="G18" i="42"/>
  <c r="G269" i="42" s="1"/>
  <c r="U17" i="42"/>
  <c r="W248" i="42" s="1"/>
  <c r="N17" i="42"/>
  <c r="O248" i="42" s="1"/>
  <c r="G17" i="42"/>
  <c r="G248" i="42" s="1"/>
  <c r="U16" i="42"/>
  <c r="W227" i="42" s="1"/>
  <c r="N16" i="42"/>
  <c r="O227" i="42" s="1"/>
  <c r="G16" i="42"/>
  <c r="G227" i="42" s="1"/>
  <c r="L15" i="42"/>
  <c r="S15" i="42" s="1"/>
  <c r="K15" i="42"/>
  <c r="R15" i="42" s="1"/>
  <c r="I13" i="42"/>
  <c r="P13" i="42" s="1"/>
  <c r="U11" i="42"/>
  <c r="W352" i="42" s="1"/>
  <c r="N11" i="42"/>
  <c r="O352" i="42" s="1"/>
  <c r="G11" i="42"/>
  <c r="G352" i="42" s="1"/>
  <c r="U10" i="42"/>
  <c r="N10" i="42"/>
  <c r="O331" i="42" s="1"/>
  <c r="G10" i="42"/>
  <c r="G331" i="42" s="1"/>
  <c r="U9" i="42"/>
  <c r="W310" i="42" s="1"/>
  <c r="N9" i="42"/>
  <c r="G9" i="42"/>
  <c r="G310" i="42" s="1"/>
  <c r="U8" i="42"/>
  <c r="W289" i="42" s="1"/>
  <c r="N8" i="42"/>
  <c r="O289" i="42" s="1"/>
  <c r="G8" i="42"/>
  <c r="G289" i="42" s="1"/>
  <c r="U7" i="42"/>
  <c r="W268" i="42" s="1"/>
  <c r="N7" i="42"/>
  <c r="O268" i="42" s="1"/>
  <c r="G7" i="42"/>
  <c r="G268" i="42" s="1"/>
  <c r="U6" i="42"/>
  <c r="W247" i="42" s="1"/>
  <c r="N6" i="42"/>
  <c r="O247" i="42" s="1"/>
  <c r="G6" i="42"/>
  <c r="G247" i="42" s="1"/>
  <c r="U5" i="42"/>
  <c r="W226" i="42" s="1"/>
  <c r="N5" i="42"/>
  <c r="O226" i="42" s="1"/>
  <c r="G5" i="42"/>
  <c r="G226" i="42" s="1"/>
  <c r="L4" i="42"/>
  <c r="S4" i="42" s="1"/>
  <c r="K4" i="42"/>
  <c r="R4" i="42" s="1"/>
  <c r="I2" i="42"/>
  <c r="P2" i="42" s="1"/>
  <c r="O302" i="42" l="1"/>
  <c r="B375" i="42"/>
  <c r="H375" i="42" s="1"/>
  <c r="N375" i="42" s="1"/>
  <c r="A379" i="42"/>
  <c r="S373" i="42"/>
  <c r="W379" i="42" s="1"/>
  <c r="O392" i="42" s="1"/>
  <c r="A382" i="42"/>
  <c r="C378" i="42"/>
  <c r="H373" i="42"/>
  <c r="D378" i="42"/>
  <c r="A381" i="42"/>
  <c r="E376" i="42"/>
  <c r="U143" i="42"/>
  <c r="W364" i="42" s="1"/>
  <c r="O310" i="42"/>
  <c r="B378" i="42"/>
  <c r="G286" i="42"/>
  <c r="E378" i="42" s="1"/>
  <c r="G285" i="42"/>
  <c r="G301" i="42"/>
  <c r="B379" i="42"/>
  <c r="A380" i="42"/>
  <c r="B381" i="42"/>
  <c r="B382" i="42"/>
  <c r="A377" i="42"/>
  <c r="C379" i="42"/>
  <c r="B380" i="42"/>
  <c r="C381" i="42"/>
  <c r="C382" i="42"/>
  <c r="C375" i="42"/>
  <c r="I375" i="42" s="1"/>
  <c r="O375" i="42" s="1"/>
  <c r="A376" i="42"/>
  <c r="B377" i="42"/>
  <c r="D379" i="42"/>
  <c r="C380" i="42"/>
  <c r="D381" i="42"/>
  <c r="D382" i="42"/>
  <c r="G373" i="42"/>
  <c r="B376" i="42"/>
  <c r="C377" i="42"/>
  <c r="E379" i="42"/>
  <c r="D380" i="42"/>
  <c r="E381" i="42"/>
  <c r="E382" i="42"/>
  <c r="C376" i="42"/>
  <c r="D377" i="42"/>
  <c r="A378" i="42"/>
  <c r="E380" i="42"/>
  <c r="D376" i="42"/>
  <c r="E377" i="42"/>
  <c r="A298" i="41"/>
  <c r="A311" i="41" s="1"/>
  <c r="M272" i="41"/>
  <c r="M271" i="41"/>
  <c r="M270" i="41"/>
  <c r="M269" i="41"/>
  <c r="O269" i="41" s="1"/>
  <c r="I25" i="4" s="1"/>
  <c r="H25" i="46" s="1"/>
  <c r="M268" i="41"/>
  <c r="K310" i="41"/>
  <c r="J310" i="41"/>
  <c r="I310" i="41"/>
  <c r="K309" i="41"/>
  <c r="J309" i="41"/>
  <c r="I309" i="41"/>
  <c r="K308" i="41"/>
  <c r="J308" i="41"/>
  <c r="I308" i="41"/>
  <c r="K307" i="41"/>
  <c r="J307" i="41"/>
  <c r="I307" i="41"/>
  <c r="K306" i="41"/>
  <c r="J306" i="41"/>
  <c r="I306" i="41"/>
  <c r="K305" i="41"/>
  <c r="J305" i="41"/>
  <c r="I305" i="41"/>
  <c r="K304" i="41"/>
  <c r="J304" i="41"/>
  <c r="I304" i="41"/>
  <c r="K303" i="41"/>
  <c r="J303" i="41"/>
  <c r="I303" i="41"/>
  <c r="K302" i="41"/>
  <c r="J302" i="41"/>
  <c r="I302" i="41"/>
  <c r="K301" i="41"/>
  <c r="J301" i="41"/>
  <c r="I301" i="41"/>
  <c r="K300" i="41"/>
  <c r="J300" i="41"/>
  <c r="I300" i="41"/>
  <c r="K299" i="41"/>
  <c r="J299" i="41"/>
  <c r="I299" i="41"/>
  <c r="A289" i="41"/>
  <c r="A283" i="41"/>
  <c r="A275" i="41"/>
  <c r="A267" i="41"/>
  <c r="Q262" i="41"/>
  <c r="L262" i="41"/>
  <c r="H262" i="41"/>
  <c r="C262" i="41"/>
  <c r="Q261" i="41"/>
  <c r="L261" i="41"/>
  <c r="H261" i="41"/>
  <c r="C261" i="41"/>
  <c r="Q260" i="41"/>
  <c r="L260" i="41"/>
  <c r="H260" i="41"/>
  <c r="C260" i="41"/>
  <c r="L259" i="41"/>
  <c r="H259" i="41"/>
  <c r="C259" i="41"/>
  <c r="L258" i="41"/>
  <c r="C258" i="41"/>
  <c r="L257" i="41"/>
  <c r="C257" i="41"/>
  <c r="L256" i="41"/>
  <c r="C256" i="41"/>
  <c r="L255" i="41"/>
  <c r="C255" i="41"/>
  <c r="L254" i="41"/>
  <c r="C254" i="41"/>
  <c r="L253" i="41"/>
  <c r="C253" i="41"/>
  <c r="L252" i="41"/>
  <c r="C252" i="41"/>
  <c r="L251" i="41"/>
  <c r="C251" i="41"/>
  <c r="Q249" i="41"/>
  <c r="L249" i="41"/>
  <c r="H249" i="41"/>
  <c r="C249" i="41"/>
  <c r="Q248" i="41"/>
  <c r="L248" i="41"/>
  <c r="H248" i="41"/>
  <c r="C248" i="41"/>
  <c r="Q247" i="41"/>
  <c r="L247" i="41"/>
  <c r="H247" i="41"/>
  <c r="C247" i="41"/>
  <c r="L246" i="41"/>
  <c r="H246" i="41"/>
  <c r="C246" i="41"/>
  <c r="L245" i="41"/>
  <c r="C245" i="41"/>
  <c r="L244" i="41"/>
  <c r="C244" i="41"/>
  <c r="L243" i="41"/>
  <c r="C243" i="41"/>
  <c r="L242" i="41"/>
  <c r="C242" i="41"/>
  <c r="L241" i="41"/>
  <c r="C241" i="41"/>
  <c r="L240" i="41"/>
  <c r="C240" i="41"/>
  <c r="L239" i="41"/>
  <c r="C239" i="41"/>
  <c r="L238" i="41"/>
  <c r="C238" i="41"/>
  <c r="Q236" i="41"/>
  <c r="L236" i="41"/>
  <c r="H236" i="41"/>
  <c r="C236" i="41"/>
  <c r="Q235" i="41"/>
  <c r="L235" i="41"/>
  <c r="H235" i="41"/>
  <c r="C235" i="41"/>
  <c r="Q234" i="41"/>
  <c r="L234" i="41"/>
  <c r="H234" i="41"/>
  <c r="C234" i="41"/>
  <c r="L233" i="41"/>
  <c r="H233" i="41"/>
  <c r="C233" i="41"/>
  <c r="L232" i="41"/>
  <c r="C232" i="41"/>
  <c r="L231" i="41"/>
  <c r="C231" i="41"/>
  <c r="L230" i="41"/>
  <c r="C230" i="41"/>
  <c r="L229" i="41"/>
  <c r="C229" i="41"/>
  <c r="L228" i="41"/>
  <c r="C228" i="41"/>
  <c r="L227" i="41"/>
  <c r="C227" i="41"/>
  <c r="L226" i="41"/>
  <c r="C226" i="41"/>
  <c r="L225" i="41"/>
  <c r="C225" i="41"/>
  <c r="Q223" i="41"/>
  <c r="L223" i="41"/>
  <c r="H223" i="41"/>
  <c r="C223" i="41"/>
  <c r="Q222" i="41"/>
  <c r="L222" i="41"/>
  <c r="H222" i="41"/>
  <c r="C222" i="41"/>
  <c r="Q221" i="41"/>
  <c r="L221" i="41"/>
  <c r="H221" i="41"/>
  <c r="C221" i="41"/>
  <c r="L220" i="41"/>
  <c r="H220" i="41"/>
  <c r="C220" i="41"/>
  <c r="L219" i="41"/>
  <c r="C219" i="41"/>
  <c r="L218" i="41"/>
  <c r="C218" i="41"/>
  <c r="L217" i="41"/>
  <c r="C217" i="41"/>
  <c r="L216" i="41"/>
  <c r="C216" i="41"/>
  <c r="L215" i="41"/>
  <c r="C215" i="41"/>
  <c r="L214" i="41"/>
  <c r="C214" i="41"/>
  <c r="L213" i="41"/>
  <c r="C213" i="41"/>
  <c r="L212" i="41"/>
  <c r="C212" i="41"/>
  <c r="L210" i="41"/>
  <c r="C210" i="41"/>
  <c r="Q207" i="41"/>
  <c r="L207" i="41"/>
  <c r="H207" i="41"/>
  <c r="C207" i="41"/>
  <c r="Q206" i="41"/>
  <c r="L206" i="41"/>
  <c r="H206" i="41"/>
  <c r="C206" i="41"/>
  <c r="Q205" i="41"/>
  <c r="L205" i="41"/>
  <c r="H205" i="41"/>
  <c r="C205" i="41"/>
  <c r="Q204" i="41"/>
  <c r="L204" i="41"/>
  <c r="C204" i="41"/>
  <c r="L203" i="41"/>
  <c r="C203" i="41"/>
  <c r="L202" i="41"/>
  <c r="C202" i="41"/>
  <c r="L201" i="41"/>
  <c r="C201" i="41"/>
  <c r="L200" i="41"/>
  <c r="C200" i="41"/>
  <c r="L199" i="41"/>
  <c r="C199" i="41"/>
  <c r="L198" i="41"/>
  <c r="C198" i="41"/>
  <c r="L197" i="41"/>
  <c r="H197" i="41"/>
  <c r="C197" i="41"/>
  <c r="L196" i="41"/>
  <c r="C196" i="41"/>
  <c r="Q194" i="41"/>
  <c r="L194" i="41"/>
  <c r="H194" i="41"/>
  <c r="C194" i="41"/>
  <c r="Q193" i="41"/>
  <c r="L193" i="41"/>
  <c r="H193" i="41"/>
  <c r="C193" i="41"/>
  <c r="Q192" i="41"/>
  <c r="L192" i="41"/>
  <c r="H192" i="41"/>
  <c r="C192" i="41"/>
  <c r="L191" i="41"/>
  <c r="C191" i="41"/>
  <c r="L190" i="41"/>
  <c r="C190" i="41"/>
  <c r="L189" i="41"/>
  <c r="C189" i="41"/>
  <c r="L188" i="41"/>
  <c r="C188" i="41"/>
  <c r="L187" i="41"/>
  <c r="C187" i="41"/>
  <c r="L186" i="41"/>
  <c r="C186" i="41"/>
  <c r="L185" i="41"/>
  <c r="C185" i="41"/>
  <c r="L184" i="41"/>
  <c r="C184" i="41"/>
  <c r="L183" i="41"/>
  <c r="C183" i="41"/>
  <c r="Q181" i="41"/>
  <c r="L181" i="41"/>
  <c r="H181" i="41"/>
  <c r="C181" i="41"/>
  <c r="Q180" i="41"/>
  <c r="L180" i="41"/>
  <c r="H180" i="41"/>
  <c r="C180" i="41"/>
  <c r="Q179" i="41"/>
  <c r="L179" i="41"/>
  <c r="H179" i="41"/>
  <c r="C179" i="41"/>
  <c r="L178" i="41"/>
  <c r="C178" i="41"/>
  <c r="L177" i="41"/>
  <c r="C177" i="41"/>
  <c r="L176" i="41"/>
  <c r="C176" i="41"/>
  <c r="L175" i="41"/>
  <c r="C175" i="41"/>
  <c r="L174" i="41"/>
  <c r="C174" i="41"/>
  <c r="L173" i="41"/>
  <c r="C173" i="41"/>
  <c r="L172" i="41"/>
  <c r="C172" i="41"/>
  <c r="L171" i="41"/>
  <c r="C171" i="41"/>
  <c r="L170" i="41"/>
  <c r="C170" i="41"/>
  <c r="Q168" i="41"/>
  <c r="L168" i="41"/>
  <c r="H168" i="41"/>
  <c r="C168" i="41"/>
  <c r="Q167" i="41"/>
  <c r="L167" i="41"/>
  <c r="H167" i="41"/>
  <c r="C167" i="41"/>
  <c r="Q166" i="41"/>
  <c r="L166" i="41"/>
  <c r="H166" i="41"/>
  <c r="C166" i="41"/>
  <c r="L165" i="41"/>
  <c r="C165" i="41"/>
  <c r="L164" i="41"/>
  <c r="C164" i="41"/>
  <c r="L163" i="41"/>
  <c r="C163" i="41"/>
  <c r="L162" i="41"/>
  <c r="C162" i="41"/>
  <c r="L161" i="41"/>
  <c r="C161" i="41"/>
  <c r="L160" i="41"/>
  <c r="C160" i="41"/>
  <c r="L159" i="41"/>
  <c r="C159" i="41"/>
  <c r="L158" i="41"/>
  <c r="C158" i="41"/>
  <c r="L157" i="41"/>
  <c r="C157" i="41"/>
  <c r="Q155" i="41"/>
  <c r="L155" i="41"/>
  <c r="H155" i="41"/>
  <c r="C155" i="41"/>
  <c r="Q154" i="41"/>
  <c r="L154" i="41"/>
  <c r="H154" i="41"/>
  <c r="C154" i="41"/>
  <c r="Q153" i="41"/>
  <c r="L153" i="41"/>
  <c r="H153" i="41"/>
  <c r="C153" i="41"/>
  <c r="L152" i="41"/>
  <c r="C152" i="41"/>
  <c r="L151" i="41"/>
  <c r="C151" i="41"/>
  <c r="L150" i="41"/>
  <c r="C150" i="41"/>
  <c r="L149" i="41"/>
  <c r="C149" i="41"/>
  <c r="L148" i="41"/>
  <c r="C148" i="41"/>
  <c r="L147" i="41"/>
  <c r="C147" i="41"/>
  <c r="L146" i="41"/>
  <c r="C146" i="41"/>
  <c r="L145" i="41"/>
  <c r="C145" i="41"/>
  <c r="L144" i="41"/>
  <c r="C144" i="41"/>
  <c r="Q142" i="41"/>
  <c r="L142" i="41"/>
  <c r="H142" i="41"/>
  <c r="C142" i="41"/>
  <c r="Q141" i="41"/>
  <c r="L141" i="41"/>
  <c r="H141" i="41"/>
  <c r="C141" i="41"/>
  <c r="Q140" i="41"/>
  <c r="L140" i="41"/>
  <c r="H140" i="41"/>
  <c r="C140" i="41"/>
  <c r="Q139" i="41"/>
  <c r="L139" i="41"/>
  <c r="C139" i="41"/>
  <c r="L138" i="41"/>
  <c r="C138" i="41"/>
  <c r="L137" i="41"/>
  <c r="C137" i="41"/>
  <c r="L136" i="41"/>
  <c r="C136" i="41"/>
  <c r="L135" i="41"/>
  <c r="C135" i="41"/>
  <c r="L134" i="41"/>
  <c r="C134" i="41"/>
  <c r="L133" i="41"/>
  <c r="C133" i="41"/>
  <c r="L132" i="41"/>
  <c r="C132" i="41"/>
  <c r="L131" i="41"/>
  <c r="C131" i="41"/>
  <c r="L129" i="41"/>
  <c r="C129" i="41"/>
  <c r="J128" i="41"/>
  <c r="T124" i="41"/>
  <c r="M124" i="41"/>
  <c r="F124" i="41"/>
  <c r="T123" i="41"/>
  <c r="M123" i="41"/>
  <c r="F123" i="41"/>
  <c r="T122" i="41"/>
  <c r="M122" i="41"/>
  <c r="F122" i="41"/>
  <c r="T121" i="41"/>
  <c r="M121" i="41"/>
  <c r="F121" i="41"/>
  <c r="S120" i="41"/>
  <c r="R120" i="41"/>
  <c r="Q120" i="41"/>
  <c r="L120" i="41"/>
  <c r="K120" i="41"/>
  <c r="J120" i="41"/>
  <c r="E120" i="41"/>
  <c r="D120" i="41"/>
  <c r="C120" i="41"/>
  <c r="P119" i="41"/>
  <c r="T118" i="41"/>
  <c r="M118" i="41"/>
  <c r="F118" i="41"/>
  <c r="T117" i="41"/>
  <c r="M117" i="41"/>
  <c r="F117" i="41"/>
  <c r="T116" i="41"/>
  <c r="M116" i="41"/>
  <c r="F116" i="41"/>
  <c r="T115" i="41"/>
  <c r="M115" i="41"/>
  <c r="F115" i="41"/>
  <c r="S114" i="41"/>
  <c r="R114" i="41"/>
  <c r="Q114" i="41"/>
  <c r="L114" i="41"/>
  <c r="K114" i="41"/>
  <c r="J114" i="41"/>
  <c r="E114" i="41"/>
  <c r="D114" i="41"/>
  <c r="C114" i="41"/>
  <c r="P113" i="41"/>
  <c r="T112" i="41"/>
  <c r="M112" i="41"/>
  <c r="F112" i="41"/>
  <c r="T111" i="41"/>
  <c r="M111" i="41"/>
  <c r="F111" i="41"/>
  <c r="T110" i="41"/>
  <c r="M110" i="41"/>
  <c r="F110" i="41"/>
  <c r="T109" i="41"/>
  <c r="M109" i="41"/>
  <c r="F109" i="41"/>
  <c r="T108" i="41"/>
  <c r="M108" i="41"/>
  <c r="F108" i="41"/>
  <c r="T107" i="41"/>
  <c r="M107" i="41"/>
  <c r="F107" i="41"/>
  <c r="S106" i="41"/>
  <c r="R106" i="41"/>
  <c r="Q106" i="41"/>
  <c r="L106" i="41"/>
  <c r="K106" i="41"/>
  <c r="J106" i="41"/>
  <c r="E106" i="41"/>
  <c r="D106" i="41"/>
  <c r="C106" i="41"/>
  <c r="P105" i="41"/>
  <c r="I105" i="41"/>
  <c r="T104" i="41"/>
  <c r="M104" i="41"/>
  <c r="F104" i="41"/>
  <c r="T103" i="41"/>
  <c r="M103" i="41"/>
  <c r="F103" i="41"/>
  <c r="T102" i="41"/>
  <c r="M102" i="41"/>
  <c r="F102" i="41"/>
  <c r="T101" i="41"/>
  <c r="M101" i="41"/>
  <c r="F101" i="41"/>
  <c r="T100" i="41"/>
  <c r="M100" i="41"/>
  <c r="F100" i="41"/>
  <c r="T99" i="41"/>
  <c r="M99" i="41"/>
  <c r="F99" i="41"/>
  <c r="P97" i="41"/>
  <c r="I97" i="41"/>
  <c r="U93" i="41"/>
  <c r="Q259" i="41" s="1"/>
  <c r="T93" i="41"/>
  <c r="N93" i="41"/>
  <c r="Q258" i="41" s="1"/>
  <c r="M93" i="41"/>
  <c r="G93" i="41"/>
  <c r="Q257" i="41" s="1"/>
  <c r="F93" i="41"/>
  <c r="U92" i="41"/>
  <c r="Q246" i="41" s="1"/>
  <c r="T92" i="41"/>
  <c r="N92" i="41"/>
  <c r="Q245" i="41" s="1"/>
  <c r="M92" i="41"/>
  <c r="G92" i="41"/>
  <c r="Q244" i="41" s="1"/>
  <c r="F92" i="41"/>
  <c r="U91" i="41"/>
  <c r="Q233" i="41" s="1"/>
  <c r="T91" i="41"/>
  <c r="N91" i="41"/>
  <c r="Q232" i="41" s="1"/>
  <c r="M91" i="41"/>
  <c r="G91" i="41"/>
  <c r="Q231" i="41" s="1"/>
  <c r="F91" i="41"/>
  <c r="U90" i="41"/>
  <c r="Q220" i="41" s="1"/>
  <c r="T90" i="41"/>
  <c r="N90" i="41"/>
  <c r="Q219" i="41" s="1"/>
  <c r="M90" i="41"/>
  <c r="G90" i="41"/>
  <c r="Q218" i="41" s="1"/>
  <c r="F90" i="41"/>
  <c r="S89" i="41"/>
  <c r="R89" i="41"/>
  <c r="Q89" i="41"/>
  <c r="L89" i="41"/>
  <c r="K89" i="41"/>
  <c r="J89" i="41"/>
  <c r="E89" i="41"/>
  <c r="D89" i="41"/>
  <c r="C89" i="41"/>
  <c r="P88" i="41"/>
  <c r="T87" i="41"/>
  <c r="N87" i="41"/>
  <c r="H258" i="41" s="1"/>
  <c r="M87" i="41"/>
  <c r="G87" i="41"/>
  <c r="H257" i="41" s="1"/>
  <c r="F87" i="41"/>
  <c r="T86" i="41"/>
  <c r="N86" i="41"/>
  <c r="H245" i="41" s="1"/>
  <c r="M86" i="41"/>
  <c r="G86" i="41"/>
  <c r="H244" i="41" s="1"/>
  <c r="F86" i="41"/>
  <c r="T85" i="41"/>
  <c r="N85" i="41"/>
  <c r="H232" i="41" s="1"/>
  <c r="M85" i="41"/>
  <c r="G85" i="41"/>
  <c r="H231" i="41" s="1"/>
  <c r="F85" i="41"/>
  <c r="T84" i="41"/>
  <c r="N84" i="41"/>
  <c r="H219" i="41" s="1"/>
  <c r="M84" i="41"/>
  <c r="G84" i="41"/>
  <c r="H218" i="41" s="1"/>
  <c r="F84" i="41"/>
  <c r="S83" i="41"/>
  <c r="R83" i="41"/>
  <c r="Q83" i="41"/>
  <c r="L83" i="41"/>
  <c r="K83" i="41"/>
  <c r="J83" i="41"/>
  <c r="E83" i="41"/>
  <c r="D83" i="41"/>
  <c r="C83" i="41"/>
  <c r="P82" i="41"/>
  <c r="T81" i="41"/>
  <c r="N81" i="41"/>
  <c r="Q203" i="41" s="1"/>
  <c r="M81" i="41"/>
  <c r="G81" i="41"/>
  <c r="Q202" i="41" s="1"/>
  <c r="F81" i="41"/>
  <c r="U80" i="41"/>
  <c r="Q191" i="41" s="1"/>
  <c r="T80" i="41"/>
  <c r="N80" i="41"/>
  <c r="Q190" i="41" s="1"/>
  <c r="M80" i="41"/>
  <c r="G80" i="41"/>
  <c r="Q189" i="41" s="1"/>
  <c r="F80" i="41"/>
  <c r="U79" i="41"/>
  <c r="Q178" i="41" s="1"/>
  <c r="T79" i="41"/>
  <c r="N79" i="41"/>
  <c r="Q177" i="41" s="1"/>
  <c r="M79" i="41"/>
  <c r="G79" i="41"/>
  <c r="Q176" i="41" s="1"/>
  <c r="F79" i="41"/>
  <c r="U78" i="41"/>
  <c r="Q165" i="41" s="1"/>
  <c r="T78" i="41"/>
  <c r="N78" i="41"/>
  <c r="Q164" i="41" s="1"/>
  <c r="M78" i="41"/>
  <c r="G78" i="41"/>
  <c r="Q163" i="41" s="1"/>
  <c r="F78" i="41"/>
  <c r="U77" i="41"/>
  <c r="Q152" i="41" s="1"/>
  <c r="T77" i="41"/>
  <c r="N77" i="41"/>
  <c r="Q151" i="41" s="1"/>
  <c r="M77" i="41"/>
  <c r="G77" i="41"/>
  <c r="Q150" i="41" s="1"/>
  <c r="F77" i="41"/>
  <c r="T76" i="41"/>
  <c r="N76" i="41"/>
  <c r="Q138" i="41" s="1"/>
  <c r="M76" i="41"/>
  <c r="G76" i="41"/>
  <c r="Q137" i="41" s="1"/>
  <c r="F76" i="41"/>
  <c r="S75" i="41"/>
  <c r="R75" i="41"/>
  <c r="Q75" i="41"/>
  <c r="L75" i="41"/>
  <c r="K75" i="41"/>
  <c r="J75" i="41"/>
  <c r="E75" i="41"/>
  <c r="D75" i="41"/>
  <c r="C75" i="41"/>
  <c r="P74" i="41"/>
  <c r="I74" i="41"/>
  <c r="U73" i="41"/>
  <c r="H204" i="41" s="1"/>
  <c r="T73" i="41"/>
  <c r="N73" i="41"/>
  <c r="H203" i="41" s="1"/>
  <c r="M73" i="41"/>
  <c r="G73" i="41"/>
  <c r="H202" i="41" s="1"/>
  <c r="F73" i="41"/>
  <c r="U72" i="41"/>
  <c r="H191" i="41" s="1"/>
  <c r="T72" i="41"/>
  <c r="N72" i="41"/>
  <c r="H190" i="41" s="1"/>
  <c r="M72" i="41"/>
  <c r="G72" i="41"/>
  <c r="H189" i="41" s="1"/>
  <c r="F72" i="41"/>
  <c r="U71" i="41"/>
  <c r="H178" i="41" s="1"/>
  <c r="T71" i="41"/>
  <c r="N71" i="41"/>
  <c r="H177" i="41" s="1"/>
  <c r="M71" i="41"/>
  <c r="G71" i="41"/>
  <c r="H176" i="41" s="1"/>
  <c r="F71" i="41"/>
  <c r="U70" i="41"/>
  <c r="H165" i="41" s="1"/>
  <c r="T70" i="41"/>
  <c r="N70" i="41"/>
  <c r="H164" i="41" s="1"/>
  <c r="M70" i="41"/>
  <c r="G70" i="41"/>
  <c r="H163" i="41" s="1"/>
  <c r="F70" i="41"/>
  <c r="U69" i="41"/>
  <c r="H152" i="41" s="1"/>
  <c r="T69" i="41"/>
  <c r="N69" i="41"/>
  <c r="H151" i="41" s="1"/>
  <c r="M69" i="41"/>
  <c r="G69" i="41"/>
  <c r="H150" i="41" s="1"/>
  <c r="F69" i="41"/>
  <c r="U68" i="41"/>
  <c r="H139" i="41" s="1"/>
  <c r="T68" i="41"/>
  <c r="N68" i="41"/>
  <c r="H138" i="41" s="1"/>
  <c r="M68" i="41"/>
  <c r="G68" i="41"/>
  <c r="H137" i="41" s="1"/>
  <c r="F68" i="41"/>
  <c r="P66" i="41"/>
  <c r="I66" i="41"/>
  <c r="U62" i="41"/>
  <c r="Q256" i="41" s="1"/>
  <c r="T62" i="41"/>
  <c r="N62" i="41"/>
  <c r="Q255" i="41" s="1"/>
  <c r="M62" i="41"/>
  <c r="G62" i="41"/>
  <c r="Q254" i="41" s="1"/>
  <c r="F62" i="41"/>
  <c r="U61" i="41"/>
  <c r="Q243" i="41" s="1"/>
  <c r="T61" i="41"/>
  <c r="N61" i="41"/>
  <c r="Q242" i="41" s="1"/>
  <c r="M61" i="41"/>
  <c r="G61" i="41"/>
  <c r="Q241" i="41" s="1"/>
  <c r="F61" i="41"/>
  <c r="U60" i="41"/>
  <c r="Q230" i="41" s="1"/>
  <c r="T60" i="41"/>
  <c r="N60" i="41"/>
  <c r="Q229" i="41" s="1"/>
  <c r="M60" i="41"/>
  <c r="G60" i="41"/>
  <c r="Q228" i="41" s="1"/>
  <c r="F60" i="41"/>
  <c r="U59" i="41"/>
  <c r="Q217" i="41" s="1"/>
  <c r="T59" i="41"/>
  <c r="N59" i="41"/>
  <c r="Q216" i="41" s="1"/>
  <c r="M59" i="41"/>
  <c r="G59" i="41"/>
  <c r="Q215" i="41" s="1"/>
  <c r="F59" i="41"/>
  <c r="S58" i="41"/>
  <c r="R58" i="41"/>
  <c r="Q58" i="41"/>
  <c r="L58" i="41"/>
  <c r="K58" i="41"/>
  <c r="J58" i="41"/>
  <c r="E58" i="41"/>
  <c r="D58" i="41"/>
  <c r="C58" i="41"/>
  <c r="B57" i="41"/>
  <c r="I57" i="41" s="1"/>
  <c r="P57" i="41" s="1"/>
  <c r="U56" i="41"/>
  <c r="H256" i="41" s="1"/>
  <c r="T56" i="41"/>
  <c r="N56" i="41"/>
  <c r="H255" i="41" s="1"/>
  <c r="M56" i="41"/>
  <c r="G56" i="41"/>
  <c r="H254" i="41" s="1"/>
  <c r="F56" i="41"/>
  <c r="U55" i="41"/>
  <c r="H243" i="41" s="1"/>
  <c r="T55" i="41"/>
  <c r="N55" i="41"/>
  <c r="H242" i="41" s="1"/>
  <c r="M55" i="41"/>
  <c r="G55" i="41"/>
  <c r="H241" i="41" s="1"/>
  <c r="F55" i="41"/>
  <c r="U54" i="41"/>
  <c r="H230" i="41" s="1"/>
  <c r="T54" i="41"/>
  <c r="N54" i="41"/>
  <c r="H229" i="41" s="1"/>
  <c r="M54" i="41"/>
  <c r="G54" i="41"/>
  <c r="H228" i="41" s="1"/>
  <c r="F54" i="41"/>
  <c r="U53" i="41"/>
  <c r="H217" i="41" s="1"/>
  <c r="T53" i="41"/>
  <c r="N53" i="41"/>
  <c r="H216" i="41" s="1"/>
  <c r="M53" i="41"/>
  <c r="G53" i="41"/>
  <c r="H215" i="41" s="1"/>
  <c r="F53" i="41"/>
  <c r="S52" i="41"/>
  <c r="R52" i="41"/>
  <c r="Q52" i="41"/>
  <c r="L52" i="41"/>
  <c r="K52" i="41"/>
  <c r="J52" i="41"/>
  <c r="E52" i="41"/>
  <c r="D52" i="41"/>
  <c r="C52" i="41"/>
  <c r="B51" i="41"/>
  <c r="I51" i="41" s="1"/>
  <c r="P51" i="41" s="1"/>
  <c r="U50" i="41"/>
  <c r="Q201" i="41" s="1"/>
  <c r="T50" i="41"/>
  <c r="N50" i="41"/>
  <c r="Q200" i="41" s="1"/>
  <c r="M50" i="41"/>
  <c r="G50" i="41"/>
  <c r="Q199" i="41" s="1"/>
  <c r="F50" i="41"/>
  <c r="U49" i="41"/>
  <c r="Q188" i="41" s="1"/>
  <c r="T49" i="41"/>
  <c r="N49" i="41"/>
  <c r="Q187" i="41" s="1"/>
  <c r="M49" i="41"/>
  <c r="G49" i="41"/>
  <c r="Q186" i="41" s="1"/>
  <c r="F49" i="41"/>
  <c r="U48" i="41"/>
  <c r="Q175" i="41" s="1"/>
  <c r="T48" i="41"/>
  <c r="N48" i="41"/>
  <c r="Q174" i="41" s="1"/>
  <c r="M48" i="41"/>
  <c r="G48" i="41"/>
  <c r="Q173" i="41" s="1"/>
  <c r="F48" i="41"/>
  <c r="U47" i="41"/>
  <c r="Q162" i="41" s="1"/>
  <c r="T47" i="41"/>
  <c r="N47" i="41"/>
  <c r="Q161" i="41" s="1"/>
  <c r="M47" i="41"/>
  <c r="G47" i="41"/>
  <c r="Q160" i="41" s="1"/>
  <c r="F47" i="41"/>
  <c r="U46" i="41"/>
  <c r="Q149" i="41" s="1"/>
  <c r="T46" i="41"/>
  <c r="N46" i="41"/>
  <c r="Q148" i="41" s="1"/>
  <c r="M46" i="41"/>
  <c r="G46" i="41"/>
  <c r="Q147" i="41" s="1"/>
  <c r="F46" i="41"/>
  <c r="U45" i="41"/>
  <c r="Q136" i="41" s="1"/>
  <c r="T45" i="41"/>
  <c r="N45" i="41"/>
  <c r="Q135" i="41" s="1"/>
  <c r="M45" i="41"/>
  <c r="G45" i="41"/>
  <c r="Q134" i="41" s="1"/>
  <c r="F45" i="41"/>
  <c r="S44" i="41"/>
  <c r="R44" i="41"/>
  <c r="Q44" i="41"/>
  <c r="L44" i="41"/>
  <c r="K44" i="41"/>
  <c r="J44" i="41"/>
  <c r="E44" i="41"/>
  <c r="D44" i="41"/>
  <c r="C44" i="41"/>
  <c r="I43" i="41"/>
  <c r="P43" i="41" s="1"/>
  <c r="B43" i="41"/>
  <c r="U42" i="41"/>
  <c r="H201" i="41" s="1"/>
  <c r="T42" i="41"/>
  <c r="N42" i="41"/>
  <c r="H200" i="41" s="1"/>
  <c r="M42" i="41"/>
  <c r="G42" i="41"/>
  <c r="H199" i="41" s="1"/>
  <c r="F42" i="41"/>
  <c r="U41" i="41"/>
  <c r="H188" i="41" s="1"/>
  <c r="T41" i="41"/>
  <c r="N41" i="41"/>
  <c r="H187" i="41" s="1"/>
  <c r="M41" i="41"/>
  <c r="G41" i="41"/>
  <c r="H186" i="41" s="1"/>
  <c r="F41" i="41"/>
  <c r="U40" i="41"/>
  <c r="H175" i="41" s="1"/>
  <c r="T40" i="41"/>
  <c r="N40" i="41"/>
  <c r="H174" i="41" s="1"/>
  <c r="M40" i="41"/>
  <c r="G40" i="41"/>
  <c r="H173" i="41" s="1"/>
  <c r="F40" i="41"/>
  <c r="U39" i="41"/>
  <c r="H162" i="41" s="1"/>
  <c r="T39" i="41"/>
  <c r="N39" i="41"/>
  <c r="H161" i="41" s="1"/>
  <c r="M39" i="41"/>
  <c r="G39" i="41"/>
  <c r="H160" i="41" s="1"/>
  <c r="F39" i="41"/>
  <c r="U38" i="41"/>
  <c r="H149" i="41" s="1"/>
  <c r="T38" i="41"/>
  <c r="N38" i="41"/>
  <c r="H148" i="41" s="1"/>
  <c r="M38" i="41"/>
  <c r="G38" i="41"/>
  <c r="H147" i="41" s="1"/>
  <c r="F38" i="41"/>
  <c r="U37" i="41"/>
  <c r="H136" i="41" s="1"/>
  <c r="T37" i="41"/>
  <c r="N37" i="41"/>
  <c r="H135" i="41" s="1"/>
  <c r="M37" i="41"/>
  <c r="G37" i="41"/>
  <c r="H134" i="41" s="1"/>
  <c r="F37" i="41"/>
  <c r="B35" i="41"/>
  <c r="I35" i="41" s="1"/>
  <c r="P35" i="41" s="1"/>
  <c r="U31" i="41"/>
  <c r="Q253" i="41" s="1"/>
  <c r="T31" i="41"/>
  <c r="N31" i="41"/>
  <c r="Q252" i="41" s="1"/>
  <c r="M31" i="41"/>
  <c r="G31" i="41"/>
  <c r="Q251" i="41" s="1"/>
  <c r="F31" i="41"/>
  <c r="U30" i="41"/>
  <c r="Q240" i="41" s="1"/>
  <c r="T30" i="41"/>
  <c r="N30" i="41"/>
  <c r="Q239" i="41" s="1"/>
  <c r="M30" i="41"/>
  <c r="G30" i="41"/>
  <c r="Q238" i="41" s="1"/>
  <c r="F30" i="41"/>
  <c r="U29" i="41"/>
  <c r="Q227" i="41" s="1"/>
  <c r="T29" i="41"/>
  <c r="N29" i="41"/>
  <c r="Q226" i="41" s="1"/>
  <c r="M29" i="41"/>
  <c r="G29" i="41"/>
  <c r="Q225" i="41" s="1"/>
  <c r="F29" i="41"/>
  <c r="U28" i="41"/>
  <c r="Q214" i="41" s="1"/>
  <c r="T28" i="41"/>
  <c r="N28" i="41"/>
  <c r="Q213" i="41" s="1"/>
  <c r="M28" i="41"/>
  <c r="G28" i="41"/>
  <c r="Q212" i="41" s="1"/>
  <c r="F28" i="41"/>
  <c r="S27" i="41"/>
  <c r="R27" i="41"/>
  <c r="Q27" i="41"/>
  <c r="L27" i="41"/>
  <c r="K27" i="41"/>
  <c r="J27" i="41"/>
  <c r="E27" i="41"/>
  <c r="D27" i="41"/>
  <c r="C27" i="41"/>
  <c r="P26" i="41"/>
  <c r="I26" i="41"/>
  <c r="U25" i="41"/>
  <c r="H253" i="41" s="1"/>
  <c r="T25" i="41"/>
  <c r="N25" i="41"/>
  <c r="H252" i="41" s="1"/>
  <c r="M25" i="41"/>
  <c r="G25" i="41"/>
  <c r="H251" i="41" s="1"/>
  <c r="F25" i="41"/>
  <c r="U24" i="41"/>
  <c r="H240" i="41" s="1"/>
  <c r="T24" i="41"/>
  <c r="N24" i="41"/>
  <c r="H239" i="41" s="1"/>
  <c r="M24" i="41"/>
  <c r="G24" i="41"/>
  <c r="H238" i="41" s="1"/>
  <c r="F24" i="41"/>
  <c r="U23" i="41"/>
  <c r="H227" i="41" s="1"/>
  <c r="T23" i="41"/>
  <c r="N23" i="41"/>
  <c r="H226" i="41" s="1"/>
  <c r="M23" i="41"/>
  <c r="G23" i="41"/>
  <c r="H225" i="41" s="1"/>
  <c r="F23" i="41"/>
  <c r="U22" i="41"/>
  <c r="H214" i="41" s="1"/>
  <c r="T22" i="41"/>
  <c r="N22" i="41"/>
  <c r="H213" i="41" s="1"/>
  <c r="M22" i="41"/>
  <c r="G22" i="41"/>
  <c r="H212" i="41" s="1"/>
  <c r="F22" i="41"/>
  <c r="S21" i="41"/>
  <c r="R21" i="41"/>
  <c r="Q21" i="41"/>
  <c r="L21" i="41"/>
  <c r="K21" i="41"/>
  <c r="J21" i="41"/>
  <c r="E21" i="41"/>
  <c r="D21" i="41"/>
  <c r="C21" i="41"/>
  <c r="P20" i="41"/>
  <c r="I20" i="41"/>
  <c r="U19" i="41"/>
  <c r="Q198" i="41" s="1"/>
  <c r="T19" i="41"/>
  <c r="N19" i="41"/>
  <c r="Q197" i="41" s="1"/>
  <c r="M19" i="41"/>
  <c r="G19" i="41"/>
  <c r="Q196" i="41" s="1"/>
  <c r="F19" i="41"/>
  <c r="U18" i="41"/>
  <c r="Q185" i="41" s="1"/>
  <c r="T18" i="41"/>
  <c r="N18" i="41"/>
  <c r="Q184" i="41" s="1"/>
  <c r="M18" i="41"/>
  <c r="G18" i="41"/>
  <c r="Q183" i="41" s="1"/>
  <c r="F18" i="41"/>
  <c r="U17" i="41"/>
  <c r="Q172" i="41" s="1"/>
  <c r="T17" i="41"/>
  <c r="N17" i="41"/>
  <c r="Q171" i="41" s="1"/>
  <c r="M17" i="41"/>
  <c r="G17" i="41"/>
  <c r="Q170" i="41" s="1"/>
  <c r="F17" i="41"/>
  <c r="U16" i="41"/>
  <c r="Q159" i="41" s="1"/>
  <c r="T16" i="41"/>
  <c r="N16" i="41"/>
  <c r="Q158" i="41" s="1"/>
  <c r="M16" i="41"/>
  <c r="G16" i="41"/>
  <c r="Q157" i="41" s="1"/>
  <c r="F16" i="41"/>
  <c r="U15" i="41"/>
  <c r="Q146" i="41" s="1"/>
  <c r="T15" i="41"/>
  <c r="N15" i="41"/>
  <c r="Q145" i="41" s="1"/>
  <c r="M15" i="41"/>
  <c r="G15" i="41"/>
  <c r="Q144" i="41" s="1"/>
  <c r="F15" i="41"/>
  <c r="U14" i="41"/>
  <c r="Q133" i="41" s="1"/>
  <c r="T14" i="41"/>
  <c r="N14" i="41"/>
  <c r="Q132" i="41" s="1"/>
  <c r="M14" i="41"/>
  <c r="G14" i="41"/>
  <c r="Q131" i="41" s="1"/>
  <c r="F14" i="41"/>
  <c r="S13" i="41"/>
  <c r="R13" i="41"/>
  <c r="Q13" i="41"/>
  <c r="L13" i="41"/>
  <c r="K13" i="41"/>
  <c r="J13" i="41"/>
  <c r="E13" i="41"/>
  <c r="D13" i="41"/>
  <c r="C13" i="41"/>
  <c r="P12" i="41"/>
  <c r="I12" i="41"/>
  <c r="U11" i="41"/>
  <c r="H198" i="41" s="1"/>
  <c r="T11" i="41"/>
  <c r="M11" i="41"/>
  <c r="G11" i="41"/>
  <c r="H196" i="41" s="1"/>
  <c r="F11" i="41"/>
  <c r="U10" i="41"/>
  <c r="H185" i="41" s="1"/>
  <c r="T10" i="41"/>
  <c r="N10" i="41"/>
  <c r="H184" i="41" s="1"/>
  <c r="M10" i="41"/>
  <c r="G10" i="41"/>
  <c r="H183" i="41" s="1"/>
  <c r="F10" i="41"/>
  <c r="U9" i="41"/>
  <c r="H172" i="41" s="1"/>
  <c r="T9" i="41"/>
  <c r="N9" i="41"/>
  <c r="H171" i="41" s="1"/>
  <c r="M9" i="41"/>
  <c r="G9" i="41"/>
  <c r="H170" i="41" s="1"/>
  <c r="F9" i="41"/>
  <c r="U8" i="41"/>
  <c r="H159" i="41" s="1"/>
  <c r="T8" i="41"/>
  <c r="N8" i="41"/>
  <c r="H158" i="41" s="1"/>
  <c r="M8" i="41"/>
  <c r="G8" i="41"/>
  <c r="H157" i="41" s="1"/>
  <c r="F8" i="41"/>
  <c r="U7" i="41"/>
  <c r="H146" i="41" s="1"/>
  <c r="T7" i="41"/>
  <c r="N7" i="41"/>
  <c r="H145" i="41" s="1"/>
  <c r="M7" i="41"/>
  <c r="G7" i="41"/>
  <c r="H144" i="41" s="1"/>
  <c r="F7" i="41"/>
  <c r="U6" i="41"/>
  <c r="H133" i="41" s="1"/>
  <c r="T6" i="41"/>
  <c r="N6" i="41"/>
  <c r="H132" i="41" s="1"/>
  <c r="M6" i="41"/>
  <c r="G6" i="41"/>
  <c r="H131" i="41" s="1"/>
  <c r="F6" i="41"/>
  <c r="P4" i="41"/>
  <c r="I4" i="41"/>
  <c r="A230" i="40"/>
  <c r="A248" i="40" s="1"/>
  <c r="E227" i="40"/>
  <c r="D3" i="45" s="1"/>
  <c r="G3" i="45" s="1"/>
  <c r="I3" i="45" s="1"/>
  <c r="B227" i="40"/>
  <c r="A227" i="40"/>
  <c r="L247" i="40"/>
  <c r="K247" i="40"/>
  <c r="J247" i="40"/>
  <c r="L246" i="40"/>
  <c r="K246" i="40"/>
  <c r="J246" i="40"/>
  <c r="L245" i="40"/>
  <c r="K245" i="40"/>
  <c r="J245" i="40"/>
  <c r="L244" i="40"/>
  <c r="K244" i="40"/>
  <c r="J244" i="40"/>
  <c r="L243" i="40"/>
  <c r="K243" i="40"/>
  <c r="J243" i="40"/>
  <c r="L242" i="40"/>
  <c r="K242" i="40"/>
  <c r="J242" i="40"/>
  <c r="L241" i="40"/>
  <c r="K241" i="40"/>
  <c r="J241" i="40"/>
  <c r="L240" i="40"/>
  <c r="K240" i="40"/>
  <c r="J240" i="40"/>
  <c r="L239" i="40"/>
  <c r="K239" i="40"/>
  <c r="J239" i="40"/>
  <c r="L238" i="40"/>
  <c r="K238" i="40"/>
  <c r="J238" i="40"/>
  <c r="L237" i="40"/>
  <c r="K237" i="40"/>
  <c r="J237" i="40"/>
  <c r="L236" i="40"/>
  <c r="K236" i="40"/>
  <c r="J236" i="40"/>
  <c r="L235" i="40"/>
  <c r="K235" i="40"/>
  <c r="J235" i="40"/>
  <c r="L234" i="40"/>
  <c r="K234" i="40"/>
  <c r="J234" i="40"/>
  <c r="L233" i="40"/>
  <c r="K233" i="40"/>
  <c r="J233" i="40"/>
  <c r="L232" i="40"/>
  <c r="K232" i="40"/>
  <c r="J232" i="40"/>
  <c r="L231" i="40"/>
  <c r="K231" i="40"/>
  <c r="J231" i="40"/>
  <c r="K227" i="40"/>
  <c r="H202" i="40"/>
  <c r="F202" i="40"/>
  <c r="E202" i="40"/>
  <c r="D202" i="40"/>
  <c r="C202" i="40"/>
  <c r="H201" i="40"/>
  <c r="F201" i="40"/>
  <c r="E201" i="40"/>
  <c r="D201" i="40"/>
  <c r="C201" i="40"/>
  <c r="H200" i="40"/>
  <c r="F200" i="40"/>
  <c r="E200" i="40"/>
  <c r="D200" i="40"/>
  <c r="C200" i="40"/>
  <c r="H199" i="40"/>
  <c r="F199" i="40"/>
  <c r="E199" i="40"/>
  <c r="D199" i="40"/>
  <c r="C199" i="40"/>
  <c r="H198" i="40"/>
  <c r="F198" i="40"/>
  <c r="E198" i="40"/>
  <c r="D198" i="40"/>
  <c r="C198" i="40"/>
  <c r="H197" i="40"/>
  <c r="F197" i="40"/>
  <c r="E197" i="40"/>
  <c r="D197" i="40"/>
  <c r="C197" i="40"/>
  <c r="H196" i="40"/>
  <c r="F196" i="40"/>
  <c r="E196" i="40"/>
  <c r="D196" i="40"/>
  <c r="C196" i="40"/>
  <c r="H195" i="40"/>
  <c r="F195" i="40"/>
  <c r="E195" i="40"/>
  <c r="D195" i="40"/>
  <c r="C195" i="40"/>
  <c r="H194" i="40"/>
  <c r="F194" i="40"/>
  <c r="E194" i="40"/>
  <c r="D194" i="40"/>
  <c r="C194" i="40"/>
  <c r="H193" i="40"/>
  <c r="F193" i="40"/>
  <c r="E193" i="40"/>
  <c r="D193" i="40"/>
  <c r="C193" i="40"/>
  <c r="H192" i="40"/>
  <c r="F192" i="40"/>
  <c r="E192" i="40"/>
  <c r="D192" i="40"/>
  <c r="C192" i="40"/>
  <c r="H191" i="40"/>
  <c r="F191" i="40"/>
  <c r="E191" i="40"/>
  <c r="D191" i="40"/>
  <c r="C191" i="40"/>
  <c r="H190" i="40"/>
  <c r="F190" i="40"/>
  <c r="E190" i="40"/>
  <c r="D190" i="40"/>
  <c r="C190" i="40"/>
  <c r="H189" i="40"/>
  <c r="F189" i="40"/>
  <c r="E189" i="40"/>
  <c r="D189" i="40"/>
  <c r="C189" i="40"/>
  <c r="H188" i="40"/>
  <c r="F188" i="40"/>
  <c r="E188" i="40"/>
  <c r="D188" i="40"/>
  <c r="C188" i="40"/>
  <c r="H187" i="40"/>
  <c r="F187" i="40"/>
  <c r="E187" i="40"/>
  <c r="D187" i="40"/>
  <c r="C187" i="40"/>
  <c r="H186" i="40"/>
  <c r="F186" i="40"/>
  <c r="E186" i="40"/>
  <c r="D186" i="40"/>
  <c r="C186" i="40"/>
  <c r="S185" i="40"/>
  <c r="R185" i="40"/>
  <c r="P185" i="40"/>
  <c r="O185" i="40"/>
  <c r="N185" i="40"/>
  <c r="M185" i="40"/>
  <c r="H185" i="40"/>
  <c r="F185" i="40"/>
  <c r="E185" i="40"/>
  <c r="D185" i="40"/>
  <c r="C185" i="40"/>
  <c r="R184" i="40"/>
  <c r="P184" i="40"/>
  <c r="O184" i="40"/>
  <c r="N184" i="40"/>
  <c r="M184" i="40"/>
  <c r="H184" i="40"/>
  <c r="F184" i="40"/>
  <c r="E184" i="40"/>
  <c r="D184" i="40"/>
  <c r="C184" i="40"/>
  <c r="R183" i="40"/>
  <c r="P183" i="40"/>
  <c r="O183" i="40"/>
  <c r="N183" i="40"/>
  <c r="M183" i="40"/>
  <c r="H183" i="40"/>
  <c r="F183" i="40"/>
  <c r="E183" i="40"/>
  <c r="D183" i="40"/>
  <c r="C183" i="40"/>
  <c r="R182" i="40"/>
  <c r="P182" i="40"/>
  <c r="O182" i="40"/>
  <c r="N182" i="40"/>
  <c r="M182" i="40"/>
  <c r="H182" i="40"/>
  <c r="F182" i="40"/>
  <c r="E182" i="40"/>
  <c r="D182" i="40"/>
  <c r="C182" i="40"/>
  <c r="R181" i="40"/>
  <c r="P181" i="40"/>
  <c r="O181" i="40"/>
  <c r="N181" i="40"/>
  <c r="M181" i="40"/>
  <c r="H181" i="40"/>
  <c r="F181" i="40"/>
  <c r="E181" i="40"/>
  <c r="D181" i="40"/>
  <c r="C181" i="40"/>
  <c r="R180" i="40"/>
  <c r="P180" i="40"/>
  <c r="O180" i="40"/>
  <c r="N180" i="40"/>
  <c r="M180" i="40"/>
  <c r="H180" i="40"/>
  <c r="F180" i="40"/>
  <c r="E180" i="40"/>
  <c r="D180" i="40"/>
  <c r="C180" i="40"/>
  <c r="R179" i="40"/>
  <c r="P179" i="40"/>
  <c r="O179" i="40"/>
  <c r="N179" i="40"/>
  <c r="M179" i="40"/>
  <c r="H179" i="40"/>
  <c r="F179" i="40"/>
  <c r="E179" i="40"/>
  <c r="D179" i="40"/>
  <c r="C179" i="40"/>
  <c r="R178" i="40"/>
  <c r="P178" i="40"/>
  <c r="O178" i="40"/>
  <c r="N178" i="40"/>
  <c r="M178" i="40"/>
  <c r="H178" i="40"/>
  <c r="F178" i="40"/>
  <c r="E178" i="40"/>
  <c r="D178" i="40"/>
  <c r="C178" i="40"/>
  <c r="R177" i="40"/>
  <c r="P177" i="40"/>
  <c r="O177" i="40"/>
  <c r="N177" i="40"/>
  <c r="M177" i="40"/>
  <c r="H177" i="40"/>
  <c r="F177" i="40"/>
  <c r="E177" i="40"/>
  <c r="D177" i="40"/>
  <c r="C177" i="40"/>
  <c r="R176" i="40"/>
  <c r="P176" i="40"/>
  <c r="O176" i="40"/>
  <c r="N176" i="40"/>
  <c r="M176" i="40"/>
  <c r="H176" i="40"/>
  <c r="F176" i="40"/>
  <c r="E176" i="40"/>
  <c r="D176" i="40"/>
  <c r="C176" i="40"/>
  <c r="R175" i="40"/>
  <c r="P175" i="40"/>
  <c r="O175" i="40"/>
  <c r="N175" i="40"/>
  <c r="M175" i="40"/>
  <c r="H175" i="40"/>
  <c r="F175" i="40"/>
  <c r="E175" i="40"/>
  <c r="D175" i="40"/>
  <c r="C175" i="40"/>
  <c r="R174" i="40"/>
  <c r="P174" i="40"/>
  <c r="O174" i="40"/>
  <c r="N174" i="40"/>
  <c r="M174" i="40"/>
  <c r="H174" i="40"/>
  <c r="F174" i="40"/>
  <c r="E174" i="40"/>
  <c r="D174" i="40"/>
  <c r="C174" i="40"/>
  <c r="R173" i="40"/>
  <c r="P173" i="40"/>
  <c r="O173" i="40"/>
  <c r="N173" i="40"/>
  <c r="M173" i="40"/>
  <c r="H173" i="40"/>
  <c r="F173" i="40"/>
  <c r="E173" i="40"/>
  <c r="D173" i="40"/>
  <c r="C173" i="40"/>
  <c r="R172" i="40"/>
  <c r="P172" i="40"/>
  <c r="O172" i="40"/>
  <c r="N172" i="40"/>
  <c r="M172" i="40"/>
  <c r="H172" i="40"/>
  <c r="F172" i="40"/>
  <c r="E172" i="40"/>
  <c r="D172" i="40"/>
  <c r="C172" i="40"/>
  <c r="R171" i="40"/>
  <c r="P171" i="40"/>
  <c r="O171" i="40"/>
  <c r="N171" i="40"/>
  <c r="M171" i="40"/>
  <c r="H171" i="40"/>
  <c r="F171" i="40"/>
  <c r="E171" i="40"/>
  <c r="D171" i="40"/>
  <c r="C171" i="40"/>
  <c r="R170" i="40"/>
  <c r="P170" i="40"/>
  <c r="O170" i="40"/>
  <c r="N170" i="40"/>
  <c r="M170" i="40"/>
  <c r="H170" i="40"/>
  <c r="F170" i="40"/>
  <c r="E170" i="40"/>
  <c r="D170" i="40"/>
  <c r="C170" i="40"/>
  <c r="R169" i="40"/>
  <c r="P169" i="40"/>
  <c r="O169" i="40"/>
  <c r="N169" i="40"/>
  <c r="M169" i="40"/>
  <c r="H169" i="40"/>
  <c r="F169" i="40"/>
  <c r="E169" i="40"/>
  <c r="D169" i="40"/>
  <c r="C169" i="40"/>
  <c r="R168" i="40"/>
  <c r="P168" i="40"/>
  <c r="O168" i="40"/>
  <c r="N168" i="40"/>
  <c r="M168" i="40"/>
  <c r="H168" i="40"/>
  <c r="F168" i="40"/>
  <c r="E168" i="40"/>
  <c r="D168" i="40"/>
  <c r="C168" i="40"/>
  <c r="R167" i="40"/>
  <c r="P167" i="40"/>
  <c r="O167" i="40"/>
  <c r="N167" i="40"/>
  <c r="M167" i="40"/>
  <c r="H167" i="40"/>
  <c r="F167" i="40"/>
  <c r="E167" i="40"/>
  <c r="D167" i="40"/>
  <c r="C167" i="40"/>
  <c r="R166" i="40"/>
  <c r="P166" i="40"/>
  <c r="O166" i="40"/>
  <c r="N166" i="40"/>
  <c r="M166" i="40"/>
  <c r="H166" i="40"/>
  <c r="F166" i="40"/>
  <c r="E166" i="40"/>
  <c r="D166" i="40"/>
  <c r="C166" i="40"/>
  <c r="R165" i="40"/>
  <c r="P165" i="40"/>
  <c r="O165" i="40"/>
  <c r="N165" i="40"/>
  <c r="M165" i="40"/>
  <c r="H165" i="40"/>
  <c r="F165" i="40"/>
  <c r="E165" i="40"/>
  <c r="D165" i="40"/>
  <c r="C165" i="40"/>
  <c r="R164" i="40"/>
  <c r="P164" i="40"/>
  <c r="O164" i="40"/>
  <c r="N164" i="40"/>
  <c r="M164" i="40"/>
  <c r="H164" i="40"/>
  <c r="F164" i="40"/>
  <c r="E164" i="40"/>
  <c r="D164" i="40"/>
  <c r="C164" i="40"/>
  <c r="R163" i="40"/>
  <c r="P163" i="40"/>
  <c r="O163" i="40"/>
  <c r="N163" i="40"/>
  <c r="M163" i="40"/>
  <c r="H163" i="40"/>
  <c r="F163" i="40"/>
  <c r="E163" i="40"/>
  <c r="D163" i="40"/>
  <c r="C163" i="40"/>
  <c r="R162" i="40"/>
  <c r="P162" i="40"/>
  <c r="O162" i="40"/>
  <c r="N162" i="40"/>
  <c r="M162" i="40"/>
  <c r="H162" i="40"/>
  <c r="F162" i="40"/>
  <c r="E162" i="40"/>
  <c r="D162" i="40"/>
  <c r="C162" i="40"/>
  <c r="R161" i="40"/>
  <c r="P161" i="40"/>
  <c r="O161" i="40"/>
  <c r="N161" i="40"/>
  <c r="M161" i="40"/>
  <c r="H161" i="40"/>
  <c r="F161" i="40"/>
  <c r="E161" i="40"/>
  <c r="D161" i="40"/>
  <c r="C161" i="40"/>
  <c r="R160" i="40"/>
  <c r="P160" i="40"/>
  <c r="O160" i="40"/>
  <c r="N160" i="40"/>
  <c r="M160" i="40"/>
  <c r="H160" i="40"/>
  <c r="F160" i="40"/>
  <c r="E160" i="40"/>
  <c r="D160" i="40"/>
  <c r="C160" i="40"/>
  <c r="R159" i="40"/>
  <c r="P159" i="40"/>
  <c r="O159" i="40"/>
  <c r="N159" i="40"/>
  <c r="M159" i="40"/>
  <c r="H159" i="40"/>
  <c r="F159" i="40"/>
  <c r="E159" i="40"/>
  <c r="D159" i="40"/>
  <c r="C159" i="40"/>
  <c r="R158" i="40"/>
  <c r="P158" i="40"/>
  <c r="O158" i="40"/>
  <c r="N158" i="40"/>
  <c r="M158" i="40"/>
  <c r="H158" i="40"/>
  <c r="F158" i="40"/>
  <c r="E158" i="40"/>
  <c r="D158" i="40"/>
  <c r="C158" i="40"/>
  <c r="R157" i="40"/>
  <c r="P157" i="40"/>
  <c r="O157" i="40"/>
  <c r="N157" i="40"/>
  <c r="M157" i="40"/>
  <c r="H157" i="40"/>
  <c r="F157" i="40"/>
  <c r="E157" i="40"/>
  <c r="D157" i="40"/>
  <c r="C157" i="40"/>
  <c r="R156" i="40"/>
  <c r="P156" i="40"/>
  <c r="O156" i="40"/>
  <c r="N156" i="40"/>
  <c r="M156" i="40"/>
  <c r="H156" i="40"/>
  <c r="F156" i="40"/>
  <c r="E156" i="40"/>
  <c r="D156" i="40"/>
  <c r="C156" i="40"/>
  <c r="R155" i="40"/>
  <c r="P155" i="40"/>
  <c r="O155" i="40"/>
  <c r="N155" i="40"/>
  <c r="M155" i="40"/>
  <c r="H155" i="40"/>
  <c r="F155" i="40"/>
  <c r="E155" i="40"/>
  <c r="D155" i="40"/>
  <c r="C155" i="40"/>
  <c r="R154" i="40"/>
  <c r="P154" i="40"/>
  <c r="O154" i="40"/>
  <c r="N154" i="40"/>
  <c r="M154" i="40"/>
  <c r="H154" i="40"/>
  <c r="F154" i="40"/>
  <c r="E154" i="40"/>
  <c r="D154" i="40"/>
  <c r="C154" i="40"/>
  <c r="R153" i="40"/>
  <c r="P153" i="40"/>
  <c r="O153" i="40"/>
  <c r="N153" i="40"/>
  <c r="M153" i="40"/>
  <c r="H153" i="40"/>
  <c r="F153" i="40"/>
  <c r="E153" i="40"/>
  <c r="D153" i="40"/>
  <c r="C153" i="40"/>
  <c r="R152" i="40"/>
  <c r="P152" i="40"/>
  <c r="O152" i="40"/>
  <c r="N152" i="40"/>
  <c r="M152" i="40"/>
  <c r="H152" i="40"/>
  <c r="F152" i="40"/>
  <c r="E152" i="40"/>
  <c r="D152" i="40"/>
  <c r="C152" i="40"/>
  <c r="R151" i="40"/>
  <c r="P151" i="40"/>
  <c r="O151" i="40"/>
  <c r="N151" i="40"/>
  <c r="M151" i="40"/>
  <c r="H151" i="40"/>
  <c r="F151" i="40"/>
  <c r="E151" i="40"/>
  <c r="D151" i="40"/>
  <c r="C151" i="40"/>
  <c r="R150" i="40"/>
  <c r="P150" i="40"/>
  <c r="O150" i="40"/>
  <c r="N150" i="40"/>
  <c r="M150" i="40"/>
  <c r="H150" i="40"/>
  <c r="F150" i="40"/>
  <c r="E150" i="40"/>
  <c r="D150" i="40"/>
  <c r="C150" i="40"/>
  <c r="R149" i="40"/>
  <c r="P149" i="40"/>
  <c r="O149" i="40"/>
  <c r="N149" i="40"/>
  <c r="M149" i="40"/>
  <c r="H149" i="40"/>
  <c r="F149" i="40"/>
  <c r="E149" i="40"/>
  <c r="D149" i="40"/>
  <c r="C149" i="40"/>
  <c r="R148" i="40"/>
  <c r="P148" i="40"/>
  <c r="O148" i="40"/>
  <c r="N148" i="40"/>
  <c r="M148" i="40"/>
  <c r="H148" i="40"/>
  <c r="F148" i="40"/>
  <c r="E148" i="40"/>
  <c r="D148" i="40"/>
  <c r="C148" i="40"/>
  <c r="R147" i="40"/>
  <c r="P147" i="40"/>
  <c r="O147" i="40"/>
  <c r="N147" i="40"/>
  <c r="M147" i="40"/>
  <c r="H147" i="40"/>
  <c r="F147" i="40"/>
  <c r="E147" i="40"/>
  <c r="D147" i="40"/>
  <c r="C147" i="40"/>
  <c r="R146" i="40"/>
  <c r="P146" i="40"/>
  <c r="O146" i="40"/>
  <c r="N146" i="40"/>
  <c r="M146" i="40"/>
  <c r="H146" i="40"/>
  <c r="F146" i="40"/>
  <c r="E146" i="40"/>
  <c r="D146" i="40"/>
  <c r="C146" i="40"/>
  <c r="R145" i="40"/>
  <c r="P145" i="40"/>
  <c r="O145" i="40"/>
  <c r="N145" i="40"/>
  <c r="M145" i="40"/>
  <c r="H145" i="40"/>
  <c r="F145" i="40"/>
  <c r="E145" i="40"/>
  <c r="D145" i="40"/>
  <c r="C145" i="40"/>
  <c r="R144" i="40"/>
  <c r="P144" i="40"/>
  <c r="O144" i="40"/>
  <c r="N144" i="40"/>
  <c r="M144" i="40"/>
  <c r="H144" i="40"/>
  <c r="F144" i="40"/>
  <c r="E144" i="40"/>
  <c r="D144" i="40"/>
  <c r="C144" i="40"/>
  <c r="R143" i="40"/>
  <c r="P143" i="40"/>
  <c r="O143" i="40"/>
  <c r="N143" i="40"/>
  <c r="M143" i="40"/>
  <c r="H143" i="40"/>
  <c r="F143" i="40"/>
  <c r="E143" i="40"/>
  <c r="D143" i="40"/>
  <c r="C143" i="40"/>
  <c r="R142" i="40"/>
  <c r="P142" i="40"/>
  <c r="O142" i="40"/>
  <c r="N142" i="40"/>
  <c r="M142" i="40"/>
  <c r="H142" i="40"/>
  <c r="F142" i="40"/>
  <c r="E142" i="40"/>
  <c r="D142" i="40"/>
  <c r="C142" i="40"/>
  <c r="R141" i="40"/>
  <c r="P141" i="40"/>
  <c r="O141" i="40"/>
  <c r="N141" i="40"/>
  <c r="M141" i="40"/>
  <c r="H141" i="40"/>
  <c r="F141" i="40"/>
  <c r="E141" i="40"/>
  <c r="D141" i="40"/>
  <c r="C141" i="40"/>
  <c r="R140" i="40"/>
  <c r="P140" i="40"/>
  <c r="O140" i="40"/>
  <c r="N140" i="40"/>
  <c r="M140" i="40"/>
  <c r="H140" i="40"/>
  <c r="F140" i="40"/>
  <c r="E140" i="40"/>
  <c r="D140" i="40"/>
  <c r="C140" i="40"/>
  <c r="R139" i="40"/>
  <c r="P139" i="40"/>
  <c r="O139" i="40"/>
  <c r="N139" i="40"/>
  <c r="M139" i="40"/>
  <c r="H139" i="40"/>
  <c r="F139" i="40"/>
  <c r="E139" i="40"/>
  <c r="D139" i="40"/>
  <c r="C139" i="40"/>
  <c r="R138" i="40"/>
  <c r="P138" i="40"/>
  <c r="O138" i="40"/>
  <c r="N138" i="40"/>
  <c r="M138" i="40"/>
  <c r="H138" i="40"/>
  <c r="F138" i="40"/>
  <c r="E138" i="40"/>
  <c r="D138" i="40"/>
  <c r="C138" i="40"/>
  <c r="R137" i="40"/>
  <c r="P137" i="40"/>
  <c r="O137" i="40"/>
  <c r="N137" i="40"/>
  <c r="M137" i="40"/>
  <c r="H137" i="40"/>
  <c r="F137" i="40"/>
  <c r="E137" i="40"/>
  <c r="D137" i="40"/>
  <c r="C137" i="40"/>
  <c r="R136" i="40"/>
  <c r="P136" i="40"/>
  <c r="O136" i="40"/>
  <c r="N136" i="40"/>
  <c r="M136" i="40"/>
  <c r="H136" i="40"/>
  <c r="F136" i="40"/>
  <c r="E136" i="40"/>
  <c r="D136" i="40"/>
  <c r="C136" i="40"/>
  <c r="R135" i="40"/>
  <c r="P135" i="40"/>
  <c r="O135" i="40"/>
  <c r="N135" i="40"/>
  <c r="M135" i="40"/>
  <c r="H135" i="40"/>
  <c r="F135" i="40"/>
  <c r="E135" i="40"/>
  <c r="D135" i="40"/>
  <c r="C135" i="40"/>
  <c r="R134" i="40"/>
  <c r="P134" i="40"/>
  <c r="O134" i="40"/>
  <c r="N134" i="40"/>
  <c r="M134" i="40"/>
  <c r="H134" i="40"/>
  <c r="F134" i="40"/>
  <c r="E134" i="40"/>
  <c r="D134" i="40"/>
  <c r="C134" i="40"/>
  <c r="R133" i="40"/>
  <c r="P133" i="40"/>
  <c r="O133" i="40"/>
  <c r="N133" i="40"/>
  <c r="M133" i="40"/>
  <c r="H133" i="40"/>
  <c r="F133" i="40"/>
  <c r="E133" i="40"/>
  <c r="D133" i="40"/>
  <c r="C133" i="40"/>
  <c r="R132" i="40"/>
  <c r="P132" i="40"/>
  <c r="O132" i="40"/>
  <c r="N132" i="40"/>
  <c r="M132" i="40"/>
  <c r="H132" i="40"/>
  <c r="F132" i="40"/>
  <c r="E132" i="40"/>
  <c r="D132" i="40"/>
  <c r="C132" i="40"/>
  <c r="R131" i="40"/>
  <c r="P131" i="40"/>
  <c r="O131" i="40"/>
  <c r="N131" i="40"/>
  <c r="M131" i="40"/>
  <c r="H131" i="40"/>
  <c r="F131" i="40"/>
  <c r="E131" i="40"/>
  <c r="D131" i="40"/>
  <c r="C131" i="40"/>
  <c r="R130" i="40"/>
  <c r="P130" i="40"/>
  <c r="O130" i="40"/>
  <c r="N130" i="40"/>
  <c r="M130" i="40"/>
  <c r="H130" i="40"/>
  <c r="F130" i="40"/>
  <c r="E130" i="40"/>
  <c r="D130" i="40"/>
  <c r="C130" i="40"/>
  <c r="R129" i="40"/>
  <c r="P129" i="40"/>
  <c r="O129" i="40"/>
  <c r="N129" i="40"/>
  <c r="M129" i="40"/>
  <c r="H129" i="40"/>
  <c r="F129" i="40"/>
  <c r="E129" i="40"/>
  <c r="D129" i="40"/>
  <c r="C129" i="40"/>
  <c r="R128" i="40"/>
  <c r="P128" i="40"/>
  <c r="O128" i="40"/>
  <c r="N128" i="40"/>
  <c r="M128" i="40"/>
  <c r="H128" i="40"/>
  <c r="F128" i="40"/>
  <c r="E128" i="40"/>
  <c r="D128" i="40"/>
  <c r="C128" i="40"/>
  <c r="R127" i="40"/>
  <c r="P127" i="40"/>
  <c r="O127" i="40"/>
  <c r="N127" i="40"/>
  <c r="M127" i="40"/>
  <c r="H127" i="40"/>
  <c r="F127" i="40"/>
  <c r="E127" i="40"/>
  <c r="D127" i="40"/>
  <c r="C127" i="40"/>
  <c r="R126" i="40"/>
  <c r="P126" i="40"/>
  <c r="O126" i="40"/>
  <c r="N126" i="40"/>
  <c r="M126" i="40"/>
  <c r="H126" i="40"/>
  <c r="F126" i="40"/>
  <c r="E126" i="40"/>
  <c r="D126" i="40"/>
  <c r="C126" i="40"/>
  <c r="R125" i="40"/>
  <c r="P125" i="40"/>
  <c r="O125" i="40"/>
  <c r="N125" i="40"/>
  <c r="M125" i="40"/>
  <c r="H125" i="40"/>
  <c r="F125" i="40"/>
  <c r="E125" i="40"/>
  <c r="D125" i="40"/>
  <c r="C125" i="40"/>
  <c r="R124" i="40"/>
  <c r="P124" i="40"/>
  <c r="O124" i="40"/>
  <c r="N124" i="40"/>
  <c r="M124" i="40"/>
  <c r="H124" i="40"/>
  <c r="F124" i="40"/>
  <c r="E124" i="40"/>
  <c r="D124" i="40"/>
  <c r="C124" i="40"/>
  <c r="R123" i="40"/>
  <c r="P123" i="40"/>
  <c r="O123" i="40"/>
  <c r="N123" i="40"/>
  <c r="M123" i="40"/>
  <c r="H123" i="40"/>
  <c r="F123" i="40"/>
  <c r="E123" i="40"/>
  <c r="D123" i="40"/>
  <c r="C123" i="40"/>
  <c r="R122" i="40"/>
  <c r="P122" i="40"/>
  <c r="O122" i="40"/>
  <c r="N122" i="40"/>
  <c r="M122" i="40"/>
  <c r="H122" i="40"/>
  <c r="F122" i="40"/>
  <c r="E122" i="40"/>
  <c r="D122" i="40"/>
  <c r="C122" i="40"/>
  <c r="R121" i="40"/>
  <c r="P121" i="40"/>
  <c r="O121" i="40"/>
  <c r="N121" i="40"/>
  <c r="M121" i="40"/>
  <c r="H121" i="40"/>
  <c r="F121" i="40"/>
  <c r="E121" i="40"/>
  <c r="D121" i="40"/>
  <c r="C121" i="40"/>
  <c r="R120" i="40"/>
  <c r="P120" i="40"/>
  <c r="O120" i="40"/>
  <c r="N120" i="40"/>
  <c r="M120" i="40"/>
  <c r="H120" i="40"/>
  <c r="F120" i="40"/>
  <c r="E120" i="40"/>
  <c r="D120" i="40"/>
  <c r="C120" i="40"/>
  <c r="R119" i="40"/>
  <c r="P119" i="40"/>
  <c r="O119" i="40"/>
  <c r="N119" i="40"/>
  <c r="M119" i="40"/>
  <c r="H119" i="40"/>
  <c r="F119" i="40"/>
  <c r="E119" i="40"/>
  <c r="D119" i="40"/>
  <c r="C119" i="40"/>
  <c r="R118" i="40"/>
  <c r="P118" i="40"/>
  <c r="O118" i="40"/>
  <c r="N118" i="40"/>
  <c r="M118" i="40"/>
  <c r="H118" i="40"/>
  <c r="F118" i="40"/>
  <c r="E118" i="40"/>
  <c r="D118" i="40"/>
  <c r="C118" i="40"/>
  <c r="R117" i="40"/>
  <c r="P117" i="40"/>
  <c r="O117" i="40"/>
  <c r="N117" i="40"/>
  <c r="M117" i="40"/>
  <c r="H117" i="40"/>
  <c r="F117" i="40"/>
  <c r="E117" i="40"/>
  <c r="D117" i="40"/>
  <c r="C117" i="40"/>
  <c r="R116" i="40"/>
  <c r="P116" i="40"/>
  <c r="O116" i="40"/>
  <c r="N116" i="40"/>
  <c r="M116" i="40"/>
  <c r="H116" i="40"/>
  <c r="F116" i="40"/>
  <c r="E116" i="40"/>
  <c r="D116" i="40"/>
  <c r="C116" i="40"/>
  <c r="R115" i="40"/>
  <c r="P115" i="40"/>
  <c r="O115" i="40"/>
  <c r="N115" i="40"/>
  <c r="M115" i="40"/>
  <c r="H115" i="40"/>
  <c r="F115" i="40"/>
  <c r="E115" i="40"/>
  <c r="D115" i="40"/>
  <c r="C115" i="40"/>
  <c r="R114" i="40"/>
  <c r="P114" i="40"/>
  <c r="O114" i="40"/>
  <c r="N114" i="40"/>
  <c r="M114" i="40"/>
  <c r="H114" i="40"/>
  <c r="F114" i="40"/>
  <c r="E114" i="40"/>
  <c r="D114" i="40"/>
  <c r="C114" i="40"/>
  <c r="R113" i="40"/>
  <c r="P113" i="40"/>
  <c r="O113" i="40"/>
  <c r="N113" i="40"/>
  <c r="M113" i="40"/>
  <c r="H113" i="40"/>
  <c r="F113" i="40"/>
  <c r="E113" i="40"/>
  <c r="D113" i="40"/>
  <c r="C113" i="40"/>
  <c r="R112" i="40"/>
  <c r="P112" i="40"/>
  <c r="O112" i="40"/>
  <c r="N112" i="40"/>
  <c r="M112" i="40"/>
  <c r="H112" i="40"/>
  <c r="F112" i="40"/>
  <c r="E112" i="40"/>
  <c r="D112" i="40"/>
  <c r="C112" i="40"/>
  <c r="R111" i="40"/>
  <c r="P111" i="40"/>
  <c r="O111" i="40"/>
  <c r="N111" i="40"/>
  <c r="M111" i="40"/>
  <c r="H111" i="40"/>
  <c r="F111" i="40"/>
  <c r="E111" i="40"/>
  <c r="D111" i="40"/>
  <c r="C111" i="40"/>
  <c r="R110" i="40"/>
  <c r="P110" i="40"/>
  <c r="O110" i="40"/>
  <c r="N110" i="40"/>
  <c r="M110" i="40"/>
  <c r="H110" i="40"/>
  <c r="F110" i="40"/>
  <c r="E110" i="40"/>
  <c r="D110" i="40"/>
  <c r="C110" i="40"/>
  <c r="R109" i="40"/>
  <c r="P109" i="40"/>
  <c r="O109" i="40"/>
  <c r="N109" i="40"/>
  <c r="M109" i="40"/>
  <c r="H109" i="40"/>
  <c r="F109" i="40"/>
  <c r="E109" i="40"/>
  <c r="D109" i="40"/>
  <c r="C109" i="40"/>
  <c r="R108" i="40"/>
  <c r="P108" i="40"/>
  <c r="O108" i="40"/>
  <c r="N108" i="40"/>
  <c r="M108" i="40"/>
  <c r="H108" i="40"/>
  <c r="F108" i="40"/>
  <c r="E108" i="40"/>
  <c r="D108" i="40"/>
  <c r="C108" i="40"/>
  <c r="R107" i="40"/>
  <c r="P107" i="40"/>
  <c r="O107" i="40"/>
  <c r="N107" i="40"/>
  <c r="M107" i="40"/>
  <c r="H107" i="40"/>
  <c r="F107" i="40"/>
  <c r="E107" i="40"/>
  <c r="D107" i="40"/>
  <c r="C107" i="40"/>
  <c r="R106" i="40"/>
  <c r="P106" i="40"/>
  <c r="O106" i="40"/>
  <c r="N106" i="40"/>
  <c r="M106" i="40"/>
  <c r="H106" i="40"/>
  <c r="F106" i="40"/>
  <c r="E106" i="40"/>
  <c r="D106" i="40"/>
  <c r="C106" i="40"/>
  <c r="R105" i="40"/>
  <c r="P105" i="40"/>
  <c r="O105" i="40"/>
  <c r="N105" i="40"/>
  <c r="M105" i="40"/>
  <c r="H105" i="40"/>
  <c r="F105" i="40"/>
  <c r="E105" i="40"/>
  <c r="D105" i="40"/>
  <c r="C105" i="40"/>
  <c r="R104" i="40"/>
  <c r="P104" i="40"/>
  <c r="O104" i="40"/>
  <c r="N104" i="40"/>
  <c r="M104" i="40"/>
  <c r="H104" i="40"/>
  <c r="F104" i="40"/>
  <c r="E104" i="40"/>
  <c r="D104" i="40"/>
  <c r="C104" i="40"/>
  <c r="R103" i="40"/>
  <c r="P103" i="40"/>
  <c r="O103" i="40"/>
  <c r="N103" i="40"/>
  <c r="M103" i="40"/>
  <c r="H103" i="40"/>
  <c r="F103" i="40"/>
  <c r="E103" i="40"/>
  <c r="D103" i="40"/>
  <c r="C103" i="40"/>
  <c r="R102" i="40"/>
  <c r="P102" i="40"/>
  <c r="O102" i="40"/>
  <c r="N102" i="40"/>
  <c r="M102" i="40"/>
  <c r="H102" i="40"/>
  <c r="F102" i="40"/>
  <c r="E102" i="40"/>
  <c r="D102" i="40"/>
  <c r="C102" i="40"/>
  <c r="R101" i="40"/>
  <c r="P101" i="40"/>
  <c r="O101" i="40"/>
  <c r="N101" i="40"/>
  <c r="M101" i="40"/>
  <c r="H101" i="40"/>
  <c r="F101" i="40"/>
  <c r="E101" i="40"/>
  <c r="D101" i="40"/>
  <c r="C101" i="40"/>
  <c r="K98" i="40"/>
  <c r="L91" i="40"/>
  <c r="Q185" i="40" s="1"/>
  <c r="E91" i="40"/>
  <c r="Q184" i="40" s="1"/>
  <c r="L90" i="40"/>
  <c r="Q168" i="40" s="1"/>
  <c r="E90" i="40"/>
  <c r="Q167" i="40" s="1"/>
  <c r="L89" i="40"/>
  <c r="Q151" i="40" s="1"/>
  <c r="E89" i="40"/>
  <c r="Q150" i="40" s="1"/>
  <c r="L88" i="40"/>
  <c r="Q134" i="40" s="1"/>
  <c r="E88" i="40"/>
  <c r="Q133" i="40" s="1"/>
  <c r="L87" i="40"/>
  <c r="Q117" i="40" s="1"/>
  <c r="E87" i="40"/>
  <c r="Q116" i="40" s="1"/>
  <c r="L86" i="40"/>
  <c r="G202" i="40" s="1"/>
  <c r="E86" i="40"/>
  <c r="G201" i="40" s="1"/>
  <c r="L85" i="40"/>
  <c r="G185" i="40" s="1"/>
  <c r="E85" i="40"/>
  <c r="G184" i="40" s="1"/>
  <c r="L84" i="40"/>
  <c r="G168" i="40" s="1"/>
  <c r="E84" i="40"/>
  <c r="G167" i="40" s="1"/>
  <c r="L83" i="40"/>
  <c r="G151" i="40" s="1"/>
  <c r="E83" i="40"/>
  <c r="G150" i="40" s="1"/>
  <c r="L82" i="40"/>
  <c r="G134" i="40" s="1"/>
  <c r="E82" i="40"/>
  <c r="G133" i="40" s="1"/>
  <c r="L81" i="40"/>
  <c r="G117" i="40" s="1"/>
  <c r="E81" i="40"/>
  <c r="G116" i="40" s="1"/>
  <c r="S76" i="40"/>
  <c r="Q183" i="40" s="1"/>
  <c r="L76" i="40"/>
  <c r="Q182" i="40" s="1"/>
  <c r="E76" i="40"/>
  <c r="Q181" i="40" s="1"/>
  <c r="S75" i="40"/>
  <c r="Q166" i="40" s="1"/>
  <c r="L75" i="40"/>
  <c r="Q165" i="40" s="1"/>
  <c r="E75" i="40"/>
  <c r="Q164" i="40" s="1"/>
  <c r="S74" i="40"/>
  <c r="Q149" i="40" s="1"/>
  <c r="L74" i="40"/>
  <c r="Q148" i="40" s="1"/>
  <c r="E74" i="40"/>
  <c r="Q147" i="40" s="1"/>
  <c r="S73" i="40"/>
  <c r="Q132" i="40" s="1"/>
  <c r="L73" i="40"/>
  <c r="Q131" i="40" s="1"/>
  <c r="E73" i="40"/>
  <c r="Q130" i="40" s="1"/>
  <c r="S72" i="40"/>
  <c r="Q115" i="40" s="1"/>
  <c r="L72" i="40"/>
  <c r="Q114" i="40" s="1"/>
  <c r="E72" i="40"/>
  <c r="Q113" i="40" s="1"/>
  <c r="S71" i="40"/>
  <c r="G200" i="40" s="1"/>
  <c r="L71" i="40"/>
  <c r="G199" i="40" s="1"/>
  <c r="E71" i="40"/>
  <c r="G198" i="40" s="1"/>
  <c r="S70" i="40"/>
  <c r="G183" i="40" s="1"/>
  <c r="L70" i="40"/>
  <c r="G182" i="40" s="1"/>
  <c r="E70" i="40"/>
  <c r="G181" i="40" s="1"/>
  <c r="S69" i="40"/>
  <c r="G166" i="40" s="1"/>
  <c r="L69" i="40"/>
  <c r="G165" i="40" s="1"/>
  <c r="E69" i="40"/>
  <c r="G164" i="40" s="1"/>
  <c r="S68" i="40"/>
  <c r="G149" i="40" s="1"/>
  <c r="L68" i="40"/>
  <c r="G148" i="40" s="1"/>
  <c r="E68" i="40"/>
  <c r="G147" i="40" s="1"/>
  <c r="S67" i="40"/>
  <c r="G132" i="40" s="1"/>
  <c r="L67" i="40"/>
  <c r="G131" i="40" s="1"/>
  <c r="E67" i="40"/>
  <c r="G130" i="40" s="1"/>
  <c r="S66" i="40"/>
  <c r="G115" i="40" s="1"/>
  <c r="L66" i="40"/>
  <c r="G114" i="40" s="1"/>
  <c r="E66" i="40"/>
  <c r="G113" i="40" s="1"/>
  <c r="S61" i="40"/>
  <c r="Q180" i="40" s="1"/>
  <c r="L61" i="40"/>
  <c r="Q179" i="40" s="1"/>
  <c r="E61" i="40"/>
  <c r="Q178" i="40" s="1"/>
  <c r="S60" i="40"/>
  <c r="Q163" i="40" s="1"/>
  <c r="L60" i="40"/>
  <c r="Q162" i="40" s="1"/>
  <c r="E60" i="40"/>
  <c r="Q161" i="40" s="1"/>
  <c r="S59" i="40"/>
  <c r="Q146" i="40" s="1"/>
  <c r="L59" i="40"/>
  <c r="Q145" i="40" s="1"/>
  <c r="E59" i="40"/>
  <c r="Q144" i="40" s="1"/>
  <c r="S58" i="40"/>
  <c r="Q129" i="40" s="1"/>
  <c r="L58" i="40"/>
  <c r="Q128" i="40" s="1"/>
  <c r="E58" i="40"/>
  <c r="Q127" i="40" s="1"/>
  <c r="S57" i="40"/>
  <c r="Q112" i="40" s="1"/>
  <c r="L57" i="40"/>
  <c r="Q111" i="40" s="1"/>
  <c r="E57" i="40"/>
  <c r="Q110" i="40" s="1"/>
  <c r="S56" i="40"/>
  <c r="G197" i="40" s="1"/>
  <c r="L56" i="40"/>
  <c r="G196" i="40" s="1"/>
  <c r="E56" i="40"/>
  <c r="G195" i="40" s="1"/>
  <c r="S55" i="40"/>
  <c r="G180" i="40" s="1"/>
  <c r="L55" i="40"/>
  <c r="G179" i="40" s="1"/>
  <c r="E55" i="40"/>
  <c r="G178" i="40" s="1"/>
  <c r="S54" i="40"/>
  <c r="G163" i="40" s="1"/>
  <c r="L54" i="40"/>
  <c r="G162" i="40" s="1"/>
  <c r="E54" i="40"/>
  <c r="G161" i="40" s="1"/>
  <c r="S53" i="40"/>
  <c r="G146" i="40" s="1"/>
  <c r="L53" i="40"/>
  <c r="G145" i="40" s="1"/>
  <c r="E53" i="40"/>
  <c r="G144" i="40" s="1"/>
  <c r="S52" i="40"/>
  <c r="G129" i="40" s="1"/>
  <c r="L52" i="40"/>
  <c r="G128" i="40" s="1"/>
  <c r="E52" i="40"/>
  <c r="G127" i="40" s="1"/>
  <c r="S51" i="40"/>
  <c r="G112" i="40" s="1"/>
  <c r="L51" i="40"/>
  <c r="G111" i="40" s="1"/>
  <c r="E51" i="40"/>
  <c r="G110" i="40" s="1"/>
  <c r="S46" i="40"/>
  <c r="Q177" i="40" s="1"/>
  <c r="L46" i="40"/>
  <c r="Q176" i="40" s="1"/>
  <c r="E46" i="40"/>
  <c r="Q175" i="40" s="1"/>
  <c r="S45" i="40"/>
  <c r="Q160" i="40" s="1"/>
  <c r="L45" i="40"/>
  <c r="Q159" i="40" s="1"/>
  <c r="E45" i="40"/>
  <c r="Q158" i="40" s="1"/>
  <c r="S44" i="40"/>
  <c r="Q143" i="40" s="1"/>
  <c r="L44" i="40"/>
  <c r="Q142" i="40" s="1"/>
  <c r="E44" i="40"/>
  <c r="Q141" i="40" s="1"/>
  <c r="S43" i="40"/>
  <c r="Q126" i="40" s="1"/>
  <c r="L43" i="40"/>
  <c r="Q125" i="40" s="1"/>
  <c r="E43" i="40"/>
  <c r="Q124" i="40" s="1"/>
  <c r="S42" i="40"/>
  <c r="Q109" i="40" s="1"/>
  <c r="L42" i="40"/>
  <c r="Q108" i="40" s="1"/>
  <c r="E42" i="40"/>
  <c r="Q107" i="40" s="1"/>
  <c r="S41" i="40"/>
  <c r="G194" i="40" s="1"/>
  <c r="L41" i="40"/>
  <c r="G193" i="40" s="1"/>
  <c r="E41" i="40"/>
  <c r="G192" i="40" s="1"/>
  <c r="S40" i="40"/>
  <c r="G177" i="40" s="1"/>
  <c r="L40" i="40"/>
  <c r="G176" i="40" s="1"/>
  <c r="E40" i="40"/>
  <c r="G175" i="40" s="1"/>
  <c r="S39" i="40"/>
  <c r="G160" i="40" s="1"/>
  <c r="L39" i="40"/>
  <c r="G159" i="40" s="1"/>
  <c r="E39" i="40"/>
  <c r="G158" i="40" s="1"/>
  <c r="S38" i="40"/>
  <c r="G143" i="40" s="1"/>
  <c r="L38" i="40"/>
  <c r="G142" i="40" s="1"/>
  <c r="E38" i="40"/>
  <c r="G141" i="40" s="1"/>
  <c r="S37" i="40"/>
  <c r="G126" i="40" s="1"/>
  <c r="L37" i="40"/>
  <c r="G125" i="40" s="1"/>
  <c r="E37" i="40"/>
  <c r="G124" i="40" s="1"/>
  <c r="S36" i="40"/>
  <c r="G109" i="40" s="1"/>
  <c r="L36" i="40"/>
  <c r="G108" i="40" s="1"/>
  <c r="E36" i="40"/>
  <c r="G107" i="40" s="1"/>
  <c r="S30" i="40"/>
  <c r="Q174" i="40" s="1"/>
  <c r="L30" i="40"/>
  <c r="Q173" i="40" s="1"/>
  <c r="E30" i="40"/>
  <c r="Q172" i="40" s="1"/>
  <c r="S29" i="40"/>
  <c r="Q157" i="40" s="1"/>
  <c r="L29" i="40"/>
  <c r="Q156" i="40" s="1"/>
  <c r="E29" i="40"/>
  <c r="Q155" i="40" s="1"/>
  <c r="S28" i="40"/>
  <c r="Q140" i="40" s="1"/>
  <c r="L28" i="40"/>
  <c r="Q139" i="40" s="1"/>
  <c r="E28" i="40"/>
  <c r="Q138" i="40" s="1"/>
  <c r="S27" i="40"/>
  <c r="Q123" i="40" s="1"/>
  <c r="L27" i="40"/>
  <c r="Q122" i="40" s="1"/>
  <c r="E27" i="40"/>
  <c r="Q121" i="40" s="1"/>
  <c r="S26" i="40"/>
  <c r="Q106" i="40" s="1"/>
  <c r="L26" i="40"/>
  <c r="Q105" i="40" s="1"/>
  <c r="E26" i="40"/>
  <c r="Q104" i="40" s="1"/>
  <c r="S25" i="40"/>
  <c r="G191" i="40" s="1"/>
  <c r="L25" i="40"/>
  <c r="G190" i="40" s="1"/>
  <c r="E25" i="40"/>
  <c r="G189" i="40" s="1"/>
  <c r="S24" i="40"/>
  <c r="G174" i="40" s="1"/>
  <c r="L24" i="40"/>
  <c r="G173" i="40" s="1"/>
  <c r="E24" i="40"/>
  <c r="G172" i="40" s="1"/>
  <c r="S23" i="40"/>
  <c r="G157" i="40" s="1"/>
  <c r="L23" i="40"/>
  <c r="G156" i="40" s="1"/>
  <c r="E23" i="40"/>
  <c r="G155" i="40" s="1"/>
  <c r="S22" i="40"/>
  <c r="G140" i="40" s="1"/>
  <c r="L22" i="40"/>
  <c r="G139" i="40" s="1"/>
  <c r="E22" i="40"/>
  <c r="G138" i="40" s="1"/>
  <c r="S21" i="40"/>
  <c r="G123" i="40" s="1"/>
  <c r="L21" i="40"/>
  <c r="G122" i="40" s="1"/>
  <c r="E21" i="40"/>
  <c r="G121" i="40" s="1"/>
  <c r="S20" i="40"/>
  <c r="G106" i="40" s="1"/>
  <c r="L20" i="40"/>
  <c r="G105" i="40" s="1"/>
  <c r="E20" i="40"/>
  <c r="G104" i="40" s="1"/>
  <c r="A19" i="40"/>
  <c r="A35" i="40" s="1"/>
  <c r="A18" i="40"/>
  <c r="A34" i="40" s="1"/>
  <c r="F17" i="40"/>
  <c r="F33" i="40" s="1"/>
  <c r="S15" i="40"/>
  <c r="Q171" i="40" s="1"/>
  <c r="L15" i="40"/>
  <c r="Q170" i="40" s="1"/>
  <c r="E15" i="40"/>
  <c r="Q169" i="40" s="1"/>
  <c r="S14" i="40"/>
  <c r="Q154" i="40" s="1"/>
  <c r="L14" i="40"/>
  <c r="Q153" i="40" s="1"/>
  <c r="E14" i="40"/>
  <c r="Q152" i="40" s="1"/>
  <c r="S13" i="40"/>
  <c r="Q137" i="40" s="1"/>
  <c r="L13" i="40"/>
  <c r="Q136" i="40" s="1"/>
  <c r="E13" i="40"/>
  <c r="Q135" i="40" s="1"/>
  <c r="S12" i="40"/>
  <c r="Q120" i="40" s="1"/>
  <c r="L12" i="40"/>
  <c r="Q119" i="40" s="1"/>
  <c r="E12" i="40"/>
  <c r="Q118" i="40" s="1"/>
  <c r="S11" i="40"/>
  <c r="Q103" i="40" s="1"/>
  <c r="L11" i="40"/>
  <c r="Q102" i="40" s="1"/>
  <c r="E11" i="40"/>
  <c r="Q101" i="40" s="1"/>
  <c r="S10" i="40"/>
  <c r="G188" i="40" s="1"/>
  <c r="L10" i="40"/>
  <c r="G187" i="40" s="1"/>
  <c r="E10" i="40"/>
  <c r="G186" i="40" s="1"/>
  <c r="S9" i="40"/>
  <c r="G171" i="40" s="1"/>
  <c r="L9" i="40"/>
  <c r="G170" i="40" s="1"/>
  <c r="E9" i="40"/>
  <c r="G169" i="40" s="1"/>
  <c r="S8" i="40"/>
  <c r="G154" i="40" s="1"/>
  <c r="L8" i="40"/>
  <c r="G153" i="40" s="1"/>
  <c r="E8" i="40"/>
  <c r="G152" i="40" s="1"/>
  <c r="S7" i="40"/>
  <c r="G137" i="40" s="1"/>
  <c r="L7" i="40"/>
  <c r="G136" i="40" s="1"/>
  <c r="E7" i="40"/>
  <c r="G135" i="40" s="1"/>
  <c r="S6" i="40"/>
  <c r="G120" i="40" s="1"/>
  <c r="L6" i="40"/>
  <c r="G119" i="40" s="1"/>
  <c r="E6" i="40"/>
  <c r="G118" i="40" s="1"/>
  <c r="S5" i="40"/>
  <c r="G103" i="40" s="1"/>
  <c r="L5" i="40"/>
  <c r="G102" i="40" s="1"/>
  <c r="E5" i="40"/>
  <c r="G101" i="40" s="1"/>
  <c r="H4" i="40"/>
  <c r="O4" i="40" s="1"/>
  <c r="H3" i="40"/>
  <c r="O3" i="40" s="1"/>
  <c r="M2" i="40"/>
  <c r="T2" i="40" s="1"/>
  <c r="H64" i="1"/>
  <c r="J3" i="45" l="1"/>
  <c r="K3" i="45"/>
  <c r="B205" i="40"/>
  <c r="C207" i="40" s="1"/>
  <c r="M17" i="40"/>
  <c r="T17" i="40" s="1"/>
  <c r="D207" i="40"/>
  <c r="H18" i="40"/>
  <c r="O18" i="40" s="1"/>
  <c r="W378" i="42"/>
  <c r="O391" i="42" s="1"/>
  <c r="M33" i="40"/>
  <c r="M48" i="40" s="1"/>
  <c r="M63" i="40" s="1"/>
  <c r="M78" i="40" s="1"/>
  <c r="F48" i="40"/>
  <c r="F63" i="40" s="1"/>
  <c r="F78" i="40" s="1"/>
  <c r="T33" i="40"/>
  <c r="T48" i="40" s="1"/>
  <c r="T63" i="40" s="1"/>
  <c r="W377" i="42"/>
  <c r="O390" i="42" s="1"/>
  <c r="T373" i="42"/>
  <c r="N373" i="42"/>
  <c r="S386" i="42"/>
  <c r="U377" i="42" s="1"/>
  <c r="I382" i="42"/>
  <c r="I381" i="42"/>
  <c r="H380" i="42"/>
  <c r="I379" i="42"/>
  <c r="H382" i="42"/>
  <c r="H381" i="42"/>
  <c r="G380" i="42"/>
  <c r="H379" i="42"/>
  <c r="K378" i="42"/>
  <c r="M373" i="42"/>
  <c r="G382" i="42"/>
  <c r="G381" i="42"/>
  <c r="G379" i="42"/>
  <c r="J378" i="42"/>
  <c r="I378" i="42"/>
  <c r="K376" i="42"/>
  <c r="H378" i="42"/>
  <c r="K377" i="42"/>
  <c r="J376" i="42"/>
  <c r="K380" i="42"/>
  <c r="G378" i="42"/>
  <c r="J377" i="42"/>
  <c r="I376" i="42"/>
  <c r="K382" i="42"/>
  <c r="K381" i="42"/>
  <c r="J380" i="42"/>
  <c r="K379" i="42"/>
  <c r="I377" i="42"/>
  <c r="H376" i="42"/>
  <c r="G377" i="42"/>
  <c r="J381" i="42"/>
  <c r="J382" i="42"/>
  <c r="H377" i="42"/>
  <c r="I380" i="42"/>
  <c r="G376" i="42"/>
  <c r="J379" i="42"/>
  <c r="B265" i="41"/>
  <c r="B268" i="41" s="1"/>
  <c r="B276" i="41" s="1"/>
  <c r="B284" i="41" s="1"/>
  <c r="B290" i="41" s="1"/>
  <c r="A265" i="41"/>
  <c r="N298" i="41"/>
  <c r="N311" i="41" s="1"/>
  <c r="B48" i="5" s="1"/>
  <c r="A205" i="40"/>
  <c r="B210" i="40" s="1"/>
  <c r="O230" i="40"/>
  <c r="O248" i="40" s="1"/>
  <c r="B50" i="5" s="1"/>
  <c r="B207" i="40"/>
  <c r="A50" i="40"/>
  <c r="A65" i="40" s="1"/>
  <c r="A80" i="40" s="1"/>
  <c r="O35" i="40"/>
  <c r="O50" i="40" s="1"/>
  <c r="O65" i="40" s="1"/>
  <c r="H35" i="40"/>
  <c r="H50" i="40" s="1"/>
  <c r="H65" i="40" s="1"/>
  <c r="H80" i="40" s="1"/>
  <c r="A49" i="40"/>
  <c r="A64" i="40" s="1"/>
  <c r="A79" i="40" s="1"/>
  <c r="O34" i="40"/>
  <c r="O49" i="40" s="1"/>
  <c r="O64" i="40" s="1"/>
  <c r="H34" i="40"/>
  <c r="H49" i="40" s="1"/>
  <c r="H64" i="40" s="1"/>
  <c r="H79" i="40" s="1"/>
  <c r="D217" i="40"/>
  <c r="H19" i="40"/>
  <c r="O19" i="40" s="1"/>
  <c r="A222" i="40"/>
  <c r="E7" i="4"/>
  <c r="E7" i="46" s="1"/>
  <c r="H214" i="40" l="1"/>
  <c r="G214" i="40" s="1"/>
  <c r="P16" i="1"/>
  <c r="G16" i="1" s="1"/>
  <c r="P16" i="46"/>
  <c r="P15" i="1"/>
  <c r="G15" i="1" s="1"/>
  <c r="P15" i="46"/>
  <c r="A211" i="40"/>
  <c r="A212" i="40"/>
  <c r="B212" i="40"/>
  <c r="C210" i="40"/>
  <c r="C218" i="40"/>
  <c r="D208" i="40"/>
  <c r="H213" i="40"/>
  <c r="G213" i="40" s="1"/>
  <c r="D216" i="40"/>
  <c r="N390" i="42"/>
  <c r="O15" i="46" s="1"/>
  <c r="E15" i="46" s="1"/>
  <c r="G18" i="5"/>
  <c r="H215" i="40"/>
  <c r="G215" i="40" s="1"/>
  <c r="A218" i="40"/>
  <c r="C211" i="40"/>
  <c r="D209" i="40"/>
  <c r="B213" i="40"/>
  <c r="H208" i="40"/>
  <c r="G208" i="40" s="1"/>
  <c r="A210" i="40"/>
  <c r="B209" i="40"/>
  <c r="C212" i="40"/>
  <c r="D215" i="40"/>
  <c r="B216" i="40"/>
  <c r="T386" i="42"/>
  <c r="U378" i="42" s="1"/>
  <c r="Q380" i="42"/>
  <c r="M378" i="42"/>
  <c r="Q382" i="42"/>
  <c r="Q381" i="42"/>
  <c r="P380" i="42"/>
  <c r="Q379" i="42"/>
  <c r="O377" i="42"/>
  <c r="N376" i="42"/>
  <c r="P382" i="42"/>
  <c r="P381" i="42"/>
  <c r="O380" i="42"/>
  <c r="P379" i="42"/>
  <c r="N377" i="42"/>
  <c r="M376" i="42"/>
  <c r="O382" i="42"/>
  <c r="O381" i="42"/>
  <c r="N380" i="42"/>
  <c r="O379" i="42"/>
  <c r="M377" i="42"/>
  <c r="N382" i="42"/>
  <c r="N381" i="42"/>
  <c r="M380" i="42"/>
  <c r="N379" i="42"/>
  <c r="Q378" i="42"/>
  <c r="M382" i="42"/>
  <c r="M381" i="42"/>
  <c r="M379" i="42"/>
  <c r="P378" i="42"/>
  <c r="O378" i="42"/>
  <c r="Q376" i="42"/>
  <c r="N378" i="42"/>
  <c r="P376" i="42"/>
  <c r="O376" i="42"/>
  <c r="P377" i="42"/>
  <c r="Q377" i="42"/>
  <c r="D268" i="41"/>
  <c r="D276" i="41" s="1"/>
  <c r="D284" i="41" s="1"/>
  <c r="D290" i="41" s="1"/>
  <c r="C268" i="41"/>
  <c r="C276" i="41" s="1"/>
  <c r="C284" i="41" s="1"/>
  <c r="C290" i="41" s="1"/>
  <c r="F294" i="41"/>
  <c r="D293" i="41"/>
  <c r="B292" i="41"/>
  <c r="B288" i="41"/>
  <c r="F286" i="41"/>
  <c r="D285" i="41"/>
  <c r="F282" i="41"/>
  <c r="D281" i="41"/>
  <c r="B280" i="41"/>
  <c r="F278" i="41"/>
  <c r="D277" i="41"/>
  <c r="E273" i="41"/>
  <c r="A271" i="41"/>
  <c r="B270" i="41"/>
  <c r="E269" i="41"/>
  <c r="E294" i="41"/>
  <c r="C293" i="41"/>
  <c r="A292" i="41"/>
  <c r="A288" i="41"/>
  <c r="E286" i="41"/>
  <c r="C285" i="41"/>
  <c r="E282" i="41"/>
  <c r="C281" i="41"/>
  <c r="A280" i="41"/>
  <c r="E278" i="41"/>
  <c r="C277" i="41"/>
  <c r="F274" i="41"/>
  <c r="D273" i="41"/>
  <c r="A270" i="41"/>
  <c r="D269" i="41"/>
  <c r="D294" i="41"/>
  <c r="B293" i="41"/>
  <c r="F291" i="41"/>
  <c r="F287" i="41"/>
  <c r="D286" i="41"/>
  <c r="B285" i="41"/>
  <c r="I266" i="41" s="1"/>
  <c r="N269" i="41" s="1"/>
  <c r="D282" i="41"/>
  <c r="B281" i="41"/>
  <c r="F279" i="41"/>
  <c r="D278" i="41"/>
  <c r="B277" i="41"/>
  <c r="K266" i="41" s="1"/>
  <c r="N271" i="41" s="1"/>
  <c r="E274" i="41"/>
  <c r="C273" i="41"/>
  <c r="F272" i="41"/>
  <c r="C269" i="41"/>
  <c r="C291" i="41"/>
  <c r="C287" i="41"/>
  <c r="A282" i="41"/>
  <c r="E280" i="41"/>
  <c r="A278" i="41"/>
  <c r="B274" i="41"/>
  <c r="D271" i="41"/>
  <c r="C294" i="41"/>
  <c r="A293" i="41"/>
  <c r="E291" i="41"/>
  <c r="E287" i="41"/>
  <c r="C286" i="41"/>
  <c r="A285" i="41"/>
  <c r="C282" i="41"/>
  <c r="A281" i="41"/>
  <c r="E279" i="41"/>
  <c r="C278" i="41"/>
  <c r="A277" i="41"/>
  <c r="D274" i="41"/>
  <c r="B273" i="41"/>
  <c r="E272" i="41"/>
  <c r="F271" i="41"/>
  <c r="B269" i="41"/>
  <c r="E288" i="41"/>
  <c r="A286" i="41"/>
  <c r="C279" i="41"/>
  <c r="C272" i="41"/>
  <c r="E270" i="41"/>
  <c r="B294" i="41"/>
  <c r="F292" i="41"/>
  <c r="D291" i="41"/>
  <c r="F288" i="41"/>
  <c r="D287" i="41"/>
  <c r="B286" i="41"/>
  <c r="B282" i="41"/>
  <c r="F280" i="41"/>
  <c r="D279" i="41"/>
  <c r="B278" i="41"/>
  <c r="C274" i="41"/>
  <c r="A273" i="41"/>
  <c r="D272" i="41"/>
  <c r="E271" i="41"/>
  <c r="F270" i="41"/>
  <c r="A269" i="41"/>
  <c r="F293" i="41"/>
  <c r="D292" i="41"/>
  <c r="B291" i="41"/>
  <c r="D288" i="41"/>
  <c r="B287" i="41"/>
  <c r="F285" i="41"/>
  <c r="F281" i="41"/>
  <c r="D280" i="41"/>
  <c r="B279" i="41"/>
  <c r="F277" i="41"/>
  <c r="A274" i="41"/>
  <c r="B272" i="41"/>
  <c r="C271" i="41"/>
  <c r="D270" i="41"/>
  <c r="E293" i="41"/>
  <c r="C292" i="41"/>
  <c r="A291" i="41"/>
  <c r="C288" i="41"/>
  <c r="A287" i="41"/>
  <c r="E285" i="41"/>
  <c r="E281" i="41"/>
  <c r="C280" i="41"/>
  <c r="A279" i="41"/>
  <c r="E277" i="41"/>
  <c r="F273" i="41"/>
  <c r="A272" i="41"/>
  <c r="B271" i="41"/>
  <c r="C270" i="41"/>
  <c r="F269" i="41"/>
  <c r="E292" i="41"/>
  <c r="A294" i="41"/>
  <c r="A213" i="40"/>
  <c r="C213" i="40"/>
  <c r="D218" i="40"/>
  <c r="H209" i="40"/>
  <c r="G209" i="40" s="1"/>
  <c r="B215" i="40"/>
  <c r="F215" i="40" s="1"/>
  <c r="C214" i="40"/>
  <c r="H210" i="40"/>
  <c r="G210" i="40" s="1"/>
  <c r="H218" i="40"/>
  <c r="G218" i="40" s="1"/>
  <c r="A215" i="40"/>
  <c r="B218" i="40"/>
  <c r="E218" i="40" s="1"/>
  <c r="C215" i="40"/>
  <c r="D212" i="40"/>
  <c r="B211" i="40"/>
  <c r="E211" i="40" s="1"/>
  <c r="H216" i="40"/>
  <c r="G216" i="40" s="1"/>
  <c r="B214" i="40"/>
  <c r="D210" i="40"/>
  <c r="A214" i="40"/>
  <c r="B208" i="40"/>
  <c r="H211" i="40"/>
  <c r="G211" i="40" s="1"/>
  <c r="A208" i="40"/>
  <c r="A216" i="40"/>
  <c r="C208" i="40"/>
  <c r="C216" i="40"/>
  <c r="D213" i="40"/>
  <c r="B217" i="40"/>
  <c r="H217" i="40"/>
  <c r="G217" i="40" s="1"/>
  <c r="D211" i="40"/>
  <c r="H212" i="40"/>
  <c r="G212" i="40" s="1"/>
  <c r="A209" i="40"/>
  <c r="A217" i="40"/>
  <c r="C209" i="40"/>
  <c r="E209" i="40" s="1"/>
  <c r="C217" i="40"/>
  <c r="D214" i="40"/>
  <c r="K40" i="1"/>
  <c r="I38" i="4"/>
  <c r="I37" i="4"/>
  <c r="E217" i="40" l="1"/>
  <c r="C221" i="40"/>
  <c r="F213" i="40"/>
  <c r="E216" i="40"/>
  <c r="F214" i="40"/>
  <c r="F209" i="40"/>
  <c r="E214" i="40"/>
  <c r="F211" i="40"/>
  <c r="E215" i="40"/>
  <c r="F217" i="40"/>
  <c r="F210" i="40"/>
  <c r="F216" i="40"/>
  <c r="E223" i="40"/>
  <c r="F212" i="40"/>
  <c r="E210" i="40"/>
  <c r="E213" i="40"/>
  <c r="F218" i="40"/>
  <c r="U386" i="42"/>
  <c r="U379" i="42" s="1"/>
  <c r="N392" i="42" s="1"/>
  <c r="T383" i="42" s="1"/>
  <c r="N391" i="42"/>
  <c r="O16" i="46" s="1"/>
  <c r="E16" i="46" s="1"/>
  <c r="G19" i="5"/>
  <c r="F208" i="40"/>
  <c r="T381" i="42"/>
  <c r="E15" i="4" s="1"/>
  <c r="O15" i="1"/>
  <c r="E15" i="1" s="1"/>
  <c r="H266" i="41"/>
  <c r="N268" i="41" s="1"/>
  <c r="O268" i="41" s="1"/>
  <c r="J266" i="41"/>
  <c r="N270" i="41" s="1"/>
  <c r="O270" i="41" s="1"/>
  <c r="I26" i="4" s="1"/>
  <c r="H26" i="46" s="1"/>
  <c r="O271" i="41"/>
  <c r="I27" i="4" s="1"/>
  <c r="H27" i="46" s="1"/>
  <c r="H269" i="41"/>
  <c r="N272" i="41" s="1"/>
  <c r="O272" i="41" s="1"/>
  <c r="S21" i="4" s="1"/>
  <c r="E212" i="40"/>
  <c r="E221" i="40"/>
  <c r="E208" i="40"/>
  <c r="C223" i="40"/>
  <c r="F32" i="4" l="1"/>
  <c r="C227" i="40"/>
  <c r="D227" i="40" s="1"/>
  <c r="L44" i="5" s="1"/>
  <c r="D222" i="40"/>
  <c r="T382" i="42"/>
  <c r="E16" i="4" s="1"/>
  <c r="O16" i="1"/>
  <c r="E16" i="1" s="1"/>
  <c r="H272" i="41"/>
  <c r="G20" i="5"/>
  <c r="I269" i="41"/>
  <c r="I272" i="41" s="1"/>
  <c r="T15" i="46" s="1"/>
  <c r="F33" i="4"/>
  <c r="O10" i="1"/>
  <c r="L227" i="40" l="1"/>
  <c r="D5" i="45" s="1"/>
  <c r="G5" i="45" s="1"/>
  <c r="I5" i="45" s="1"/>
  <c r="F227" i="40"/>
  <c r="G227" i="40" s="1"/>
  <c r="H227" i="40"/>
  <c r="I227" i="40"/>
  <c r="S15" i="1"/>
  <c r="E17" i="1" s="1"/>
  <c r="S15" i="46"/>
  <c r="E17" i="46" s="1"/>
  <c r="K5" i="45"/>
  <c r="J5" i="45"/>
  <c r="F34" i="1"/>
  <c r="F33" i="46"/>
  <c r="J227" i="40"/>
  <c r="D6" i="45" s="1"/>
  <c r="G6" i="45" s="1"/>
  <c r="I6" i="45" s="1"/>
  <c r="G222" i="40"/>
  <c r="F33" i="1"/>
  <c r="F32" i="46"/>
  <c r="H274" i="41"/>
  <c r="E17" i="4" s="1"/>
  <c r="T15" i="1"/>
  <c r="O11" i="1"/>
  <c r="K221" i="40" l="1"/>
  <c r="K223" i="40"/>
  <c r="H221" i="40"/>
  <c r="H223" i="40"/>
  <c r="J6" i="45"/>
  <c r="J8" i="45" s="1"/>
  <c r="J9" i="45" s="1"/>
  <c r="K6" i="45"/>
  <c r="K8" i="45" s="1"/>
  <c r="O12" i="1"/>
  <c r="G17" i="1"/>
  <c r="D8" i="4"/>
  <c r="E8" i="4"/>
  <c r="A8" i="4"/>
  <c r="P6" i="4"/>
  <c r="P8" i="4" s="1"/>
  <c r="C26" i="4"/>
  <c r="C26" i="46" s="1"/>
  <c r="K30" i="5"/>
  <c r="V49" i="9"/>
  <c r="X49" i="9" s="1"/>
  <c r="V36" i="9"/>
  <c r="X36" i="9" s="1"/>
  <c r="V23" i="9"/>
  <c r="X23" i="9" s="1"/>
  <c r="V10" i="9"/>
  <c r="X10" i="9" s="1"/>
  <c r="Y10" i="9" s="1"/>
  <c r="J222" i="40" l="1"/>
  <c r="D8" i="1"/>
  <c r="D8" i="46"/>
  <c r="J10" i="45"/>
  <c r="J11" i="45" s="1"/>
  <c r="J12" i="45" s="1"/>
  <c r="J13" i="45" s="1"/>
  <c r="A8" i="1"/>
  <c r="A8" i="46"/>
  <c r="E8" i="1"/>
  <c r="D17" i="43" s="1"/>
  <c r="E8" i="46"/>
  <c r="M44" i="5"/>
  <c r="Y23" i="9"/>
  <c r="Z23" i="9"/>
  <c r="Y36" i="9"/>
  <c r="Z36" i="9"/>
  <c r="Y49" i="9"/>
  <c r="Z49" i="9"/>
  <c r="Z10" i="9"/>
  <c r="R21" i="4" l="1"/>
  <c r="M37" i="5" l="1"/>
  <c r="M39" i="5"/>
  <c r="D23" i="9"/>
  <c r="P19" i="4" l="1"/>
  <c r="F39" i="4" l="1"/>
  <c r="F39" i="46" s="1"/>
  <c r="G39" i="4"/>
  <c r="G39" i="46" s="1"/>
  <c r="G39" i="1" l="1"/>
  <c r="D36" i="9" l="1"/>
  <c r="D49" i="9"/>
  <c r="K29" i="5" l="1"/>
  <c r="B29" i="8"/>
  <c r="G35" i="4" l="1"/>
  <c r="G35" i="46" s="1"/>
  <c r="F35" i="4"/>
  <c r="F35" i="46" s="1"/>
  <c r="G33" i="4"/>
  <c r="G33" i="46" s="1"/>
  <c r="M38" i="5"/>
  <c r="G34" i="4" s="1"/>
  <c r="G34" i="46" s="1"/>
  <c r="F34" i="4"/>
  <c r="F34" i="46" s="1"/>
  <c r="G32" i="4"/>
  <c r="C28" i="5"/>
  <c r="G33" i="1" l="1"/>
  <c r="G32" i="46"/>
  <c r="F49" i="9"/>
  <c r="E49" i="9"/>
  <c r="F36" i="9"/>
  <c r="E36" i="9"/>
  <c r="F23" i="9"/>
  <c r="E23" i="9"/>
  <c r="F10" i="9"/>
  <c r="E10" i="9"/>
  <c r="I71" i="1" l="1"/>
  <c r="B39" i="4" l="1"/>
  <c r="B35" i="4"/>
  <c r="B34" i="4"/>
  <c r="B33" i="4"/>
  <c r="B32" i="4"/>
  <c r="D39" i="4"/>
  <c r="D39" i="46" s="1"/>
  <c r="B36" i="1" l="1"/>
  <c r="B35" i="46"/>
  <c r="B33" i="1"/>
  <c r="B32" i="46"/>
  <c r="B34" i="1"/>
  <c r="B33" i="46"/>
  <c r="B35" i="1"/>
  <c r="B34" i="46"/>
  <c r="B41" i="1"/>
  <c r="B39" i="46"/>
  <c r="B66" i="4"/>
  <c r="C43" i="9"/>
  <c r="C30" i="9"/>
  <c r="C17" i="9"/>
  <c r="C4" i="9"/>
  <c r="B23" i="8" l="1"/>
  <c r="B19" i="8"/>
  <c r="B51" i="4"/>
  <c r="B51" i="46" s="1"/>
  <c r="B50" i="4"/>
  <c r="A41" i="4"/>
  <c r="A41" i="46" s="1"/>
  <c r="B51" i="1" l="1"/>
  <c r="B50" i="46"/>
  <c r="G36" i="9"/>
  <c r="I36" i="9" s="1"/>
  <c r="G49" i="9"/>
  <c r="I49" i="9" s="1"/>
  <c r="G23" i="9"/>
  <c r="I23" i="9" s="1"/>
  <c r="G10" i="9"/>
  <c r="I10" i="9" s="1"/>
  <c r="J10" i="9" l="1"/>
  <c r="K10" i="9"/>
  <c r="K23" i="9"/>
  <c r="J23" i="9"/>
  <c r="J49" i="9"/>
  <c r="K49" i="9"/>
  <c r="K36" i="9"/>
  <c r="J36" i="9"/>
  <c r="D39" i="1" l="1"/>
  <c r="F39" i="1"/>
  <c r="D41" i="1"/>
  <c r="B52" i="1" l="1"/>
  <c r="B53" i="4" l="1"/>
  <c r="E21" i="4" l="1"/>
  <c r="M21" i="4" l="1"/>
  <c r="E21" i="46"/>
  <c r="B25" i="1"/>
  <c r="D35" i="4" l="1"/>
  <c r="C26" i="1"/>
  <c r="C27" i="4"/>
  <c r="C27" i="46" s="1"/>
  <c r="K25" i="4"/>
  <c r="C25" i="4"/>
  <c r="C25" i="1" l="1"/>
  <c r="C25" i="46"/>
  <c r="N25" i="4"/>
  <c r="I25" i="46"/>
  <c r="D36" i="1"/>
  <c r="D35" i="46"/>
  <c r="C27" i="1"/>
  <c r="J25" i="1"/>
  <c r="V48" i="9"/>
  <c r="X48" i="9" s="1"/>
  <c r="U48" i="9"/>
  <c r="V47" i="9"/>
  <c r="X47" i="9" s="1"/>
  <c r="U47" i="9"/>
  <c r="V46" i="9"/>
  <c r="X46" i="9" s="1"/>
  <c r="U46" i="9"/>
  <c r="V45" i="9"/>
  <c r="X45" i="9" s="1"/>
  <c r="Z45" i="9" s="1"/>
  <c r="F48" i="9"/>
  <c r="F47" i="9"/>
  <c r="E47" i="9"/>
  <c r="E45" i="9"/>
  <c r="Z47" i="9" l="1"/>
  <c r="Y46" i="9"/>
  <c r="Z46" i="9"/>
  <c r="Y48" i="9"/>
  <c r="Z48" i="9"/>
  <c r="Y45" i="9"/>
  <c r="Y47" i="9"/>
  <c r="G45" i="9"/>
  <c r="I45" i="9" s="1"/>
  <c r="J45" i="9" s="1"/>
  <c r="R43" i="9"/>
  <c r="Y50" i="9" l="1"/>
  <c r="Y51" i="9" s="1"/>
  <c r="Z50" i="9"/>
  <c r="K45" i="9"/>
  <c r="K39" i="1"/>
  <c r="U35" i="9"/>
  <c r="V35" i="9"/>
  <c r="X35" i="9" s="1"/>
  <c r="U34" i="9"/>
  <c r="V34" i="9"/>
  <c r="X34" i="9" s="1"/>
  <c r="U33" i="9"/>
  <c r="V33" i="9"/>
  <c r="X33" i="9" s="1"/>
  <c r="V32" i="9"/>
  <c r="X32" i="9" s="1"/>
  <c r="S30" i="9"/>
  <c r="Z41" i="9" s="1"/>
  <c r="P30" i="9"/>
  <c r="U22" i="9"/>
  <c r="V22" i="9"/>
  <c r="X22" i="9" s="1"/>
  <c r="U21" i="9"/>
  <c r="V21" i="9"/>
  <c r="X21" i="9" s="1"/>
  <c r="U20" i="9"/>
  <c r="V20" i="9"/>
  <c r="X20" i="9" s="1"/>
  <c r="V19" i="9"/>
  <c r="X19" i="9" s="1"/>
  <c r="S17" i="9"/>
  <c r="P17" i="9"/>
  <c r="P43" i="9" s="1"/>
  <c r="Z15" i="9"/>
  <c r="U9" i="9"/>
  <c r="V9" i="9"/>
  <c r="X9" i="9" s="1"/>
  <c r="Q9" i="9"/>
  <c r="U8" i="9"/>
  <c r="V8" i="9"/>
  <c r="X8" i="9" s="1"/>
  <c r="Q8" i="9"/>
  <c r="U7" i="9"/>
  <c r="V7" i="9"/>
  <c r="X7" i="9" s="1"/>
  <c r="Q7" i="9"/>
  <c r="V6" i="9"/>
  <c r="X6" i="9" s="1"/>
  <c r="Q6" i="9"/>
  <c r="Q48" i="5"/>
  <c r="T43" i="5"/>
  <c r="S43" i="5"/>
  <c r="R43" i="5"/>
  <c r="Q43" i="5"/>
  <c r="T42" i="5"/>
  <c r="S42" i="5"/>
  <c r="R42" i="5"/>
  <c r="Q42" i="5"/>
  <c r="S41" i="5"/>
  <c r="R41" i="5"/>
  <c r="Q41" i="5"/>
  <c r="Z28" i="9" l="1"/>
  <c r="S43" i="9"/>
  <c r="Y52" i="9"/>
  <c r="Y53" i="9" s="1"/>
  <c r="Y54" i="9" s="1"/>
  <c r="Z32" i="9"/>
  <c r="Y32" i="9"/>
  <c r="Z34" i="9"/>
  <c r="Y34" i="9"/>
  <c r="Y35" i="9"/>
  <c r="Z35" i="9"/>
  <c r="Z33" i="9"/>
  <c r="Y33" i="9"/>
  <c r="Q33" i="9"/>
  <c r="Q34" i="9"/>
  <c r="Q35" i="9"/>
  <c r="Q32" i="9"/>
  <c r="Z19" i="9"/>
  <c r="Y19" i="9"/>
  <c r="Z21" i="9"/>
  <c r="Y21" i="9"/>
  <c r="Y22" i="9"/>
  <c r="Z22" i="9"/>
  <c r="Z20" i="9"/>
  <c r="Y20" i="9"/>
  <c r="Q20" i="9"/>
  <c r="Q21" i="9"/>
  <c r="Q22" i="9"/>
  <c r="Q19" i="9"/>
  <c r="Z6" i="9"/>
  <c r="Y6" i="9"/>
  <c r="Z7" i="9"/>
  <c r="Y7" i="9"/>
  <c r="Z8" i="9"/>
  <c r="Y8" i="9"/>
  <c r="Y9" i="9"/>
  <c r="Z9" i="9"/>
  <c r="Y24" i="9" l="1"/>
  <c r="Y37" i="9"/>
  <c r="Y38" i="9" s="1"/>
  <c r="Z54" i="9"/>
  <c r="Q46" i="9"/>
  <c r="Q47" i="9"/>
  <c r="Q48" i="9"/>
  <c r="Q45" i="9"/>
  <c r="Z37" i="9"/>
  <c r="Y25" i="9"/>
  <c r="Z24" i="9"/>
  <c r="Y11" i="9"/>
  <c r="Y12" i="9" s="1"/>
  <c r="Z11" i="9"/>
  <c r="Y39" i="9" l="1"/>
  <c r="Y40" i="9" s="1"/>
  <c r="Y41" i="9" s="1"/>
  <c r="Y26" i="9"/>
  <c r="Y27" i="9" s="1"/>
  <c r="Y28" i="9" s="1"/>
  <c r="Y13" i="9"/>
  <c r="Y14" i="9" s="1"/>
  <c r="Y15" i="9" s="1"/>
  <c r="F35" i="9" l="1"/>
  <c r="F34" i="9"/>
  <c r="F22" i="9"/>
  <c r="F21" i="9"/>
  <c r="F8" i="9"/>
  <c r="F9" i="9"/>
  <c r="D17" i="1" l="1"/>
  <c r="B17" i="4"/>
  <c r="K26" i="4"/>
  <c r="K27" i="4"/>
  <c r="I27" i="46" s="1"/>
  <c r="B27" i="4"/>
  <c r="B26" i="4"/>
  <c r="B26" i="1" l="1"/>
  <c r="B26" i="46"/>
  <c r="B27" i="1"/>
  <c r="B27" i="46"/>
  <c r="N26" i="4"/>
  <c r="I26" i="46"/>
  <c r="B17" i="1"/>
  <c r="B17" i="46"/>
  <c r="P27" i="4"/>
  <c r="Q27" i="4"/>
  <c r="V19" i="4"/>
  <c r="J26" i="1"/>
  <c r="J27" i="1"/>
  <c r="E12" i="4"/>
  <c r="E12" i="46" s="1"/>
  <c r="N27" i="4" l="1"/>
  <c r="M25" i="4" s="1"/>
  <c r="B51" i="5"/>
  <c r="G66" i="4"/>
  <c r="B46" i="4" l="1"/>
  <c r="P24" i="5"/>
  <c r="D7" i="4"/>
  <c r="A7" i="4"/>
  <c r="A7" i="1" l="1"/>
  <c r="A7" i="46"/>
  <c r="D7" i="1"/>
  <c r="D7" i="46"/>
  <c r="B48" i="1"/>
  <c r="B46" i="46"/>
  <c r="E7" i="1"/>
  <c r="C42" i="5"/>
  <c r="B42" i="5"/>
  <c r="R17" i="9" l="1"/>
  <c r="R30" i="9"/>
  <c r="R4" i="9"/>
  <c r="B43" i="4" l="1"/>
  <c r="B45" i="1" l="1"/>
  <c r="B43" i="46"/>
  <c r="B44" i="4"/>
  <c r="B45" i="4"/>
  <c r="G48" i="9"/>
  <c r="I48" i="9" s="1"/>
  <c r="B47" i="1" l="1"/>
  <c r="B45" i="46"/>
  <c r="B46" i="1"/>
  <c r="B44" i="46"/>
  <c r="J48" i="9"/>
  <c r="K48" i="9"/>
  <c r="G47" i="9" l="1"/>
  <c r="I47" i="9" s="1"/>
  <c r="H25" i="1" l="1"/>
  <c r="F36" i="1"/>
  <c r="J47" i="9"/>
  <c r="K47" i="9"/>
  <c r="K50" i="9" s="1"/>
  <c r="J50" i="9" l="1"/>
  <c r="J51" i="9" s="1"/>
  <c r="J52" i="9" s="1"/>
  <c r="J53" i="9" s="1"/>
  <c r="J54" i="9" s="1"/>
  <c r="G36" i="1"/>
  <c r="E32" i="9"/>
  <c r="E19" i="9"/>
  <c r="E6" i="9"/>
  <c r="I39" i="4" l="1"/>
  <c r="J55" i="9"/>
  <c r="I35" i="4" s="1"/>
  <c r="N35" i="46" s="1"/>
  <c r="O35" i="46" s="1"/>
  <c r="J35" i="46" s="1"/>
  <c r="H26" i="1"/>
  <c r="D21" i="1"/>
  <c r="D20" i="1"/>
  <c r="D16" i="1"/>
  <c r="D15" i="1"/>
  <c r="B21" i="4"/>
  <c r="B20" i="4"/>
  <c r="B16" i="4"/>
  <c r="B15" i="4"/>
  <c r="E12" i="1"/>
  <c r="D22" i="43" s="1"/>
  <c r="D12" i="1"/>
  <c r="A12" i="1"/>
  <c r="B42" i="4"/>
  <c r="B52" i="4"/>
  <c r="B52" i="46" s="1"/>
  <c r="B60" i="4"/>
  <c r="B60" i="46" s="1"/>
  <c r="B59" i="4"/>
  <c r="B59" i="46" s="1"/>
  <c r="A59" i="4"/>
  <c r="B55" i="4"/>
  <c r="B55" i="46" s="1"/>
  <c r="A55" i="4"/>
  <c r="B49" i="4"/>
  <c r="B49" i="46" s="1"/>
  <c r="A49" i="4"/>
  <c r="B41" i="4"/>
  <c r="B41" i="46" s="1"/>
  <c r="A43" i="1"/>
  <c r="B29" i="4"/>
  <c r="B29" i="46" s="1"/>
  <c r="A29" i="4"/>
  <c r="B23" i="4"/>
  <c r="B23" i="46" s="1"/>
  <c r="B19" i="4"/>
  <c r="A23" i="4"/>
  <c r="A19" i="4"/>
  <c r="B14" i="4"/>
  <c r="A14" i="4"/>
  <c r="E21" i="1"/>
  <c r="E20" i="4"/>
  <c r="E5" i="4"/>
  <c r="E6" i="4"/>
  <c r="E9" i="4"/>
  <c r="E10" i="4"/>
  <c r="E11" i="4"/>
  <c r="E4" i="4"/>
  <c r="D5" i="4"/>
  <c r="D6" i="4"/>
  <c r="D9" i="4"/>
  <c r="D10" i="4"/>
  <c r="D11" i="4"/>
  <c r="D4" i="4"/>
  <c r="A5" i="4"/>
  <c r="A6" i="4"/>
  <c r="A9" i="4"/>
  <c r="A10" i="4"/>
  <c r="A11" i="4"/>
  <c r="A4" i="4"/>
  <c r="E11" i="1" l="1"/>
  <c r="D16" i="43" s="1"/>
  <c r="E11" i="46"/>
  <c r="A5" i="1"/>
  <c r="A5" i="46"/>
  <c r="B14" i="1"/>
  <c r="B14" i="46"/>
  <c r="B21" i="1"/>
  <c r="B21" i="46"/>
  <c r="B44" i="1"/>
  <c r="B42" i="46"/>
  <c r="D11" i="1"/>
  <c r="D11" i="46"/>
  <c r="E9" i="1"/>
  <c r="D18" i="43" s="1"/>
  <c r="E9" i="46"/>
  <c r="A23" i="1"/>
  <c r="A23" i="46"/>
  <c r="B19" i="1"/>
  <c r="B19" i="46"/>
  <c r="A56" i="1"/>
  <c r="A55" i="46"/>
  <c r="A10" i="1"/>
  <c r="A10" i="46"/>
  <c r="D6" i="1"/>
  <c r="D6" i="46"/>
  <c r="M20" i="4"/>
  <c r="E20" i="46"/>
  <c r="A30" i="1"/>
  <c r="A29" i="46"/>
  <c r="A60" i="1"/>
  <c r="A59" i="46"/>
  <c r="B15" i="1"/>
  <c r="B15" i="46"/>
  <c r="D4" i="1"/>
  <c r="D4" i="46"/>
  <c r="A19" i="1"/>
  <c r="A19" i="46"/>
  <c r="A50" i="1"/>
  <c r="A49" i="46"/>
  <c r="E10" i="1"/>
  <c r="D20" i="43" s="1"/>
  <c r="E10" i="46"/>
  <c r="A4" i="1"/>
  <c r="A4" i="46"/>
  <c r="D10" i="1"/>
  <c r="D10" i="46"/>
  <c r="E6" i="1"/>
  <c r="D10" i="43" s="1"/>
  <c r="E6" i="46"/>
  <c r="A11" i="1"/>
  <c r="A11" i="46"/>
  <c r="D9" i="1"/>
  <c r="D9" i="46"/>
  <c r="E5" i="1"/>
  <c r="D9" i="43" s="1"/>
  <c r="E5" i="46"/>
  <c r="A9" i="1"/>
  <c r="A9" i="46"/>
  <c r="D5" i="1"/>
  <c r="D5" i="46"/>
  <c r="B16" i="1"/>
  <c r="B16" i="46"/>
  <c r="A6" i="1"/>
  <c r="A6" i="46"/>
  <c r="E4" i="1"/>
  <c r="D8" i="43" s="1"/>
  <c r="E4" i="46"/>
  <c r="A14" i="1"/>
  <c r="A14" i="46"/>
  <c r="B20" i="1"/>
  <c r="B20" i="46"/>
  <c r="N41" i="1"/>
  <c r="L41" i="1" s="1"/>
  <c r="N39" i="46"/>
  <c r="J39" i="46" s="1"/>
  <c r="B57" i="43"/>
  <c r="B56" i="43" s="1"/>
  <c r="B58" i="43"/>
  <c r="O35" i="4"/>
  <c r="K35" i="4" s="1"/>
  <c r="N35" i="4" s="1"/>
  <c r="N36" i="1"/>
  <c r="O36" i="1" s="1"/>
  <c r="L36" i="1" s="1"/>
  <c r="O39" i="4"/>
  <c r="K39" i="4" s="1"/>
  <c r="B53" i="1"/>
  <c r="E20" i="1"/>
  <c r="B30" i="1"/>
  <c r="B50" i="1"/>
  <c r="B60" i="1"/>
  <c r="B61" i="1"/>
  <c r="D19" i="43" s="1"/>
  <c r="B23" i="1"/>
  <c r="B43" i="1"/>
  <c r="B56" i="1"/>
  <c r="B9" i="9"/>
  <c r="B8" i="9"/>
  <c r="B6" i="9"/>
  <c r="K15" i="9"/>
  <c r="D30" i="9"/>
  <c r="B32" i="9" s="1"/>
  <c r="A30" i="9"/>
  <c r="D17" i="9"/>
  <c r="A17" i="9"/>
  <c r="A43" i="9" s="1"/>
  <c r="E34" i="9"/>
  <c r="E21" i="9"/>
  <c r="E8" i="9"/>
  <c r="M39" i="4" l="1"/>
  <c r="B19" i="9"/>
  <c r="D43" i="9"/>
  <c r="G32" i="9"/>
  <c r="I32" i="9" s="1"/>
  <c r="J32" i="9" s="1"/>
  <c r="B34" i="9"/>
  <c r="K41" i="9"/>
  <c r="I19" i="9"/>
  <c r="J19" i="9" s="1"/>
  <c r="K28" i="9"/>
  <c r="B21" i="9"/>
  <c r="B22" i="9"/>
  <c r="B35" i="9"/>
  <c r="G6" i="9"/>
  <c r="I6" i="9" s="1"/>
  <c r="K6" i="9" s="1"/>
  <c r="A1" i="1"/>
  <c r="C39" i="4"/>
  <c r="D34" i="4"/>
  <c r="D33" i="4"/>
  <c r="D32" i="4"/>
  <c r="C32" i="4"/>
  <c r="D34" i="1" l="1"/>
  <c r="D33" i="46"/>
  <c r="D35" i="1"/>
  <c r="D34" i="46"/>
  <c r="C41" i="1"/>
  <c r="C39" i="46"/>
  <c r="C33" i="1"/>
  <c r="C32" i="46"/>
  <c r="D33" i="1"/>
  <c r="D32" i="46"/>
  <c r="K54" i="9"/>
  <c r="B45" i="9"/>
  <c r="B48" i="9"/>
  <c r="B47" i="9"/>
  <c r="K32" i="9"/>
  <c r="K19" i="9"/>
  <c r="J6" i="9"/>
  <c r="G34" i="9" l="1"/>
  <c r="I34" i="9" s="1"/>
  <c r="J34" i="9" s="1"/>
  <c r="G35" i="9"/>
  <c r="I35" i="9" s="1"/>
  <c r="J35" i="9" l="1"/>
  <c r="K35" i="9"/>
  <c r="G21" i="9"/>
  <c r="I21" i="9" s="1"/>
  <c r="G8" i="9"/>
  <c r="I8" i="9" s="1"/>
  <c r="K34" i="9"/>
  <c r="K37" i="9" l="1"/>
  <c r="J37" i="9"/>
  <c r="J38" i="9" s="1"/>
  <c r="G34" i="1"/>
  <c r="G35" i="1"/>
  <c r="J21" i="9"/>
  <c r="K21" i="9"/>
  <c r="J8" i="9"/>
  <c r="K8" i="9"/>
  <c r="J39" i="9" l="1"/>
  <c r="J40" i="9" s="1"/>
  <c r="J41" i="9" s="1"/>
  <c r="F35" i="1"/>
  <c r="J42" i="9" l="1"/>
  <c r="I34" i="4" s="1"/>
  <c r="N34" i="46" s="1"/>
  <c r="O34" i="46" s="1"/>
  <c r="J34" i="46" s="1"/>
  <c r="G22" i="9"/>
  <c r="I22" i="9" s="1"/>
  <c r="O34" i="4" l="1"/>
  <c r="K34" i="4" s="1"/>
  <c r="N34" i="4" s="1"/>
  <c r="N35" i="1"/>
  <c r="O35" i="1" s="1"/>
  <c r="L35" i="1" s="1"/>
  <c r="J22" i="9"/>
  <c r="K22" i="9"/>
  <c r="K24" i="9" s="1"/>
  <c r="J24" i="9" l="1"/>
  <c r="J25" i="9" s="1"/>
  <c r="J26" i="9" s="1"/>
  <c r="J27" i="9" s="1"/>
  <c r="J28" i="9" s="1"/>
  <c r="J29" i="9" l="1"/>
  <c r="I33" i="4" s="1"/>
  <c r="N33" i="46" s="1"/>
  <c r="O33" i="46" s="1"/>
  <c r="J33" i="46" s="1"/>
  <c r="O33" i="4" l="1"/>
  <c r="K33" i="4" s="1"/>
  <c r="N33" i="4" s="1"/>
  <c r="N34" i="1"/>
  <c r="O34" i="1" s="1"/>
  <c r="L34" i="1" s="1"/>
  <c r="F41" i="1"/>
  <c r="G41" i="1" l="1"/>
  <c r="G9" i="9"/>
  <c r="I9" i="9" s="1"/>
  <c r="K9" i="9" l="1"/>
  <c r="K11" i="9" s="1"/>
  <c r="J9" i="9"/>
  <c r="J11" i="9" l="1"/>
  <c r="J12" i="9" s="1"/>
  <c r="J13" i="9" s="1"/>
  <c r="J14" i="9" s="1"/>
  <c r="J15" i="9" l="1"/>
  <c r="J16" i="9" l="1"/>
  <c r="I32" i="4" s="1"/>
  <c r="N32" i="46" s="1"/>
  <c r="O32" i="46" s="1"/>
  <c r="J32" i="46" s="1"/>
  <c r="H27" i="1"/>
  <c r="O32" i="4" l="1"/>
  <c r="K32" i="4" s="1"/>
  <c r="N32" i="4" s="1"/>
  <c r="M32" i="4" s="1"/>
  <c r="Q35" i="4" s="1"/>
  <c r="N33" i="1"/>
  <c r="O33" i="1" s="1"/>
  <c r="L33" i="1" s="1"/>
  <c r="J66" i="4" l="1"/>
  <c r="H1" i="43" s="1"/>
  <c r="P26" i="5" l="1"/>
  <c r="E2" i="5"/>
  <c r="A2" i="4" s="1"/>
  <c r="A2" i="1" l="1"/>
  <c r="A2" i="46"/>
  <c r="B78" i="4"/>
  <c r="B81" i="4" s="1"/>
  <c r="B83" i="4" s="1"/>
  <c r="B86" i="4" s="1"/>
  <c r="B61" i="5" s="1"/>
  <c r="B56" i="4" s="1"/>
  <c r="P25" i="5"/>
  <c r="B57" i="1" l="1"/>
  <c r="B56" i="46"/>
  <c r="P2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1" authorId="0" shapeId="0" xr:uid="{982CFB13-1A7C-46FD-81F2-F92BA6D0003C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<sst xmlns="http://schemas.openxmlformats.org/spreadsheetml/2006/main" count="2748" uniqueCount="533">
  <si>
    <t>No.</t>
  </si>
  <si>
    <t>Tanggal</t>
  </si>
  <si>
    <t>Revisi</t>
  </si>
  <si>
    <t>Oleh</t>
  </si>
  <si>
    <t>Awal</t>
  </si>
  <si>
    <t>Akhir</t>
  </si>
  <si>
    <t>Belum ada NO NC</t>
  </si>
  <si>
    <t>Menambahkan rumus NO NC</t>
  </si>
  <si>
    <t>Resistansi Pembumian Protektif dapat dilepas/tdk dapat dilepas</t>
  </si>
  <si>
    <t>Resistansi Pembumian Protektif</t>
  </si>
  <si>
    <t>tidak terlink ke LHK &gt; Tidak terdapat grounding di ruangan dan Alat tidak boleh digunakan pada instalasi tanpa dilengkapi grounding</t>
  </si>
  <si>
    <t>Sudah terlink</t>
  </si>
  <si>
    <t>Hasil pengukuran kinerja waktu tertelusur ke Satuan Internasional ( SI ) melalui PPM LIPI</t>
  </si>
  <si>
    <t>Hasil pengujian kinerja waktu tertelusur ke Satuan Internasional ( SI ) melalui PPM LIPI</t>
  </si>
  <si>
    <t>Hasil pengukuran kinerja kecepatan putaran tertelusur ke Satuan Internasional ( SI ) melalui PPM LIPI</t>
  </si>
  <si>
    <t>Hasil pengujian kinerja kecepatan putaran tertelusur ke Satuan Internasional ( SI ) melalui PPM LIPI</t>
  </si>
  <si>
    <t>Alat yang dikalibrasi dalam batas toleransi dan dinyatakan LAIK PAKAI, dimana hasil atau skor akhir sama dengan atau melampaui 70% berdasarkan Keputusan Direktur Jenderal Pelayanan Kesehatan No : HK.02.02/V/0412/2020</t>
  </si>
  <si>
    <t>Alat yang diuji dalam batas toleransi dan dinyatakan LAIK PAKAI, dimana hasil atau skor akhir sama dengan atau melampaui 70% berdasarkan Keputusan Direktur Jenderal Pelayanan Kesehatan No : HK.02.02/V/0412/2020</t>
  </si>
  <si>
    <t>16 Februari 2021</t>
  </si>
  <si>
    <t>Perbaikan resistansi pembumian protektif 0.2 ohm dan 0.3 ohm</t>
  </si>
  <si>
    <t>sudah diperbaiki</t>
  </si>
  <si>
    <t>3 Mei 2021</t>
  </si>
  <si>
    <t>Update sertifikat Tachometer &amp; Stopwatch</t>
  </si>
  <si>
    <t>Done</t>
  </si>
  <si>
    <t>Arya</t>
  </si>
  <si>
    <t>14 Juli 2021</t>
  </si>
  <si>
    <t>Update sertifikat Tachometer, Stopwatch, ESA, Thermo</t>
  </si>
  <si>
    <t>19 Juli 2021</t>
  </si>
  <si>
    <t>Perbaikan rumus drift</t>
  </si>
  <si>
    <t>23 Juli 2021</t>
  </si>
  <si>
    <t>Penyederhanaan rumus NO NC</t>
  </si>
  <si>
    <t>28 Juli 2021</t>
  </si>
  <si>
    <t>Perbaikan nilai input sertifikat stopwatch</t>
  </si>
  <si>
    <t>Arya + venna</t>
  </si>
  <si>
    <t>Perbaikan interpolasi koreksi</t>
  </si>
  <si>
    <t>15 Oktober 2021</t>
  </si>
  <si>
    <t>Penambahan kolom tanggal penerimaan alat</t>
  </si>
  <si>
    <t>Penulisan tegangan beserta ktps</t>
  </si>
  <si>
    <t>Update scoring keselamatan listrik &amp; uji kinerja</t>
  </si>
  <si>
    <t>7 Januari 2022</t>
  </si>
  <si>
    <t>Perubahan drift menjadi 3 tahun</t>
  </si>
  <si>
    <t>3 Februari 2022</t>
  </si>
  <si>
    <t>perbaikan perhitungan scoring waktu</t>
  </si>
  <si>
    <t>14 Februari 2022</t>
  </si>
  <si>
    <t>Gelar Pa Huda</t>
  </si>
  <si>
    <t>Venna</t>
  </si>
  <si>
    <t>23 Maret 2022</t>
  </si>
  <si>
    <t>Perubahan satuan presisi dari rpm menjadi %</t>
  </si>
  <si>
    <t>13.7.2022</t>
  </si>
  <si>
    <t>Update sertifikat</t>
  </si>
  <si>
    <t>Lembar Kerja Kalibrasi / Pengujian Centrifuge</t>
  </si>
  <si>
    <t xml:space="preserve">Sertifikat / Surat Keterangan : 10 / ………. / ………. - ………. / E - ………..    </t>
  </si>
  <si>
    <t>Merek</t>
  </si>
  <si>
    <t xml:space="preserve">: </t>
  </si>
  <si>
    <t>Model/Tipe</t>
  </si>
  <si>
    <t>No. Seri</t>
  </si>
  <si>
    <t>Resolusi</t>
  </si>
  <si>
    <t>( Digital / Analog )</t>
  </si>
  <si>
    <t>Tanggal Penerimaan Alat</t>
  </si>
  <si>
    <t>:</t>
  </si>
  <si>
    <t>Tanggal Kalibrasi</t>
  </si>
  <si>
    <t>Tempat Kalibrasi</t>
  </si>
  <si>
    <t xml:space="preserve">Nama Ruang </t>
  </si>
  <si>
    <t xml:space="preserve">I. </t>
  </si>
  <si>
    <t>Kondisi Ruang</t>
  </si>
  <si>
    <t xml:space="preserve">1. Suhu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</si>
  <si>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</si>
  <si>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</si>
  <si>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%RH</t>
  </si>
  <si>
    <t>3. Tegangan Jala - jala</t>
  </si>
  <si>
    <t>Volt</t>
  </si>
  <si>
    <t xml:space="preserve">II.     </t>
  </si>
  <si>
    <t>Score</t>
  </si>
  <si>
    <t>1. Fisik</t>
  </si>
  <si>
    <t>: Baik / Tidak baik</t>
  </si>
  <si>
    <t>2. Fungsi</t>
  </si>
  <si>
    <t>III.</t>
  </si>
  <si>
    <t xml:space="preserve">No. </t>
  </si>
  <si>
    <t>Parameter</t>
  </si>
  <si>
    <t>Hasil Ukur</t>
  </si>
  <si>
    <t>Ambang Batas yang Diijinkan</t>
  </si>
  <si>
    <t xml:space="preserve">Resistansi isolasi </t>
  </si>
  <si>
    <t>MΩ</t>
  </si>
  <si>
    <t>&gt; 2</t>
  </si>
  <si>
    <t>Resistansi pembumian protektif (kabel dapat / tidak dapat dilepas)</t>
  </si>
  <si>
    <t>Ω</t>
  </si>
  <si>
    <t>≤ 0.2 / 0.3</t>
  </si>
  <si>
    <t>Arus bocor peralatan untuk peralatan elektromedik kelas I / II</t>
  </si>
  <si>
    <t>µA</t>
  </si>
  <si>
    <t>≤ 500 / 100</t>
  </si>
  <si>
    <t>IV.</t>
  </si>
  <si>
    <t>No</t>
  </si>
  <si>
    <t>Setting Alat</t>
  </si>
  <si>
    <t xml:space="preserve"> Pembacaan Standar</t>
  </si>
  <si>
    <t>Toleransi</t>
  </si>
  <si>
    <t>I</t>
  </si>
  <si>
    <t>II</t>
  </si>
  <si>
    <t>III</t>
  </si>
  <si>
    <t>IV</t>
  </si>
  <si>
    <t>V</t>
  </si>
  <si>
    <t>VI</t>
  </si>
  <si>
    <t>Kecepatan Putaran (RPM)</t>
  </si>
  <si>
    <t>± 10%</t>
  </si>
  <si>
    <t>Pembacaan Standar</t>
  </si>
  <si>
    <t>Waktu (s)</t>
  </si>
  <si>
    <t>V.</t>
  </si>
  <si>
    <t>Keterangan</t>
  </si>
  <si>
    <t>VI.</t>
  </si>
  <si>
    <t>Alat ukur yang digunakan</t>
  </si>
  <si>
    <t>Digital Tachometer_Merek : Compact Instrument_Model : CT6/LSR/ERP_SN : 631339 / 631340 / 631341 / 632334</t>
  </si>
  <si>
    <t>Digital Tachometer_Merek : Krisbow_Model : KW06-563_SN : 180812179 / 180812200 / 180812206</t>
  </si>
  <si>
    <t>Stopwatch_Merek : Casio_Model : HS-3_SN : 611Q02R, HS-80TW_SN : 510Q06R / 605Q11R / 510Q061R</t>
  </si>
  <si>
    <t>Stopwatch_Merek : EXTECH_Model : 365535_SN : 001380 / 001381 / 001382 / 001383 / 001384 / 001385</t>
  </si>
  <si>
    <t>Stopwatch_Merek : EXTECH_Model : 365535_SN : 001386 / 001387 / 001445 / 001449 / 001452 / 005018</t>
  </si>
  <si>
    <t>Electrical Safety Analyzer_Merek : FLUKE_Model : ESA 620_SN : 1834020 / 1837056</t>
  </si>
  <si>
    <t>Electrical Safety Analyzer_Merek : FLUKE_Model : ESA 615_SN : 2853077 / 2853078 / 3148907 / 3148908 / 3699030 / 4669058 / 4670010</t>
  </si>
  <si>
    <t>Thermohygrometer_Merek : KIMO_Model : KH-210-AO_SN : 14082463 / 15062872 / 15062873 / 15062874 / 15062875</t>
  </si>
  <si>
    <t>Thermohygrometer_Merek : SEKONIC_Model : ST-50A_SN : HE 21-000669 / HE 21-000670</t>
  </si>
  <si>
    <t>Thermohygrometer_Merek : Greisinger_Model : GFTB 200_SN : 34903046 / 34903051 / 34903053 / 34904091</t>
  </si>
  <si>
    <t>Thermohygrometer_Merek : EXTECH_Model : SD700_SN : 100586 / 100605 / 100609 / 100611 / 100615 / 100616 / 100617 / 100618</t>
  </si>
  <si>
    <t>VII.</t>
  </si>
  <si>
    <t>Kesimpulan</t>
  </si>
  <si>
    <t>LAIK / TIDAK LAIK</t>
  </si>
  <si>
    <t>VIII.</t>
  </si>
  <si>
    <t>Petugas Kalibrasi / Pengujian</t>
  </si>
  <si>
    <t>Input Data Pengujian Centrifuge</t>
  </si>
  <si>
    <t>1 / VIII - 22 / E - 008.27 DL</t>
  </si>
  <si>
    <t xml:space="preserve"> </t>
  </si>
  <si>
    <t>-</t>
  </si>
  <si>
    <t>80-1</t>
  </si>
  <si>
    <t>( Analog )</t>
  </si>
  <si>
    <t>Tanggal Pengujian</t>
  </si>
  <si>
    <t>Tempat Pengujian</t>
  </si>
  <si>
    <t>Laboratorium Kalibrasi LPFK Banjarbaru</t>
  </si>
  <si>
    <t>Nama Ruang</t>
  </si>
  <si>
    <t>Metode Kerja</t>
  </si>
  <si>
    <t>MK 016-18</t>
  </si>
  <si>
    <t>I.</t>
  </si>
  <si>
    <t>°C</t>
  </si>
  <si>
    <t>II.</t>
  </si>
  <si>
    <t>Pemeriksaan Kondisi Fisik dan Fungsi Alat</t>
  </si>
  <si>
    <t>Baik</t>
  </si>
  <si>
    <t>Pengujian Keselamatan Listrik</t>
  </si>
  <si>
    <t>OL</t>
  </si>
  <si>
    <t>Resistansi Pembumian Protektif (kabel dapat dilepas)</t>
  </si>
  <si>
    <t>G</t>
  </si>
  <si>
    <t>Arus bocor peralatan untuk peralatan elektromedik kelas I</t>
  </si>
  <si>
    <t>Kelas I</t>
  </si>
  <si>
    <t>Input NC</t>
  </si>
  <si>
    <t>Pengujian Kinerja</t>
  </si>
  <si>
    <t>Presisi</t>
  </si>
  <si>
    <t>Verifikasi</t>
  </si>
  <si>
    <t>Pembacaan standar</t>
  </si>
  <si>
    <t>Pembacaan standar + Koreksi Sertifikat</t>
  </si>
  <si>
    <t>Koreksi</t>
  </si>
  <si>
    <t>Pembacaan standar + koreksi sertifikat</t>
  </si>
  <si>
    <t>Ketidakpastian pengukuran dilaporkan pada tingkat kepercayaan 95 % dengan faktor cakupan k = 2</t>
  </si>
  <si>
    <t>Alat Ukur Yang Digunakan</t>
  </si>
  <si>
    <t>Digital Tachometer, Merek : Compact Instrument, Model : CT6/LSR/ERP, SN : 632334</t>
  </si>
  <si>
    <t>Stopwatch, Merek : Casio, Model : HS - 80TW, SN : 605Q11R</t>
  </si>
  <si>
    <t>Electrical Safety Analyzer, Merek : Fluke, Model : ESA 615, SN : 4670010</t>
  </si>
  <si>
    <t>Thermohygrobarometer, Merek : EXTECH, Model : SD700, SN : A.100615</t>
  </si>
  <si>
    <t>Petugas Pengujian</t>
  </si>
  <si>
    <t>Gusti Arya Dinata</t>
  </si>
  <si>
    <t>IX.</t>
  </si>
  <si>
    <t>Tanggal Pembuatan Laporan</t>
  </si>
  <si>
    <t>7/8/2022</t>
  </si>
  <si>
    <t>Choirul Huda</t>
  </si>
  <si>
    <t>Donny Martha</t>
  </si>
  <si>
    <t>Rangga Setya Hantoko</t>
  </si>
  <si>
    <t>Hary Ernanto</t>
  </si>
  <si>
    <t>Isra Mahensa</t>
  </si>
  <si>
    <t>Muhammad Zaenuri Sugiasmoro</t>
  </si>
  <si>
    <t>Hamdan Syarif</t>
  </si>
  <si>
    <t>Muhammad Irfan Husnuzhzhan</t>
  </si>
  <si>
    <t>Venna Filosofia</t>
  </si>
  <si>
    <t>Fatimah Novrianisa</t>
  </si>
  <si>
    <t>Septia Khairunnisa</t>
  </si>
  <si>
    <t>Dewi Nofitasari</t>
  </si>
  <si>
    <t>Sholihatussa"diah</t>
  </si>
  <si>
    <t>Siti Fathul Jannah</t>
  </si>
  <si>
    <t>Taufik Priawan</t>
  </si>
  <si>
    <t>Muhammad Iqbal Saiful Rahman</t>
  </si>
  <si>
    <t>Alpian Hadi</t>
  </si>
  <si>
    <t>Wardimanul Abrar</t>
  </si>
  <si>
    <t>Ryan Rama Chaesar R.</t>
  </si>
  <si>
    <t>Azhar Alamsyah</t>
  </si>
  <si>
    <t>Vikki Akhsanudin N.</t>
  </si>
  <si>
    <t>Muhammad Ihsan Ilyas</t>
  </si>
  <si>
    <t>Yurdha Algifari</t>
  </si>
  <si>
    <t>UNCERTAINTY BUDGET</t>
  </si>
  <si>
    <t>Kecepatan</t>
  </si>
  <si>
    <t>RPM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</si>
  <si>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</si>
  <si>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</si>
  <si>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</si>
  <si>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</si>
  <si>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</si>
  <si>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</si>
  <si>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</si>
  <si>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</si>
  <si>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</si>
  <si>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</si>
  <si>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</si>
  <si>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</si>
  <si>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(uici)^2</t>
  </si>
  <si>
    <t>(uici)^4/vi</t>
  </si>
  <si>
    <t xml:space="preserve">1. Repeatability </t>
  </si>
  <si>
    <t>normal</t>
  </si>
  <si>
    <t>2. Daya baca UUT</t>
  </si>
  <si>
    <t>rect.</t>
  </si>
  <si>
    <t xml:space="preserve">3. Drift standar </t>
  </si>
  <si>
    <t>4. Sertifikat Standar</t>
  </si>
  <si>
    <t>5. Daya baca alat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</si>
  <si>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</si>
  <si>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</si>
  <si>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</si>
  <si>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</si>
  <si>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</si>
  <si>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</si>
  <si>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</si>
  <si>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</si>
  <si>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</si>
  <si>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%</t>
  </si>
  <si>
    <t>CMC LAB =</t>
  </si>
  <si>
    <t xml:space="preserve">2. Drift standar </t>
  </si>
  <si>
    <t>3. Sertifikat Standar</t>
  </si>
  <si>
    <t>s</t>
  </si>
  <si>
    <t>Hasil Pengujian Centrifuge</t>
  </si>
  <si>
    <t>( Digital )</t>
  </si>
  <si>
    <t xml:space="preserve">    </t>
  </si>
  <si>
    <t>Score (%)</t>
  </si>
  <si>
    <t>Terkoreksi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</si>
  <si>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</si>
  <si>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</si>
  <si>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</si>
  <si>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</si>
  <si>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</si>
  <si>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</si>
  <si>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</si>
  <si>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NG</t>
  </si>
  <si>
    <t>Arus bocor peralatan untuk peralatan elektromedik kelas II</t>
  </si>
  <si>
    <t>Ketidakpastian Pengukuran</t>
  </si>
  <si>
    <t>[ |C|+|U| ] (%)</t>
  </si>
  <si>
    <t>KTPS
(RPM)</t>
  </si>
  <si>
    <t>Score Pengujian Kinerja</t>
  </si>
  <si>
    <t>(RPM)</t>
  </si>
  <si>
    <t>(%)</t>
  </si>
  <si>
    <t>(s)</t>
  </si>
  <si>
    <t>Nama</t>
  </si>
  <si>
    <t>Paraf</t>
  </si>
  <si>
    <t>Score Total</t>
  </si>
  <si>
    <t>Penyelia  :</t>
  </si>
  <si>
    <t>Tidak Baik</t>
  </si>
  <si>
    <t>Nomor Sertifikat : 10 /</t>
  </si>
  <si>
    <t>Nomor Surat Keterangan : 10 / M -</t>
  </si>
  <si>
    <t>Alat yang diuji melebihi batas toleransi dan dinyatakan TIDAK LAIK PAKAI, dimana hasil atau skor akhir dibawah 70% berdasarkan Keputusan Direktur Jenderal Pelayanan Kesehatan No : HK.02.02/V/0412/2020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</si>
  <si>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</si>
  <si>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</si>
  <si>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</si>
  <si>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</si>
  <si>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Dany Firmanto</t>
  </si>
  <si>
    <t>Supriyanto</t>
  </si>
  <si>
    <t>Rangga Setyo Hantoko</t>
  </si>
  <si>
    <t xml:space="preserve">Dibuat : 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</si>
  <si>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</si>
  <si>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</si>
  <si>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</si>
  <si>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</si>
  <si>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</si>
  <si>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</si>
  <si>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</si>
  <si>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</si>
  <si>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</si>
  <si>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</si>
  <si>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</si>
  <si>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Konversi TEXT</t>
  </si>
  <si>
    <t xml:space="preserve"> °C</t>
  </si>
  <si>
    <t xml:space="preserve"> Volt</t>
  </si>
  <si>
    <t xml:space="preserve"> %RH</t>
  </si>
  <si>
    <t xml:space="preserve">( </t>
  </si>
  <si>
    <t xml:space="preserve"> ± </t>
  </si>
  <si>
    <t xml:space="preserve"> )</t>
  </si>
  <si>
    <t>± 10 %</t>
  </si>
  <si>
    <t>Menyetujui,</t>
  </si>
  <si>
    <t>Kepala Instalasi Laboratorium</t>
  </si>
  <si>
    <t>Pengujian dan Kalibrasi</t>
  </si>
  <si>
    <t>Choirul Huda, S.Tr. Kes</t>
  </si>
  <si>
    <t>Farid Wajidi, SKM</t>
  </si>
  <si>
    <t>NIP 196712101990031012</t>
  </si>
  <si>
    <t>NIP 198008062010121001</t>
  </si>
  <si>
    <t>Halaman 2 dari 2 halaman</t>
  </si>
  <si>
    <t>INPUT SERTIFIKAT TACHOMETER</t>
  </si>
  <si>
    <t>1. SN. 631339</t>
  </si>
  <si>
    <t>DRIFT</t>
  </si>
  <si>
    <t>U95 STD</t>
  </si>
  <si>
    <t>2. SN. 631340</t>
  </si>
  <si>
    <t>3. SN. 631341</t>
  </si>
  <si>
    <t>Tahun</t>
  </si>
  <si>
    <t>rpm</t>
  </si>
  <si>
    <t>4. SN. 632334</t>
  </si>
  <si>
    <t>5. SN. 180812179</t>
  </si>
  <si>
    <t>6. SN. 180812200</t>
  </si>
  <si>
    <t>7. SN. 180812206</t>
  </si>
  <si>
    <t xml:space="preserve">8. SN. </t>
  </si>
  <si>
    <t xml:space="preserve">9. SN. </t>
  </si>
  <si>
    <t xml:space="preserve">10. SN. </t>
  </si>
  <si>
    <t xml:space="preserve">11. SN. </t>
  </si>
  <si>
    <t>No Urut Titik Ukur</t>
  </si>
  <si>
    <t>U95    STD</t>
  </si>
  <si>
    <t>IX</t>
  </si>
  <si>
    <t>X</t>
  </si>
  <si>
    <t>XI</t>
  </si>
  <si>
    <t>XII</t>
  </si>
  <si>
    <t>XIII</t>
  </si>
  <si>
    <t>XIV</t>
  </si>
  <si>
    <t>VII</t>
  </si>
  <si>
    <t>XV</t>
  </si>
  <si>
    <t>XVI</t>
  </si>
  <si>
    <t>VIII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</si>
  <si>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</si>
  <si>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KOREKSI</t>
  </si>
  <si>
    <t>1 Tahun</t>
  </si>
  <si>
    <t>INTERPOLASI KOREKSI</t>
  </si>
  <si>
    <t>INTERPOLASI DRIFT</t>
  </si>
  <si>
    <t>Rata-rata standar</t>
  </si>
  <si>
    <t>Interpolasi Koreksi</t>
  </si>
  <si>
    <t>Rata-rata Terkoreksi</t>
  </si>
  <si>
    <t>STDEV</t>
  </si>
  <si>
    <t>Kesalahan</t>
  </si>
  <si>
    <t>Kesalahan Relatif (%)</t>
  </si>
  <si>
    <t>Koreksi (%)</t>
  </si>
  <si>
    <t>Interpolasi U95</t>
  </si>
  <si>
    <t>Daya Baca UUT</t>
  </si>
  <si>
    <t>Interpolasi Drift</t>
  </si>
  <si>
    <t>Tahun Kalibrasi</t>
  </si>
  <si>
    <t>Resolusi Alat Standar</t>
  </si>
  <si>
    <t>Digital Tachometer, Merek : Compact Instrument, Model : CT6/LSR/ERP, SN : 631339</t>
  </si>
  <si>
    <t>Hasil kalibrasi kecepatan tertelusur ke Satuan Internasional ( SI ) melalui PT KALIMAN</t>
  </si>
  <si>
    <t>Digital Tachometer, Merek : Compact Instrument, Model : CT6/LSR/ERP, SN : 631340</t>
  </si>
  <si>
    <t>Digital Tachometer, Merek : Compact Instrument, Model : CT6/LSR/ERP, SN : 631341</t>
  </si>
  <si>
    <t>Digital Tachometer, Merek : Krisbow, Model : KW06-563, SN : 180812179</t>
  </si>
  <si>
    <t>Digital Tachometer, Merek : Krisbow, Model : KW06-563, SN : 180812200</t>
  </si>
  <si>
    <t>Digital Tachometer, Merek : Krisbow, Model : KW06-563, SN : 180812206</t>
  </si>
  <si>
    <t>Digital Tachometer, Merek :</t>
  </si>
  <si>
    <t>Hasil kalibrasi kecepatan tertelusur ke Satuan Internasional ( SI ) melalui PPM LIPI</t>
  </si>
  <si>
    <t>INPUT SERTIFIKAT STOPWATCH</t>
  </si>
  <si>
    <t>1. SN. 611Q02R</t>
  </si>
  <si>
    <t>2. SN. 510Q06R</t>
  </si>
  <si>
    <t>3. SN. 605Q11R</t>
  </si>
  <si>
    <t>Timer</t>
  </si>
  <si>
    <t xml:space="preserve">4. SN. 510Q061R </t>
  </si>
  <si>
    <t>5 SN. 001380</t>
  </si>
  <si>
    <t>6 SN. 001381</t>
  </si>
  <si>
    <t>7. SN. 001382</t>
  </si>
  <si>
    <t>8. SN. 001383</t>
  </si>
  <si>
    <t>9. SN. 001384</t>
  </si>
  <si>
    <t>10. SN. 001385</t>
  </si>
  <si>
    <t>11 SN. 001386</t>
  </si>
  <si>
    <t>12 SN. 001387</t>
  </si>
  <si>
    <t>13. SN. 001445</t>
  </si>
  <si>
    <t>14. SN. 001449</t>
  </si>
  <si>
    <t>15. SN. 001452</t>
  </si>
  <si>
    <t>16. SN. 005018</t>
  </si>
  <si>
    <t>Waktu</t>
  </si>
  <si>
    <t>Koreksi Relatif (%)</t>
  </si>
  <si>
    <t>Hasil pengukuran akurasi waktu tertelusur ke Satuan Internasional ( SI ) melalui PT KALIMAN</t>
  </si>
  <si>
    <t>Stopwatch, Merek : EXTECH, Model : 365535, SN :001380</t>
  </si>
  <si>
    <t>Stopwatch, Merek : EXTECH, Model : 365535, SN :001381</t>
  </si>
  <si>
    <t>Stopwatch, Merek : EXTECH, Model : 365535, SN :001382</t>
  </si>
  <si>
    <t>Stopwatch, Merek : EXTECH, Model : 365535, SN :001383</t>
  </si>
  <si>
    <t>Stopwatch, Merek : EXTECH, Model : 365535, SN :001384</t>
  </si>
  <si>
    <t>Stopwatch, Merek : EXTECH, Model : 365535, SN :001385</t>
  </si>
  <si>
    <t>Stopwatch, Merek : EXTECH, Model : 365535, SN :001386</t>
  </si>
  <si>
    <t>Stopwatch, Merek : EXTECH, Model : 365535, SN :001387</t>
  </si>
  <si>
    <t>Stopwatch, Merek : EXTECH, Model : 365535, SN :001445</t>
  </si>
  <si>
    <t>Stopwatch, Merek : EXTECH, Model : 365535, SN :001449</t>
  </si>
  <si>
    <t>Stopwatch, Merek : EXTECH, Model : 365535, SN :001452</t>
  </si>
  <si>
    <t>Stopwatch, Merek : EXTECH, Model : 365535, SN :005018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</si>
  <si>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</si>
  <si>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</si>
  <si>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</si>
  <si>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</si>
  <si>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</si>
  <si>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</si>
  <si>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</si>
  <si>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</si>
  <si>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</si>
  <si>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</si>
  <si>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U95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</si>
  <si>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</si>
  <si>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</si>
  <si>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</si>
  <si>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</si>
  <si>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</si>
  <si>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</si>
  <si>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</si>
  <si>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</si>
  <si>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</si>
  <si>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</si>
  <si>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</si>
  <si>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</si>
  <si>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</si>
  <si>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</si>
  <si>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</si>
  <si>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</si>
  <si>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</si>
  <si>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</si>
  <si>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</si>
  <si>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</si>
  <si>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</si>
  <si>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</si>
  <si>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</si>
  <si>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</si>
  <si>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</si>
  <si>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</si>
  <si>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</si>
  <si>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</si>
  <si>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</si>
  <si>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</si>
  <si>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>NC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</si>
  <si>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</si>
  <si>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</si>
  <si>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</si>
  <si>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</si>
  <si>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</si>
  <si>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</si>
  <si>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</si>
  <si>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</si>
  <si>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</si>
  <si>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</si>
  <si>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</si>
  <si>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</si>
  <si>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</si>
  <si>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</si>
  <si>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</si>
  <si>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</si>
  <si>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</si>
  <si>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</si>
  <si>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</si>
  <si>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</si>
  <si>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</si>
  <si>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</si>
  <si>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</si>
  <si>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</si>
  <si>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</si>
  <si>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</si>
  <si>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</si>
  <si>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</si>
  <si>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</si>
  <si>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</si>
  <si>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</si>
  <si>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</si>
  <si>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</si>
  <si>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</si>
  <si>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</si>
  <si>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</si>
  <si>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</si>
  <si>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</si>
  <si>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</si>
  <si>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</si>
  <si>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HASIL</t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</si>
  <si>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</si>
  <si>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</si>
  <si>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</si>
  <si>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</si>
  <si>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</si>
  <si>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</si>
  <si>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</si>
  <si>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</si>
  <si>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</si>
  <si>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</si>
  <si>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</si>
  <si>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</si>
  <si>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</si>
  <si>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</si>
  <si>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</si>
  <si>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</si>
  <si>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</si>
  <si>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</si>
  <si>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</si>
  <si>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</si>
  <si>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</si>
  <si>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</si>
  <si>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17. SN. 207Q01R</t>
  </si>
  <si>
    <t>Stopwatch, Merek : Casio, Model : HS - 3, SN : 611Q02R</t>
  </si>
  <si>
    <t>Stopwatch, Merek : Casio, Model : HS - 80TW, SN : 510Q06R</t>
  </si>
  <si>
    <t>Stopwatch, Merek : Casio, Model : HS - 80TW, SN :510Q061R</t>
  </si>
  <si>
    <t>Stopwatch, Merek : Casio, Model : HS - 80TW, SN : 207Q01RR</t>
  </si>
  <si>
    <t>31.5.2023</t>
  </si>
  <si>
    <t>Rumus 2 AP di LHK dan penambahan keterangan rentang ukur di LK</t>
  </si>
  <si>
    <t>Rev 15 : 31.5.2023</t>
  </si>
  <si>
    <t>(Rentang Ukur Akreditasi : 300 - 600 s)</t>
  </si>
  <si>
    <t>(Rentang Ukur Akreditasi : 1000 RPM - 13000 RPM)</t>
  </si>
  <si>
    <t xml:space="preserve">                                                                 </t>
  </si>
  <si>
    <t>WF.016-18</t>
  </si>
  <si>
    <t xml:space="preserve">Nama Alat            : </t>
  </si>
  <si>
    <t>Centrifuge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</si>
  <si>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</si>
  <si>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</si>
  <si>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</si>
  <si>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</si>
  <si>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</si>
  <si>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</si>
  <si>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</si>
  <si>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</si>
  <si>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</si>
  <si>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</si>
  <si>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</si>
  <si>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</si>
  <si>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</si>
  <si>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</si>
  <si>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</si>
  <si>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</si>
  <si>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</si>
  <si>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</si>
  <si>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</si>
  <si>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</si>
  <si>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</si>
  <si>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</si>
  <si>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</si>
  <si>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</si>
  <si>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</si>
  <si>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</si>
  <si>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</si>
  <si>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 xml:space="preserve"> ±</t>
  </si>
  <si>
    <t>Resistansi pembumian protektif</t>
  </si>
  <si>
    <t>U91</t>
  </si>
  <si>
    <t>U92</t>
  </si>
  <si>
    <t>U93</t>
  </si>
  <si>
    <t>U94</t>
  </si>
  <si>
    <t>2 Agustus 2022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</si>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</sst>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.000"/>
    <numFmt numFmtId="165" formatCode="0.0000"/>
    <numFmt numFmtId="166" formatCode="0.0"/>
    <numFmt numFmtId="167" formatCode="0.000\ \Ω"/>
    <numFmt numFmtId="168" formatCode="0.0\ \µ\A"/>
    <numFmt numFmtId="169" formatCode="\≤\ 0.0\ \Ω"/>
    <numFmt numFmtId="170" formatCode="\≤\ 0\ \µ\A"/>
    <numFmt numFmtId="171" formatCode="0.0\ &quot;Volt&quot;"/>
    <numFmt numFmtId="172" formatCode="0.0\ &quot;MΩ&quot;"/>
    <numFmt numFmtId="173" formatCode="[$-421]dd\ mmmm\ yyyy;@"/>
    <numFmt numFmtId="174" formatCode="0.00\ &quot;%&quot;"/>
    <numFmt numFmtId="175" formatCode="0\ &quot;RPM&quot;"/>
    <numFmt numFmtId="176" formatCode="0&quot;%&quot;"/>
    <numFmt numFmtId="177" formatCode="\&gt;\ 0\ &quot;MΩ&quot;"/>
    <numFmt numFmtId="178" formatCode="\±\ 0&quot;%&quot;"/>
    <numFmt numFmtId="179" formatCode="\±\ 0.00"/>
    <numFmt numFmtId="180" formatCode="\≤\ 0\ \Ω"/>
    <numFmt numFmtId="181" formatCode="0.00&quot;%&quot;"/>
    <numFmt numFmtId="182" formatCode="0\ &quot;BPM&quot;"/>
    <numFmt numFmtId="183" formatCode="[$-C09]d\ mmmm\ yyyy;@"/>
  </numFmts>
  <fonts count="8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b/>
      <sz val="8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sz val="12"/>
      <name val="Calibri"/>
      <family val="2"/>
    </font>
    <font>
      <b/>
      <i/>
      <sz val="10"/>
      <name val="Arial"/>
      <family val="2"/>
    </font>
    <font>
      <b/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b/>
      <sz val="14"/>
      <name val="Times New Roman"/>
      <family val="1"/>
    </font>
    <font>
      <sz val="48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theme="0" tint="-0.249977111117893"/>
      <name val="Arial"/>
      <family val="2"/>
    </font>
    <font>
      <b/>
      <i/>
      <sz val="1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i/>
      <sz val="12"/>
      <name val="Arial"/>
      <family val="2"/>
    </font>
    <font>
      <b/>
      <i/>
      <vertAlign val="superscript"/>
      <sz val="11"/>
      <name val="Calibri"/>
      <family val="2"/>
      <scheme val="minor"/>
    </font>
    <font>
      <sz val="11"/>
      <color theme="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8"/>
      <color theme="0"/>
      <name val="Times New Roman"/>
      <family val="1"/>
    </font>
    <font>
      <sz val="8"/>
      <name val="Calibri"/>
      <family val="2"/>
      <scheme val="minor"/>
    </font>
    <font>
      <b/>
      <i/>
      <sz val="11"/>
      <name val="Arial"/>
      <family val="2"/>
    </font>
    <font>
      <b/>
      <sz val="12"/>
      <name val="Times New Roman"/>
      <family val="1"/>
    </font>
    <font>
      <sz val="48"/>
      <name val="Times New Roman"/>
      <family val="1"/>
    </font>
    <font>
      <sz val="8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sz val="9"/>
      <name val="Arial"/>
      <family val="2"/>
    </font>
    <font>
      <sz val="10"/>
      <color theme="0"/>
      <name val="Arial"/>
      <family val="2"/>
    </font>
    <font>
      <b/>
      <sz val="18"/>
      <name val="Arial"/>
      <family val="2"/>
    </font>
    <font>
      <sz val="10"/>
      <color theme="0" tint="-0.249977111117893"/>
      <name val="Arial"/>
      <family val="2"/>
    </font>
    <font>
      <sz val="14"/>
      <name val="Arial"/>
      <family val="2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Arial"/>
      <family val="2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1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auto="1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04">
    <xf numFmtId="0" fontId="0" fillId="0" borderId="0" xfId="0"/>
    <xf numFmtId="0" fontId="1" fillId="0" borderId="0" xfId="0" applyFont="1"/>
    <xf numFmtId="0" fontId="0" fillId="2" borderId="0" xfId="0" applyFill="1"/>
    <xf numFmtId="2" fontId="16" fillId="2" borderId="44" xfId="0" applyNumberFormat="1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/>
    </xf>
    <xf numFmtId="0" fontId="1" fillId="0" borderId="51" xfId="0" applyFont="1" applyBorder="1"/>
    <xf numFmtId="0" fontId="1" fillId="0" borderId="50" xfId="0" applyFont="1" applyBorder="1"/>
    <xf numFmtId="2" fontId="1" fillId="2" borderId="38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8" fillId="0" borderId="0" xfId="0" applyFont="1"/>
    <xf numFmtId="164" fontId="27" fillId="0" borderId="0" xfId="0" applyNumberFormat="1" applyFont="1"/>
    <xf numFmtId="0" fontId="27" fillId="0" borderId="2" xfId="0" applyFont="1" applyBorder="1" applyAlignment="1">
      <alignment horizontal="left"/>
    </xf>
    <xf numFmtId="0" fontId="27" fillId="0" borderId="2" xfId="0" applyFont="1" applyBorder="1"/>
    <xf numFmtId="0" fontId="27" fillId="0" borderId="5" xfId="0" applyFont="1" applyBorder="1" applyAlignment="1">
      <alignment horizontal="left"/>
    </xf>
    <xf numFmtId="0" fontId="27" fillId="0" borderId="5" xfId="0" applyFont="1" applyBorder="1"/>
    <xf numFmtId="0" fontId="27" fillId="0" borderId="0" xfId="0" applyFont="1" applyAlignment="1">
      <alignment horizontal="left"/>
    </xf>
    <xf numFmtId="0" fontId="28" fillId="0" borderId="15" xfId="0" applyFont="1" applyBorder="1" applyAlignment="1">
      <alignment horizontal="center" vertical="center"/>
    </xf>
    <xf numFmtId="0" fontId="27" fillId="0" borderId="15" xfId="0" applyFont="1" applyBorder="1"/>
    <xf numFmtId="0" fontId="27" fillId="0" borderId="0" xfId="0" applyFont="1" applyAlignment="1">
      <alignment horizontal="left" vertical="center"/>
    </xf>
    <xf numFmtId="0" fontId="27" fillId="0" borderId="0" xfId="0" quotePrefix="1" applyFont="1" applyAlignment="1">
      <alignment horizontal="left"/>
    </xf>
    <xf numFmtId="0" fontId="27" fillId="0" borderId="21" xfId="0" applyFont="1" applyBorder="1"/>
    <xf numFmtId="0" fontId="29" fillId="0" borderId="0" xfId="0" quotePrefix="1" applyFont="1" applyAlignment="1">
      <alignment horizontal="left"/>
    </xf>
    <xf numFmtId="0" fontId="30" fillId="0" borderId="0" xfId="0" applyFont="1" applyAlignment="1">
      <alignment horizontal="center" vertical="center" wrapText="1"/>
    </xf>
    <xf numFmtId="0" fontId="28" fillId="2" borderId="0" xfId="0" applyFont="1" applyFill="1" applyAlignment="1">
      <alignment vertical="center" wrapText="1"/>
    </xf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2" fontId="27" fillId="0" borderId="0" xfId="0" applyNumberFormat="1" applyFont="1" applyAlignment="1">
      <alignment horizontal="center"/>
    </xf>
    <xf numFmtId="0" fontId="32" fillId="0" borderId="0" xfId="0" quotePrefix="1" applyFont="1" applyAlignment="1">
      <alignment horizontal="right"/>
    </xf>
    <xf numFmtId="2" fontId="27" fillId="0" borderId="0" xfId="0" applyNumberFormat="1" applyFont="1" applyAlignment="1">
      <alignment horizontal="left"/>
    </xf>
    <xf numFmtId="0" fontId="27" fillId="0" borderId="3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9" fontId="32" fillId="0" borderId="0" xfId="0" quotePrefix="1" applyNumberFormat="1" applyFont="1" applyAlignment="1">
      <alignment horizontal="center" vertical="center" wrapText="1"/>
    </xf>
    <xf numFmtId="0" fontId="31" fillId="0" borderId="0" xfId="0" applyFont="1" applyAlignment="1">
      <alignment horizontal="left"/>
    </xf>
    <xf numFmtId="0" fontId="27" fillId="0" borderId="0" xfId="0" applyFont="1" applyAlignment="1">
      <alignment horizontal="center" vertical="center" wrapText="1"/>
    </xf>
    <xf numFmtId="164" fontId="27" fillId="0" borderId="0" xfId="0" applyNumberFormat="1" applyFont="1" applyAlignment="1">
      <alignment horizontal="center"/>
    </xf>
    <xf numFmtId="164" fontId="27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horizontal="left"/>
    </xf>
    <xf numFmtId="0" fontId="28" fillId="0" borderId="0" xfId="0" quotePrefix="1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164" fontId="33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0" fontId="32" fillId="0" borderId="0" xfId="0" quotePrefix="1" applyFont="1"/>
    <xf numFmtId="0" fontId="30" fillId="2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vertical="center" wrapText="1"/>
    </xf>
    <xf numFmtId="0" fontId="27" fillId="0" borderId="2" xfId="0" applyFont="1" applyBorder="1" applyAlignment="1">
      <alignment horizontal="left" vertical="center"/>
    </xf>
    <xf numFmtId="0" fontId="28" fillId="0" borderId="15" xfId="0" applyFont="1" applyBorder="1" applyAlignment="1">
      <alignment horizontal="left" vertical="center"/>
    </xf>
    <xf numFmtId="0" fontId="27" fillId="0" borderId="0" xfId="0" applyFont="1" applyAlignment="1" applyProtection="1">
      <alignment vertical="center"/>
      <protection locked="0"/>
    </xf>
    <xf numFmtId="0" fontId="27" fillId="2" borderId="0" xfId="0" applyFont="1" applyFill="1" applyProtection="1">
      <protection hidden="1"/>
    </xf>
    <xf numFmtId="0" fontId="30" fillId="0" borderId="0" xfId="0" applyFont="1" applyAlignment="1">
      <alignment vertical="center" wrapText="1"/>
    </xf>
    <xf numFmtId="0" fontId="32" fillId="0" borderId="0" xfId="0" applyFont="1"/>
    <xf numFmtId="9" fontId="32" fillId="0" borderId="15" xfId="0" quotePrefix="1" applyNumberFormat="1" applyFont="1" applyBorder="1" applyAlignment="1">
      <alignment vertical="center" wrapText="1"/>
    </xf>
    <xf numFmtId="0" fontId="27" fillId="0" borderId="76" xfId="0" applyFont="1" applyBorder="1" applyAlignment="1">
      <alignment horizontal="center" vertical="center" wrapText="1"/>
    </xf>
    <xf numFmtId="0" fontId="20" fillId="0" borderId="0" xfId="0" applyFont="1" applyAlignment="1" applyProtection="1">
      <alignment vertical="center"/>
      <protection locked="0"/>
    </xf>
    <xf numFmtId="0" fontId="25" fillId="2" borderId="0" xfId="0" applyFont="1" applyFill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28" fillId="0" borderId="0" xfId="3" applyFont="1" applyAlignment="1" applyProtection="1">
      <alignment horizontal="center" vertical="center" wrapText="1"/>
      <protection locked="0"/>
    </xf>
    <xf numFmtId="0" fontId="28" fillId="0" borderId="0" xfId="3" applyFont="1" applyAlignment="1" applyProtection="1">
      <alignment vertical="center"/>
      <protection locked="0"/>
    </xf>
    <xf numFmtId="0" fontId="28" fillId="0" borderId="0" xfId="3" applyFont="1" applyAlignment="1" applyProtection="1">
      <alignment horizontal="center" vertical="center"/>
      <protection locked="0"/>
    </xf>
    <xf numFmtId="166" fontId="27" fillId="0" borderId="0" xfId="3" applyNumberFormat="1" applyFont="1" applyAlignment="1" applyProtection="1">
      <alignment horizontal="left" vertical="center"/>
      <protection locked="0"/>
    </xf>
    <xf numFmtId="2" fontId="27" fillId="0" borderId="0" xfId="3" applyNumberFormat="1" applyFont="1" applyAlignment="1" applyProtection="1">
      <alignment horizontal="center" vertical="center"/>
      <protection locked="0"/>
    </xf>
    <xf numFmtId="166" fontId="27" fillId="2" borderId="0" xfId="3" applyNumberFormat="1" applyFont="1" applyFill="1" applyAlignment="1" applyProtection="1">
      <alignment horizontal="left" vertical="center"/>
      <protection locked="0"/>
    </xf>
    <xf numFmtId="0" fontId="27" fillId="0" borderId="0" xfId="0" quotePrefix="1" applyFont="1" applyAlignment="1" applyProtection="1">
      <alignment horizontal="left" vertical="center"/>
      <protection locked="0"/>
    </xf>
    <xf numFmtId="0" fontId="29" fillId="0" borderId="0" xfId="0" quotePrefix="1" applyFont="1" applyAlignment="1" applyProtection="1">
      <alignment horizontal="left" vertical="center"/>
      <protection locked="0"/>
    </xf>
    <xf numFmtId="0" fontId="30" fillId="0" borderId="0" xfId="0" applyFont="1" applyAlignment="1" applyProtection="1">
      <alignment vertical="center" wrapText="1"/>
      <protection locked="0"/>
    </xf>
    <xf numFmtId="0" fontId="28" fillId="0" borderId="15" xfId="0" applyFont="1" applyBorder="1" applyAlignment="1" applyProtection="1">
      <alignment horizontal="center" vertical="center" wrapText="1"/>
      <protection locked="0"/>
    </xf>
    <xf numFmtId="0" fontId="28" fillId="2" borderId="0" xfId="0" applyFont="1" applyFill="1" applyAlignment="1" applyProtection="1">
      <alignment vertical="center" wrapText="1"/>
      <protection locked="0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7" fillId="6" borderId="14" xfId="0" applyFont="1" applyFill="1" applyBorder="1" applyAlignment="1" applyProtection="1">
      <alignment horizontal="left" vertical="center" wrapText="1"/>
      <protection locked="0"/>
    </xf>
    <xf numFmtId="0" fontId="27" fillId="0" borderId="0" xfId="0" applyFont="1" applyAlignment="1" applyProtection="1">
      <alignment vertical="center" wrapText="1"/>
      <protection locked="0"/>
    </xf>
    <xf numFmtId="0" fontId="27" fillId="6" borderId="10" xfId="0" applyFont="1" applyFill="1" applyBorder="1" applyAlignment="1" applyProtection="1">
      <alignment horizontal="left" vertical="center"/>
      <protection locked="0"/>
    </xf>
    <xf numFmtId="0" fontId="28" fillId="0" borderId="16" xfId="0" applyFont="1" applyBorder="1" applyAlignment="1" applyProtection="1">
      <alignment horizontal="center" vertical="center"/>
      <protection locked="0"/>
    </xf>
    <xf numFmtId="0" fontId="28" fillId="0" borderId="13" xfId="0" applyFont="1" applyBorder="1" applyAlignment="1" applyProtection="1">
      <alignment horizontal="center" vertical="center"/>
      <protection locked="0"/>
    </xf>
    <xf numFmtId="1" fontId="27" fillId="0" borderId="1" xfId="0" applyNumberFormat="1" applyFont="1" applyBorder="1" applyAlignment="1" applyProtection="1">
      <alignment horizontal="center" vertical="center" wrapText="1"/>
      <protection locked="0"/>
    </xf>
    <xf numFmtId="2" fontId="27" fillId="0" borderId="1" xfId="0" applyNumberFormat="1" applyFont="1" applyBorder="1" applyAlignment="1" applyProtection="1">
      <alignment horizontal="center" vertical="center"/>
      <protection locked="0"/>
    </xf>
    <xf numFmtId="2" fontId="27" fillId="0" borderId="0" xfId="0" applyNumberFormat="1" applyFont="1" applyAlignment="1" applyProtection="1">
      <alignment horizontal="center" vertical="center"/>
      <protection locked="0"/>
    </xf>
    <xf numFmtId="0" fontId="31" fillId="0" borderId="1" xfId="0" applyFont="1" applyBorder="1" applyAlignment="1" applyProtection="1">
      <alignment horizontal="left" vertical="center"/>
      <protection locked="0"/>
    </xf>
    <xf numFmtId="0" fontId="27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horizontal="center" vertical="center"/>
      <protection locked="0"/>
    </xf>
    <xf numFmtId="164" fontId="27" fillId="0" borderId="0" xfId="1" applyNumberFormat="1" applyFont="1" applyAlignment="1" applyProtection="1">
      <alignment horizontal="center" vertical="center"/>
      <protection locked="0"/>
    </xf>
    <xf numFmtId="0" fontId="28" fillId="0" borderId="0" xfId="0" quotePrefix="1" applyFont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30" fillId="2" borderId="0" xfId="0" applyFont="1" applyFill="1" applyAlignment="1" applyProtection="1">
      <alignment vertical="center" wrapText="1"/>
      <protection locked="0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2" borderId="0" xfId="0" applyFont="1" applyFill="1" applyAlignment="1" applyProtection="1">
      <alignment horizontal="center" vertical="center" wrapText="1"/>
      <protection locked="0"/>
    </xf>
    <xf numFmtId="0" fontId="28" fillId="0" borderId="0" xfId="0" quotePrefix="1" applyFont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right" vertical="center"/>
      <protection locked="0"/>
    </xf>
    <xf numFmtId="0" fontId="27" fillId="6" borderId="79" xfId="0" applyFont="1" applyFill="1" applyBorder="1" applyAlignment="1" applyProtection="1">
      <alignment horizontal="left" vertical="center" wrapText="1"/>
      <protection locked="0"/>
    </xf>
    <xf numFmtId="0" fontId="27" fillId="0" borderId="11" xfId="0" applyFont="1" applyBorder="1" applyAlignment="1" applyProtection="1">
      <alignment horizontal="center" vertical="center" wrapText="1"/>
      <protection locked="0"/>
    </xf>
    <xf numFmtId="0" fontId="27" fillId="0" borderId="12" xfId="0" applyFont="1" applyBorder="1" applyAlignment="1" applyProtection="1">
      <alignment horizontal="left" vertical="center"/>
      <protection locked="0"/>
    </xf>
    <xf numFmtId="0" fontId="28" fillId="0" borderId="21" xfId="0" applyFont="1" applyBorder="1" applyAlignment="1" applyProtection="1">
      <alignment horizontal="center" vertical="center" wrapText="1"/>
      <protection locked="0"/>
    </xf>
    <xf numFmtId="0" fontId="27" fillId="0" borderId="3" xfId="0" applyFont="1" applyBorder="1" applyAlignment="1" applyProtection="1">
      <alignment horizontal="center" vertical="center" wrapText="1"/>
      <protection locked="0"/>
    </xf>
    <xf numFmtId="0" fontId="27" fillId="0" borderId="26" xfId="0" applyFont="1" applyBorder="1" applyAlignment="1" applyProtection="1">
      <alignment horizontal="center" vertical="center" wrapText="1"/>
      <protection locked="0"/>
    </xf>
    <xf numFmtId="0" fontId="27" fillId="0" borderId="7" xfId="0" applyFont="1" applyBorder="1" applyAlignment="1" applyProtection="1">
      <alignment horizontal="center" vertical="center" wrapText="1"/>
      <protection locked="0"/>
    </xf>
    <xf numFmtId="0" fontId="28" fillId="0" borderId="0" xfId="0" applyFont="1" applyAlignment="1">
      <alignment horizontal="center" vertical="center" wrapText="1"/>
    </xf>
    <xf numFmtId="0" fontId="2" fillId="0" borderId="36" xfId="2" applyFont="1" applyBorder="1"/>
    <xf numFmtId="0" fontId="1" fillId="0" borderId="22" xfId="2" applyBorder="1"/>
    <xf numFmtId="1" fontId="1" fillId="0" borderId="15" xfId="2" applyNumberFormat="1" applyBorder="1" applyAlignment="1">
      <alignment horizontal="center"/>
    </xf>
    <xf numFmtId="0" fontId="2" fillId="0" borderId="23" xfId="2" applyFont="1" applyBorder="1" applyAlignment="1">
      <alignment horizontal="center"/>
    </xf>
    <xf numFmtId="0" fontId="1" fillId="0" borderId="0" xfId="2"/>
    <xf numFmtId="0" fontId="1" fillId="0" borderId="51" xfId="2" applyBorder="1"/>
    <xf numFmtId="0" fontId="15" fillId="0" borderId="36" xfId="2" applyFont="1" applyBorder="1" applyAlignment="1">
      <alignment horizontal="center"/>
    </xf>
    <xf numFmtId="0" fontId="15" fillId="0" borderId="15" xfId="2" applyFont="1" applyBorder="1" applyAlignment="1">
      <alignment horizontal="center"/>
    </xf>
    <xf numFmtId="0" fontId="15" fillId="0" borderId="22" xfId="2" applyFont="1" applyBorder="1" applyAlignment="1">
      <alignment horizontal="center"/>
    </xf>
    <xf numFmtId="2" fontId="15" fillId="0" borderId="22" xfId="2" applyNumberFormat="1" applyFont="1" applyBorder="1" applyAlignment="1">
      <alignment horizontal="center"/>
    </xf>
    <xf numFmtId="0" fontId="15" fillId="0" borderId="55" xfId="2" applyFont="1" applyBorder="1" applyAlignment="1">
      <alignment horizontal="center"/>
    </xf>
    <xf numFmtId="0" fontId="1" fillId="0" borderId="44" xfId="2" applyBorder="1" applyAlignment="1">
      <alignment horizontal="left"/>
    </xf>
    <xf numFmtId="0" fontId="1" fillId="0" borderId="15" xfId="2" applyBorder="1" applyAlignment="1">
      <alignment horizontal="center"/>
    </xf>
    <xf numFmtId="0" fontId="1" fillId="0" borderId="0" xfId="2" applyAlignment="1">
      <alignment horizontal="center"/>
    </xf>
    <xf numFmtId="2" fontId="1" fillId="0" borderId="16" xfId="2" applyNumberFormat="1" applyBorder="1" applyAlignment="1">
      <alignment horizontal="center"/>
    </xf>
    <xf numFmtId="2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0" fontId="1" fillId="0" borderId="16" xfId="2" applyBorder="1" applyAlignment="1">
      <alignment horizontal="center"/>
    </xf>
    <xf numFmtId="165" fontId="1" fillId="0" borderId="16" xfId="2" applyNumberFormat="1" applyBorder="1" applyAlignment="1">
      <alignment horizontal="center"/>
    </xf>
    <xf numFmtId="165" fontId="1" fillId="0" borderId="51" xfId="2" applyNumberFormat="1" applyBorder="1" applyAlignment="1">
      <alignment horizontal="center"/>
    </xf>
    <xf numFmtId="0" fontId="1" fillId="0" borderId="36" xfId="2" applyBorder="1" applyAlignment="1">
      <alignment horizontal="left"/>
    </xf>
    <xf numFmtId="0" fontId="1" fillId="0" borderId="22" xfId="2" applyBorder="1" applyAlignment="1">
      <alignment horizontal="center"/>
    </xf>
    <xf numFmtId="2" fontId="1" fillId="0" borderId="25" xfId="2" applyNumberFormat="1" applyBorder="1" applyAlignment="1">
      <alignment horizontal="center"/>
    </xf>
    <xf numFmtId="2" fontId="1" fillId="0" borderId="1" xfId="2" applyNumberFormat="1" applyBorder="1" applyAlignment="1">
      <alignment horizontal="center"/>
    </xf>
    <xf numFmtId="165" fontId="1" fillId="0" borderId="22" xfId="2" applyNumberFormat="1" applyBorder="1" applyAlignment="1">
      <alignment horizontal="center"/>
    </xf>
    <xf numFmtId="165" fontId="1" fillId="0" borderId="15" xfId="2" applyNumberFormat="1" applyBorder="1" applyAlignment="1">
      <alignment horizontal="center"/>
    </xf>
    <xf numFmtId="165" fontId="1" fillId="0" borderId="55" xfId="2" applyNumberFormat="1" applyBorder="1" applyAlignment="1">
      <alignment horizontal="center"/>
    </xf>
    <xf numFmtId="2" fontId="1" fillId="0" borderId="15" xfId="2" applyNumberFormat="1" applyBorder="1" applyAlignment="1">
      <alignment horizontal="center"/>
    </xf>
    <xf numFmtId="165" fontId="1" fillId="0" borderId="38" xfId="2" applyNumberFormat="1" applyBorder="1" applyAlignment="1">
      <alignment horizontal="center"/>
    </xf>
    <xf numFmtId="0" fontId="1" fillId="0" borderId="44" xfId="2" applyBorder="1"/>
    <xf numFmtId="2" fontId="1" fillId="0" borderId="26" xfId="2" applyNumberFormat="1" applyBorder="1" applyAlignment="1">
      <alignment horizontal="center"/>
    </xf>
    <xf numFmtId="2" fontId="1" fillId="0" borderId="17" xfId="2" applyNumberFormat="1" applyBorder="1" applyAlignment="1">
      <alignment horizontal="center"/>
    </xf>
    <xf numFmtId="0" fontId="15" fillId="0" borderId="50" xfId="2" applyFont="1" applyBorder="1"/>
    <xf numFmtId="0" fontId="2" fillId="0" borderId="0" xfId="2" applyFont="1"/>
    <xf numFmtId="2" fontId="2" fillId="0" borderId="0" xfId="2" applyNumberFormat="1" applyFont="1"/>
    <xf numFmtId="165" fontId="1" fillId="0" borderId="13" xfId="2" applyNumberFormat="1" applyBorder="1" applyAlignment="1">
      <alignment horizontal="center"/>
    </xf>
    <xf numFmtId="165" fontId="1" fillId="0" borderId="35" xfId="2" applyNumberFormat="1" applyBorder="1" applyAlignment="1">
      <alignment horizontal="center"/>
    </xf>
    <xf numFmtId="0" fontId="15" fillId="0" borderId="36" xfId="2" applyFont="1" applyBorder="1"/>
    <xf numFmtId="0" fontId="2" fillId="0" borderId="22" xfId="2" applyFont="1" applyBorder="1"/>
    <xf numFmtId="2" fontId="2" fillId="0" borderId="22" xfId="2" applyNumberFormat="1" applyFont="1" applyBorder="1"/>
    <xf numFmtId="0" fontId="36" fillId="0" borderId="22" xfId="2" applyFont="1" applyBorder="1"/>
    <xf numFmtId="165" fontId="1" fillId="0" borderId="18" xfId="2" applyNumberFormat="1" applyBorder="1" applyAlignment="1">
      <alignment horizontal="center"/>
    </xf>
    <xf numFmtId="165" fontId="1" fillId="0" borderId="55" xfId="2" applyNumberFormat="1" applyBorder="1"/>
    <xf numFmtId="165" fontId="1" fillId="0" borderId="51" xfId="2" applyNumberFormat="1" applyBorder="1"/>
    <xf numFmtId="0" fontId="15" fillId="0" borderId="45" xfId="2" applyFont="1" applyBorder="1"/>
    <xf numFmtId="0" fontId="2" fillId="0" borderId="17" xfId="2" applyFont="1" applyBorder="1"/>
    <xf numFmtId="2" fontId="2" fillId="0" borderId="17" xfId="2" applyNumberFormat="1" applyFont="1" applyBorder="1"/>
    <xf numFmtId="0" fontId="1" fillId="0" borderId="17" xfId="2" applyBorder="1"/>
    <xf numFmtId="2" fontId="2" fillId="0" borderId="19" xfId="2" applyNumberFormat="1" applyFont="1" applyBorder="1" applyAlignment="1">
      <alignment horizontal="center"/>
    </xf>
    <xf numFmtId="164" fontId="2" fillId="0" borderId="46" xfId="2" applyNumberFormat="1" applyFont="1" applyBorder="1" applyAlignment="1">
      <alignment horizontal="center"/>
    </xf>
    <xf numFmtId="2" fontId="2" fillId="0" borderId="0" xfId="2" applyNumberFormat="1" applyFont="1" applyAlignment="1">
      <alignment horizontal="center"/>
    </xf>
    <xf numFmtId="164" fontId="2" fillId="0" borderId="51" xfId="2" applyNumberFormat="1" applyFont="1" applyBorder="1" applyAlignment="1">
      <alignment horizontal="center"/>
    </xf>
    <xf numFmtId="0" fontId="15" fillId="0" borderId="52" xfId="2" applyFont="1" applyBorder="1"/>
    <xf numFmtId="0" fontId="2" fillId="0" borderId="53" xfId="2" applyFont="1" applyBorder="1"/>
    <xf numFmtId="2" fontId="2" fillId="0" borderId="53" xfId="2" applyNumberFormat="1" applyFont="1" applyBorder="1"/>
    <xf numFmtId="0" fontId="1" fillId="0" borderId="53" xfId="2" applyBorder="1"/>
    <xf numFmtId="2" fontId="2" fillId="0" borderId="67" xfId="2" applyNumberFormat="1" applyFont="1" applyBorder="1" applyAlignment="1">
      <alignment horizontal="center"/>
    </xf>
    <xf numFmtId="164" fontId="2" fillId="0" borderId="54" xfId="2" applyNumberFormat="1" applyFont="1" applyBorder="1" applyAlignment="1">
      <alignment horizontal="center"/>
    </xf>
    <xf numFmtId="0" fontId="25" fillId="2" borderId="0" xfId="0" applyFont="1" applyFill="1" applyAlignment="1" applyProtection="1">
      <alignment horizontal="right" vertical="center"/>
      <protection locked="0"/>
    </xf>
    <xf numFmtId="0" fontId="25" fillId="2" borderId="0" xfId="0" applyFont="1" applyFill="1" applyAlignment="1" applyProtection="1">
      <alignment horizontal="left" vertical="center"/>
      <protection locked="0"/>
    </xf>
    <xf numFmtId="0" fontId="20" fillId="2" borderId="0" xfId="0" applyFont="1" applyFill="1" applyAlignment="1" applyProtection="1">
      <alignment vertical="center"/>
      <protection locked="0"/>
    </xf>
    <xf numFmtId="0" fontId="28" fillId="2" borderId="0" xfId="0" applyFont="1" applyFill="1" applyAlignment="1" applyProtection="1">
      <alignment vertical="center"/>
      <protection locked="0"/>
    </xf>
    <xf numFmtId="0" fontId="35" fillId="0" borderId="18" xfId="2" applyFont="1" applyBorder="1" applyAlignment="1">
      <alignment horizontal="center" vertical="center"/>
    </xf>
    <xf numFmtId="0" fontId="35" fillId="0" borderId="15" xfId="2" applyFont="1" applyBorder="1" applyAlignment="1">
      <alignment horizontal="center" vertical="center"/>
    </xf>
    <xf numFmtId="0" fontId="35" fillId="0" borderId="22" xfId="2" applyFont="1" applyBorder="1" applyAlignment="1">
      <alignment horizontal="center" vertical="center"/>
    </xf>
    <xf numFmtId="2" fontId="35" fillId="0" borderId="22" xfId="2" applyNumberFormat="1" applyFont="1" applyBorder="1" applyAlignment="1">
      <alignment horizontal="center" vertical="center"/>
    </xf>
    <xf numFmtId="0" fontId="35" fillId="0" borderId="23" xfId="2" applyFont="1" applyBorder="1" applyAlignment="1">
      <alignment horizontal="center" vertical="center"/>
    </xf>
    <xf numFmtId="1" fontId="27" fillId="0" borderId="0" xfId="0" applyNumberFormat="1" applyFont="1" applyAlignment="1">
      <alignment horizontal="center" vertical="center" wrapText="1"/>
    </xf>
    <xf numFmtId="9" fontId="32" fillId="0" borderId="0" xfId="0" quotePrefix="1" applyNumberFormat="1" applyFont="1" applyAlignment="1">
      <alignment vertical="center" wrapText="1"/>
    </xf>
    <xf numFmtId="0" fontId="41" fillId="0" borderId="15" xfId="3" applyFont="1" applyBorder="1" applyAlignment="1" applyProtection="1">
      <alignment horizontal="center" vertical="center"/>
      <protection locked="0"/>
    </xf>
    <xf numFmtId="2" fontId="2" fillId="0" borderId="13" xfId="2" applyNumberFormat="1" applyFont="1" applyBorder="1" applyAlignment="1">
      <alignment horizontal="center"/>
    </xf>
    <xf numFmtId="166" fontId="1" fillId="0" borderId="15" xfId="2" applyNumberFormat="1" applyBorder="1" applyAlignment="1">
      <alignment horizontal="center"/>
    </xf>
    <xf numFmtId="0" fontId="27" fillId="2" borderId="0" xfId="0" applyFont="1" applyFill="1" applyAlignment="1" applyProtection="1">
      <alignment vertical="top"/>
      <protection locked="0"/>
    </xf>
    <xf numFmtId="1" fontId="27" fillId="0" borderId="20" xfId="0" applyNumberFormat="1" applyFont="1" applyBorder="1" applyAlignment="1">
      <alignment horizontal="center" vertical="center" wrapText="1"/>
    </xf>
    <xf numFmtId="2" fontId="27" fillId="0" borderId="25" xfId="0" applyNumberFormat="1" applyFont="1" applyBorder="1" applyAlignment="1">
      <alignment horizontal="center"/>
    </xf>
    <xf numFmtId="9" fontId="32" fillId="0" borderId="25" xfId="0" quotePrefix="1" applyNumberFormat="1" applyFont="1" applyBorder="1" applyAlignment="1">
      <alignment vertical="center" wrapText="1"/>
    </xf>
    <xf numFmtId="1" fontId="27" fillId="0" borderId="19" xfId="0" applyNumberFormat="1" applyFont="1" applyBorder="1" applyAlignment="1">
      <alignment horizontal="center" vertical="center" wrapText="1"/>
    </xf>
    <xf numFmtId="2" fontId="27" fillId="0" borderId="26" xfId="0" applyNumberFormat="1" applyFont="1" applyBorder="1" applyAlignment="1">
      <alignment horizontal="center"/>
    </xf>
    <xf numFmtId="9" fontId="32" fillId="0" borderId="26" xfId="0" quotePrefix="1" applyNumberFormat="1" applyFont="1" applyBorder="1" applyAlignment="1">
      <alignment vertical="center" wrapText="1"/>
    </xf>
    <xf numFmtId="1" fontId="27" fillId="0" borderId="15" xfId="0" applyNumberFormat="1" applyFont="1" applyBorder="1" applyAlignment="1">
      <alignment horizontal="center" vertical="center" wrapText="1"/>
    </xf>
    <xf numFmtId="2" fontId="27" fillId="0" borderId="15" xfId="0" applyNumberFormat="1" applyFont="1" applyBorder="1" applyAlignment="1">
      <alignment horizontal="center"/>
    </xf>
    <xf numFmtId="0" fontId="27" fillId="0" borderId="81" xfId="0" applyFont="1" applyBorder="1" applyAlignment="1">
      <alignment vertical="center"/>
    </xf>
    <xf numFmtId="164" fontId="33" fillId="0" borderId="81" xfId="0" applyNumberFormat="1" applyFont="1" applyBorder="1" applyAlignment="1">
      <alignment horizontal="center" vertical="center"/>
    </xf>
    <xf numFmtId="165" fontId="33" fillId="0" borderId="81" xfId="0" applyNumberFormat="1" applyFont="1" applyBorder="1" applyAlignment="1">
      <alignment horizontal="center" vertical="center"/>
    </xf>
    <xf numFmtId="0" fontId="27" fillId="0" borderId="81" xfId="0" applyFont="1" applyBorder="1"/>
    <xf numFmtId="0" fontId="30" fillId="0" borderId="81" xfId="0" applyFont="1" applyBorder="1" applyAlignment="1">
      <alignment horizontal="center" vertical="center" wrapText="1"/>
    </xf>
    <xf numFmtId="0" fontId="27" fillId="0" borderId="82" xfId="0" applyFont="1" applyBorder="1" applyAlignment="1">
      <alignment vertical="center"/>
    </xf>
    <xf numFmtId="164" fontId="33" fillId="0" borderId="82" xfId="0" applyNumberFormat="1" applyFont="1" applyBorder="1" applyAlignment="1">
      <alignment horizontal="center" vertical="center"/>
    </xf>
    <xf numFmtId="165" fontId="33" fillId="0" borderId="82" xfId="0" applyNumberFormat="1" applyFont="1" applyBorder="1" applyAlignment="1">
      <alignment horizontal="center" vertical="center"/>
    </xf>
    <xf numFmtId="165" fontId="33" fillId="0" borderId="82" xfId="0" applyNumberFormat="1" applyFont="1" applyBorder="1" applyAlignment="1">
      <alignment horizontal="left" vertical="center"/>
    </xf>
    <xf numFmtId="0" fontId="27" fillId="0" borderId="82" xfId="0" applyFont="1" applyBorder="1"/>
    <xf numFmtId="0" fontId="30" fillId="0" borderId="82" xfId="0" applyFont="1" applyBorder="1" applyAlignment="1">
      <alignment horizontal="center" vertical="center" wrapText="1"/>
    </xf>
    <xf numFmtId="0" fontId="27" fillId="0" borderId="82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9" fontId="27" fillId="0" borderId="0" xfId="0" quotePrefix="1" applyNumberFormat="1" applyFont="1" applyAlignment="1">
      <alignment horizontal="center" vertical="center" wrapText="1"/>
    </xf>
    <xf numFmtId="0" fontId="27" fillId="0" borderId="75" xfId="0" applyFont="1" applyBorder="1"/>
    <xf numFmtId="0" fontId="27" fillId="0" borderId="74" xfId="0" applyFont="1" applyBorder="1"/>
    <xf numFmtId="2" fontId="1" fillId="5" borderId="15" xfId="0" applyNumberFormat="1" applyFont="1" applyFill="1" applyBorder="1" applyAlignment="1">
      <alignment horizontal="center" vertical="center"/>
    </xf>
    <xf numFmtId="2" fontId="1" fillId="5" borderId="15" xfId="0" quotePrefix="1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0" fontId="1" fillId="0" borderId="83" xfId="0" applyFont="1" applyBorder="1"/>
    <xf numFmtId="0" fontId="1" fillId="0" borderId="1" xfId="0" applyFont="1" applyBorder="1"/>
    <xf numFmtId="0" fontId="2" fillId="0" borderId="33" xfId="2" applyFont="1" applyBorder="1"/>
    <xf numFmtId="0" fontId="1" fillId="0" borderId="42" xfId="2" applyBorder="1"/>
    <xf numFmtId="166" fontId="1" fillId="0" borderId="61" xfId="2" applyNumberFormat="1" applyBorder="1" applyAlignment="1">
      <alignment horizontal="center"/>
    </xf>
    <xf numFmtId="0" fontId="2" fillId="0" borderId="85" xfId="2" applyFont="1" applyBorder="1" applyAlignment="1">
      <alignment horizontal="center"/>
    </xf>
    <xf numFmtId="0" fontId="1" fillId="0" borderId="48" xfId="2" applyBorder="1"/>
    <xf numFmtId="0" fontId="1" fillId="0" borderId="49" xfId="2" applyBorder="1"/>
    <xf numFmtId="0" fontId="35" fillId="0" borderId="36" xfId="2" applyFont="1" applyBorder="1" applyAlignment="1">
      <alignment horizontal="center" vertical="center"/>
    </xf>
    <xf numFmtId="0" fontId="35" fillId="0" borderId="55" xfId="2" applyFont="1" applyBorder="1" applyAlignment="1">
      <alignment horizontal="center" vertical="center"/>
    </xf>
    <xf numFmtId="0" fontId="0" fillId="0" borderId="48" xfId="0" applyBorder="1"/>
    <xf numFmtId="2" fontId="6" fillId="2" borderId="0" xfId="0" applyNumberFormat="1" applyFont="1" applyFill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0" fillId="2" borderId="50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6" fillId="9" borderId="15" xfId="0" applyNumberFormat="1" applyFont="1" applyFill="1" applyBorder="1" applyAlignment="1">
      <alignment horizontal="center" vertical="center"/>
    </xf>
    <xf numFmtId="2" fontId="6" fillId="9" borderId="61" xfId="0" applyNumberFormat="1" applyFont="1" applyFill="1" applyBorder="1" applyAlignment="1">
      <alignment horizontal="center" vertical="center"/>
    </xf>
    <xf numFmtId="2" fontId="6" fillId="2" borderId="50" xfId="0" applyNumberFormat="1" applyFont="1" applyFill="1" applyBorder="1" applyAlignment="1">
      <alignment horizontal="center" vertical="center"/>
    </xf>
    <xf numFmtId="2" fontId="16" fillId="2" borderId="38" xfId="0" applyNumberFormat="1" applyFont="1" applyFill="1" applyBorder="1" applyAlignment="1">
      <alignment horizontal="center"/>
    </xf>
    <xf numFmtId="2" fontId="16" fillId="2" borderId="0" xfId="0" applyNumberFormat="1" applyFont="1" applyFill="1" applyAlignment="1">
      <alignment horizontal="center"/>
    </xf>
    <xf numFmtId="2" fontId="16" fillId="2" borderId="41" xfId="0" applyNumberFormat="1" applyFont="1" applyFill="1" applyBorder="1" applyAlignment="1">
      <alignment horizontal="center"/>
    </xf>
    <xf numFmtId="2" fontId="3" fillId="2" borderId="40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/>
    <xf numFmtId="1" fontId="6" fillId="2" borderId="37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176" fontId="27" fillId="0" borderId="15" xfId="0" applyNumberFormat="1" applyFont="1" applyBorder="1" applyAlignment="1">
      <alignment horizontal="center" vertical="center" wrapText="1"/>
    </xf>
    <xf numFmtId="176" fontId="27" fillId="0" borderId="15" xfId="0" applyNumberFormat="1" applyFont="1" applyBorder="1" applyAlignment="1">
      <alignment horizontal="center" vertical="center"/>
    </xf>
    <xf numFmtId="176" fontId="27" fillId="0" borderId="0" xfId="1" applyNumberFormat="1" applyFont="1" applyAlignment="1">
      <alignment horizontal="center"/>
    </xf>
    <xf numFmtId="176" fontId="27" fillId="0" borderId="15" xfId="1" applyNumberFormat="1" applyFont="1" applyBorder="1" applyAlignment="1">
      <alignment horizontal="center" vertical="center"/>
    </xf>
    <xf numFmtId="2" fontId="2" fillId="2" borderId="70" xfId="1" applyNumberFormat="1" applyFont="1" applyFill="1" applyBorder="1" applyAlignment="1">
      <alignment horizontal="center" vertical="center"/>
    </xf>
    <xf numFmtId="2" fontId="2" fillId="2" borderId="15" xfId="1" applyNumberFormat="1" applyFont="1" applyFill="1" applyBorder="1" applyAlignment="1">
      <alignment horizontal="center"/>
    </xf>
    <xf numFmtId="2" fontId="2" fillId="0" borderId="15" xfId="2" applyNumberFormat="1" applyFont="1" applyBorder="1" applyAlignment="1">
      <alignment horizontal="center"/>
    </xf>
    <xf numFmtId="2" fontId="2" fillId="2" borderId="15" xfId="1" applyNumberFormat="1" applyFont="1" applyFill="1" applyBorder="1" applyAlignment="1">
      <alignment horizontal="center" vertical="center"/>
    </xf>
    <xf numFmtId="0" fontId="1" fillId="0" borderId="15" xfId="0" applyFont="1" applyBorder="1"/>
    <xf numFmtId="164" fontId="2" fillId="0" borderId="15" xfId="2" applyNumberFormat="1" applyFont="1" applyBorder="1" applyAlignment="1">
      <alignment horizontal="left"/>
    </xf>
    <xf numFmtId="164" fontId="2" fillId="0" borderId="38" xfId="2" applyNumberFormat="1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28" fillId="0" borderId="0" xfId="0" applyFont="1" applyAlignment="1" applyProtection="1">
      <alignment vertical="center"/>
      <protection hidden="1"/>
    </xf>
    <xf numFmtId="164" fontId="28" fillId="0" borderId="0" xfId="0" applyNumberFormat="1" applyFont="1" applyAlignment="1" applyProtection="1">
      <alignment vertical="center"/>
      <protection hidden="1"/>
    </xf>
    <xf numFmtId="0" fontId="27" fillId="0" borderId="0" xfId="0" applyFont="1" applyAlignment="1" applyProtection="1">
      <alignment vertical="center"/>
      <protection hidden="1"/>
    </xf>
    <xf numFmtId="0" fontId="27" fillId="0" borderId="0" xfId="0" applyFont="1" applyAlignment="1" applyProtection="1">
      <alignment horizontal="center" vertical="center"/>
      <protection hidden="1"/>
    </xf>
    <xf numFmtId="2" fontId="27" fillId="0" borderId="0" xfId="0" applyNumberFormat="1" applyFont="1" applyAlignment="1" applyProtection="1">
      <alignment horizontal="left" vertical="center"/>
      <protection hidden="1"/>
    </xf>
    <xf numFmtId="0" fontId="27" fillId="0" borderId="0" xfId="0" applyFont="1" applyAlignment="1" applyProtection="1">
      <alignment horizontal="left" vertical="center"/>
      <protection hidden="1"/>
    </xf>
    <xf numFmtId="164" fontId="27" fillId="0" borderId="0" xfId="0" applyNumberFormat="1" applyFont="1" applyAlignment="1" applyProtection="1">
      <alignment vertical="center"/>
      <protection hidden="1"/>
    </xf>
    <xf numFmtId="166" fontId="27" fillId="0" borderId="0" xfId="0" applyNumberFormat="1" applyFont="1" applyAlignment="1" applyProtection="1">
      <alignment horizontal="center" vertical="center"/>
      <protection hidden="1"/>
    </xf>
    <xf numFmtId="0" fontId="29" fillId="0" borderId="0" xfId="0" quotePrefix="1" applyFont="1" applyAlignment="1" applyProtection="1">
      <alignment horizontal="left" vertical="center"/>
      <protection hidden="1"/>
    </xf>
    <xf numFmtId="0" fontId="2" fillId="2" borderId="15" xfId="0" applyFont="1" applyFill="1" applyBorder="1" applyAlignment="1" applyProtection="1">
      <alignment horizontal="center" vertical="center" wrapText="1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horizontal="left" vertical="center"/>
      <protection hidden="1"/>
    </xf>
    <xf numFmtId="0" fontId="2" fillId="2" borderId="21" xfId="0" applyFont="1" applyFill="1" applyBorder="1" applyAlignment="1" applyProtection="1">
      <alignment horizontal="center" vertical="center" wrapText="1"/>
      <protection hidden="1"/>
    </xf>
    <xf numFmtId="0" fontId="2" fillId="2" borderId="14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vertical="center"/>
      <protection hidden="1"/>
    </xf>
    <xf numFmtId="0" fontId="1" fillId="0" borderId="6" xfId="0" applyFont="1" applyBorder="1" applyAlignment="1" applyProtection="1">
      <alignment vertical="center"/>
      <protection hidden="1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vertical="center"/>
      <protection hidden="1"/>
    </xf>
    <xf numFmtId="0" fontId="1" fillId="0" borderId="10" xfId="0" applyFont="1" applyBorder="1" applyAlignment="1" applyProtection="1">
      <alignment vertical="center"/>
      <protection hidden="1"/>
    </xf>
    <xf numFmtId="166" fontId="27" fillId="0" borderId="0" xfId="0" applyNumberFormat="1" applyFont="1" applyAlignment="1" applyProtection="1">
      <alignment horizontal="right" vertical="center" wrapText="1"/>
      <protection hidden="1"/>
    </xf>
    <xf numFmtId="0" fontId="27" fillId="0" borderId="0" xfId="0" applyFont="1" applyAlignment="1" applyProtection="1">
      <alignment horizontal="right" vertical="center" wrapText="1"/>
      <protection hidden="1"/>
    </xf>
    <xf numFmtId="0" fontId="27" fillId="0" borderId="0" xfId="0" applyFont="1" applyAlignment="1" applyProtection="1">
      <alignment horizontal="center" vertical="center" wrapText="1"/>
      <protection hidden="1"/>
    </xf>
    <xf numFmtId="0" fontId="28" fillId="0" borderId="0" xfId="0" applyFont="1" applyAlignment="1" applyProtection="1">
      <alignment horizontal="center" vertical="center" wrapText="1"/>
      <protection hidden="1"/>
    </xf>
    <xf numFmtId="2" fontId="27" fillId="0" borderId="0" xfId="0" applyNumberFormat="1" applyFont="1" applyAlignment="1" applyProtection="1">
      <alignment horizontal="center" vertical="center" wrapText="1"/>
      <protection hidden="1"/>
    </xf>
    <xf numFmtId="2" fontId="27" fillId="0" borderId="0" xfId="0" quotePrefix="1" applyNumberFormat="1" applyFont="1" applyAlignment="1" applyProtection="1">
      <alignment horizontal="center" vertical="center" wrapText="1"/>
      <protection hidden="1"/>
    </xf>
    <xf numFmtId="2" fontId="27" fillId="0" borderId="0" xfId="0" quotePrefix="1" applyNumberFormat="1" applyFont="1" applyAlignment="1" applyProtection="1">
      <alignment horizontal="right" vertical="center" wrapText="1"/>
      <protection hidden="1"/>
    </xf>
    <xf numFmtId="166" fontId="27" fillId="0" borderId="0" xfId="0" applyNumberFormat="1" applyFont="1" applyAlignment="1" applyProtection="1">
      <alignment horizontal="left" vertical="center" wrapText="1"/>
      <protection hidden="1"/>
    </xf>
    <xf numFmtId="0" fontId="1" fillId="0" borderId="26" xfId="0" applyFont="1" applyBorder="1" applyAlignment="1" applyProtection="1">
      <alignment horizontal="center" vertical="center" wrapText="1"/>
      <protection hidden="1"/>
    </xf>
    <xf numFmtId="178" fontId="1" fillId="0" borderId="15" xfId="0" quotePrefix="1" applyNumberFormat="1" applyFont="1" applyBorder="1" applyAlignment="1" applyProtection="1">
      <alignment horizontal="center" vertical="center" wrapText="1"/>
      <protection hidden="1"/>
    </xf>
    <xf numFmtId="164" fontId="1" fillId="2" borderId="15" xfId="0" applyNumberFormat="1" applyFont="1" applyFill="1" applyBorder="1" applyAlignment="1">
      <alignment horizontal="center" vertical="center"/>
    </xf>
    <xf numFmtId="2" fontId="27" fillId="0" borderId="15" xfId="0" quotePrefix="1" applyNumberFormat="1" applyFont="1" applyBorder="1" applyAlignment="1">
      <alignment horizontal="center" vertical="center"/>
    </xf>
    <xf numFmtId="2" fontId="1" fillId="2" borderId="0" xfId="0" quotePrefix="1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vertical="center"/>
    </xf>
    <xf numFmtId="2" fontId="0" fillId="5" borderId="0" xfId="0" applyNumberFormat="1" applyFill="1" applyAlignment="1">
      <alignment horizontal="center" vertical="center"/>
    </xf>
    <xf numFmtId="2" fontId="1" fillId="5" borderId="0" xfId="0" quotePrefix="1" applyNumberFormat="1" applyFont="1" applyFill="1" applyAlignment="1">
      <alignment horizontal="center" vertical="center"/>
    </xf>
    <xf numFmtId="2" fontId="6" fillId="9" borderId="26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/>
    </xf>
    <xf numFmtId="0" fontId="27" fillId="0" borderId="18" xfId="3" applyFont="1" applyBorder="1" applyAlignment="1">
      <alignment vertical="center"/>
    </xf>
    <xf numFmtId="0" fontId="27" fillId="0" borderId="22" xfId="0" applyFont="1" applyBorder="1"/>
    <xf numFmtId="0" fontId="29" fillId="0" borderId="22" xfId="0" quotePrefix="1" applyFont="1" applyBorder="1" applyAlignment="1">
      <alignment horizontal="left"/>
    </xf>
    <xf numFmtId="0" fontId="27" fillId="0" borderId="18" xfId="0" applyFont="1" applyBorder="1" applyAlignment="1">
      <alignment horizontal="right" vertical="center" wrapText="1"/>
    </xf>
    <xf numFmtId="0" fontId="27" fillId="0" borderId="23" xfId="0" applyFont="1" applyBorder="1" applyAlignment="1">
      <alignment vertical="center" wrapText="1"/>
    </xf>
    <xf numFmtId="0" fontId="27" fillId="0" borderId="24" xfId="0" applyFont="1" applyBorder="1" applyAlignment="1">
      <alignment vertical="center" wrapText="1"/>
    </xf>
    <xf numFmtId="0" fontId="27" fillId="0" borderId="18" xfId="0" applyFont="1" applyBorder="1" applyAlignment="1">
      <alignment horizontal="right"/>
    </xf>
    <xf numFmtId="0" fontId="27" fillId="0" borderId="25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181" fontId="27" fillId="0" borderId="15" xfId="1" quotePrefix="1" applyNumberFormat="1" applyFont="1" applyBorder="1" applyAlignment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1" fillId="0" borderId="11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 wrapText="1"/>
      <protection hidden="1"/>
    </xf>
    <xf numFmtId="0" fontId="25" fillId="3" borderId="0" xfId="0" applyFont="1" applyFill="1" applyAlignment="1" applyProtection="1">
      <alignment vertical="center"/>
      <protection locked="0"/>
    </xf>
    <xf numFmtId="0" fontId="27" fillId="3" borderId="0" xfId="0" applyFont="1" applyFill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164" fontId="27" fillId="0" borderId="0" xfId="0" applyNumberFormat="1" applyFont="1" applyAlignment="1">
      <alignment vertical="center"/>
    </xf>
    <xf numFmtId="0" fontId="28" fillId="2" borderId="0" xfId="0" applyFont="1" applyFill="1" applyAlignment="1">
      <alignment vertical="center"/>
    </xf>
    <xf numFmtId="0" fontId="31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27" fillId="0" borderId="0" xfId="1" applyNumberFormat="1" applyFont="1" applyAlignment="1" applyProtection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166" fontId="27" fillId="0" borderId="0" xfId="0" applyNumberFormat="1" applyFont="1" applyAlignment="1">
      <alignment vertical="center"/>
    </xf>
    <xf numFmtId="0" fontId="28" fillId="0" borderId="0" xfId="0" applyFont="1" applyAlignment="1">
      <alignment vertical="center" wrapText="1"/>
    </xf>
    <xf numFmtId="166" fontId="27" fillId="2" borderId="15" xfId="0" applyNumberFormat="1" applyFont="1" applyFill="1" applyBorder="1" applyAlignment="1">
      <alignment horizontal="center" vertical="center"/>
    </xf>
    <xf numFmtId="165" fontId="28" fillId="0" borderId="0" xfId="0" applyNumberFormat="1" applyFont="1" applyAlignment="1">
      <alignment vertical="center" wrapText="1"/>
    </xf>
    <xf numFmtId="0" fontId="27" fillId="2" borderId="18" xfId="0" applyFont="1" applyFill="1" applyBorder="1" applyAlignment="1">
      <alignment horizontal="left" vertical="center"/>
    </xf>
    <xf numFmtId="0" fontId="27" fillId="2" borderId="22" xfId="0" applyFont="1" applyFill="1" applyBorder="1" applyAlignment="1">
      <alignment horizontal="left" vertical="center"/>
    </xf>
    <xf numFmtId="0" fontId="27" fillId="0" borderId="23" xfId="0" applyFont="1" applyBorder="1" applyAlignment="1">
      <alignment vertical="center"/>
    </xf>
    <xf numFmtId="0" fontId="27" fillId="2" borderId="15" xfId="0" applyFont="1" applyFill="1" applyBorder="1" applyAlignment="1">
      <alignment vertical="center"/>
    </xf>
    <xf numFmtId="165" fontId="27" fillId="2" borderId="18" xfId="0" applyNumberFormat="1" applyFont="1" applyFill="1" applyBorder="1" applyAlignment="1">
      <alignment horizontal="left" vertical="center"/>
    </xf>
    <xf numFmtId="165" fontId="27" fillId="2" borderId="22" xfId="0" applyNumberFormat="1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0" borderId="0" xfId="0" quotePrefix="1" applyFont="1" applyAlignment="1">
      <alignment vertical="center"/>
    </xf>
    <xf numFmtId="0" fontId="40" fillId="0" borderId="0" xfId="0" applyFont="1" applyAlignment="1">
      <alignment vertical="center"/>
    </xf>
    <xf numFmtId="2" fontId="27" fillId="0" borderId="0" xfId="0" applyNumberFormat="1" applyFont="1" applyAlignment="1">
      <alignment horizontal="center" vertical="center" wrapText="1"/>
    </xf>
    <xf numFmtId="2" fontId="32" fillId="0" borderId="0" xfId="0" quotePrefix="1" applyNumberFormat="1" applyFont="1" applyAlignment="1">
      <alignment horizontal="right" vertical="center" wrapText="1"/>
    </xf>
    <xf numFmtId="2" fontId="27" fillId="0" borderId="0" xfId="0" applyNumberFormat="1" applyFont="1" applyAlignment="1">
      <alignment horizontal="left" vertical="center" wrapText="1"/>
    </xf>
    <xf numFmtId="0" fontId="20" fillId="2" borderId="0" xfId="3" applyFont="1" applyFill="1" applyAlignment="1">
      <alignment vertical="center"/>
    </xf>
    <xf numFmtId="0" fontId="25" fillId="2" borderId="0" xfId="3" applyFont="1" applyFill="1" applyAlignment="1">
      <alignment vertical="center"/>
    </xf>
    <xf numFmtId="0" fontId="2" fillId="0" borderId="18" xfId="0" applyFont="1" applyBorder="1"/>
    <xf numFmtId="0" fontId="2" fillId="0" borderId="22" xfId="0" applyFont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left" vertical="center"/>
    </xf>
    <xf numFmtId="1" fontId="1" fillId="5" borderId="23" xfId="0" applyNumberFormat="1" applyFont="1" applyFill="1" applyBorder="1" applyAlignment="1">
      <alignment horizontal="center" vertical="center"/>
    </xf>
    <xf numFmtId="2" fontId="6" fillId="9" borderId="40" xfId="0" applyNumberFormat="1" applyFont="1" applyFill="1" applyBorder="1" applyAlignment="1">
      <alignment horizontal="center" vertical="center"/>
    </xf>
    <xf numFmtId="2" fontId="54" fillId="2" borderId="0" xfId="0" applyNumberFormat="1" applyFont="1" applyFill="1" applyAlignment="1">
      <alignment horizontal="left"/>
    </xf>
    <xf numFmtId="2" fontId="54" fillId="2" borderId="0" xfId="0" applyNumberFormat="1" applyFont="1" applyFill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2" fontId="6" fillId="0" borderId="40" xfId="0" applyNumberFormat="1" applyFont="1" applyBorder="1" applyAlignment="1">
      <alignment horizontal="center" vertical="center"/>
    </xf>
    <xf numFmtId="2" fontId="3" fillId="2" borderId="26" xfId="0" applyNumberFormat="1" applyFont="1" applyFill="1" applyBorder="1" applyAlignment="1">
      <alignment horizontal="center" vertical="center"/>
    </xf>
    <xf numFmtId="2" fontId="48" fillId="2" borderId="19" xfId="0" applyNumberFormat="1" applyFont="1" applyFill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1" fillId="4" borderId="16" xfId="2" applyNumberFormat="1" applyFill="1" applyBorder="1" applyAlignment="1">
      <alignment horizontal="center"/>
    </xf>
    <xf numFmtId="2" fontId="1" fillId="4" borderId="25" xfId="2" applyNumberFormat="1" applyFill="1" applyBorder="1" applyAlignment="1">
      <alignment horizontal="center"/>
    </xf>
    <xf numFmtId="2" fontId="1" fillId="4" borderId="15" xfId="2" applyNumberFormat="1" applyFill="1" applyBorder="1" applyAlignment="1">
      <alignment horizontal="center"/>
    </xf>
    <xf numFmtId="2" fontId="1" fillId="4" borderId="26" xfId="2" applyNumberFormat="1" applyFill="1" applyBorder="1" applyAlignment="1">
      <alignment horizontal="center"/>
    </xf>
    <xf numFmtId="0" fontId="1" fillId="4" borderId="15" xfId="2" applyFill="1" applyBorder="1" applyAlignment="1">
      <alignment horizontal="center"/>
    </xf>
    <xf numFmtId="2" fontId="0" fillId="0" borderId="40" xfId="0" applyNumberFormat="1" applyBorder="1" applyAlignment="1">
      <alignment horizontal="center" vertical="center"/>
    </xf>
    <xf numFmtId="2" fontId="3" fillId="4" borderId="90" xfId="0" applyNumberFormat="1" applyFont="1" applyFill="1" applyBorder="1" applyAlignment="1">
      <alignment horizontal="center" vertical="center"/>
    </xf>
    <xf numFmtId="2" fontId="3" fillId="2" borderId="90" xfId="0" applyNumberFormat="1" applyFont="1" applyFill="1" applyBorder="1" applyAlignment="1">
      <alignment horizontal="center" vertical="center"/>
    </xf>
    <xf numFmtId="2" fontId="0" fillId="0" borderId="90" xfId="0" applyNumberFormat="1" applyBorder="1" applyAlignment="1">
      <alignment horizontal="center" vertical="center"/>
    </xf>
    <xf numFmtId="2" fontId="3" fillId="2" borderId="90" xfId="0" applyNumberFormat="1" applyFont="1" applyFill="1" applyBorder="1" applyAlignment="1">
      <alignment horizontal="center"/>
    </xf>
    <xf numFmtId="2" fontId="48" fillId="2" borderId="9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7" fillId="0" borderId="0" xfId="4" applyFont="1" applyAlignment="1">
      <alignment vertical="center"/>
    </xf>
    <xf numFmtId="0" fontId="27" fillId="3" borderId="0" xfId="0" quotePrefix="1" applyFont="1" applyFill="1" applyAlignment="1" applyProtection="1">
      <alignment horizontal="left" vertical="center"/>
      <protection locked="0"/>
    </xf>
    <xf numFmtId="0" fontId="28" fillId="0" borderId="15" xfId="0" applyFont="1" applyBorder="1" applyAlignment="1" applyProtection="1">
      <alignment horizontal="center" vertical="center"/>
      <protection locked="0"/>
    </xf>
    <xf numFmtId="0" fontId="27" fillId="3" borderId="0" xfId="0" applyFont="1" applyFill="1" applyAlignment="1" applyProtection="1">
      <alignment horizontal="left" vertical="center"/>
      <protection locked="0"/>
    </xf>
    <xf numFmtId="0" fontId="27" fillId="2" borderId="0" xfId="0" applyFont="1" applyFill="1" applyAlignment="1" applyProtection="1">
      <alignment horizontal="left" vertical="top" wrapText="1"/>
      <protection locked="0"/>
    </xf>
    <xf numFmtId="0" fontId="0" fillId="0" borderId="15" xfId="0" applyBorder="1" applyAlignment="1">
      <alignment horizontal="center" vertical="center"/>
    </xf>
    <xf numFmtId="173" fontId="1" fillId="0" borderId="15" xfId="0" applyNumberFormat="1" applyFont="1" applyBorder="1" applyAlignment="1">
      <alignment horizontal="center" vertical="center"/>
    </xf>
    <xf numFmtId="173" fontId="0" fillId="0" borderId="15" xfId="0" applyNumberFormat="1" applyBorder="1" applyAlignment="1">
      <alignment horizontal="center" vertical="center"/>
    </xf>
    <xf numFmtId="0" fontId="1" fillId="0" borderId="18" xfId="3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7" fillId="0" borderId="0" xfId="0" applyFont="1" applyAlignment="1">
      <alignment vertical="top"/>
    </xf>
    <xf numFmtId="0" fontId="1" fillId="2" borderId="15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wrapText="1"/>
    </xf>
    <xf numFmtId="0" fontId="5" fillId="2" borderId="17" xfId="0" quotePrefix="1" applyFont="1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2" fontId="28" fillId="0" borderId="0" xfId="0" applyNumberFormat="1" applyFont="1" applyAlignment="1" applyProtection="1">
      <alignment vertical="center"/>
      <protection locked="0"/>
    </xf>
    <xf numFmtId="2" fontId="27" fillId="0" borderId="0" xfId="0" applyNumberFormat="1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left" vertical="top" wrapText="1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2" applyFont="1" applyFill="1" applyAlignment="1" applyProtection="1">
      <alignment vertical="center"/>
      <protection locked="0"/>
    </xf>
    <xf numFmtId="0" fontId="27" fillId="0" borderId="0" xfId="2" applyFont="1" applyAlignment="1" applyProtection="1">
      <alignment vertical="center"/>
      <protection locked="0"/>
    </xf>
    <xf numFmtId="0" fontId="27" fillId="2" borderId="0" xfId="2" applyFont="1" applyFill="1" applyAlignment="1" applyProtection="1">
      <alignment horizontal="right" vertical="center"/>
      <protection locked="0"/>
    </xf>
    <xf numFmtId="0" fontId="28" fillId="2" borderId="0" xfId="2" applyFont="1" applyFill="1" applyAlignment="1" applyProtection="1">
      <alignment vertical="center"/>
      <protection locked="0"/>
    </xf>
    <xf numFmtId="164" fontId="28" fillId="0" borderId="0" xfId="0" applyNumberFormat="1" applyFont="1" applyAlignment="1" applyProtection="1">
      <alignment vertical="center"/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20" fillId="2" borderId="0" xfId="3" applyFont="1" applyFill="1" applyAlignment="1" applyProtection="1">
      <alignment vertical="center"/>
      <protection locked="0"/>
    </xf>
    <xf numFmtId="0" fontId="25" fillId="2" borderId="0" xfId="3" applyFont="1" applyFill="1" applyAlignment="1" applyProtection="1">
      <alignment vertical="center"/>
      <protection locked="0"/>
    </xf>
    <xf numFmtId="0" fontId="44" fillId="0" borderId="0" xfId="0" applyFont="1" applyAlignment="1" applyProtection="1">
      <alignment horizontal="right"/>
      <protection locked="0"/>
    </xf>
    <xf numFmtId="0" fontId="27" fillId="0" borderId="15" xfId="0" applyFont="1" applyBorder="1" applyAlignment="1">
      <alignment vertical="center"/>
    </xf>
    <xf numFmtId="0" fontId="27" fillId="0" borderId="24" xfId="0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70" fontId="27" fillId="0" borderId="15" xfId="0" applyNumberFormat="1" applyFont="1" applyBorder="1" applyAlignment="1">
      <alignment horizontal="center" vertical="center"/>
    </xf>
    <xf numFmtId="0" fontId="41" fillId="0" borderId="0" xfId="0" applyFont="1" applyAlignment="1">
      <alignment vertical="center" wrapText="1"/>
    </xf>
    <xf numFmtId="1" fontId="1" fillId="4" borderId="15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vertical="center"/>
    </xf>
    <xf numFmtId="0" fontId="27" fillId="0" borderId="0" xfId="0" applyFont="1" applyAlignment="1" applyProtection="1">
      <alignment horizontal="left" vertical="center"/>
      <protection locked="0"/>
    </xf>
    <xf numFmtId="0" fontId="32" fillId="0" borderId="0" xfId="0" quotePrefix="1" applyFont="1" applyAlignment="1">
      <alignment horizontal="right" vertical="center"/>
    </xf>
    <xf numFmtId="0" fontId="53" fillId="0" borderId="15" xfId="0" applyFont="1" applyBorder="1" applyAlignment="1">
      <alignment horizontal="center" vertical="center"/>
    </xf>
    <xf numFmtId="2" fontId="53" fillId="0" borderId="15" xfId="0" applyNumberFormat="1" applyFont="1" applyBorder="1" applyAlignment="1">
      <alignment horizontal="center" vertical="center"/>
    </xf>
    <xf numFmtId="0" fontId="53" fillId="0" borderId="15" xfId="0" applyFont="1" applyBorder="1" applyAlignment="1">
      <alignment vertical="center"/>
    </xf>
    <xf numFmtId="0" fontId="53" fillId="0" borderId="0" xfId="0" applyFont="1" applyAlignment="1">
      <alignment vertical="center"/>
    </xf>
    <xf numFmtId="0" fontId="32" fillId="0" borderId="0" xfId="0" quotePrefix="1" applyFont="1" applyAlignment="1">
      <alignment vertical="center"/>
    </xf>
    <xf numFmtId="0" fontId="53" fillId="0" borderId="15" xfId="0" applyFont="1" applyBorder="1" applyAlignment="1">
      <alignment horizontal="center" vertical="center" wrapText="1"/>
    </xf>
    <xf numFmtId="2" fontId="27" fillId="0" borderId="11" xfId="1" applyNumberFormat="1" applyFont="1" applyBorder="1" applyAlignment="1" applyProtection="1">
      <alignment horizontal="center" vertical="center"/>
    </xf>
    <xf numFmtId="2" fontId="27" fillId="0" borderId="1" xfId="0" quotePrefix="1" applyNumberFormat="1" applyFont="1" applyBorder="1" applyAlignment="1">
      <alignment horizontal="center" vertical="center" wrapText="1"/>
    </xf>
    <xf numFmtId="2" fontId="27" fillId="0" borderId="1" xfId="1" applyNumberFormat="1" applyFont="1" applyBorder="1" applyAlignment="1" applyProtection="1">
      <alignment horizontal="center" vertical="center"/>
    </xf>
    <xf numFmtId="2" fontId="27" fillId="2" borderId="18" xfId="0" applyNumberFormat="1" applyFont="1" applyFill="1" applyBorder="1" applyAlignment="1">
      <alignment horizontal="center" vertical="center"/>
    </xf>
    <xf numFmtId="178" fontId="27" fillId="0" borderId="15" xfId="0" quotePrefix="1" applyNumberFormat="1" applyFont="1" applyBorder="1" applyAlignment="1">
      <alignment horizontal="center" vertical="center" wrapText="1"/>
    </xf>
    <xf numFmtId="0" fontId="41" fillId="0" borderId="15" xfId="3" applyFont="1" applyBorder="1" applyAlignment="1" applyProtection="1">
      <alignment horizontal="center" vertical="center" wrapText="1"/>
      <protection locked="0"/>
    </xf>
    <xf numFmtId="166" fontId="27" fillId="0" borderId="15" xfId="3" applyNumberFormat="1" applyFont="1" applyBorder="1" applyAlignment="1" applyProtection="1">
      <alignment horizontal="center" vertical="center"/>
      <protection locked="0"/>
    </xf>
    <xf numFmtId="0" fontId="27" fillId="0" borderId="77" xfId="0" applyFont="1" applyBorder="1" applyAlignment="1" applyProtection="1">
      <alignment horizontal="center" vertical="center"/>
      <protection locked="0"/>
    </xf>
    <xf numFmtId="0" fontId="27" fillId="0" borderId="7" xfId="0" applyFont="1" applyBorder="1" applyAlignment="1" applyProtection="1">
      <alignment horizontal="center" vertical="center"/>
      <protection locked="0"/>
    </xf>
    <xf numFmtId="0" fontId="20" fillId="0" borderId="15" xfId="0" applyFont="1" applyBorder="1" applyAlignment="1" applyProtection="1">
      <alignment horizontal="center" vertical="center"/>
      <protection locked="0"/>
    </xf>
    <xf numFmtId="2" fontId="1" fillId="5" borderId="22" xfId="0" quotePrefix="1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2" fontId="6" fillId="9" borderId="25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/>
    </xf>
    <xf numFmtId="2" fontId="3" fillId="2" borderId="19" xfId="0" applyNumberFormat="1" applyFont="1" applyFill="1" applyBorder="1" applyAlignment="1">
      <alignment horizont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6" fillId="9" borderId="16" xfId="0" applyNumberFormat="1" applyFont="1" applyFill="1" applyBorder="1" applyAlignment="1">
      <alignment horizontal="center" vertical="center"/>
    </xf>
    <xf numFmtId="2" fontId="6" fillId="2" borderId="61" xfId="0" applyNumberFormat="1" applyFont="1" applyFill="1" applyBorder="1" applyAlignment="1">
      <alignment horizontal="center" vertical="center"/>
    </xf>
    <xf numFmtId="2" fontId="6" fillId="2" borderId="40" xfId="0" applyNumberFormat="1" applyFont="1" applyFill="1" applyBorder="1" applyAlignment="1">
      <alignment horizontal="center" vertical="center"/>
    </xf>
    <xf numFmtId="173" fontId="0" fillId="0" borderId="15" xfId="0" quotePrefix="1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3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5" fillId="2" borderId="18" xfId="0" quotePrefix="1" applyFont="1" applyFill="1" applyBorder="1" applyAlignment="1">
      <alignment vertical="center" wrapText="1"/>
    </xf>
    <xf numFmtId="0" fontId="0" fillId="0" borderId="15" xfId="0" applyBorder="1"/>
    <xf numFmtId="0" fontId="56" fillId="0" borderId="0" xfId="0" applyFont="1"/>
    <xf numFmtId="2" fontId="0" fillId="2" borderId="0" xfId="0" applyNumberFormat="1" applyFill="1" applyAlignment="1">
      <alignment horizontal="center"/>
    </xf>
    <xf numFmtId="2" fontId="6" fillId="2" borderId="15" xfId="0" applyNumberFormat="1" applyFont="1" applyFill="1" applyBorder="1" applyAlignment="1">
      <alignment horizontal="center"/>
    </xf>
    <xf numFmtId="2" fontId="6" fillId="2" borderId="13" xfId="0" applyNumberFormat="1" applyFont="1" applyFill="1" applyBorder="1" applyAlignment="1">
      <alignment horizontal="center" vertical="center"/>
    </xf>
    <xf numFmtId="2" fontId="6" fillId="2" borderId="35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/>
    </xf>
    <xf numFmtId="2" fontId="28" fillId="2" borderId="0" xfId="0" applyNumberFormat="1" applyFont="1" applyFill="1" applyAlignment="1">
      <alignment horizontal="center" vertical="center"/>
    </xf>
    <xf numFmtId="179" fontId="27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164" fontId="28" fillId="0" borderId="0" xfId="0" applyNumberFormat="1" applyFont="1" applyAlignment="1">
      <alignment vertical="center"/>
    </xf>
    <xf numFmtId="166" fontId="27" fillId="2" borderId="0" xfId="0" applyNumberFormat="1" applyFont="1" applyFill="1" applyAlignment="1">
      <alignment horizontal="left" vertical="center"/>
    </xf>
    <xf numFmtId="2" fontId="27" fillId="2" borderId="0" xfId="0" applyNumberFormat="1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9" fillId="0" borderId="0" xfId="0" quotePrefix="1" applyFont="1" applyAlignment="1">
      <alignment horizontal="left" vertical="center"/>
    </xf>
    <xf numFmtId="0" fontId="1" fillId="0" borderId="18" xfId="3" applyBorder="1" applyAlignment="1">
      <alignment vertical="center"/>
    </xf>
    <xf numFmtId="0" fontId="27" fillId="0" borderId="12" xfId="0" applyFont="1" applyBorder="1" applyAlignment="1">
      <alignment horizontal="left" vertical="center"/>
    </xf>
    <xf numFmtId="0" fontId="28" fillId="0" borderId="21" xfId="0" applyFont="1" applyBorder="1" applyAlignment="1">
      <alignment horizontal="center" vertical="center" wrapText="1"/>
    </xf>
    <xf numFmtId="0" fontId="27" fillId="0" borderId="21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15" xfId="0" applyBorder="1" applyAlignment="1">
      <alignment horizont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1" fillId="0" borderId="19" xfId="3" applyBorder="1" applyAlignment="1">
      <alignment vertical="center"/>
    </xf>
    <xf numFmtId="0" fontId="0" fillId="0" borderId="17" xfId="0" applyBorder="1"/>
    <xf numFmtId="0" fontId="0" fillId="0" borderId="24" xfId="0" applyBorder="1"/>
    <xf numFmtId="0" fontId="0" fillId="0" borderId="26" xfId="0" applyBorder="1" applyAlignment="1">
      <alignment horizontal="center"/>
    </xf>
    <xf numFmtId="0" fontId="27" fillId="0" borderId="7" xfId="0" applyFont="1" applyBorder="1" applyAlignment="1">
      <alignment horizontal="center" vertical="center"/>
    </xf>
    <xf numFmtId="0" fontId="27" fillId="0" borderId="8" xfId="0" applyFont="1" applyBorder="1" applyAlignment="1">
      <alignment horizontal="left" vertical="center"/>
    </xf>
    <xf numFmtId="0" fontId="27" fillId="0" borderId="9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0" fillId="0" borderId="26" xfId="0" applyBorder="1"/>
    <xf numFmtId="166" fontId="27" fillId="0" borderId="11" xfId="0" applyNumberFormat="1" applyFont="1" applyBorder="1" applyAlignment="1">
      <alignment horizontal="center" vertical="center" wrapText="1"/>
    </xf>
    <xf numFmtId="2" fontId="27" fillId="0" borderId="11" xfId="1" applyNumberFormat="1" applyFont="1" applyBorder="1" applyAlignment="1" applyProtection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166" fontId="27" fillId="0" borderId="15" xfId="0" applyNumberFormat="1" applyFont="1" applyBorder="1" applyAlignment="1">
      <alignment horizontal="center" vertical="center" wrapText="1"/>
    </xf>
    <xf numFmtId="2" fontId="27" fillId="0" borderId="15" xfId="1" applyNumberFormat="1" applyFont="1" applyBorder="1" applyAlignment="1" applyProtection="1">
      <alignment horizontal="center" vertical="center" wrapText="1"/>
    </xf>
    <xf numFmtId="174" fontId="27" fillId="0" borderId="0" xfId="0" applyNumberFormat="1" applyFont="1" applyAlignment="1">
      <alignment horizontal="center" vertical="center" wrapText="1"/>
    </xf>
    <xf numFmtId="2" fontId="27" fillId="0" borderId="15" xfId="0" applyNumberFormat="1" applyFont="1" applyBorder="1" applyAlignment="1">
      <alignment horizontal="center" vertical="center" wrapText="1"/>
    </xf>
    <xf numFmtId="178" fontId="27" fillId="0" borderId="22" xfId="0" quotePrefix="1" applyNumberFormat="1" applyFont="1" applyBorder="1" applyAlignment="1">
      <alignment horizontal="center" vertical="center" wrapText="1"/>
    </xf>
    <xf numFmtId="0" fontId="51" fillId="0" borderId="30" xfId="0" applyFont="1" applyBorder="1"/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/>
    <xf numFmtId="0" fontId="5" fillId="0" borderId="29" xfId="0" applyFont="1" applyBorder="1"/>
    <xf numFmtId="0" fontId="5" fillId="0" borderId="87" xfId="0" applyFont="1" applyBorder="1"/>
    <xf numFmtId="0" fontId="5" fillId="0" borderId="45" xfId="0" applyFont="1" applyBorder="1"/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/>
    <xf numFmtId="0" fontId="5" fillId="0" borderId="24" xfId="0" applyFont="1" applyBorder="1"/>
    <xf numFmtId="0" fontId="5" fillId="0" borderId="37" xfId="0" applyFont="1" applyBorder="1" applyAlignment="1">
      <alignment horizontal="center" vertical="center"/>
    </xf>
    <xf numFmtId="0" fontId="5" fillId="0" borderId="83" xfId="0" applyFont="1" applyBorder="1"/>
    <xf numFmtId="0" fontId="5" fillId="0" borderId="1" xfId="0" applyFont="1" applyBorder="1" applyAlignment="1">
      <alignment horizontal="center" vertical="center"/>
    </xf>
    <xf numFmtId="0" fontId="5" fillId="0" borderId="27" xfId="0" applyFont="1" applyBorder="1"/>
    <xf numFmtId="0" fontId="5" fillId="0" borderId="39" xfId="0" applyFont="1" applyBorder="1" applyAlignment="1">
      <alignment horizontal="center" vertical="center"/>
    </xf>
    <xf numFmtId="0" fontId="0" fillId="0" borderId="28" xfId="0" applyBorder="1"/>
    <xf numFmtId="0" fontId="0" fillId="0" borderId="59" xfId="0" applyBorder="1"/>
    <xf numFmtId="0" fontId="5" fillId="0" borderId="60" xfId="0" applyFont="1" applyBorder="1" applyAlignment="1">
      <alignment horizontal="center" vertical="center"/>
    </xf>
    <xf numFmtId="0" fontId="5" fillId="2" borderId="45" xfId="0" quotePrefix="1" applyFont="1" applyFill="1" applyBorder="1" applyAlignment="1">
      <alignment vertical="center"/>
    </xf>
    <xf numFmtId="0" fontId="5" fillId="0" borderId="42" xfId="0" applyFont="1" applyBorder="1" applyAlignment="1">
      <alignment horizontal="center" vertical="center"/>
    </xf>
    <xf numFmtId="0" fontId="5" fillId="0" borderId="42" xfId="0" applyFont="1" applyBorder="1"/>
    <xf numFmtId="0" fontId="5" fillId="0" borderId="43" xfId="0" applyFont="1" applyBorder="1"/>
    <xf numFmtId="0" fontId="5" fillId="0" borderId="48" xfId="0" applyFont="1" applyBorder="1"/>
    <xf numFmtId="0" fontId="0" fillId="0" borderId="49" xfId="0" applyBorder="1"/>
    <xf numFmtId="0" fontId="5" fillId="0" borderId="57" xfId="0" applyFont="1" applyBorder="1" applyAlignment="1">
      <alignment horizontal="center" vertical="center"/>
    </xf>
    <xf numFmtId="0" fontId="5" fillId="2" borderId="83" xfId="0" quotePrefix="1" applyFont="1" applyFill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0" fontId="5" fillId="0" borderId="56" xfId="0" applyFont="1" applyBorder="1"/>
    <xf numFmtId="0" fontId="5" fillId="0" borderId="69" xfId="0" applyFont="1" applyBorder="1"/>
    <xf numFmtId="0" fontId="5" fillId="0" borderId="53" xfId="0" applyFont="1" applyBorder="1"/>
    <xf numFmtId="0" fontId="0" fillId="0" borderId="53" xfId="0" applyBorder="1"/>
    <xf numFmtId="0" fontId="0" fillId="0" borderId="54" xfId="0" applyBorder="1"/>
    <xf numFmtId="0" fontId="51" fillId="0" borderId="52" xfId="0" applyFont="1" applyBorder="1"/>
    <xf numFmtId="0" fontId="51" fillId="0" borderId="53" xfId="0" applyFont="1" applyBorder="1" applyAlignment="1">
      <alignment horizontal="center" vertical="center"/>
    </xf>
    <xf numFmtId="0" fontId="51" fillId="0" borderId="53" xfId="0" applyFont="1" applyBorder="1"/>
    <xf numFmtId="0" fontId="51" fillId="0" borderId="54" xfId="0" applyFont="1" applyBorder="1"/>
    <xf numFmtId="0" fontId="5" fillId="0" borderId="54" xfId="0" applyFont="1" applyBorder="1"/>
    <xf numFmtId="0" fontId="5" fillId="0" borderId="0" xfId="0" applyFont="1" applyAlignment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  <protection hidden="1"/>
    </xf>
    <xf numFmtId="2" fontId="1" fillId="5" borderId="23" xfId="0" applyNumberFormat="1" applyFont="1" applyFill="1" applyBorder="1" applyAlignment="1">
      <alignment horizontal="center" vertical="center"/>
    </xf>
    <xf numFmtId="2" fontId="6" fillId="9" borderId="19" xfId="0" applyNumberFormat="1" applyFont="1" applyFill="1" applyBorder="1" applyAlignment="1">
      <alignment horizontal="center" vertical="center"/>
    </xf>
    <xf numFmtId="2" fontId="6" fillId="9" borderId="91" xfId="0" applyNumberFormat="1" applyFont="1" applyFill="1" applyBorder="1" applyAlignment="1">
      <alignment horizontal="center" vertical="center"/>
    </xf>
    <xf numFmtId="2" fontId="6" fillId="9" borderId="18" xfId="0" applyNumberFormat="1" applyFont="1" applyFill="1" applyBorder="1" applyAlignment="1">
      <alignment horizontal="center" vertical="center"/>
    </xf>
    <xf numFmtId="2" fontId="6" fillId="9" borderId="92" xfId="0" applyNumberFormat="1" applyFont="1" applyFill="1" applyBorder="1" applyAlignment="1">
      <alignment horizontal="center" vertical="center"/>
    </xf>
    <xf numFmtId="2" fontId="6" fillId="9" borderId="70" xfId="0" applyNumberFormat="1" applyFont="1" applyFill="1" applyBorder="1" applyAlignment="1">
      <alignment horizontal="center" vertical="center"/>
    </xf>
    <xf numFmtId="2" fontId="6" fillId="9" borderId="93" xfId="0" applyNumberFormat="1" applyFont="1" applyFill="1" applyBorder="1" applyAlignment="1">
      <alignment horizontal="center" vertical="center"/>
    </xf>
    <xf numFmtId="2" fontId="6" fillId="9" borderId="34" xfId="0" applyNumberFormat="1" applyFont="1" applyFill="1" applyBorder="1" applyAlignment="1">
      <alignment horizontal="center" vertical="center"/>
    </xf>
    <xf numFmtId="2" fontId="6" fillId="9" borderId="94" xfId="0" applyNumberFormat="1" applyFont="1" applyFill="1" applyBorder="1" applyAlignment="1">
      <alignment horizontal="center" vertical="center"/>
    </xf>
    <xf numFmtId="2" fontId="16" fillId="2" borderId="23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" fontId="6" fillId="2" borderId="46" xfId="0" applyNumberFormat="1" applyFont="1" applyFill="1" applyBorder="1" applyAlignment="1">
      <alignment horizontal="center" vertical="center"/>
    </xf>
    <xf numFmtId="1" fontId="6" fillId="2" borderId="55" xfId="0" applyNumberFormat="1" applyFont="1" applyFill="1" applyBorder="1" applyAlignment="1">
      <alignment horizontal="center" vertical="center"/>
    </xf>
    <xf numFmtId="2" fontId="6" fillId="9" borderId="62" xfId="0" applyNumberFormat="1" applyFont="1" applyFill="1" applyBorder="1" applyAlignment="1">
      <alignment horizontal="center" vertical="center"/>
    </xf>
    <xf numFmtId="2" fontId="6" fillId="9" borderId="38" xfId="0" applyNumberFormat="1" applyFont="1" applyFill="1" applyBorder="1" applyAlignment="1">
      <alignment horizontal="center" vertical="center"/>
    </xf>
    <xf numFmtId="2" fontId="6" fillId="9" borderId="37" xfId="0" applyNumberFormat="1" applyFont="1" applyFill="1" applyBorder="1" applyAlignment="1">
      <alignment horizontal="center" vertical="center"/>
    </xf>
    <xf numFmtId="2" fontId="0" fillId="0" borderId="68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6" fillId="0" borderId="38" xfId="0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" fontId="9" fillId="2" borderId="15" xfId="0" applyNumberFormat="1" applyFont="1" applyFill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2" fillId="0" borderId="25" xfId="0" applyFont="1" applyBorder="1" applyAlignment="1">
      <alignment horizont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wrapText="1"/>
    </xf>
    <xf numFmtId="9" fontId="2" fillId="0" borderId="25" xfId="0" quotePrefix="1" applyNumberFormat="1" applyFont="1" applyBorder="1" applyAlignment="1">
      <alignment horizontal="center" vertical="center" wrapText="1"/>
    </xf>
    <xf numFmtId="0" fontId="2" fillId="2" borderId="25" xfId="0" applyFont="1" applyFill="1" applyBorder="1" applyAlignment="1" applyProtection="1">
      <alignment horizontal="center" wrapText="1"/>
      <protection hidden="1"/>
    </xf>
    <xf numFmtId="2" fontId="2" fillId="0" borderId="20" xfId="0" applyNumberFormat="1" applyFont="1" applyBorder="1" applyAlignment="1" applyProtection="1">
      <alignment horizontal="center" vertical="center" wrapText="1"/>
      <protection hidden="1"/>
    </xf>
    <xf numFmtId="2" fontId="2" fillId="0" borderId="25" xfId="0" applyNumberFormat="1" applyFont="1" applyBorder="1" applyAlignment="1" applyProtection="1">
      <alignment horizontal="center" wrapText="1"/>
      <protection hidden="1"/>
    </xf>
    <xf numFmtId="0" fontId="28" fillId="0" borderId="0" xfId="0" applyFont="1" applyAlignment="1" applyProtection="1">
      <alignment vertical="top"/>
      <protection locked="0"/>
    </xf>
    <xf numFmtId="0" fontId="27" fillId="0" borderId="0" xfId="0" applyFont="1" applyAlignment="1" applyProtection="1">
      <alignment vertical="top"/>
      <protection locked="0"/>
    </xf>
    <xf numFmtId="0" fontId="27" fillId="0" borderId="0" xfId="0" applyFont="1" applyAlignment="1" applyProtection="1">
      <alignment horizontal="left" vertical="top"/>
      <protection locked="0"/>
    </xf>
    <xf numFmtId="164" fontId="27" fillId="0" borderId="0" xfId="0" applyNumberFormat="1" applyFont="1" applyAlignment="1" applyProtection="1">
      <alignment vertical="top"/>
      <protection locked="0"/>
    </xf>
    <xf numFmtId="0" fontId="28" fillId="0" borderId="0" xfId="0" quotePrefix="1" applyFont="1" applyAlignment="1" applyProtection="1">
      <alignment vertical="center"/>
      <protection locked="0"/>
    </xf>
    <xf numFmtId="166" fontId="27" fillId="0" borderId="0" xfId="0" applyNumberFormat="1" applyFont="1" applyAlignment="1" applyProtection="1">
      <alignment vertical="center"/>
      <protection locked="0"/>
    </xf>
    <xf numFmtId="2" fontId="12" fillId="5" borderId="23" xfId="2" applyNumberFormat="1" applyFont="1" applyFill="1" applyBorder="1" applyAlignment="1">
      <alignment horizontal="center" vertical="center"/>
    </xf>
    <xf numFmtId="2" fontId="15" fillId="5" borderId="15" xfId="0" applyNumberFormat="1" applyFont="1" applyFill="1" applyBorder="1" applyAlignment="1">
      <alignment horizontal="center" vertical="center"/>
    </xf>
    <xf numFmtId="2" fontId="15" fillId="5" borderId="15" xfId="0" quotePrefix="1" applyNumberFormat="1" applyFont="1" applyFill="1" applyBorder="1" applyAlignment="1">
      <alignment horizontal="center" vertical="center"/>
    </xf>
    <xf numFmtId="164" fontId="1" fillId="5" borderId="23" xfId="0" applyNumberFormat="1" applyFont="1" applyFill="1" applyBorder="1" applyAlignment="1">
      <alignment horizontal="center" vertical="center"/>
    </xf>
    <xf numFmtId="2" fontId="27" fillId="0" borderId="0" xfId="0" applyNumberFormat="1" applyFont="1" applyAlignment="1">
      <alignment horizontal="left" vertical="center"/>
    </xf>
    <xf numFmtId="2" fontId="0" fillId="0" borderId="0" xfId="0" applyNumberFormat="1"/>
    <xf numFmtId="2" fontId="12" fillId="0" borderId="15" xfId="2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2" fontId="15" fillId="0" borderId="15" xfId="0" quotePrefix="1" applyNumberFormat="1" applyFont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2" fontId="1" fillId="0" borderId="15" xfId="2" applyNumberFormat="1" applyBorder="1" applyAlignment="1">
      <alignment horizontal="center" vertical="center"/>
    </xf>
    <xf numFmtId="2" fontId="0" fillId="0" borderId="15" xfId="0" applyNumberFormat="1" applyBorder="1"/>
    <xf numFmtId="2" fontId="1" fillId="0" borderId="15" xfId="0" applyNumberFormat="1" applyFont="1" applyBorder="1" applyAlignment="1">
      <alignment horizontal="center"/>
    </xf>
    <xf numFmtId="2" fontId="0" fillId="0" borderId="15" xfId="0" quotePrefix="1" applyNumberFormat="1" applyBorder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2" fillId="0" borderId="0" xfId="0" applyNumberFormat="1" applyFont="1"/>
    <xf numFmtId="2" fontId="1" fillId="0" borderId="15" xfId="0" quotePrefix="1" applyNumberFormat="1" applyFont="1" applyBorder="1" applyAlignment="1">
      <alignment horizontal="center" vertical="center"/>
    </xf>
    <xf numFmtId="164" fontId="0" fillId="0" borderId="15" xfId="0" quotePrefix="1" applyNumberFormat="1" applyBorder="1" applyAlignment="1">
      <alignment horizontal="center" vertical="center"/>
    </xf>
    <xf numFmtId="2" fontId="0" fillId="2" borderId="50" xfId="0" applyNumberFormat="1" applyFill="1" applyBorder="1"/>
    <xf numFmtId="2" fontId="0" fillId="0" borderId="51" xfId="0" applyNumberFormat="1" applyBorder="1"/>
    <xf numFmtId="2" fontId="0" fillId="0" borderId="26" xfId="0" applyNumberForma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/>
    </xf>
    <xf numFmtId="2" fontId="20" fillId="2" borderId="5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21" fillId="0" borderId="1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 vertical="center"/>
    </xf>
    <xf numFmtId="2" fontId="21" fillId="0" borderId="15" xfId="0" quotePrefix="1" applyNumberFormat="1" applyFont="1" applyBorder="1" applyAlignment="1">
      <alignment horizontal="center" vertical="center"/>
    </xf>
    <xf numFmtId="2" fontId="1" fillId="0" borderId="50" xfId="0" applyNumberFormat="1" applyFont="1" applyBorder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8" fillId="8" borderId="15" xfId="2" applyNumberFormat="1" applyFont="1" applyFill="1" applyBorder="1"/>
    <xf numFmtId="2" fontId="2" fillId="8" borderId="15" xfId="0" applyNumberFormat="1" applyFont="1" applyFill="1" applyBorder="1" applyAlignment="1">
      <alignment horizontal="center" vertical="center"/>
    </xf>
    <xf numFmtId="2" fontId="8" fillId="8" borderId="15" xfId="2" applyNumberFormat="1" applyFont="1" applyFill="1" applyBorder="1" applyAlignment="1">
      <alignment horizontal="center" vertical="center"/>
    </xf>
    <xf numFmtId="2" fontId="9" fillId="8" borderId="15" xfId="2" applyNumberFormat="1" applyFont="1" applyFill="1" applyBorder="1" applyAlignment="1">
      <alignment horizontal="center" vertical="center"/>
    </xf>
    <xf numFmtId="2" fontId="1" fillId="8" borderId="15" xfId="2" applyNumberForma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1" fillId="0" borderId="15" xfId="0" applyNumberFormat="1" applyFont="1" applyBorder="1"/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" fillId="2" borderId="0" xfId="0" applyNumberFormat="1" applyFont="1" applyFill="1"/>
    <xf numFmtId="2" fontId="19" fillId="2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 vertical="center" wrapText="1"/>
    </xf>
    <xf numFmtId="2" fontId="1" fillId="2" borderId="48" xfId="0" applyNumberFormat="1" applyFont="1" applyFill="1" applyBorder="1"/>
    <xf numFmtId="164" fontId="16" fillId="2" borderId="15" xfId="0" applyNumberFormat="1" applyFont="1" applyFill="1" applyBorder="1" applyAlignment="1">
      <alignment horizontal="center" vertical="center"/>
    </xf>
    <xf numFmtId="2" fontId="12" fillId="2" borderId="15" xfId="2" applyNumberFormat="1" applyFont="1" applyFill="1" applyBorder="1" applyAlignment="1">
      <alignment horizontal="center" vertical="center"/>
    </xf>
    <xf numFmtId="1" fontId="15" fillId="2" borderId="15" xfId="0" applyNumberFormat="1" applyFont="1" applyFill="1" applyBorder="1" applyAlignment="1">
      <alignment horizontal="center" vertical="center"/>
    </xf>
    <xf numFmtId="2" fontId="1" fillId="5" borderId="60" xfId="0" applyNumberFormat="1" applyFont="1" applyFill="1" applyBorder="1" applyAlignment="1">
      <alignment horizontal="center" vertical="center" wrapText="1"/>
    </xf>
    <xf numFmtId="2" fontId="6" fillId="2" borderId="34" xfId="0" applyNumberFormat="1" applyFont="1" applyFill="1" applyBorder="1" applyAlignment="1">
      <alignment horizontal="center" vertical="center"/>
    </xf>
    <xf numFmtId="164" fontId="6" fillId="2" borderId="62" xfId="0" applyNumberFormat="1" applyFont="1" applyFill="1" applyBorder="1" applyAlignment="1">
      <alignment horizontal="center" vertical="center"/>
    </xf>
    <xf numFmtId="2" fontId="9" fillId="2" borderId="15" xfId="2" applyNumberFormat="1" applyFont="1" applyFill="1" applyBorder="1" applyAlignment="1">
      <alignment horizontal="center" vertical="center"/>
    </xf>
    <xf numFmtId="164" fontId="9" fillId="2" borderId="15" xfId="2" applyNumberFormat="1" applyFont="1" applyFill="1" applyBorder="1" applyAlignment="1">
      <alignment horizontal="center" vertical="center"/>
    </xf>
    <xf numFmtId="164" fontId="16" fillId="2" borderId="15" xfId="0" applyNumberFormat="1" applyFont="1" applyFill="1" applyBorder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2" fontId="1" fillId="5" borderId="44" xfId="0" applyNumberFormat="1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164" fontId="6" fillId="2" borderId="37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Alignment="1">
      <alignment vertical="center"/>
    </xf>
    <xf numFmtId="2" fontId="1" fillId="2" borderId="15" xfId="2" applyNumberFormat="1" applyFill="1" applyBorder="1" applyAlignment="1">
      <alignment horizontal="center" vertical="center"/>
    </xf>
    <xf numFmtId="164" fontId="1" fillId="2" borderId="15" xfId="2" applyNumberForma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right" vertical="center"/>
    </xf>
    <xf numFmtId="2" fontId="1" fillId="5" borderId="72" xfId="0" applyNumberFormat="1" applyFont="1" applyFill="1" applyBorder="1" applyAlignment="1">
      <alignment horizontal="center" vertical="center" wrapText="1"/>
    </xf>
    <xf numFmtId="2" fontId="6" fillId="2" borderId="20" xfId="0" applyNumberFormat="1" applyFont="1" applyFill="1" applyBorder="1" applyAlignment="1">
      <alignment horizontal="center" vertical="center"/>
    </xf>
    <xf numFmtId="164" fontId="6" fillId="2" borderId="35" xfId="0" applyNumberFormat="1" applyFont="1" applyFill="1" applyBorder="1" applyAlignment="1">
      <alignment horizontal="center" vertical="center"/>
    </xf>
    <xf numFmtId="2" fontId="9" fillId="2" borderId="44" xfId="2" applyNumberFormat="1" applyFont="1" applyFill="1" applyBorder="1" applyAlignment="1">
      <alignment horizontal="center" vertical="center"/>
    </xf>
    <xf numFmtId="2" fontId="10" fillId="0" borderId="38" xfId="0" applyNumberFormat="1" applyFont="1" applyBorder="1" applyAlignment="1">
      <alignment vertical="center"/>
    </xf>
    <xf numFmtId="2" fontId="59" fillId="5" borderId="57" xfId="0" applyNumberFormat="1" applyFont="1" applyFill="1" applyBorder="1" applyAlignment="1">
      <alignment horizontal="center" vertical="center" wrapText="1"/>
    </xf>
    <xf numFmtId="2" fontId="60" fillId="2" borderId="40" xfId="0" applyNumberFormat="1" applyFont="1" applyFill="1" applyBorder="1" applyAlignment="1">
      <alignment horizontal="center" vertical="center"/>
    </xf>
    <xf numFmtId="164" fontId="61" fillId="2" borderId="41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62" fillId="2" borderId="0" xfId="0" applyNumberFormat="1" applyFont="1" applyFill="1" applyAlignment="1">
      <alignment horizontal="center" vertical="center" wrapText="1"/>
    </xf>
    <xf numFmtId="2" fontId="63" fillId="2" borderId="0" xfId="0" applyNumberFormat="1" applyFont="1" applyFill="1" applyAlignment="1">
      <alignment horizontal="center" vertical="center"/>
    </xf>
    <xf numFmtId="2" fontId="64" fillId="2" borderId="51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/>
    </xf>
    <xf numFmtId="2" fontId="62" fillId="2" borderId="0" xfId="0" applyNumberFormat="1" applyFont="1" applyFill="1"/>
    <xf numFmtId="2" fontId="62" fillId="2" borderId="51" xfId="0" applyNumberFormat="1" applyFont="1" applyFill="1" applyBorder="1"/>
    <xf numFmtId="2" fontId="62" fillId="2" borderId="0" xfId="0" applyNumberFormat="1" applyFont="1" applyFill="1" applyAlignment="1">
      <alignment horizontal="center" vertical="center"/>
    </xf>
    <xf numFmtId="2" fontId="0" fillId="2" borderId="51" xfId="0" applyNumberFormat="1" applyFill="1" applyBorder="1"/>
    <xf numFmtId="2" fontId="7" fillId="2" borderId="0" xfId="0" applyNumberFormat="1" applyFont="1" applyFill="1"/>
    <xf numFmtId="2" fontId="7" fillId="2" borderId="51" xfId="0" applyNumberFormat="1" applyFont="1" applyFill="1" applyBorder="1"/>
    <xf numFmtId="2" fontId="7" fillId="0" borderId="0" xfId="0" applyNumberFormat="1" applyFont="1"/>
    <xf numFmtId="2" fontId="16" fillId="2" borderId="51" xfId="0" applyNumberFormat="1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43" fillId="2" borderId="0" xfId="0" applyNumberFormat="1" applyFont="1" applyFill="1" applyAlignment="1">
      <alignment horizontal="center" vertical="center"/>
    </xf>
    <xf numFmtId="2" fontId="52" fillId="8" borderId="15" xfId="0" applyNumberFormat="1" applyFont="1" applyFill="1" applyBorder="1" applyAlignment="1">
      <alignment horizontal="center" vertical="center"/>
    </xf>
    <xf numFmtId="2" fontId="52" fillId="8" borderId="15" xfId="0" applyNumberFormat="1" applyFont="1" applyFill="1" applyBorder="1" applyAlignment="1">
      <alignment vertical="center"/>
    </xf>
    <xf numFmtId="1" fontId="52" fillId="8" borderId="15" xfId="0" applyNumberFormat="1" applyFont="1" applyFill="1" applyBorder="1" applyAlignment="1">
      <alignment vertical="center"/>
    </xf>
    <xf numFmtId="1" fontId="52" fillId="8" borderId="15" xfId="0" applyNumberFormat="1" applyFont="1" applyFill="1" applyBorder="1" applyAlignment="1">
      <alignment horizontal="center" vertical="center"/>
    </xf>
    <xf numFmtId="1" fontId="52" fillId="8" borderId="38" xfId="0" applyNumberFormat="1" applyFont="1" applyFill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 vertical="center"/>
    </xf>
    <xf numFmtId="2" fontId="5" fillId="0" borderId="18" xfId="0" applyNumberFormat="1" applyFont="1" applyBorder="1"/>
    <xf numFmtId="2" fontId="5" fillId="0" borderId="22" xfId="0" applyNumberFormat="1" applyFont="1" applyBorder="1"/>
    <xf numFmtId="2" fontId="5" fillId="0" borderId="55" xfId="0" applyNumberFormat="1" applyFont="1" applyBorder="1"/>
    <xf numFmtId="1" fontId="52" fillId="8" borderId="15" xfId="0" applyNumberFormat="1" applyFont="1" applyFill="1" applyBorder="1" applyAlignment="1">
      <alignment horizontal="right" vertical="center"/>
    </xf>
    <xf numFmtId="2" fontId="5" fillId="0" borderId="0" xfId="0" applyNumberFormat="1" applyFont="1"/>
    <xf numFmtId="2" fontId="5" fillId="0" borderId="51" xfId="0" applyNumberFormat="1" applyFont="1" applyBorder="1"/>
    <xf numFmtId="2" fontId="5" fillId="5" borderId="52" xfId="0" applyNumberFormat="1" applyFont="1" applyFill="1" applyBorder="1"/>
    <xf numFmtId="2" fontId="5" fillId="5" borderId="53" xfId="0" applyNumberFormat="1" applyFont="1" applyFill="1" applyBorder="1"/>
    <xf numFmtId="2" fontId="2" fillId="10" borderId="44" xfId="0" applyNumberFormat="1" applyFont="1" applyFill="1" applyBorder="1" applyAlignment="1">
      <alignment horizontal="center" vertical="center"/>
    </xf>
    <xf numFmtId="2" fontId="2" fillId="5" borderId="38" xfId="0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" fillId="10" borderId="15" xfId="0" applyNumberFormat="1" applyFont="1" applyFill="1" applyBorder="1" applyAlignment="1">
      <alignment horizontal="center"/>
    </xf>
    <xf numFmtId="2" fontId="1" fillId="5" borderId="15" xfId="0" applyNumberFormat="1" applyFont="1" applyFill="1" applyBorder="1" applyAlignment="1">
      <alignment vertical="center"/>
    </xf>
    <xf numFmtId="2" fontId="0" fillId="5" borderId="15" xfId="0" applyNumberFormat="1" applyFill="1" applyBorder="1"/>
    <xf numFmtId="2" fontId="2" fillId="10" borderId="57" xfId="0" applyNumberFormat="1" applyFont="1" applyFill="1" applyBorder="1" applyAlignment="1">
      <alignment horizontal="center" vertical="center"/>
    </xf>
    <xf numFmtId="2" fontId="2" fillId="5" borderId="41" xfId="0" applyNumberFormat="1" applyFon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/>
    </xf>
    <xf numFmtId="2" fontId="1" fillId="5" borderId="15" xfId="0" quotePrefix="1" applyNumberFormat="1" applyFont="1" applyFill="1" applyBorder="1" applyAlignment="1">
      <alignment horizontal="center"/>
    </xf>
    <xf numFmtId="2" fontId="0" fillId="0" borderId="50" xfId="0" applyNumberFormat="1" applyBorder="1"/>
    <xf numFmtId="2" fontId="0" fillId="0" borderId="28" xfId="0" applyNumberFormat="1" applyBorder="1"/>
    <xf numFmtId="2" fontId="6" fillId="0" borderId="0" xfId="0" applyNumberFormat="1" applyFont="1"/>
    <xf numFmtId="2" fontId="0" fillId="0" borderId="0" xfId="0" applyNumberFormat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15" fillId="10" borderId="15" xfId="0" applyNumberFormat="1" applyFont="1" applyFill="1" applyBorder="1" applyAlignment="1">
      <alignment horizontal="center" vertical="center"/>
    </xf>
    <xf numFmtId="2" fontId="1" fillId="5" borderId="15" xfId="0" applyNumberFormat="1" applyFont="1" applyFill="1" applyBorder="1" applyAlignment="1">
      <alignment horizontal="center"/>
    </xf>
    <xf numFmtId="2" fontId="0" fillId="0" borderId="48" xfId="0" applyNumberFormat="1" applyBorder="1"/>
    <xf numFmtId="2" fontId="0" fillId="0" borderId="50" xfId="0" applyNumberFormat="1" applyBorder="1" applyAlignment="1">
      <alignment horizontal="center" vertical="center"/>
    </xf>
    <xf numFmtId="2" fontId="1" fillId="0" borderId="0" xfId="0" quotePrefix="1" applyNumberFormat="1" applyFont="1" applyAlignment="1">
      <alignment horizontal="center"/>
    </xf>
    <xf numFmtId="2" fontId="2" fillId="5" borderId="1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6" fillId="7" borderId="52" xfId="0" applyNumberFormat="1" applyFont="1" applyFill="1" applyBorder="1"/>
    <xf numFmtId="2" fontId="16" fillId="2" borderId="15" xfId="2" applyNumberFormat="1" applyFont="1" applyFill="1" applyBorder="1" applyAlignment="1">
      <alignment vertical="center"/>
    </xf>
    <xf numFmtId="2" fontId="16" fillId="2" borderId="48" xfId="2" applyNumberFormat="1" applyFont="1" applyFill="1" applyBorder="1" applyAlignment="1">
      <alignment horizontal="center" vertical="center"/>
    </xf>
    <xf numFmtId="2" fontId="18" fillId="10" borderId="15" xfId="0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38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/>
    </xf>
    <xf numFmtId="2" fontId="7" fillId="4" borderId="38" xfId="0" applyNumberFormat="1" applyFont="1" applyFill="1" applyBorder="1" applyAlignment="1">
      <alignment horizontal="center"/>
    </xf>
    <xf numFmtId="2" fontId="6" fillId="10" borderId="15" xfId="0" applyNumberFormat="1" applyFont="1" applyFill="1" applyBorder="1" applyAlignment="1">
      <alignment horizontal="center"/>
    </xf>
    <xf numFmtId="2" fontId="6" fillId="10" borderId="38" xfId="0" applyNumberFormat="1" applyFont="1" applyFill="1" applyBorder="1" applyAlignment="1">
      <alignment horizontal="center"/>
    </xf>
    <xf numFmtId="2" fontId="2" fillId="4" borderId="38" xfId="0" applyNumberFormat="1" applyFont="1" applyFill="1" applyBorder="1" applyAlignment="1">
      <alignment horizontal="center"/>
    </xf>
    <xf numFmtId="2" fontId="7" fillId="4" borderId="57" xfId="0" applyNumberFormat="1" applyFont="1" applyFill="1" applyBorder="1" applyAlignment="1">
      <alignment horizontal="center" vertical="center"/>
    </xf>
    <xf numFmtId="2" fontId="2" fillId="4" borderId="41" xfId="0" applyNumberFormat="1" applyFont="1" applyFill="1" applyBorder="1" applyAlignment="1">
      <alignment horizont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40" xfId="0" applyNumberFormat="1" applyFont="1" applyFill="1" applyBorder="1" applyAlignment="1">
      <alignment horizontal="center"/>
    </xf>
    <xf numFmtId="2" fontId="6" fillId="10" borderId="41" xfId="0" applyNumberFormat="1" applyFont="1" applyFill="1" applyBorder="1" applyAlignment="1">
      <alignment horizontal="center"/>
    </xf>
    <xf numFmtId="2" fontId="6" fillId="0" borderId="53" xfId="0" applyNumberFormat="1" applyFont="1" applyBorder="1"/>
    <xf numFmtId="2" fontId="6" fillId="2" borderId="16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/>
    </xf>
    <xf numFmtId="2" fontId="6" fillId="2" borderId="35" xfId="0" applyNumberFormat="1" applyFont="1" applyFill="1" applyBorder="1" applyAlignment="1">
      <alignment horizontal="center"/>
    </xf>
    <xf numFmtId="2" fontId="6" fillId="2" borderId="0" xfId="0" applyNumberFormat="1" applyFont="1" applyFill="1"/>
    <xf numFmtId="2" fontId="6" fillId="10" borderId="61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/>
    </xf>
    <xf numFmtId="2" fontId="6" fillId="10" borderId="62" xfId="0" applyNumberFormat="1" applyFont="1" applyFill="1" applyBorder="1" applyAlignment="1">
      <alignment horizontal="center"/>
    </xf>
    <xf numFmtId="2" fontId="6" fillId="0" borderId="48" xfId="0" applyNumberFormat="1" applyFont="1" applyBorder="1"/>
    <xf numFmtId="2" fontId="41" fillId="4" borderId="38" xfId="0" applyNumberFormat="1" applyFont="1" applyFill="1" applyBorder="1" applyAlignment="1">
      <alignment horizontal="center" vertical="center"/>
    </xf>
    <xf numFmtId="2" fontId="6" fillId="10" borderId="41" xfId="0" applyNumberFormat="1" applyFont="1" applyFill="1" applyBorder="1" applyAlignment="1">
      <alignment horizontal="center" vertical="center"/>
    </xf>
    <xf numFmtId="2" fontId="6" fillId="2" borderId="71" xfId="0" applyNumberFormat="1" applyFont="1" applyFill="1" applyBorder="1" applyAlignment="1">
      <alignment horizontal="center" vertical="center"/>
    </xf>
    <xf numFmtId="2" fontId="6" fillId="10" borderId="62" xfId="0" applyNumberFormat="1" applyFont="1" applyFill="1" applyBorder="1" applyAlignment="1">
      <alignment horizontal="center" vertical="center"/>
    </xf>
    <xf numFmtId="2" fontId="6" fillId="2" borderId="80" xfId="0" applyNumberFormat="1" applyFont="1" applyFill="1" applyBorder="1" applyAlignment="1">
      <alignment horizontal="center" vertical="center"/>
    </xf>
    <xf numFmtId="2" fontId="6" fillId="0" borderId="50" xfId="0" applyNumberFormat="1" applyFont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center" vertical="center"/>
    </xf>
    <xf numFmtId="2" fontId="16" fillId="2" borderId="48" xfId="2" applyNumberFormat="1" applyFont="1" applyFill="1" applyBorder="1" applyAlignment="1">
      <alignment horizontal="left" vertical="center" wrapText="1"/>
    </xf>
    <xf numFmtId="2" fontId="18" fillId="2" borderId="15" xfId="0" applyNumberFormat="1" applyFont="1" applyFill="1" applyBorder="1" applyAlignment="1">
      <alignment horizontal="center" vertical="center"/>
    </xf>
    <xf numFmtId="2" fontId="8" fillId="2" borderId="15" xfId="2" applyNumberFormat="1" applyFont="1" applyFill="1" applyBorder="1" applyAlignment="1">
      <alignment horizontal="center" vertical="center"/>
    </xf>
    <xf numFmtId="2" fontId="6" fillId="5" borderId="15" xfId="0" applyNumberFormat="1" applyFont="1" applyFill="1" applyBorder="1" applyAlignment="1">
      <alignment horizontal="center"/>
    </xf>
    <xf numFmtId="2" fontId="6" fillId="2" borderId="15" xfId="2" applyNumberFormat="1" applyFont="1" applyFill="1" applyBorder="1" applyAlignment="1">
      <alignment horizontal="center"/>
    </xf>
    <xf numFmtId="2" fontId="6" fillId="2" borderId="50" xfId="2" applyNumberFormat="1" applyFont="1" applyFill="1" applyBorder="1" applyAlignment="1">
      <alignment horizontal="center"/>
    </xf>
    <xf numFmtId="2" fontId="7" fillId="2" borderId="0" xfId="2" applyNumberFormat="1" applyFont="1" applyFill="1"/>
    <xf numFmtId="2" fontId="0" fillId="5" borderId="61" xfId="0" applyNumberFormat="1" applyFill="1" applyBorder="1"/>
    <xf numFmtId="2" fontId="8" fillId="2" borderId="0" xfId="2" applyNumberFormat="1" applyFont="1" applyFill="1"/>
    <xf numFmtId="2" fontId="6" fillId="2" borderId="50" xfId="0" applyNumberFormat="1" applyFont="1" applyFill="1" applyBorder="1"/>
    <xf numFmtId="2" fontId="0" fillId="5" borderId="40" xfId="0" applyNumberFormat="1" applyFill="1" applyBorder="1"/>
    <xf numFmtId="2" fontId="16" fillId="2" borderId="0" xfId="0" applyNumberFormat="1" applyFont="1" applyFill="1" applyAlignment="1">
      <alignment vertical="center"/>
    </xf>
    <xf numFmtId="2" fontId="16" fillId="2" borderId="0" xfId="2" applyNumberFormat="1" applyFont="1" applyFill="1" applyAlignment="1">
      <alignment vertical="center"/>
    </xf>
    <xf numFmtId="2" fontId="8" fillId="2" borderId="0" xfId="2" applyNumberFormat="1" applyFont="1" applyFill="1" applyAlignment="1">
      <alignment horizontal="center"/>
    </xf>
    <xf numFmtId="2" fontId="18" fillId="2" borderId="0" xfId="0" applyNumberFormat="1" applyFont="1" applyFill="1" applyAlignment="1">
      <alignment vertical="center"/>
    </xf>
    <xf numFmtId="2" fontId="16" fillId="2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3" xfId="0" applyNumberFormat="1" applyFont="1" applyFill="1" applyBorder="1"/>
    <xf numFmtId="2" fontId="6" fillId="2" borderId="53" xfId="2" applyNumberFormat="1" applyFont="1" applyFill="1" applyBorder="1" applyAlignment="1">
      <alignment horizontal="center"/>
    </xf>
    <xf numFmtId="2" fontId="0" fillId="0" borderId="53" xfId="0" applyNumberFormat="1" applyBorder="1"/>
    <xf numFmtId="2" fontId="0" fillId="0" borderId="54" xfId="0" applyNumberFormat="1" applyBorder="1"/>
    <xf numFmtId="2" fontId="6" fillId="10" borderId="15" xfId="0" applyNumberFormat="1" applyFont="1" applyFill="1" applyBorder="1" applyAlignment="1">
      <alignment vertical="center"/>
    </xf>
    <xf numFmtId="2" fontId="25" fillId="0" borderId="38" xfId="0" applyNumberFormat="1" applyFont="1" applyBorder="1" applyAlignment="1">
      <alignment horizontal="left" vertical="center"/>
    </xf>
    <xf numFmtId="2" fontId="6" fillId="10" borderId="15" xfId="0" applyNumberFormat="1" applyFont="1" applyFill="1" applyBorder="1" applyAlignment="1">
      <alignment horizontal="left" vertical="center"/>
    </xf>
    <xf numFmtId="2" fontId="0" fillId="5" borderId="0" xfId="0" applyNumberFormat="1" applyFill="1"/>
    <xf numFmtId="2" fontId="1" fillId="5" borderId="44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center" vertical="center" wrapText="1"/>
    </xf>
    <xf numFmtId="0" fontId="28" fillId="11" borderId="0" xfId="0" applyFont="1" applyFill="1"/>
    <xf numFmtId="0" fontId="27" fillId="11" borderId="0" xfId="0" applyFont="1" applyFill="1"/>
    <xf numFmtId="2" fontId="46" fillId="2" borderId="0" xfId="0" applyNumberFormat="1" applyFont="1" applyFill="1" applyAlignment="1">
      <alignment vertical="center"/>
    </xf>
    <xf numFmtId="2" fontId="24" fillId="2" borderId="25" xfId="0" applyNumberFormat="1" applyFont="1" applyFill="1" applyBorder="1" applyAlignment="1">
      <alignment vertical="center"/>
    </xf>
    <xf numFmtId="2" fontId="12" fillId="2" borderId="0" xfId="2" applyNumberFormat="1" applyFont="1" applyFill="1"/>
    <xf numFmtId="2" fontId="15" fillId="2" borderId="0" xfId="0" applyNumberFormat="1" applyFont="1" applyFill="1" applyAlignment="1">
      <alignment vertical="center"/>
    </xf>
    <xf numFmtId="2" fontId="15" fillId="2" borderId="0" xfId="0" applyNumberFormat="1" applyFont="1" applyFill="1" applyAlignment="1">
      <alignment vertical="center" wrapText="1"/>
    </xf>
    <xf numFmtId="2" fontId="24" fillId="2" borderId="0" xfId="0" applyNumberFormat="1" applyFont="1" applyFill="1" applyAlignment="1">
      <alignment vertical="center"/>
    </xf>
    <xf numFmtId="2" fontId="12" fillId="2" borderId="0" xfId="2" applyNumberFormat="1" applyFont="1" applyFill="1" applyAlignment="1">
      <alignment vertical="center"/>
    </xf>
    <xf numFmtId="2" fontId="15" fillId="2" borderId="44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24" fillId="2" borderId="16" xfId="0" applyNumberFormat="1" applyFont="1" applyFill="1" applyBorder="1" applyAlignment="1">
      <alignment vertical="center"/>
    </xf>
    <xf numFmtId="2" fontId="12" fillId="2" borderId="44" xfId="2" applyNumberFormat="1" applyFont="1" applyFill="1" applyBorder="1" applyAlignment="1">
      <alignment horizontal="center" vertical="center"/>
    </xf>
    <xf numFmtId="2" fontId="12" fillId="2" borderId="0" xfId="2" applyNumberFormat="1" applyFont="1" applyFill="1" applyAlignment="1">
      <alignment horizontal="center" vertical="center"/>
    </xf>
    <xf numFmtId="2" fontId="15" fillId="2" borderId="0" xfId="0" quotePrefix="1" applyNumberFormat="1" applyFont="1" applyFill="1" applyAlignment="1">
      <alignment horizontal="center" vertical="center"/>
    </xf>
    <xf numFmtId="2" fontId="57" fillId="2" borderId="16" xfId="0" applyNumberFormat="1" applyFont="1" applyFill="1" applyBorder="1" applyAlignment="1">
      <alignment vertical="center"/>
    </xf>
    <xf numFmtId="2" fontId="57" fillId="2" borderId="16" xfId="0" applyNumberFormat="1" applyFont="1" applyFill="1" applyBorder="1" applyAlignment="1">
      <alignment horizontal="center" vertical="center"/>
    </xf>
    <xf numFmtId="2" fontId="24" fillId="2" borderId="0" xfId="0" applyNumberFormat="1" applyFont="1" applyFill="1" applyAlignment="1">
      <alignment horizontal="center" vertical="center"/>
    </xf>
    <xf numFmtId="2" fontId="6" fillId="0" borderId="50" xfId="0" applyNumberFormat="1" applyFont="1" applyBorder="1"/>
    <xf numFmtId="2" fontId="6" fillId="0" borderId="51" xfId="0" applyNumberFormat="1" applyFont="1" applyBorder="1"/>
    <xf numFmtId="2" fontId="25" fillId="2" borderId="25" xfId="0" applyNumberFormat="1" applyFont="1" applyFill="1" applyBorder="1" applyAlignment="1">
      <alignment vertical="center"/>
    </xf>
    <xf numFmtId="2" fontId="25" fillId="2" borderId="16" xfId="0" applyNumberFormat="1" applyFont="1" applyFill="1" applyBorder="1" applyAlignment="1">
      <alignment vertical="center"/>
    </xf>
    <xf numFmtId="2" fontId="12" fillId="5" borderId="15" xfId="2" applyNumberFormat="1" applyFont="1" applyFill="1" applyBorder="1" applyAlignment="1">
      <alignment horizontal="center" vertical="center"/>
    </xf>
    <xf numFmtId="2" fontId="47" fillId="2" borderId="0" xfId="2" applyNumberFormat="1" applyFont="1" applyFill="1" applyAlignment="1">
      <alignment vertical="center"/>
    </xf>
    <xf numFmtId="2" fontId="47" fillId="2" borderId="51" xfId="2" applyNumberFormat="1" applyFont="1" applyFill="1" applyBorder="1" applyAlignment="1">
      <alignment vertical="center"/>
    </xf>
    <xf numFmtId="2" fontId="0" fillId="0" borderId="75" xfId="0" applyNumberFormat="1" applyBorder="1"/>
    <xf numFmtId="2" fontId="0" fillId="0" borderId="73" xfId="0" applyNumberFormat="1" applyBorder="1"/>
    <xf numFmtId="2" fontId="12" fillId="9" borderId="70" xfId="2" applyNumberFormat="1" applyFont="1" applyFill="1" applyBorder="1" applyAlignment="1">
      <alignment horizontal="center" vertical="center"/>
    </xf>
    <xf numFmtId="2" fontId="18" fillId="9" borderId="15" xfId="0" applyNumberFormat="1" applyFont="1" applyFill="1" applyBorder="1" applyAlignment="1">
      <alignment horizontal="center" vertical="center"/>
    </xf>
    <xf numFmtId="2" fontId="12" fillId="9" borderId="40" xfId="2" applyNumberFormat="1" applyFont="1" applyFill="1" applyBorder="1" applyAlignment="1">
      <alignment horizontal="center" vertical="center"/>
    </xf>
    <xf numFmtId="2" fontId="18" fillId="9" borderId="40" xfId="0" applyNumberFormat="1" applyFont="1" applyFill="1" applyBorder="1" applyAlignment="1">
      <alignment horizontal="center" vertical="center"/>
    </xf>
    <xf numFmtId="2" fontId="16" fillId="9" borderId="26" xfId="0" applyNumberFormat="1" applyFont="1" applyFill="1" applyBorder="1" applyAlignment="1">
      <alignment horizontal="center" vertical="center" wrapText="1"/>
    </xf>
    <xf numFmtId="2" fontId="7" fillId="0" borderId="37" xfId="0" applyNumberFormat="1" applyFont="1" applyBorder="1" applyAlignment="1">
      <alignment horizontal="center" vertical="center" wrapText="1"/>
    </xf>
    <xf numFmtId="2" fontId="16" fillId="9" borderId="15" xfId="0" applyNumberFormat="1" applyFont="1" applyFill="1" applyBorder="1" applyAlignment="1">
      <alignment horizontal="center" vertical="center" wrapText="1"/>
    </xf>
    <xf numFmtId="2" fontId="16" fillId="9" borderId="40" xfId="0" applyNumberFormat="1" applyFont="1" applyFill="1" applyBorder="1" applyAlignment="1">
      <alignment horizontal="center" vertical="center" wrapText="1"/>
    </xf>
    <xf numFmtId="2" fontId="7" fillId="0" borderId="68" xfId="0" applyNumberFormat="1" applyFont="1" applyBorder="1" applyAlignment="1">
      <alignment horizontal="center" vertical="center" wrapText="1"/>
    </xf>
    <xf numFmtId="2" fontId="16" fillId="9" borderId="61" xfId="0" applyNumberFormat="1" applyFont="1" applyFill="1" applyBorder="1" applyAlignment="1">
      <alignment horizontal="center" vertical="center" wrapText="1"/>
    </xf>
    <xf numFmtId="2" fontId="6" fillId="9" borderId="61" xfId="2" applyNumberFormat="1" applyFont="1" applyFill="1" applyBorder="1" applyAlignment="1">
      <alignment horizontal="center" vertical="center"/>
    </xf>
    <xf numFmtId="2" fontId="6" fillId="9" borderId="34" xfId="2" applyNumberFormat="1" applyFont="1" applyFill="1" applyBorder="1" applyAlignment="1">
      <alignment horizontal="center" vertical="center"/>
    </xf>
    <xf numFmtId="2" fontId="6" fillId="9" borderId="94" xfId="2" applyNumberFormat="1" applyFont="1" applyFill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/>
    </xf>
    <xf numFmtId="2" fontId="6" fillId="9" borderId="15" xfId="2" applyNumberFormat="1" applyFont="1" applyFill="1" applyBorder="1" applyAlignment="1">
      <alignment horizontal="center" vertical="center"/>
    </xf>
    <xf numFmtId="2" fontId="6" fillId="9" borderId="18" xfId="2" applyNumberFormat="1" applyFont="1" applyFill="1" applyBorder="1" applyAlignment="1">
      <alignment horizontal="center" vertical="center"/>
    </xf>
    <xf numFmtId="2" fontId="6" fillId="9" borderId="92" xfId="2" applyNumberFormat="1" applyFont="1" applyFill="1" applyBorder="1" applyAlignment="1">
      <alignment horizontal="center" vertical="center"/>
    </xf>
    <xf numFmtId="2" fontId="6" fillId="9" borderId="40" xfId="2" applyNumberFormat="1" applyFont="1" applyFill="1" applyBorder="1" applyAlignment="1">
      <alignment horizontal="center" vertical="center"/>
    </xf>
    <xf numFmtId="2" fontId="6" fillId="9" borderId="70" xfId="2" applyNumberFormat="1" applyFont="1" applyFill="1" applyBorder="1" applyAlignment="1">
      <alignment horizontal="center" vertical="center"/>
    </xf>
    <xf numFmtId="2" fontId="6" fillId="9" borderId="93" xfId="2" applyNumberFormat="1" applyFont="1" applyFill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/>
    </xf>
    <xf numFmtId="2" fontId="7" fillId="0" borderId="41" xfId="0" applyNumberFormat="1" applyFont="1" applyBorder="1" applyAlignment="1">
      <alignment horizontal="center" vertical="center" wrapText="1"/>
    </xf>
    <xf numFmtId="2" fontId="6" fillId="0" borderId="61" xfId="0" applyNumberFormat="1" applyFont="1" applyBorder="1" applyAlignment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2" fontId="6" fillId="0" borderId="94" xfId="0" applyNumberFormat="1" applyFont="1" applyBorder="1" applyAlignment="1">
      <alignment horizontal="center" vertical="center"/>
    </xf>
    <xf numFmtId="2" fontId="6" fillId="8" borderId="62" xfId="0" applyNumberFormat="1" applyFont="1" applyFill="1" applyBorder="1" applyAlignment="1">
      <alignment horizontal="center" vertical="center" wrapText="1"/>
    </xf>
    <xf numFmtId="2" fontId="6" fillId="0" borderId="18" xfId="0" applyNumberFormat="1" applyFont="1" applyBorder="1" applyAlignment="1">
      <alignment horizontal="center" vertical="center"/>
    </xf>
    <xf numFmtId="2" fontId="6" fillId="0" borderId="92" xfId="0" applyNumberFormat="1" applyFont="1" applyBorder="1" applyAlignment="1">
      <alignment horizontal="center" vertical="center"/>
    </xf>
    <xf numFmtId="2" fontId="6" fillId="8" borderId="38" xfId="0" applyNumberFormat="1" applyFont="1" applyFill="1" applyBorder="1" applyAlignment="1">
      <alignment horizontal="center" vertical="center" wrapText="1"/>
    </xf>
    <xf numFmtId="2" fontId="6" fillId="8" borderId="38" xfId="0" applyNumberFormat="1" applyFont="1" applyFill="1" applyBorder="1" applyAlignment="1">
      <alignment horizontal="center" vertical="center"/>
    </xf>
    <xf numFmtId="2" fontId="6" fillId="0" borderId="70" xfId="0" applyNumberFormat="1" applyFont="1" applyBorder="1" applyAlignment="1">
      <alignment horizontal="center" vertical="center"/>
    </xf>
    <xf numFmtId="2" fontId="6" fillId="0" borderId="93" xfId="0" applyNumberFormat="1" applyFont="1" applyBorder="1" applyAlignment="1">
      <alignment horizontal="center" vertical="center"/>
    </xf>
    <xf numFmtId="2" fontId="6" fillId="8" borderId="41" xfId="0" applyNumberFormat="1" applyFont="1" applyFill="1" applyBorder="1" applyAlignment="1">
      <alignment horizontal="center" vertical="center" wrapText="1"/>
    </xf>
    <xf numFmtId="2" fontId="6" fillId="8" borderId="62" xfId="0" applyNumberFormat="1" applyFont="1" applyFill="1" applyBorder="1" applyAlignment="1">
      <alignment vertical="center" wrapText="1"/>
    </xf>
    <xf numFmtId="2" fontId="6" fillId="8" borderId="38" xfId="0" applyNumberFormat="1" applyFont="1" applyFill="1" applyBorder="1" applyAlignment="1">
      <alignment vertical="center" wrapText="1"/>
    </xf>
    <xf numFmtId="2" fontId="6" fillId="0" borderId="62" xfId="0" applyNumberFormat="1" applyFont="1" applyBorder="1"/>
    <xf numFmtId="2" fontId="6" fillId="0" borderId="38" xfId="0" applyNumberFormat="1" applyFont="1" applyBorder="1"/>
    <xf numFmtId="2" fontId="6" fillId="0" borderId="41" xfId="0" applyNumberFormat="1" applyFont="1" applyBorder="1"/>
    <xf numFmtId="2" fontId="16" fillId="9" borderId="25" xfId="0" applyNumberFormat="1" applyFont="1" applyFill="1" applyBorder="1" applyAlignment="1">
      <alignment horizontal="center" vertical="center" wrapText="1"/>
    </xf>
    <xf numFmtId="2" fontId="6" fillId="8" borderId="39" xfId="0" applyNumberFormat="1" applyFont="1" applyFill="1" applyBorder="1" applyAlignment="1">
      <alignment horizontal="center" vertical="center" wrapText="1"/>
    </xf>
    <xf numFmtId="2" fontId="7" fillId="9" borderId="47" xfId="0" applyNumberFormat="1" applyFont="1" applyFill="1" applyBorder="1" applyAlignment="1">
      <alignment horizontal="center" vertical="center" wrapText="1"/>
    </xf>
    <xf numFmtId="2" fontId="0" fillId="8" borderId="62" xfId="0" applyNumberFormat="1" applyFill="1" applyBorder="1" applyAlignment="1">
      <alignment horizontal="center" vertical="center" wrapText="1"/>
    </xf>
    <xf numFmtId="2" fontId="7" fillId="9" borderId="50" xfId="0" applyNumberFormat="1" applyFont="1" applyFill="1" applyBorder="1" applyAlignment="1">
      <alignment horizontal="center" vertical="center" wrapText="1"/>
    </xf>
    <xf numFmtId="2" fontId="0" fillId="8" borderId="38" xfId="0" applyNumberFormat="1" applyFill="1" applyBorder="1" applyAlignment="1">
      <alignment horizontal="center" vertical="center" wrapText="1"/>
    </xf>
    <xf numFmtId="2" fontId="7" fillId="9" borderId="52" xfId="0" applyNumberFormat="1" applyFont="1" applyFill="1" applyBorder="1" applyAlignment="1">
      <alignment horizontal="center" vertical="center" wrapText="1"/>
    </xf>
    <xf numFmtId="2" fontId="0" fillId="0" borderId="74" xfId="0" applyNumberFormat="1" applyBorder="1"/>
    <xf numFmtId="2" fontId="0" fillId="8" borderId="41" xfId="0" applyNumberFormat="1" applyFill="1" applyBorder="1" applyAlignment="1">
      <alignment horizontal="center" vertical="center" wrapText="1"/>
    </xf>
    <xf numFmtId="2" fontId="43" fillId="2" borderId="0" xfId="2" applyNumberFormat="1" applyFont="1" applyFill="1" applyAlignment="1">
      <alignment vertical="center" wrapText="1"/>
    </xf>
    <xf numFmtId="2" fontId="54" fillId="2" borderId="0" xfId="0" applyNumberFormat="1" applyFont="1" applyFill="1"/>
    <xf numFmtId="2" fontId="54" fillId="2" borderId="0" xfId="0" applyNumberFormat="1" applyFont="1" applyFill="1" applyAlignment="1">
      <alignment horizontal="right"/>
    </xf>
    <xf numFmtId="2" fontId="41" fillId="0" borderId="0" xfId="0" applyNumberFormat="1" applyFont="1" applyAlignment="1">
      <alignment horizontal="center" vertical="center"/>
    </xf>
    <xf numFmtId="2" fontId="54" fillId="2" borderId="0" xfId="1" applyNumberFormat="1" applyFont="1" applyFill="1"/>
    <xf numFmtId="2" fontId="54" fillId="2" borderId="0" xfId="0" applyNumberFormat="1" applyFont="1" applyFill="1" applyAlignment="1">
      <alignment horizontal="center" wrapText="1"/>
    </xf>
    <xf numFmtId="2" fontId="16" fillId="2" borderId="57" xfId="0" applyNumberFormat="1" applyFont="1" applyFill="1" applyBorder="1" applyAlignment="1">
      <alignment horizontal="center" vertical="center"/>
    </xf>
    <xf numFmtId="2" fontId="16" fillId="2" borderId="95" xfId="0" applyNumberFormat="1" applyFont="1" applyFill="1" applyBorder="1" applyAlignment="1">
      <alignment horizontal="center" vertical="center"/>
    </xf>
    <xf numFmtId="2" fontId="16" fillId="2" borderId="40" xfId="0" applyNumberFormat="1" applyFont="1" applyFill="1" applyBorder="1" applyAlignment="1">
      <alignment horizontal="center"/>
    </xf>
    <xf numFmtId="2" fontId="16" fillId="2" borderId="50" xfId="0" applyNumberFormat="1" applyFont="1" applyFill="1" applyBorder="1" applyAlignment="1">
      <alignment horizontal="center" vertical="center"/>
    </xf>
    <xf numFmtId="2" fontId="11" fillId="2" borderId="89" xfId="0" applyNumberFormat="1" applyFont="1" applyFill="1" applyBorder="1" applyAlignment="1">
      <alignment horizontal="center" vertical="center" wrapText="1"/>
    </xf>
    <xf numFmtId="2" fontId="11" fillId="2" borderId="29" xfId="0" applyNumberFormat="1" applyFont="1" applyFill="1" applyBorder="1" applyAlignment="1">
      <alignment horizontal="center" vertical="center" wrapText="1"/>
    </xf>
    <xf numFmtId="2" fontId="16" fillId="2" borderId="64" xfId="0" applyNumberFormat="1" applyFont="1" applyFill="1" applyBorder="1" applyAlignment="1">
      <alignment horizontal="center" vertical="center" wrapText="1"/>
    </xf>
    <xf numFmtId="2" fontId="11" fillId="2" borderId="90" xfId="0" applyNumberFormat="1" applyFont="1" applyFill="1" applyBorder="1" applyAlignment="1">
      <alignment horizontal="center" vertical="center" wrapText="1"/>
    </xf>
    <xf numFmtId="2" fontId="11" fillId="2" borderId="28" xfId="0" applyNumberFormat="1" applyFont="1" applyFill="1" applyBorder="1" applyAlignment="1">
      <alignment horizontal="center" vertical="center" wrapText="1"/>
    </xf>
    <xf numFmtId="2" fontId="16" fillId="2" borderId="64" xfId="3" applyNumberFormat="1" applyFont="1" applyFill="1" applyBorder="1" applyAlignment="1">
      <alignment horizontal="center" vertical="center" wrapText="1"/>
    </xf>
    <xf numFmtId="2" fontId="7" fillId="2" borderId="87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2" fontId="3" fillId="4" borderId="58" xfId="0" applyNumberFormat="1" applyFont="1" applyFill="1" applyBorder="1" applyAlignment="1">
      <alignment horizontal="center" vertical="center"/>
    </xf>
    <xf numFmtId="2" fontId="3" fillId="4" borderId="26" xfId="0" applyNumberFormat="1" applyFont="1" applyFill="1" applyBorder="1" applyAlignment="1">
      <alignment horizontal="center" vertical="center"/>
    </xf>
    <xf numFmtId="2" fontId="49" fillId="4" borderId="30" xfId="0" applyNumberFormat="1" applyFont="1" applyFill="1" applyBorder="1" applyAlignment="1">
      <alignment vertical="center"/>
    </xf>
    <xf numFmtId="2" fontId="49" fillId="4" borderId="28" xfId="0" applyNumberFormat="1" applyFont="1" applyFill="1" applyBorder="1" applyAlignment="1">
      <alignment vertical="center"/>
    </xf>
    <xf numFmtId="2" fontId="49" fillId="2" borderId="59" xfId="0" applyNumberFormat="1" applyFont="1" applyFill="1" applyBorder="1" applyAlignment="1">
      <alignment vertical="center"/>
    </xf>
    <xf numFmtId="2" fontId="13" fillId="0" borderId="0" xfId="0" applyNumberFormat="1" applyFont="1" applyAlignment="1">
      <alignment horizontal="center"/>
    </xf>
    <xf numFmtId="2" fontId="1" fillId="2" borderId="18" xfId="0" applyNumberFormat="1" applyFont="1" applyFill="1" applyBorder="1" applyAlignment="1" applyProtection="1">
      <alignment horizontal="left" vertical="center"/>
      <protection locked="0"/>
    </xf>
    <xf numFmtId="2" fontId="1" fillId="2" borderId="17" xfId="0" applyNumberFormat="1" applyFont="1" applyFill="1" applyBorder="1" applyAlignment="1" applyProtection="1">
      <alignment horizontal="left" vertical="center"/>
      <protection locked="0"/>
    </xf>
    <xf numFmtId="2" fontId="9" fillId="2" borderId="17" xfId="0" applyNumberFormat="1" applyFont="1" applyFill="1" applyBorder="1" applyAlignment="1">
      <alignment vertical="center"/>
    </xf>
    <xf numFmtId="1" fontId="9" fillId="2" borderId="58" xfId="0" applyNumberFormat="1" applyFont="1" applyFill="1" applyBorder="1" applyAlignment="1">
      <alignment horizontal="center" vertical="center"/>
    </xf>
    <xf numFmtId="1" fontId="9" fillId="2" borderId="26" xfId="0" applyNumberFormat="1" applyFont="1" applyFill="1" applyBorder="1" applyAlignment="1">
      <alignment horizontal="center" vertical="center"/>
    </xf>
    <xf numFmtId="1" fontId="9" fillId="2" borderId="37" xfId="0" applyNumberFormat="1" applyFont="1" applyFill="1" applyBorder="1" applyAlignment="1">
      <alignment horizontal="center" vertical="center"/>
    </xf>
    <xf numFmtId="2" fontId="5" fillId="0" borderId="44" xfId="0" applyNumberFormat="1" applyFont="1" applyBorder="1" applyAlignment="1">
      <alignment horizontal="center" vertical="center"/>
    </xf>
    <xf numFmtId="2" fontId="1" fillId="2" borderId="18" xfId="0" applyNumberFormat="1" applyFont="1" applyFill="1" applyBorder="1"/>
    <xf numFmtId="2" fontId="1" fillId="2" borderId="22" xfId="0" applyNumberFormat="1" applyFont="1" applyFill="1" applyBorder="1" applyAlignment="1" applyProtection="1">
      <alignment horizontal="left" vertical="center"/>
      <protection locked="0"/>
    </xf>
    <xf numFmtId="2" fontId="9" fillId="2" borderId="22" xfId="0" applyNumberFormat="1" applyFont="1" applyFill="1" applyBorder="1" applyAlignment="1">
      <alignment vertical="center"/>
    </xf>
    <xf numFmtId="1" fontId="9" fillId="2" borderId="44" xfId="0" applyNumberFormat="1" applyFont="1" applyFill="1" applyBorder="1" applyAlignment="1">
      <alignment horizontal="center" vertical="center"/>
    </xf>
    <xf numFmtId="1" fontId="9" fillId="2" borderId="38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left" vertical="center"/>
      <protection locked="0"/>
    </xf>
    <xf numFmtId="2" fontId="9" fillId="2" borderId="1" xfId="0" applyNumberFormat="1" applyFont="1" applyFill="1" applyBorder="1" applyAlignment="1">
      <alignment vertical="center"/>
    </xf>
    <xf numFmtId="2" fontId="1" fillId="2" borderId="18" xfId="0" quotePrefix="1" applyNumberFormat="1" applyFont="1" applyFill="1" applyBorder="1" applyAlignment="1" applyProtection="1">
      <alignment horizontal="left"/>
      <protection locked="0"/>
    </xf>
    <xf numFmtId="2" fontId="1" fillId="2" borderId="1" xfId="0" quotePrefix="1" applyNumberFormat="1" applyFont="1" applyFill="1" applyBorder="1" applyAlignment="1" applyProtection="1">
      <alignment horizontal="left"/>
      <protection locked="0"/>
    </xf>
    <xf numFmtId="1" fontId="9" fillId="2" borderId="57" xfId="0" applyNumberFormat="1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 vertical="center"/>
    </xf>
    <xf numFmtId="1" fontId="9" fillId="2" borderId="4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50" fillId="2" borderId="0" xfId="0" quotePrefix="1" applyNumberFormat="1" applyFont="1" applyFill="1" applyAlignment="1" applyProtection="1">
      <alignment horizontal="left"/>
      <protection locked="0"/>
    </xf>
    <xf numFmtId="2" fontId="50" fillId="0" borderId="0" xfId="0" applyNumberFormat="1" applyFont="1"/>
    <xf numFmtId="2" fontId="1" fillId="0" borderId="0" xfId="0" quotePrefix="1" applyNumberFormat="1" applyFont="1"/>
    <xf numFmtId="2" fontId="5" fillId="2" borderId="0" xfId="0" applyNumberFormat="1" applyFont="1" applyFill="1"/>
    <xf numFmtId="2" fontId="5" fillId="2" borderId="0" xfId="0" applyNumberFormat="1" applyFont="1" applyFill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164" fontId="1" fillId="5" borderId="15" xfId="0" quotePrefix="1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/>
    <xf numFmtId="2" fontId="1" fillId="5" borderId="5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8" fillId="9" borderId="62" xfId="0" applyNumberFormat="1" applyFont="1" applyFill="1" applyBorder="1" applyAlignment="1">
      <alignment horizontal="center" vertical="center" wrapText="1"/>
    </xf>
    <xf numFmtId="2" fontId="18" fillId="9" borderId="38" xfId="0" applyNumberFormat="1" applyFont="1" applyFill="1" applyBorder="1" applyAlignment="1">
      <alignment horizontal="center" vertical="center" wrapText="1"/>
    </xf>
    <xf numFmtId="2" fontId="12" fillId="9" borderId="25" xfId="2" applyNumberFormat="1" applyFont="1" applyFill="1" applyBorder="1" applyAlignment="1">
      <alignment horizontal="center" vertical="center"/>
    </xf>
    <xf numFmtId="2" fontId="18" fillId="9" borderId="16" xfId="0" applyNumberFormat="1" applyFont="1" applyFill="1" applyBorder="1" applyAlignment="1">
      <alignment horizontal="center" vertical="center"/>
    </xf>
    <xf numFmtId="2" fontId="18" fillId="9" borderId="39" xfId="0" applyNumberFormat="1" applyFont="1" applyFill="1" applyBorder="1" applyAlignment="1">
      <alignment horizontal="center" vertical="center" wrapText="1"/>
    </xf>
    <xf numFmtId="2" fontId="12" fillId="9" borderId="15" xfId="2" applyNumberFormat="1" applyFont="1" applyFill="1" applyBorder="1" applyAlignment="1">
      <alignment horizontal="center" vertical="center"/>
    </xf>
    <xf numFmtId="2" fontId="0" fillId="8" borderId="37" xfId="0" applyNumberFormat="1" applyFill="1" applyBorder="1" applyAlignment="1">
      <alignment horizontal="center" vertical="center" wrapText="1"/>
    </xf>
    <xf numFmtId="2" fontId="0" fillId="8" borderId="38" xfId="0" applyNumberFormat="1" applyFill="1" applyBorder="1" applyAlignment="1">
      <alignment horizontal="center" vertical="center"/>
    </xf>
    <xf numFmtId="2" fontId="6" fillId="9" borderId="71" xfId="0" applyNumberFormat="1" applyFont="1" applyFill="1" applyBorder="1" applyAlignment="1">
      <alignment horizontal="center" vertical="center" wrapText="1"/>
    </xf>
    <xf numFmtId="2" fontId="0" fillId="0" borderId="38" xfId="0" applyNumberFormat="1" applyBorder="1" applyAlignment="1">
      <alignment horizontal="center" vertical="center"/>
    </xf>
    <xf numFmtId="2" fontId="6" fillId="9" borderId="88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8" borderId="62" xfId="0" applyNumberFormat="1" applyFill="1" applyBorder="1" applyAlignment="1">
      <alignment vertical="center" wrapText="1"/>
    </xf>
    <xf numFmtId="2" fontId="0" fillId="8" borderId="38" xfId="0" applyNumberFormat="1" applyFill="1" applyBorder="1" applyAlignment="1">
      <alignment vertical="center" wrapText="1"/>
    </xf>
    <xf numFmtId="2" fontId="0" fillId="8" borderId="35" xfId="0" applyNumberFormat="1" applyFill="1" applyBorder="1" applyAlignment="1">
      <alignment horizontal="center" vertical="center" wrapText="1"/>
    </xf>
    <xf numFmtId="2" fontId="0" fillId="0" borderId="51" xfId="0" applyNumberFormat="1" applyBorder="1" applyAlignment="1">
      <alignment horizontal="center" vertical="center"/>
    </xf>
    <xf numFmtId="2" fontId="16" fillId="9" borderId="66" xfId="0" applyNumberFormat="1" applyFont="1" applyFill="1" applyBorder="1" applyAlignment="1">
      <alignment horizontal="center" vertical="center" wrapText="1"/>
    </xf>
    <xf numFmtId="2" fontId="0" fillId="8" borderId="39" xfId="0" applyNumberFormat="1" applyFill="1" applyBorder="1" applyAlignment="1">
      <alignment horizontal="center" vertical="center" wrapText="1"/>
    </xf>
    <xf numFmtId="2" fontId="6" fillId="9" borderId="71" xfId="0" applyNumberFormat="1" applyFont="1" applyFill="1" applyBorder="1" applyAlignment="1">
      <alignment horizontal="center" vertical="center"/>
    </xf>
    <xf numFmtId="2" fontId="0" fillId="0" borderId="62" xfId="0" applyNumberFormat="1" applyBorder="1"/>
    <xf numFmtId="2" fontId="0" fillId="0" borderId="38" xfId="0" applyNumberFormat="1" applyBorder="1"/>
    <xf numFmtId="2" fontId="0" fillId="0" borderId="41" xfId="0" applyNumberFormat="1" applyBorder="1"/>
    <xf numFmtId="2" fontId="6" fillId="9" borderId="88" xfId="0" applyNumberFormat="1" applyFont="1" applyFill="1" applyBorder="1" applyAlignment="1">
      <alignment horizontal="center" vertical="center" wrapText="1"/>
    </xf>
    <xf numFmtId="2" fontId="6" fillId="2" borderId="88" xfId="0" applyNumberFormat="1" applyFont="1" applyFill="1" applyBorder="1" applyAlignment="1">
      <alignment horizontal="center" vertical="center" wrapText="1"/>
    </xf>
    <xf numFmtId="2" fontId="6" fillId="0" borderId="16" xfId="0" applyNumberFormat="1" applyFont="1" applyBorder="1" applyAlignment="1">
      <alignment horizontal="center" vertical="center"/>
    </xf>
    <xf numFmtId="2" fontId="0" fillId="0" borderId="35" xfId="0" applyNumberFormat="1" applyBorder="1"/>
    <xf numFmtId="2" fontId="0" fillId="2" borderId="62" xfId="0" applyNumberFormat="1" applyFill="1" applyBorder="1" applyAlignment="1">
      <alignment horizontal="center" vertical="center" wrapText="1"/>
    </xf>
    <xf numFmtId="2" fontId="0" fillId="2" borderId="38" xfId="0" applyNumberFormat="1" applyFill="1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/>
    </xf>
    <xf numFmtId="2" fontId="0" fillId="2" borderId="41" xfId="0" applyNumberForma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2" fontId="6" fillId="9" borderId="50" xfId="0" applyNumberFormat="1" applyFont="1" applyFill="1" applyBorder="1" applyAlignment="1">
      <alignment horizontal="center" vertical="center" wrapText="1"/>
    </xf>
    <xf numFmtId="2" fontId="16" fillId="2" borderId="0" xfId="2" applyNumberFormat="1" applyFont="1" applyFill="1" applyAlignment="1">
      <alignment vertical="center" wrapText="1"/>
    </xf>
    <xf numFmtId="2" fontId="16" fillId="2" borderId="0" xfId="2" applyNumberFormat="1" applyFont="1" applyFill="1" applyAlignment="1">
      <alignment horizontal="center" vertical="center" wrapText="1"/>
    </xf>
    <xf numFmtId="2" fontId="18" fillId="2" borderId="15" xfId="0" applyNumberFormat="1" applyFont="1" applyFill="1" applyBorder="1" applyAlignment="1">
      <alignment vertical="center"/>
    </xf>
    <xf numFmtId="2" fontId="41" fillId="0" borderId="15" xfId="0" applyNumberFormat="1" applyFont="1" applyBorder="1" applyAlignment="1">
      <alignment horizontal="center" vertical="center"/>
    </xf>
    <xf numFmtId="2" fontId="16" fillId="2" borderId="90" xfId="0" applyNumberFormat="1" applyFont="1" applyFill="1" applyBorder="1" applyAlignment="1">
      <alignment horizontal="center" vertical="center" wrapText="1"/>
    </xf>
    <xf numFmtId="2" fontId="16" fillId="2" borderId="90" xfId="3" applyNumberFormat="1" applyFont="1" applyFill="1" applyBorder="1" applyAlignment="1">
      <alignment horizontal="center" vertical="center" wrapText="1"/>
    </xf>
    <xf numFmtId="2" fontId="16" fillId="2" borderId="87" xfId="0" applyNumberFormat="1" applyFont="1" applyFill="1" applyBorder="1" applyAlignment="1">
      <alignment horizontal="center" vertical="center" wrapText="1"/>
    </xf>
    <xf numFmtId="2" fontId="3" fillId="4" borderId="89" xfId="0" applyNumberFormat="1" applyFont="1" applyFill="1" applyBorder="1" applyAlignment="1">
      <alignment horizontal="center" vertical="center"/>
    </xf>
    <xf numFmtId="2" fontId="0" fillId="0" borderId="87" xfId="0" applyNumberFormat="1" applyBorder="1" applyAlignment="1">
      <alignment horizontal="center" vertical="center"/>
    </xf>
    <xf numFmtId="2" fontId="5" fillId="0" borderId="36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2" fontId="1" fillId="2" borderId="22" xfId="0" applyNumberFormat="1" applyFont="1" applyFill="1" applyBorder="1"/>
    <xf numFmtId="2" fontId="27" fillId="2" borderId="0" xfId="0" applyNumberFormat="1" applyFont="1" applyFill="1" applyAlignment="1" applyProtection="1">
      <alignment horizontal="left" vertical="center"/>
      <protection locked="0"/>
    </xf>
    <xf numFmtId="2" fontId="5" fillId="0" borderId="1" xfId="0" applyNumberFormat="1" applyFont="1" applyBorder="1"/>
    <xf numFmtId="2" fontId="5" fillId="0" borderId="84" xfId="0" applyNumberFormat="1" applyFont="1" applyBorder="1"/>
    <xf numFmtId="2" fontId="9" fillId="2" borderId="0" xfId="0" applyNumberFormat="1" applyFont="1" applyFill="1" applyAlignment="1">
      <alignment vertical="center"/>
    </xf>
    <xf numFmtId="1" fontId="9" fillId="2" borderId="0" xfId="0" applyNumberFormat="1" applyFont="1" applyFill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4" fontId="0" fillId="0" borderId="15" xfId="0" applyNumberFormat="1" applyBorder="1"/>
    <xf numFmtId="164" fontId="0" fillId="0" borderId="26" xfId="0" quotePrefix="1" applyNumberFormat="1" applyBorder="1" applyAlignment="1">
      <alignment horizontal="center" vertical="center"/>
    </xf>
    <xf numFmtId="2" fontId="65" fillId="5" borderId="89" xfId="0" applyNumberFormat="1" applyFont="1" applyFill="1" applyBorder="1"/>
    <xf numFmtId="2" fontId="65" fillId="5" borderId="28" xfId="0" quotePrefix="1" applyNumberFormat="1" applyFont="1" applyFill="1" applyBorder="1" applyAlignment="1">
      <alignment vertical="center"/>
    </xf>
    <xf numFmtId="2" fontId="65" fillId="5" borderId="59" xfId="0" quotePrefix="1" applyNumberFormat="1" applyFont="1" applyFill="1" applyBorder="1" applyAlignment="1">
      <alignment vertical="center"/>
    </xf>
    <xf numFmtId="2" fontId="52" fillId="8" borderId="58" xfId="0" applyNumberFormat="1" applyFont="1" applyFill="1" applyBorder="1"/>
    <xf numFmtId="2" fontId="52" fillId="8" borderId="26" xfId="0" applyNumberFormat="1" applyFont="1" applyFill="1" applyBorder="1" applyAlignment="1">
      <alignment horizontal="center" vertical="center"/>
    </xf>
    <xf numFmtId="2" fontId="52" fillId="8" borderId="26" xfId="0" applyNumberFormat="1" applyFont="1" applyFill="1" applyBorder="1" applyAlignment="1">
      <alignment vertical="center"/>
    </xf>
    <xf numFmtId="1" fontId="52" fillId="8" borderId="26" xfId="0" applyNumberFormat="1" applyFont="1" applyFill="1" applyBorder="1" applyAlignment="1">
      <alignment vertical="center"/>
    </xf>
    <xf numFmtId="1" fontId="52" fillId="8" borderId="26" xfId="0" applyNumberFormat="1" applyFont="1" applyFill="1" applyBorder="1" applyAlignment="1">
      <alignment horizontal="center" vertical="center"/>
    </xf>
    <xf numFmtId="1" fontId="52" fillId="8" borderId="37" xfId="0" applyNumberFormat="1" applyFont="1" applyFill="1" applyBorder="1" applyAlignment="1">
      <alignment horizontal="center" vertical="center"/>
    </xf>
    <xf numFmtId="1" fontId="5" fillId="0" borderId="58" xfId="0" applyNumberFormat="1" applyFont="1" applyBorder="1" applyAlignment="1">
      <alignment horizontal="center" vertical="center"/>
    </xf>
    <xf numFmtId="2" fontId="5" fillId="0" borderId="19" xfId="0" applyNumberFormat="1" applyFont="1" applyBorder="1"/>
    <xf numFmtId="2" fontId="5" fillId="0" borderId="17" xfId="0" applyNumberFormat="1" applyFont="1" applyBorder="1"/>
    <xf numFmtId="2" fontId="5" fillId="0" borderId="46" xfId="0" applyNumberFormat="1" applyFont="1" applyBorder="1"/>
    <xf numFmtId="2" fontId="52" fillId="8" borderId="44" xfId="0" applyNumberFormat="1" applyFont="1" applyFill="1" applyBorder="1"/>
    <xf numFmtId="2" fontId="5" fillId="5" borderId="54" xfId="0" applyNumberFormat="1" applyFont="1" applyFill="1" applyBorder="1"/>
    <xf numFmtId="2" fontId="0" fillId="5" borderId="62" xfId="0" applyNumberFormat="1" applyFill="1" applyBorder="1"/>
    <xf numFmtId="2" fontId="0" fillId="5" borderId="38" xfId="0" applyNumberFormat="1" applyFill="1" applyBorder="1"/>
    <xf numFmtId="2" fontId="0" fillId="5" borderId="41" xfId="0" applyNumberFormat="1" applyFill="1" applyBorder="1"/>
    <xf numFmtId="0" fontId="68" fillId="3" borderId="0" xfId="0" applyFont="1" applyFill="1" applyAlignment="1" applyProtection="1">
      <alignment horizontal="left" vertical="center"/>
      <protection locked="0"/>
    </xf>
    <xf numFmtId="0" fontId="1" fillId="0" borderId="0" xfId="7"/>
    <xf numFmtId="0" fontId="1" fillId="0" borderId="0" xfId="7" applyAlignment="1" applyProtection="1">
      <alignment wrapText="1"/>
      <protection hidden="1"/>
    </xf>
    <xf numFmtId="0" fontId="1" fillId="0" borderId="0" xfId="7" applyProtection="1">
      <protection locked="0"/>
    </xf>
    <xf numFmtId="0" fontId="70" fillId="0" borderId="0" xfId="7" applyFont="1" applyAlignment="1">
      <alignment horizontal="center" vertical="center" wrapText="1"/>
    </xf>
    <xf numFmtId="0" fontId="2" fillId="0" borderId="0" xfId="7" applyFont="1" applyProtection="1">
      <protection locked="0"/>
    </xf>
    <xf numFmtId="0" fontId="8" fillId="0" borderId="18" xfId="7" applyFont="1" applyBorder="1" applyAlignment="1">
      <alignment horizontal="left" vertical="top" wrapText="1"/>
    </xf>
    <xf numFmtId="0" fontId="8" fillId="0" borderId="23" xfId="7" applyFont="1" applyBorder="1" applyAlignment="1">
      <alignment horizontal="left" vertical="top" wrapText="1"/>
    </xf>
    <xf numFmtId="0" fontId="1" fillId="0" borderId="0" xfId="7" applyAlignment="1">
      <alignment horizontal="left" vertical="top"/>
    </xf>
    <xf numFmtId="0" fontId="8" fillId="0" borderId="23" xfId="7" applyFont="1" applyBorder="1" applyAlignment="1">
      <alignment horizontal="left" vertical="top"/>
    </xf>
    <xf numFmtId="0" fontId="8" fillId="0" borderId="0" xfId="7" applyFont="1" applyAlignment="1">
      <alignment vertical="center" wrapText="1"/>
    </xf>
    <xf numFmtId="0" fontId="8" fillId="0" borderId="0" xfId="7" applyFont="1" applyAlignment="1">
      <alignment horizontal="center" vertical="center" wrapText="1"/>
    </xf>
    <xf numFmtId="0" fontId="73" fillId="0" borderId="0" xfId="7" applyFont="1"/>
    <xf numFmtId="0" fontId="8" fillId="0" borderId="0" xfId="7" applyFont="1" applyAlignment="1" applyProtection="1">
      <alignment horizontal="center" vertical="center" wrapText="1"/>
      <protection locked="0"/>
    </xf>
    <xf numFmtId="0" fontId="8" fillId="0" borderId="0" xfId="7" applyFont="1" applyProtection="1">
      <protection locked="0"/>
    </xf>
    <xf numFmtId="0" fontId="73" fillId="0" borderId="0" xfId="7" applyFont="1" applyProtection="1">
      <protection locked="0"/>
    </xf>
    <xf numFmtId="182" fontId="8" fillId="0" borderId="0" xfId="7" quotePrefix="1" applyNumberFormat="1" applyFont="1" applyAlignment="1" applyProtection="1">
      <alignment horizontal="left"/>
      <protection locked="0"/>
    </xf>
    <xf numFmtId="2" fontId="71" fillId="0" borderId="0" xfId="7" quotePrefix="1" applyNumberFormat="1" applyFont="1" applyProtection="1">
      <protection locked="0"/>
    </xf>
    <xf numFmtId="0" fontId="1" fillId="0" borderId="0" xfId="7" applyAlignment="1">
      <alignment vertical="top" wrapText="1"/>
    </xf>
    <xf numFmtId="0" fontId="8" fillId="0" borderId="18" xfId="7" applyFont="1" applyBorder="1" applyAlignment="1">
      <alignment vertical="top"/>
    </xf>
    <xf numFmtId="0" fontId="8" fillId="0" borderId="23" xfId="7" applyFont="1" applyBorder="1" applyAlignment="1" applyProtection="1">
      <alignment vertical="top" wrapText="1"/>
      <protection locked="0"/>
    </xf>
    <xf numFmtId="0" fontId="8" fillId="0" borderId="23" xfId="7" applyFont="1" applyBorder="1" applyAlignment="1" applyProtection="1">
      <alignment vertical="top"/>
      <protection locked="0"/>
    </xf>
    <xf numFmtId="0" fontId="49" fillId="0" borderId="0" xfId="7" applyFont="1" applyAlignment="1">
      <alignment vertical="top"/>
    </xf>
    <xf numFmtId="0" fontId="8" fillId="0" borderId="0" xfId="7" applyFont="1" applyAlignment="1" applyProtection="1">
      <alignment horizontal="center" vertical="top" wrapText="1"/>
      <protection locked="0"/>
    </xf>
    <xf numFmtId="0" fontId="70" fillId="0" borderId="0" xfId="7" applyFont="1" applyAlignment="1">
      <alignment wrapText="1"/>
    </xf>
    <xf numFmtId="0" fontId="66" fillId="0" borderId="0" xfId="7" applyFont="1" applyAlignment="1">
      <alignment horizontal="center"/>
    </xf>
    <xf numFmtId="0" fontId="17" fillId="0" borderId="0" xfId="7" applyFont="1"/>
    <xf numFmtId="0" fontId="8" fillId="0" borderId="0" xfId="7" applyFont="1" applyAlignment="1">
      <alignment horizontal="center" vertical="top" wrapText="1"/>
    </xf>
    <xf numFmtId="0" fontId="8" fillId="0" borderId="0" xfId="7" applyFont="1" applyAlignment="1">
      <alignment vertical="top" wrapText="1"/>
    </xf>
    <xf numFmtId="0" fontId="8" fillId="0" borderId="0" xfId="7" applyFont="1" applyAlignment="1">
      <alignment horizontal="justify" vertical="center" wrapText="1"/>
    </xf>
    <xf numFmtId="0" fontId="74" fillId="0" borderId="0" xfId="7" applyFont="1" applyAlignment="1">
      <alignment vertical="center"/>
    </xf>
    <xf numFmtId="0" fontId="1" fillId="0" borderId="47" xfId="7" applyBorder="1"/>
    <xf numFmtId="0" fontId="75" fillId="0" borderId="49" xfId="7" applyFont="1" applyBorder="1"/>
    <xf numFmtId="0" fontId="1" fillId="0" borderId="50" xfId="7" applyBorder="1"/>
    <xf numFmtId="0" fontId="1" fillId="0" borderId="51" xfId="7" applyBorder="1"/>
    <xf numFmtId="0" fontId="1" fillId="0" borderId="50" xfId="7" applyBorder="1" applyAlignment="1">
      <alignment wrapText="1"/>
    </xf>
    <xf numFmtId="0" fontId="1" fillId="0" borderId="51" xfId="7" applyBorder="1" applyAlignment="1">
      <alignment wrapText="1"/>
    </xf>
    <xf numFmtId="0" fontId="75" fillId="0" borderId="51" xfId="7" applyFont="1" applyBorder="1"/>
    <xf numFmtId="0" fontId="76" fillId="0" borderId="51" xfId="7" applyFont="1" applyBorder="1" applyAlignment="1">
      <alignment horizontal="left" wrapText="1"/>
    </xf>
    <xf numFmtId="0" fontId="1" fillId="0" borderId="0" xfId="7" applyAlignment="1">
      <alignment wrapText="1"/>
    </xf>
    <xf numFmtId="0" fontId="76" fillId="0" borderId="50" xfId="7" applyFont="1" applyBorder="1" applyAlignment="1">
      <alignment wrapText="1"/>
    </xf>
    <xf numFmtId="173" fontId="76" fillId="0" borderId="51" xfId="7" applyNumberFormat="1" applyFont="1" applyBorder="1" applyAlignment="1">
      <alignment horizontal="left"/>
    </xf>
    <xf numFmtId="173" fontId="1" fillId="0" borderId="51" xfId="7" applyNumberFormat="1" applyBorder="1"/>
    <xf numFmtId="0" fontId="77" fillId="0" borderId="51" xfId="7" applyFont="1" applyBorder="1" applyAlignment="1">
      <alignment horizontal="left" wrapText="1"/>
    </xf>
    <xf numFmtId="0" fontId="76" fillId="0" borderId="51" xfId="7" applyFont="1" applyBorder="1" applyAlignment="1">
      <alignment wrapText="1"/>
    </xf>
    <xf numFmtId="0" fontId="76" fillId="0" borderId="50" xfId="7" applyFont="1" applyBorder="1"/>
    <xf numFmtId="0" fontId="76" fillId="0" borderId="52" xfId="7" applyFont="1" applyBorder="1"/>
    <xf numFmtId="0" fontId="76" fillId="0" borderId="54" xfId="7" applyFont="1" applyBorder="1" applyAlignment="1">
      <alignment wrapText="1"/>
    </xf>
    <xf numFmtId="165" fontId="27" fillId="0" borderId="0" xfId="0" applyNumberFormat="1" applyFont="1" applyAlignment="1" applyProtection="1">
      <alignment horizontal="center" vertical="center"/>
      <protection locked="0"/>
    </xf>
    <xf numFmtId="0" fontId="27" fillId="0" borderId="0" xfId="0" quotePrefix="1" applyFont="1" applyAlignment="1" applyProtection="1">
      <alignment horizontal="center" vertical="center"/>
      <protection locked="0"/>
    </xf>
    <xf numFmtId="0" fontId="27" fillId="3" borderId="0" xfId="0" quotePrefix="1" applyFont="1" applyFill="1" applyAlignment="1" applyProtection="1">
      <alignment vertical="center"/>
      <protection locked="0"/>
    </xf>
    <xf numFmtId="166" fontId="80" fillId="3" borderId="15" xfId="3" applyNumberFormat="1" applyFont="1" applyFill="1" applyBorder="1" applyAlignment="1" applyProtection="1">
      <alignment horizontal="center" vertical="center"/>
      <protection locked="0"/>
    </xf>
    <xf numFmtId="166" fontId="80" fillId="3" borderId="12" xfId="0" quotePrefix="1" applyNumberFormat="1" applyFont="1" applyFill="1" applyBorder="1" applyAlignment="1" applyProtection="1">
      <alignment horizontal="right" vertical="center" wrapText="1"/>
      <protection locked="0"/>
    </xf>
    <xf numFmtId="164" fontId="80" fillId="3" borderId="78" xfId="0" quotePrefix="1" applyNumberFormat="1" applyFont="1" applyFill="1" applyBorder="1" applyAlignment="1" applyProtection="1">
      <alignment horizontal="right" vertical="center" wrapText="1"/>
      <protection locked="0"/>
    </xf>
    <xf numFmtId="166" fontId="80" fillId="3" borderId="8" xfId="0" quotePrefix="1" applyNumberFormat="1" applyFont="1" applyFill="1" applyBorder="1" applyAlignment="1" applyProtection="1">
      <alignment horizontal="right" vertical="center" wrapText="1"/>
      <protection locked="0"/>
    </xf>
    <xf numFmtId="166" fontId="80" fillId="3" borderId="7" xfId="0" applyNumberFormat="1" applyFont="1" applyFill="1" applyBorder="1" applyAlignment="1" applyProtection="1">
      <alignment horizontal="center" vertical="center"/>
      <protection locked="0"/>
    </xf>
    <xf numFmtId="166" fontId="80" fillId="3" borderId="3" xfId="0" quotePrefix="1" applyNumberFormat="1" applyFont="1" applyFill="1" applyBorder="1" applyAlignment="1" applyProtection="1">
      <alignment horizontal="center" vertical="center"/>
      <protection locked="0"/>
    </xf>
    <xf numFmtId="0" fontId="80" fillId="0" borderId="0" xfId="0" applyFont="1" applyAlignment="1" applyProtection="1">
      <alignment horizontal="left" vertical="center"/>
      <protection locked="0"/>
    </xf>
    <xf numFmtId="2" fontId="80" fillId="0" borderId="0" xfId="0" applyNumberFormat="1" applyFont="1" applyAlignment="1" applyProtection="1">
      <alignment horizontal="left" vertical="center"/>
      <protection locked="0"/>
    </xf>
    <xf numFmtId="0" fontId="80" fillId="0" borderId="0" xfId="0" applyFont="1" applyAlignment="1">
      <alignment vertical="center"/>
    </xf>
    <xf numFmtId="166" fontId="80" fillId="0" borderId="0" xfId="0" applyNumberFormat="1" applyFont="1" applyAlignment="1" applyProtection="1">
      <alignment horizontal="left" vertical="center"/>
      <protection hidden="1"/>
    </xf>
    <xf numFmtId="172" fontId="81" fillId="2" borderId="11" xfId="0" applyNumberFormat="1" applyFont="1" applyFill="1" applyBorder="1" applyAlignment="1" applyProtection="1">
      <alignment horizontal="center" vertical="center" wrapText="1"/>
      <protection hidden="1"/>
    </xf>
    <xf numFmtId="167" fontId="81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81" fillId="2" borderId="8" xfId="0" applyFont="1" applyFill="1" applyBorder="1" applyAlignment="1" applyProtection="1">
      <alignment horizontal="left" vertical="center"/>
      <protection hidden="1"/>
    </xf>
    <xf numFmtId="168" fontId="81" fillId="2" borderId="7" xfId="0" applyNumberFormat="1" applyFont="1" applyFill="1" applyBorder="1" applyAlignment="1" applyProtection="1">
      <alignment horizontal="center" vertical="center" wrapText="1"/>
      <protection hidden="1"/>
    </xf>
    <xf numFmtId="166" fontId="81" fillId="0" borderId="11" xfId="0" applyNumberFormat="1" applyFont="1" applyBorder="1" applyAlignment="1" applyProtection="1">
      <alignment horizontal="center" vertical="center" wrapText="1"/>
      <protection hidden="1"/>
    </xf>
    <xf numFmtId="2" fontId="81" fillId="0" borderId="11" xfId="0" applyNumberFormat="1" applyFont="1" applyBorder="1" applyAlignment="1" applyProtection="1">
      <alignment horizontal="center" vertical="center" wrapText="1"/>
      <protection hidden="1"/>
    </xf>
    <xf numFmtId="166" fontId="81" fillId="0" borderId="3" xfId="0" applyNumberFormat="1" applyFont="1" applyBorder="1" applyAlignment="1" applyProtection="1">
      <alignment horizontal="center" vertical="center" wrapText="1"/>
      <protection hidden="1"/>
    </xf>
    <xf numFmtId="2" fontId="81" fillId="0" borderId="3" xfId="0" applyNumberFormat="1" applyFont="1" applyBorder="1" applyAlignment="1" applyProtection="1">
      <alignment horizontal="center" vertical="center" wrapText="1"/>
      <protection hidden="1"/>
    </xf>
    <xf numFmtId="166" fontId="81" fillId="0" borderId="7" xfId="0" applyNumberFormat="1" applyFont="1" applyBorder="1" applyAlignment="1" applyProtection="1">
      <alignment horizontal="center" vertical="center" wrapText="1"/>
      <protection hidden="1"/>
    </xf>
    <xf numFmtId="2" fontId="81" fillId="0" borderId="7" xfId="0" applyNumberFormat="1" applyFont="1" applyBorder="1" applyAlignment="1" applyProtection="1">
      <alignment horizontal="center" vertical="center" wrapText="1"/>
      <protection hidden="1"/>
    </xf>
    <xf numFmtId="2" fontId="81" fillId="0" borderId="15" xfId="0" applyNumberFormat="1" applyFont="1" applyBorder="1" applyAlignment="1" applyProtection="1">
      <alignment horizontal="center" vertical="center" wrapText="1"/>
      <protection hidden="1"/>
    </xf>
    <xf numFmtId="0" fontId="80" fillId="0" borderId="0" xfId="0" applyFont="1" applyAlignment="1" applyProtection="1">
      <alignment vertical="center"/>
      <protection locked="0"/>
    </xf>
    <xf numFmtId="2" fontId="1" fillId="5" borderId="0" xfId="0" applyNumberFormat="1" applyFont="1" applyFill="1"/>
    <xf numFmtId="0" fontId="25" fillId="0" borderId="0" xfId="0" applyFont="1"/>
    <xf numFmtId="0" fontId="27" fillId="0" borderId="18" xfId="0" applyFont="1" applyBorder="1" applyAlignment="1">
      <alignment horizontal="right" vertical="center"/>
    </xf>
    <xf numFmtId="2" fontId="27" fillId="0" borderId="23" xfId="0" applyNumberFormat="1" applyFont="1" applyBorder="1" applyAlignment="1" applyProtection="1">
      <alignment horizontal="left" vertical="center" wrapText="1"/>
      <protection hidden="1"/>
    </xf>
    <xf numFmtId="2" fontId="81" fillId="0" borderId="22" xfId="0" applyNumberFormat="1" applyFont="1" applyBorder="1" applyAlignment="1" applyProtection="1">
      <alignment vertical="center" wrapText="1"/>
      <protection hidden="1"/>
    </xf>
    <xf numFmtId="2" fontId="6" fillId="2" borderId="0" xfId="0" applyNumberFormat="1" applyFont="1" applyFill="1" applyAlignment="1">
      <alignment vertical="center"/>
    </xf>
    <xf numFmtId="2" fontId="3" fillId="4" borderId="40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/>
    </xf>
    <xf numFmtId="2" fontId="3" fillId="2" borderId="70" xfId="0" applyNumberFormat="1" applyFont="1" applyFill="1" applyBorder="1" applyAlignment="1">
      <alignment horizontal="center"/>
    </xf>
    <xf numFmtId="166" fontId="1" fillId="0" borderId="15" xfId="0" applyNumberFormat="1" applyFont="1" applyBorder="1" applyAlignment="1" applyProtection="1">
      <alignment horizontal="center" vertical="center" wrapText="1"/>
      <protection hidden="1"/>
    </xf>
    <xf numFmtId="166" fontId="27" fillId="0" borderId="15" xfId="0" applyNumberFormat="1" applyFont="1" applyBorder="1" applyAlignment="1" applyProtection="1">
      <alignment horizontal="center" vertical="center" wrapText="1"/>
      <protection hidden="1"/>
    </xf>
    <xf numFmtId="2" fontId="81" fillId="0" borderId="15" xfId="0" applyNumberFormat="1" applyFont="1" applyBorder="1" applyAlignment="1" applyProtection="1">
      <alignment horizontal="left" vertical="center"/>
      <protection hidden="1"/>
    </xf>
    <xf numFmtId="0" fontId="27" fillId="0" borderId="97" xfId="0" applyFont="1" applyBorder="1" applyAlignment="1">
      <alignment horizontal="right" vertical="center"/>
    </xf>
    <xf numFmtId="0" fontId="27" fillId="0" borderId="99" xfId="0" applyFont="1" applyBorder="1" applyAlignment="1">
      <alignment horizontal="right" vertical="center"/>
    </xf>
    <xf numFmtId="0" fontId="27" fillId="0" borderId="102" xfId="0" applyFont="1" applyBorder="1" applyAlignment="1">
      <alignment horizontal="right" vertical="center"/>
    </xf>
    <xf numFmtId="0" fontId="27" fillId="0" borderId="13" xfId="0" applyFont="1" applyBorder="1" applyAlignment="1" applyProtection="1">
      <alignment vertical="center"/>
      <protection hidden="1"/>
    </xf>
    <xf numFmtId="0" fontId="55" fillId="0" borderId="19" xfId="0" applyFont="1" applyBorder="1" applyAlignment="1" applyProtection="1">
      <alignment horizontal="center" vertical="center"/>
      <protection locked="0"/>
    </xf>
    <xf numFmtId="0" fontId="55" fillId="0" borderId="24" xfId="0" applyFont="1" applyBorder="1" applyAlignment="1" applyProtection="1">
      <alignment horizontal="center" vertical="center"/>
      <protection locked="0"/>
    </xf>
    <xf numFmtId="0" fontId="27" fillId="0" borderId="26" xfId="0" applyFont="1" applyBorder="1" applyAlignment="1">
      <alignment horizontal="center" vertical="center"/>
    </xf>
    <xf numFmtId="1" fontId="1" fillId="0" borderId="0" xfId="0" applyNumberFormat="1" applyFont="1" applyAlignment="1" applyProtection="1">
      <alignment horizontal="left" vertical="center" wrapText="1"/>
      <protection hidden="1"/>
    </xf>
    <xf numFmtId="2" fontId="27" fillId="0" borderId="0" xfId="0" applyNumberFormat="1" applyFont="1" applyAlignment="1">
      <alignment horizontal="right" vertical="center"/>
    </xf>
    <xf numFmtId="178" fontId="1" fillId="0" borderId="19" xfId="0" quotePrefix="1" applyNumberFormat="1" applyFont="1" applyBorder="1" applyAlignment="1" applyProtection="1">
      <alignment horizontal="right" vertical="center" wrapText="1"/>
      <protection hidden="1"/>
    </xf>
    <xf numFmtId="0" fontId="27" fillId="0" borderId="13" xfId="0" applyFont="1" applyBorder="1" applyAlignment="1">
      <alignment horizontal="right" vertical="center"/>
    </xf>
    <xf numFmtId="2" fontId="80" fillId="0" borderId="80" xfId="0" applyNumberFormat="1" applyFont="1" applyBorder="1" applyAlignment="1">
      <alignment vertical="center"/>
    </xf>
    <xf numFmtId="0" fontId="27" fillId="0" borderId="106" xfId="0" applyFont="1" applyBorder="1" applyAlignment="1">
      <alignment horizontal="right" vertical="center"/>
    </xf>
    <xf numFmtId="2" fontId="80" fillId="0" borderId="107" xfId="0" applyNumberFormat="1" applyFont="1" applyBorder="1" applyAlignment="1">
      <alignment vertical="center"/>
    </xf>
    <xf numFmtId="0" fontId="27" fillId="0" borderId="108" xfId="0" applyFont="1" applyBorder="1" applyAlignment="1">
      <alignment horizontal="right" vertical="center"/>
    </xf>
    <xf numFmtId="2" fontId="80" fillId="0" borderId="109" xfId="0" applyNumberFormat="1" applyFont="1" applyBorder="1" applyAlignment="1">
      <alignment vertical="center"/>
    </xf>
    <xf numFmtId="2" fontId="81" fillId="0" borderId="23" xfId="0" applyNumberFormat="1" applyFont="1" applyBorder="1" applyAlignment="1" applyProtection="1">
      <alignment vertical="center" wrapText="1"/>
      <protection hidden="1"/>
    </xf>
    <xf numFmtId="1" fontId="27" fillId="0" borderId="23" xfId="0" applyNumberFormat="1" applyFont="1" applyBorder="1" applyAlignment="1">
      <alignment horizontal="left" vertical="center"/>
    </xf>
    <xf numFmtId="2" fontId="2" fillId="0" borderId="20" xfId="0" applyNumberFormat="1" applyFont="1" applyBorder="1" applyAlignment="1" applyProtection="1">
      <alignment horizontal="center" wrapText="1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81" fillId="2" borderId="0" xfId="0" applyFont="1" applyFill="1" applyAlignment="1" applyProtection="1">
      <alignment horizontal="left" vertical="center"/>
      <protection hidden="1"/>
    </xf>
    <xf numFmtId="0" fontId="1" fillId="0" borderId="0" xfId="0" applyFont="1" applyAlignment="1" applyProtection="1">
      <alignment vertical="center"/>
      <protection hidden="1"/>
    </xf>
    <xf numFmtId="168" fontId="81" fillId="2" borderId="0" xfId="0" applyNumberFormat="1" applyFont="1" applyFill="1" applyAlignment="1" applyProtection="1">
      <alignment horizontal="center" vertical="center" wrapText="1"/>
      <protection hidden="1"/>
    </xf>
    <xf numFmtId="170" fontId="1" fillId="0" borderId="0" xfId="0" applyNumberFormat="1" applyFont="1" applyAlignment="1" applyProtection="1">
      <alignment horizontal="center" vertical="center" wrapText="1"/>
      <protection hidden="1"/>
    </xf>
    <xf numFmtId="0" fontId="80" fillId="3" borderId="0" xfId="0" applyFont="1" applyFill="1" applyAlignment="1" applyProtection="1">
      <alignment horizontal="left" vertical="center"/>
      <protection locked="0"/>
    </xf>
    <xf numFmtId="166" fontId="80" fillId="3" borderId="0" xfId="0" quotePrefix="1" applyNumberFormat="1" applyFont="1" applyFill="1" applyAlignment="1" applyProtection="1">
      <alignment horizontal="right" vertical="center" wrapText="1"/>
      <protection locked="0"/>
    </xf>
    <xf numFmtId="0" fontId="27" fillId="6" borderId="0" xfId="0" applyFont="1" applyFill="1" applyAlignment="1" applyProtection="1">
      <alignment horizontal="left" vertical="center"/>
      <protection locked="0"/>
    </xf>
    <xf numFmtId="180" fontId="27" fillId="0" borderId="0" xfId="0" applyNumberFormat="1" applyFont="1" applyAlignment="1" applyProtection="1">
      <alignment horizontal="center" vertical="center" wrapText="1"/>
      <protection locked="0"/>
    </xf>
    <xf numFmtId="0" fontId="27" fillId="0" borderId="0" xfId="0" applyFont="1" applyAlignment="1" applyProtection="1">
      <alignment horizontal="center" vertical="center" wrapText="1"/>
      <protection locked="0"/>
    </xf>
    <xf numFmtId="0" fontId="28" fillId="0" borderId="0" xfId="0" applyFont="1" applyAlignment="1" applyProtection="1">
      <alignment horizontal="center" vertical="center" wrapText="1"/>
      <protection locked="0"/>
    </xf>
    <xf numFmtId="1" fontId="80" fillId="3" borderId="0" xfId="0" quotePrefix="1" applyNumberFormat="1" applyFont="1" applyFill="1" applyAlignment="1" applyProtection="1">
      <alignment horizontal="center" vertical="center" wrapText="1"/>
      <protection locked="0"/>
    </xf>
    <xf numFmtId="1" fontId="80" fillId="3" borderId="0" xfId="0" applyNumberFormat="1" applyFont="1" applyFill="1" applyAlignment="1" applyProtection="1">
      <alignment horizontal="center" vertical="center" wrapText="1"/>
      <protection locked="0"/>
    </xf>
    <xf numFmtId="166" fontId="80" fillId="3" borderId="0" xfId="0" applyNumberFormat="1" applyFont="1" applyFill="1" applyAlignment="1" applyProtection="1">
      <alignment horizontal="center" vertical="center"/>
      <protection locked="0"/>
    </xf>
    <xf numFmtId="166" fontId="1" fillId="0" borderId="1" xfId="0" applyNumberFormat="1" applyFont="1" applyBorder="1" applyAlignment="1" applyProtection="1">
      <alignment horizontal="center" vertical="center" wrapText="1"/>
      <protection hidden="1"/>
    </xf>
    <xf numFmtId="178" fontId="27" fillId="0" borderId="0" xfId="0" quotePrefix="1" applyNumberFormat="1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hidden="1"/>
    </xf>
    <xf numFmtId="0" fontId="81" fillId="0" borderId="0" xfId="0" applyFont="1" applyAlignment="1" applyProtection="1">
      <alignment horizontal="center" vertical="center" wrapText="1"/>
      <protection hidden="1"/>
    </xf>
    <xf numFmtId="166" fontId="81" fillId="0" borderId="0" xfId="0" applyNumberFormat="1" applyFont="1" applyAlignment="1" applyProtection="1">
      <alignment horizontal="center" vertical="center" wrapText="1"/>
      <protection hidden="1"/>
    </xf>
    <xf numFmtId="2" fontId="81" fillId="0" borderId="0" xfId="0" applyNumberFormat="1" applyFont="1" applyAlignment="1" applyProtection="1">
      <alignment horizontal="center" vertical="center" wrapText="1"/>
      <protection hidden="1"/>
    </xf>
    <xf numFmtId="178" fontId="1" fillId="0" borderId="0" xfId="0" quotePrefix="1" applyNumberFormat="1" applyFont="1" applyAlignment="1" applyProtection="1">
      <alignment horizontal="right" vertical="center" wrapText="1"/>
      <protection hidden="1"/>
    </xf>
    <xf numFmtId="0" fontId="27" fillId="0" borderId="0" xfId="0" applyFont="1" applyAlignment="1">
      <alignment horizontal="right" vertical="center"/>
    </xf>
    <xf numFmtId="2" fontId="80" fillId="0" borderId="0" xfId="0" applyNumberFormat="1" applyFont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73" fontId="1" fillId="0" borderId="25" xfId="0" applyNumberFormat="1" applyFont="1" applyBorder="1" applyAlignment="1">
      <alignment horizontal="center" vertical="center"/>
    </xf>
    <xf numFmtId="173" fontId="1" fillId="0" borderId="16" xfId="0" applyNumberFormat="1" applyFont="1" applyBorder="1" applyAlignment="1">
      <alignment horizontal="center" vertical="center"/>
    </xf>
    <xf numFmtId="173" fontId="1" fillId="0" borderId="26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8" fillId="0" borderId="25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9" fontId="32" fillId="0" borderId="15" xfId="0" quotePrefix="1" applyNumberFormat="1" applyFont="1" applyBorder="1" applyAlignment="1">
      <alignment horizontal="center" vertical="center" wrapText="1"/>
    </xf>
    <xf numFmtId="176" fontId="28" fillId="0" borderId="15" xfId="1" applyNumberFormat="1" applyFont="1" applyBorder="1" applyAlignment="1">
      <alignment horizontal="center" vertical="center"/>
    </xf>
    <xf numFmtId="2" fontId="28" fillId="0" borderId="15" xfId="0" quotePrefix="1" applyNumberFormat="1" applyFont="1" applyBorder="1" applyAlignment="1">
      <alignment horizontal="center" vertical="center"/>
    </xf>
    <xf numFmtId="1" fontId="28" fillId="0" borderId="25" xfId="0" applyNumberFormat="1" applyFont="1" applyBorder="1" applyAlignment="1">
      <alignment horizontal="center" vertical="center" wrapText="1"/>
    </xf>
    <xf numFmtId="1" fontId="28" fillId="0" borderId="26" xfId="0" applyNumberFormat="1" applyFont="1" applyBorder="1" applyAlignment="1">
      <alignment horizontal="center" vertical="center" wrapText="1"/>
    </xf>
    <xf numFmtId="2" fontId="28" fillId="0" borderId="15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9" fontId="32" fillId="0" borderId="0" xfId="0" quotePrefix="1" applyNumberFormat="1" applyFont="1" applyAlignment="1">
      <alignment horizontal="center" vertical="center" wrapText="1"/>
    </xf>
    <xf numFmtId="0" fontId="28" fillId="0" borderId="15" xfId="0" applyFont="1" applyBorder="1" applyAlignment="1">
      <alignment horizontal="center" vertical="center"/>
    </xf>
    <xf numFmtId="9" fontId="27" fillId="0" borderId="25" xfId="0" quotePrefix="1" applyNumberFormat="1" applyFont="1" applyBorder="1" applyAlignment="1">
      <alignment horizontal="center" vertical="center" wrapText="1"/>
    </xf>
    <xf numFmtId="9" fontId="27" fillId="0" borderId="16" xfId="0" quotePrefix="1" applyNumberFormat="1" applyFont="1" applyBorder="1" applyAlignment="1">
      <alignment horizontal="center" vertical="center" wrapText="1"/>
    </xf>
    <xf numFmtId="9" fontId="27" fillId="0" borderId="26" xfId="0" quotePrefix="1" applyNumberFormat="1" applyFont="1" applyBorder="1" applyAlignment="1">
      <alignment horizontal="center" vertical="center" wrapText="1"/>
    </xf>
    <xf numFmtId="0" fontId="53" fillId="0" borderId="15" xfId="0" applyFont="1" applyBorder="1" applyAlignment="1">
      <alignment horizontal="center" vertical="center"/>
    </xf>
    <xf numFmtId="0" fontId="53" fillId="0" borderId="15" xfId="0" applyFont="1" applyBorder="1" applyAlignment="1">
      <alignment horizontal="center" vertical="center" wrapText="1"/>
    </xf>
    <xf numFmtId="0" fontId="28" fillId="0" borderId="18" xfId="0" applyFont="1" applyBorder="1" applyAlignment="1" applyProtection="1">
      <alignment horizontal="center" vertical="center" wrapText="1"/>
      <protection locked="0"/>
    </xf>
    <xf numFmtId="0" fontId="28" fillId="0" borderId="22" xfId="0" applyFont="1" applyBorder="1" applyAlignment="1" applyProtection="1">
      <alignment horizontal="center" vertical="center" wrapText="1"/>
      <protection locked="0"/>
    </xf>
    <xf numFmtId="0" fontId="28" fillId="0" borderId="23" xfId="0" applyFont="1" applyBorder="1" applyAlignment="1" applyProtection="1">
      <alignment horizontal="center" vertical="center" wrapText="1"/>
      <protection locked="0"/>
    </xf>
    <xf numFmtId="0" fontId="28" fillId="0" borderId="15" xfId="0" applyFont="1" applyBorder="1" applyAlignment="1">
      <alignment horizontal="center" vertical="center" wrapText="1"/>
    </xf>
    <xf numFmtId="0" fontId="28" fillId="0" borderId="18" xfId="0" applyFont="1" applyBorder="1" applyAlignment="1" applyProtection="1">
      <alignment horizontal="center" vertical="center"/>
      <protection locked="0"/>
    </xf>
    <xf numFmtId="0" fontId="28" fillId="0" borderId="22" xfId="0" applyFont="1" applyBorder="1" applyAlignment="1" applyProtection="1">
      <alignment horizontal="center" vertical="center"/>
      <protection locked="0"/>
    </xf>
    <xf numFmtId="0" fontId="28" fillId="0" borderId="23" xfId="0" applyFont="1" applyBorder="1" applyAlignment="1" applyProtection="1">
      <alignment horizontal="center" vertical="center"/>
      <protection locked="0"/>
    </xf>
    <xf numFmtId="0" fontId="28" fillId="0" borderId="20" xfId="0" applyFont="1" applyBorder="1" applyAlignment="1" applyProtection="1">
      <alignment horizontal="center" vertical="center" wrapText="1"/>
      <protection locked="0"/>
    </xf>
    <xf numFmtId="0" fontId="28" fillId="0" borderId="27" xfId="0" applyFont="1" applyBorder="1" applyAlignment="1" applyProtection="1">
      <alignment horizontal="center" vertical="center" wrapText="1"/>
      <protection locked="0"/>
    </xf>
    <xf numFmtId="0" fontId="28" fillId="0" borderId="19" xfId="0" applyFont="1" applyBorder="1" applyAlignment="1" applyProtection="1">
      <alignment horizontal="center" vertical="center" wrapText="1"/>
      <protection locked="0"/>
    </xf>
    <xf numFmtId="0" fontId="28" fillId="0" borderId="24" xfId="0" applyFont="1" applyBorder="1" applyAlignment="1" applyProtection="1">
      <alignment horizontal="center" vertical="center" wrapText="1"/>
      <protection locked="0"/>
    </xf>
    <xf numFmtId="0" fontId="80" fillId="3" borderId="4" xfId="0" applyFont="1" applyFill="1" applyBorder="1" applyAlignment="1" applyProtection="1">
      <alignment horizontal="left" vertical="center"/>
      <protection locked="0"/>
    </xf>
    <xf numFmtId="0" fontId="80" fillId="3" borderId="5" xfId="0" applyFont="1" applyFill="1" applyBorder="1" applyAlignment="1" applyProtection="1">
      <alignment horizontal="left" vertical="center"/>
      <protection locked="0"/>
    </xf>
    <xf numFmtId="0" fontId="80" fillId="3" borderId="6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1" fontId="80" fillId="3" borderId="4" xfId="0" quotePrefix="1" applyNumberFormat="1" applyFont="1" applyFill="1" applyBorder="1" applyAlignment="1" applyProtection="1">
      <alignment horizontal="center" vertical="center" wrapText="1"/>
      <protection locked="0"/>
    </xf>
    <xf numFmtId="1" fontId="80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55" fillId="0" borderId="20" xfId="0" applyFont="1" applyBorder="1" applyAlignment="1" applyProtection="1">
      <alignment horizontal="center" vertical="center"/>
      <protection locked="0"/>
    </xf>
    <xf numFmtId="0" fontId="55" fillId="0" borderId="27" xfId="0" applyFont="1" applyBorder="1" applyAlignment="1" applyProtection="1">
      <alignment horizontal="center" vertical="center"/>
      <protection locked="0"/>
    </xf>
    <xf numFmtId="0" fontId="55" fillId="0" borderId="19" xfId="0" applyFont="1" applyBorder="1" applyAlignment="1" applyProtection="1">
      <alignment horizontal="center" vertical="center"/>
      <protection locked="0"/>
    </xf>
    <xf numFmtId="0" fontId="55" fillId="0" borderId="24" xfId="0" applyFont="1" applyBorder="1" applyAlignment="1" applyProtection="1">
      <alignment horizontal="center" vertical="center"/>
      <protection locked="0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3" borderId="0" xfId="0" applyFont="1" applyFill="1" applyAlignment="1" applyProtection="1">
      <alignment horizontal="left" vertical="center"/>
      <protection locked="0"/>
    </xf>
    <xf numFmtId="1" fontId="80" fillId="3" borderId="8" xfId="0" applyNumberFormat="1" applyFont="1" applyFill="1" applyBorder="1" applyAlignment="1" applyProtection="1">
      <alignment horizontal="center" vertical="center" wrapText="1"/>
      <protection locked="0"/>
    </xf>
    <xf numFmtId="1" fontId="80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25" xfId="0" applyFont="1" applyBorder="1" applyAlignment="1" applyProtection="1">
      <alignment horizontal="center" vertical="center" wrapText="1"/>
      <protection locked="0"/>
    </xf>
    <xf numFmtId="0" fontId="28" fillId="0" borderId="26" xfId="0" applyFont="1" applyBorder="1" applyAlignment="1" applyProtection="1">
      <alignment horizontal="center" vertical="center" wrapText="1"/>
      <protection locked="0"/>
    </xf>
    <xf numFmtId="0" fontId="28" fillId="0" borderId="11" xfId="0" applyFont="1" applyBorder="1" applyAlignment="1" applyProtection="1">
      <alignment horizontal="center" vertical="center" wrapText="1"/>
      <protection locked="0"/>
    </xf>
    <xf numFmtId="0" fontId="28" fillId="0" borderId="3" xfId="0" applyFont="1" applyBorder="1" applyAlignment="1" applyProtection="1">
      <alignment horizontal="center" vertical="center" wrapText="1"/>
      <protection locked="0"/>
    </xf>
    <xf numFmtId="0" fontId="28" fillId="0" borderId="7" xfId="0" applyFont="1" applyBorder="1" applyAlignment="1" applyProtection="1">
      <alignment horizontal="center" vertical="center" wrapText="1"/>
      <protection locked="0"/>
    </xf>
    <xf numFmtId="0" fontId="27" fillId="2" borderId="0" xfId="0" applyFont="1" applyFill="1" applyAlignment="1" applyProtection="1">
      <alignment horizontal="left" vertical="top" wrapText="1"/>
      <protection locked="0"/>
    </xf>
    <xf numFmtId="0" fontId="27" fillId="3" borderId="0" xfId="0" quotePrefix="1" applyFont="1" applyFill="1" applyAlignment="1" applyProtection="1">
      <alignment horizontal="left" vertical="center"/>
      <protection locked="0"/>
    </xf>
    <xf numFmtId="2" fontId="53" fillId="0" borderId="15" xfId="0" applyNumberFormat="1" applyFont="1" applyBorder="1" applyAlignment="1">
      <alignment horizontal="center" vertical="center"/>
    </xf>
    <xf numFmtId="1" fontId="28" fillId="0" borderId="20" xfId="0" applyNumberFormat="1" applyFont="1" applyBorder="1" applyAlignment="1">
      <alignment horizontal="center" vertical="center" wrapText="1"/>
    </xf>
    <xf numFmtId="1" fontId="28" fillId="0" borderId="19" xfId="0" applyNumberFormat="1" applyFont="1" applyBorder="1" applyAlignment="1">
      <alignment horizontal="center" vertical="center" wrapText="1"/>
    </xf>
    <xf numFmtId="2" fontId="28" fillId="0" borderId="25" xfId="0" applyNumberFormat="1" applyFont="1" applyBorder="1" applyAlignment="1">
      <alignment horizontal="center" vertical="center"/>
    </xf>
    <xf numFmtId="2" fontId="28" fillId="0" borderId="26" xfId="0" applyNumberFormat="1" applyFont="1" applyBorder="1" applyAlignment="1">
      <alignment horizontal="center" vertical="center"/>
    </xf>
    <xf numFmtId="2" fontId="80" fillId="3" borderId="18" xfId="0" quotePrefix="1" applyNumberFormat="1" applyFont="1" applyFill="1" applyBorder="1" applyAlignment="1" applyProtection="1">
      <alignment horizontal="center" vertical="center"/>
      <protection locked="0"/>
    </xf>
    <xf numFmtId="2" fontId="80" fillId="3" borderId="23" xfId="0" quotePrefix="1" applyNumberFormat="1" applyFont="1" applyFill="1" applyBorder="1" applyAlignment="1" applyProtection="1">
      <alignment horizontal="center" vertical="center"/>
      <protection locked="0"/>
    </xf>
    <xf numFmtId="0" fontId="80" fillId="3" borderId="18" xfId="0" quotePrefix="1" applyFont="1" applyFill="1" applyBorder="1" applyAlignment="1" applyProtection="1">
      <alignment horizontal="center" vertical="center" wrapText="1"/>
      <protection locked="0"/>
    </xf>
    <xf numFmtId="0" fontId="80" fillId="3" borderId="23" xfId="0" applyFont="1" applyFill="1" applyBorder="1" applyAlignment="1" applyProtection="1">
      <alignment horizontal="center" vertical="center" wrapText="1"/>
      <protection locked="0"/>
    </xf>
    <xf numFmtId="166" fontId="80" fillId="3" borderId="15" xfId="3" quotePrefix="1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178" fontId="27" fillId="0" borderId="25" xfId="0" quotePrefix="1" applyNumberFormat="1" applyFont="1" applyBorder="1" applyAlignment="1">
      <alignment horizontal="center" vertical="center" wrapText="1"/>
    </xf>
    <xf numFmtId="178" fontId="27" fillId="0" borderId="16" xfId="0" quotePrefix="1" applyNumberFormat="1" applyFont="1" applyBorder="1" applyAlignment="1">
      <alignment horizontal="center" vertical="center" wrapText="1"/>
    </xf>
    <xf numFmtId="178" fontId="27" fillId="0" borderId="26" xfId="0" quotePrefix="1" applyNumberFormat="1" applyFont="1" applyBorder="1" applyAlignment="1">
      <alignment horizontal="center" vertical="center" wrapText="1"/>
    </xf>
    <xf numFmtId="177" fontId="27" fillId="0" borderId="12" xfId="0" applyNumberFormat="1" applyFont="1" applyBorder="1" applyAlignment="1" applyProtection="1">
      <alignment horizontal="center" vertical="center" wrapText="1"/>
      <protection locked="0"/>
    </xf>
    <xf numFmtId="177" fontId="27" fillId="0" borderId="14" xfId="0" applyNumberFormat="1" applyFont="1" applyBorder="1" applyAlignment="1" applyProtection="1">
      <alignment horizontal="center" vertical="center" wrapText="1"/>
      <protection locked="0"/>
    </xf>
    <xf numFmtId="169" fontId="27" fillId="0" borderId="4" xfId="0" applyNumberFormat="1" applyFont="1" applyBorder="1" applyAlignment="1" applyProtection="1">
      <alignment horizontal="center" vertical="center" wrapText="1"/>
      <protection locked="0"/>
    </xf>
    <xf numFmtId="169" fontId="27" fillId="0" borderId="6" xfId="0" applyNumberFormat="1" applyFont="1" applyBorder="1" applyAlignment="1" applyProtection="1">
      <alignment horizontal="center" vertical="center" wrapText="1"/>
      <protection locked="0"/>
    </xf>
    <xf numFmtId="180" fontId="27" fillId="0" borderId="8" xfId="0" applyNumberFormat="1" applyFont="1" applyBorder="1" applyAlignment="1" applyProtection="1">
      <alignment horizontal="center" vertical="center" wrapText="1"/>
      <protection locked="0"/>
    </xf>
    <xf numFmtId="180" fontId="27" fillId="0" borderId="10" xfId="0" applyNumberFormat="1" applyFont="1" applyBorder="1" applyAlignment="1" applyProtection="1">
      <alignment horizontal="center" vertical="center" wrapText="1"/>
      <protection locked="0"/>
    </xf>
    <xf numFmtId="0" fontId="80" fillId="3" borderId="8" xfId="0" applyFont="1" applyFill="1" applyBorder="1" applyAlignment="1" applyProtection="1">
      <alignment horizontal="left" vertical="center"/>
      <protection locked="0"/>
    </xf>
    <xf numFmtId="0" fontId="80" fillId="3" borderId="9" xfId="0" applyFont="1" applyFill="1" applyBorder="1" applyAlignment="1" applyProtection="1">
      <alignment horizontal="left" vertical="center"/>
      <protection locked="0"/>
    </xf>
    <xf numFmtId="0" fontId="80" fillId="3" borderId="10" xfId="0" applyFont="1" applyFill="1" applyBorder="1" applyAlignment="1" applyProtection="1">
      <alignment horizontal="left" vertical="center"/>
      <protection locked="0"/>
    </xf>
    <xf numFmtId="0" fontId="25" fillId="0" borderId="0" xfId="0" applyFont="1" applyAlignment="1">
      <alignment horizontal="right" vertical="center"/>
    </xf>
    <xf numFmtId="0" fontId="38" fillId="0" borderId="47" xfId="0" applyFont="1" applyBorder="1" applyAlignment="1">
      <alignment horizontal="center" vertical="center"/>
    </xf>
    <xf numFmtId="0" fontId="38" fillId="0" borderId="48" xfId="0" applyFont="1" applyBorder="1" applyAlignment="1">
      <alignment horizontal="center" vertical="center"/>
    </xf>
    <xf numFmtId="0" fontId="38" fillId="0" borderId="49" xfId="0" applyFont="1" applyBorder="1" applyAlignment="1">
      <alignment horizontal="center" vertical="center"/>
    </xf>
    <xf numFmtId="0" fontId="38" fillId="0" borderId="52" xfId="0" applyFont="1" applyBorder="1" applyAlignment="1">
      <alignment horizontal="center" vertical="center"/>
    </xf>
    <xf numFmtId="0" fontId="38" fillId="0" borderId="53" xfId="0" applyFont="1" applyBorder="1" applyAlignment="1">
      <alignment horizontal="center" vertical="center"/>
    </xf>
    <xf numFmtId="0" fontId="38" fillId="0" borderId="54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7" fillId="0" borderId="0" xfId="0" applyFont="1" applyAlignment="1" applyProtection="1">
      <alignment horizontal="left" vertical="top" wrapText="1"/>
      <protection locked="0"/>
    </xf>
    <xf numFmtId="179" fontId="27" fillId="0" borderId="15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0" fontId="28" fillId="0" borderId="18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170" fontId="27" fillId="0" borderId="8" xfId="0" applyNumberFormat="1" applyFont="1" applyBorder="1" applyAlignment="1">
      <alignment horizontal="center" vertical="center" wrapText="1"/>
    </xf>
    <xf numFmtId="170" fontId="27" fillId="0" borderId="10" xfId="0" applyNumberFormat="1" applyFont="1" applyBorder="1" applyAlignment="1">
      <alignment horizontal="center" vertical="center" wrapText="1"/>
    </xf>
    <xf numFmtId="167" fontId="27" fillId="0" borderId="4" xfId="0" applyNumberFormat="1" applyFont="1" applyBorder="1" applyAlignment="1">
      <alignment horizontal="center" vertical="center" wrapText="1"/>
    </xf>
    <xf numFmtId="167" fontId="27" fillId="0" borderId="6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172" fontId="27" fillId="0" borderId="12" xfId="0" applyNumberFormat="1" applyFont="1" applyBorder="1" applyAlignment="1">
      <alignment horizontal="center" vertical="center" wrapText="1"/>
    </xf>
    <xf numFmtId="172" fontId="27" fillId="0" borderId="14" xfId="0" applyNumberFormat="1" applyFont="1" applyBorder="1" applyAlignment="1">
      <alignment horizontal="center" vertical="center" wrapText="1"/>
    </xf>
    <xf numFmtId="168" fontId="27" fillId="0" borderId="8" xfId="0" applyNumberFormat="1" applyFont="1" applyBorder="1" applyAlignment="1">
      <alignment horizontal="center" vertical="center" wrapText="1"/>
    </xf>
    <xf numFmtId="168" fontId="27" fillId="0" borderId="10" xfId="0" applyNumberFormat="1" applyFont="1" applyBorder="1" applyAlignment="1">
      <alignment horizontal="center" vertical="center" wrapText="1"/>
    </xf>
    <xf numFmtId="0" fontId="51" fillId="0" borderId="30" xfId="0" applyFont="1" applyBorder="1" applyAlignment="1">
      <alignment horizontal="center"/>
    </xf>
    <xf numFmtId="0" fontId="51" fillId="0" borderId="28" xfId="0" applyFont="1" applyBorder="1" applyAlignment="1">
      <alignment horizontal="center"/>
    </xf>
    <xf numFmtId="0" fontId="51" fillId="0" borderId="29" xfId="0" applyFont="1" applyBorder="1" applyAlignment="1">
      <alignment horizontal="center"/>
    </xf>
    <xf numFmtId="1" fontId="27" fillId="0" borderId="15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9" fontId="2" fillId="0" borderId="15" xfId="0" quotePrefix="1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0" fontId="51" fillId="0" borderId="28" xfId="0" applyFont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176" fontId="42" fillId="2" borderId="20" xfId="0" applyNumberFormat="1" applyFont="1" applyFill="1" applyBorder="1" applyAlignment="1">
      <alignment horizontal="right" vertical="center"/>
    </xf>
    <xf numFmtId="176" fontId="42" fillId="2" borderId="27" xfId="0" applyNumberFormat="1" applyFont="1" applyFill="1" applyBorder="1" applyAlignment="1">
      <alignment horizontal="right" vertical="center"/>
    </xf>
    <xf numFmtId="176" fontId="42" fillId="2" borderId="19" xfId="0" applyNumberFormat="1" applyFont="1" applyFill="1" applyBorder="1" applyAlignment="1">
      <alignment horizontal="right" vertical="center"/>
    </xf>
    <xf numFmtId="176" fontId="42" fillId="2" borderId="24" xfId="0" applyNumberFormat="1" applyFont="1" applyFill="1" applyBorder="1" applyAlignment="1">
      <alignment horizontal="right" vertical="center"/>
    </xf>
    <xf numFmtId="0" fontId="27" fillId="0" borderId="18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1" fontId="27" fillId="0" borderId="18" xfId="0" applyNumberFormat="1" applyFont="1" applyBorder="1" applyAlignment="1">
      <alignment horizontal="center" vertical="center" wrapText="1"/>
    </xf>
    <xf numFmtId="1" fontId="27" fillId="0" borderId="22" xfId="0" applyNumberFormat="1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 wrapText="1"/>
    </xf>
    <xf numFmtId="2" fontId="1" fillId="4" borderId="18" xfId="1" applyNumberFormat="1" applyFont="1" applyFill="1" applyBorder="1" applyAlignment="1" applyProtection="1">
      <alignment horizontal="center" vertical="center" wrapText="1"/>
    </xf>
    <xf numFmtId="2" fontId="1" fillId="4" borderId="23" xfId="1" applyNumberFormat="1" applyFont="1" applyFill="1" applyBorder="1" applyAlignment="1" applyProtection="1">
      <alignment horizontal="center" vertical="center" wrapText="1"/>
    </xf>
    <xf numFmtId="2" fontId="1" fillId="4" borderId="15" xfId="1" applyNumberFormat="1" applyFont="1" applyFill="1" applyBorder="1" applyAlignment="1" applyProtection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169" fontId="27" fillId="0" borderId="4" xfId="0" applyNumberFormat="1" applyFont="1" applyBorder="1" applyAlignment="1">
      <alignment horizontal="center" vertical="center" wrapText="1"/>
    </xf>
    <xf numFmtId="169" fontId="27" fillId="0" borderId="6" xfId="0" applyNumberFormat="1" applyFont="1" applyBorder="1" applyAlignment="1">
      <alignment horizontal="center" vertical="center" wrapText="1"/>
    </xf>
    <xf numFmtId="173" fontId="27" fillId="0" borderId="0" xfId="0" applyNumberFormat="1" applyFont="1" applyAlignment="1">
      <alignment horizontal="left" vertical="center"/>
    </xf>
    <xf numFmtId="177" fontId="27" fillId="0" borderId="12" xfId="0" applyNumberFormat="1" applyFont="1" applyBorder="1" applyAlignment="1">
      <alignment horizontal="center" vertical="center" wrapText="1"/>
    </xf>
    <xf numFmtId="177" fontId="27" fillId="0" borderId="14" xfId="0" applyNumberFormat="1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175" fontId="27" fillId="0" borderId="0" xfId="0" applyNumberFormat="1" applyFont="1" applyAlignment="1">
      <alignment horizontal="left" vertical="center"/>
    </xf>
    <xf numFmtId="171" fontId="27" fillId="0" borderId="0" xfId="0" applyNumberFormat="1" applyFont="1" applyAlignment="1">
      <alignment horizontal="left" vertical="center"/>
    </xf>
    <xf numFmtId="0" fontId="55" fillId="0" borderId="15" xfId="0" applyFont="1" applyBorder="1" applyAlignment="1">
      <alignment horizontal="center" vertical="center"/>
    </xf>
    <xf numFmtId="0" fontId="28" fillId="0" borderId="15" xfId="3" applyFont="1" applyBorder="1" applyAlignment="1">
      <alignment horizontal="center" vertical="center"/>
    </xf>
    <xf numFmtId="176" fontId="42" fillId="4" borderId="15" xfId="0" applyNumberFormat="1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vertical="center"/>
    </xf>
    <xf numFmtId="2" fontId="7" fillId="2" borderId="60" xfId="2" applyNumberFormat="1" applyFont="1" applyFill="1" applyBorder="1" applyAlignment="1">
      <alignment horizontal="center" vertical="center"/>
    </xf>
    <xf numFmtId="2" fontId="7" fillId="2" borderId="61" xfId="2" applyNumberFormat="1" applyFont="1" applyFill="1" applyBorder="1" applyAlignment="1">
      <alignment horizontal="center" vertical="center"/>
    </xf>
    <xf numFmtId="2" fontId="7" fillId="2" borderId="62" xfId="2" applyNumberFormat="1" applyFont="1" applyFill="1" applyBorder="1" applyAlignment="1">
      <alignment horizontal="center" vertical="center"/>
    </xf>
    <xf numFmtId="2" fontId="23" fillId="2" borderId="0" xfId="2" applyNumberFormat="1" applyFont="1" applyFill="1" applyAlignment="1">
      <alignment horizontal="center" vertical="center"/>
    </xf>
    <xf numFmtId="0" fontId="68" fillId="0" borderId="0" xfId="0" applyFont="1" applyAlignment="1">
      <alignment horizontal="center" vertical="center"/>
    </xf>
    <xf numFmtId="171" fontId="80" fillId="0" borderId="0" xfId="0" applyNumberFormat="1" applyFont="1" applyAlignment="1" applyProtection="1">
      <alignment horizontal="left" vertical="center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16" xfId="0" applyFont="1" applyFill="1" applyBorder="1" applyAlignment="1" applyProtection="1">
      <alignment horizontal="center" vertical="center" wrapText="1"/>
      <protection hidden="1"/>
    </xf>
    <xf numFmtId="169" fontId="1" fillId="0" borderId="4" xfId="0" applyNumberFormat="1" applyFont="1" applyBorder="1" applyAlignment="1" applyProtection="1">
      <alignment horizontal="center" vertical="center" wrapText="1"/>
      <protection hidden="1"/>
    </xf>
    <xf numFmtId="169" fontId="1" fillId="0" borderId="6" xfId="0" applyNumberFormat="1" applyFont="1" applyBorder="1" applyAlignment="1" applyProtection="1">
      <alignment horizontal="center" vertical="center" wrapText="1"/>
      <protection hidden="1"/>
    </xf>
    <xf numFmtId="170" fontId="1" fillId="0" borderId="8" xfId="0" applyNumberFormat="1" applyFont="1" applyBorder="1" applyAlignment="1" applyProtection="1">
      <alignment horizontal="center" vertical="center" wrapText="1"/>
      <protection hidden="1"/>
    </xf>
    <xf numFmtId="170" fontId="1" fillId="0" borderId="10" xfId="0" applyNumberFormat="1" applyFont="1" applyBorder="1" applyAlignment="1" applyProtection="1">
      <alignment horizontal="center" vertical="center" wrapText="1"/>
      <protection hidden="1"/>
    </xf>
    <xf numFmtId="2" fontId="6" fillId="2" borderId="0" xfId="0" applyNumberFormat="1" applyFont="1" applyFill="1" applyAlignment="1">
      <alignment horizontal="center" vertical="center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2" xfId="0" applyFont="1" applyFill="1" applyBorder="1" applyAlignment="1" applyProtection="1">
      <alignment horizontal="center" vertical="center" wrapText="1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hidden="1"/>
    </xf>
    <xf numFmtId="0" fontId="1" fillId="0" borderId="11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 wrapText="1"/>
      <protection hidden="1"/>
    </xf>
    <xf numFmtId="0" fontId="81" fillId="0" borderId="7" xfId="0" applyFont="1" applyBorder="1" applyAlignment="1" applyProtection="1">
      <alignment horizontal="center" vertical="center" wrapText="1"/>
      <protection hidden="1"/>
    </xf>
    <xf numFmtId="0" fontId="81" fillId="0" borderId="3" xfId="0" applyFont="1" applyBorder="1" applyAlignment="1" applyProtection="1">
      <alignment horizontal="center" vertical="center" wrapText="1"/>
      <protection hidden="1"/>
    </xf>
    <xf numFmtId="0" fontId="81" fillId="0" borderId="11" xfId="0" applyFont="1" applyBorder="1" applyAlignment="1" applyProtection="1">
      <alignment horizontal="center" vertical="center" wrapText="1"/>
      <protection hidden="1"/>
    </xf>
    <xf numFmtId="178" fontId="1" fillId="0" borderId="20" xfId="0" quotePrefix="1" applyNumberFormat="1" applyFont="1" applyBorder="1" applyAlignment="1" applyProtection="1">
      <alignment horizontal="right" vertical="center" wrapText="1"/>
      <protection hidden="1"/>
    </xf>
    <xf numFmtId="178" fontId="1" fillId="0" borderId="13" xfId="0" quotePrefix="1" applyNumberFormat="1" applyFont="1" applyBorder="1" applyAlignment="1" applyProtection="1">
      <alignment horizontal="right" vertical="center" wrapText="1"/>
      <protection hidden="1"/>
    </xf>
    <xf numFmtId="178" fontId="1" fillId="0" borderId="19" xfId="0" quotePrefix="1" applyNumberFormat="1" applyFont="1" applyBorder="1" applyAlignment="1" applyProtection="1">
      <alignment horizontal="right" vertical="center" wrapText="1"/>
      <protection hidden="1"/>
    </xf>
    <xf numFmtId="177" fontId="1" fillId="0" borderId="12" xfId="0" applyNumberFormat="1" applyFont="1" applyBorder="1" applyAlignment="1" applyProtection="1">
      <alignment horizontal="center" vertical="center" wrapText="1"/>
      <protection hidden="1"/>
    </xf>
    <xf numFmtId="177" fontId="1" fillId="0" borderId="14" xfId="0" applyNumberFormat="1" applyFont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0" fontId="2" fillId="2" borderId="13" xfId="0" applyFont="1" applyFill="1" applyBorder="1" applyAlignment="1" applyProtection="1">
      <alignment horizontal="center" vertical="center" wrapText="1"/>
      <protection hidden="1"/>
    </xf>
    <xf numFmtId="0" fontId="2" fillId="2" borderId="80" xfId="0" applyFont="1" applyFill="1" applyBorder="1" applyAlignment="1" applyProtection="1">
      <alignment horizontal="center" vertical="center" wrapText="1"/>
      <protection hidden="1"/>
    </xf>
    <xf numFmtId="0" fontId="27" fillId="0" borderId="0" xfId="0" applyFont="1" applyAlignment="1" applyProtection="1">
      <alignment horizontal="left" vertical="center" wrapText="1"/>
      <protection locked="0"/>
    </xf>
    <xf numFmtId="2" fontId="2" fillId="0" borderId="20" xfId="0" applyNumberFormat="1" applyFont="1" applyBorder="1" applyAlignment="1" applyProtection="1">
      <alignment horizontal="center" wrapText="1"/>
      <protection hidden="1"/>
    </xf>
    <xf numFmtId="2" fontId="2" fillId="0" borderId="27" xfId="0" applyNumberFormat="1" applyFont="1" applyBorder="1" applyAlignment="1" applyProtection="1">
      <alignment horizontal="center" wrapText="1"/>
      <protection hidden="1"/>
    </xf>
    <xf numFmtId="0" fontId="2" fillId="0" borderId="25" xfId="0" applyFont="1" applyBorder="1" applyAlignment="1" applyProtection="1">
      <alignment horizontal="center" vertical="center" wrapText="1"/>
      <protection hidden="1"/>
    </xf>
    <xf numFmtId="0" fontId="2" fillId="0" borderId="26" xfId="0" applyFont="1" applyBorder="1" applyAlignment="1" applyProtection="1">
      <alignment horizontal="center" vertical="center" wrapText="1"/>
      <protection hidden="1"/>
    </xf>
    <xf numFmtId="2" fontId="2" fillId="0" borderId="20" xfId="0" applyNumberFormat="1" applyFont="1" applyBorder="1" applyAlignment="1" applyProtection="1">
      <alignment horizontal="center" vertical="center" wrapText="1"/>
      <protection hidden="1"/>
    </xf>
    <xf numFmtId="2" fontId="2" fillId="0" borderId="27" xfId="0" applyNumberFormat="1" applyFont="1" applyBorder="1" applyAlignment="1" applyProtection="1">
      <alignment horizontal="center" vertical="center" wrapText="1"/>
      <protection hidden="1"/>
    </xf>
    <xf numFmtId="0" fontId="28" fillId="0" borderId="19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1" fontId="1" fillId="0" borderId="0" xfId="0" applyNumberFormat="1" applyFont="1" applyAlignment="1" applyProtection="1">
      <alignment horizontal="left" vertical="center" wrapText="1"/>
      <protection hidden="1"/>
    </xf>
    <xf numFmtId="0" fontId="27" fillId="0" borderId="27" xfId="0" applyFont="1" applyBorder="1" applyAlignment="1">
      <alignment horizontal="left" vertical="center"/>
    </xf>
    <xf numFmtId="0" fontId="27" fillId="0" borderId="80" xfId="0" applyFont="1" applyBorder="1" applyAlignment="1">
      <alignment horizontal="left" vertical="center"/>
    </xf>
    <xf numFmtId="0" fontId="27" fillId="0" borderId="24" xfId="0" applyFont="1" applyBorder="1" applyAlignment="1">
      <alignment horizontal="left" vertical="center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101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0" borderId="10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05" xfId="0" applyFont="1" applyBorder="1" applyAlignment="1">
      <alignment horizontal="center" vertical="center" wrapText="1"/>
    </xf>
    <xf numFmtId="2" fontId="80" fillId="0" borderId="96" xfId="0" applyNumberFormat="1" applyFont="1" applyBorder="1" applyAlignment="1">
      <alignment horizontal="left" vertical="center"/>
    </xf>
    <xf numFmtId="2" fontId="80" fillId="0" borderId="98" xfId="0" applyNumberFormat="1" applyFont="1" applyBorder="1" applyAlignment="1">
      <alignment horizontal="left" vertical="center"/>
    </xf>
    <xf numFmtId="2" fontId="80" fillId="0" borderId="0" xfId="0" applyNumberFormat="1" applyFont="1" applyAlignment="1">
      <alignment horizontal="left" vertical="center"/>
    </xf>
    <xf numFmtId="2" fontId="80" fillId="0" borderId="103" xfId="0" applyNumberFormat="1" applyFont="1" applyBorder="1" applyAlignment="1">
      <alignment horizontal="left" vertical="center"/>
    </xf>
    <xf numFmtId="0" fontId="28" fillId="0" borderId="17" xfId="0" applyFont="1" applyBorder="1" applyAlignment="1">
      <alignment horizontal="center" vertical="center"/>
    </xf>
    <xf numFmtId="2" fontId="80" fillId="0" borderId="82" xfId="0" applyNumberFormat="1" applyFont="1" applyBorder="1" applyAlignment="1">
      <alignment horizontal="left" vertical="center"/>
    </xf>
    <xf numFmtId="2" fontId="80" fillId="0" borderId="100" xfId="0" applyNumberFormat="1" applyFont="1" applyBorder="1" applyAlignment="1">
      <alignment horizontal="left" vertical="center"/>
    </xf>
    <xf numFmtId="2" fontId="2" fillId="0" borderId="25" xfId="0" applyNumberFormat="1" applyFont="1" applyBorder="1" applyAlignment="1" applyProtection="1">
      <alignment horizontal="center" vertical="center" wrapText="1"/>
      <protection hidden="1"/>
    </xf>
    <xf numFmtId="2" fontId="2" fillId="0" borderId="26" xfId="0" applyNumberFormat="1" applyFont="1" applyBorder="1" applyAlignment="1" applyProtection="1">
      <alignment horizontal="center" vertical="center" wrapText="1"/>
      <protection hidden="1"/>
    </xf>
    <xf numFmtId="2" fontId="2" fillId="0" borderId="1" xfId="0" applyNumberFormat="1" applyFont="1" applyBorder="1" applyAlignment="1" applyProtection="1">
      <alignment horizontal="center" vertical="center" wrapText="1"/>
      <protection hidden="1"/>
    </xf>
    <xf numFmtId="178" fontId="1" fillId="0" borderId="20" xfId="0" quotePrefix="1" applyNumberFormat="1" applyFont="1" applyBorder="1" applyAlignment="1" applyProtection="1">
      <alignment horizontal="center" vertical="center" wrapText="1"/>
      <protection hidden="1"/>
    </xf>
    <xf numFmtId="178" fontId="1" fillId="0" borderId="13" xfId="0" quotePrefix="1" applyNumberFormat="1" applyFont="1" applyBorder="1" applyAlignment="1" applyProtection="1">
      <alignment horizontal="center" vertical="center" wrapText="1"/>
      <protection hidden="1"/>
    </xf>
    <xf numFmtId="178" fontId="1" fillId="0" borderId="19" xfId="0" quotePrefix="1" applyNumberFormat="1" applyFont="1" applyBorder="1" applyAlignment="1" applyProtection="1">
      <alignment horizontal="center" vertical="center" wrapText="1"/>
      <protection hidden="1"/>
    </xf>
    <xf numFmtId="0" fontId="8" fillId="0" borderId="18" xfId="7" applyFont="1" applyBorder="1" applyAlignment="1">
      <alignment horizontal="left" vertical="top" wrapText="1"/>
    </xf>
    <xf numFmtId="0" fontId="8" fillId="0" borderId="22" xfId="7" applyFont="1" applyBorder="1" applyAlignment="1">
      <alignment horizontal="left" vertical="top" wrapText="1"/>
    </xf>
    <xf numFmtId="0" fontId="69" fillId="0" borderId="0" xfId="7" applyFont="1" applyAlignment="1" applyProtection="1">
      <alignment horizontal="center" vertical="center"/>
      <protection locked="0"/>
    </xf>
    <xf numFmtId="173" fontId="71" fillId="0" borderId="0" xfId="7" quotePrefix="1" applyNumberFormat="1" applyFont="1" applyAlignment="1" applyProtection="1">
      <alignment horizontal="center" vertical="center"/>
      <protection locked="0"/>
    </xf>
    <xf numFmtId="173" fontId="71" fillId="0" borderId="0" xfId="7" applyNumberFormat="1" applyFont="1" applyAlignment="1" applyProtection="1">
      <alignment horizontal="center" vertical="center"/>
      <protection locked="0"/>
    </xf>
    <xf numFmtId="0" fontId="8" fillId="0" borderId="0" xfId="7" applyFont="1" applyAlignment="1">
      <alignment horizontal="center"/>
    </xf>
    <xf numFmtId="0" fontId="72" fillId="0" borderId="0" xfId="7" applyFont="1" applyAlignment="1">
      <alignment horizontal="right" vertical="center"/>
    </xf>
    <xf numFmtId="0" fontId="67" fillId="0" borderId="0" xfId="7" applyFont="1" applyAlignment="1">
      <alignment horizontal="center"/>
    </xf>
    <xf numFmtId="0" fontId="71" fillId="0" borderId="0" xfId="7" quotePrefix="1" applyFont="1" applyAlignment="1" applyProtection="1">
      <alignment horizontal="left"/>
      <protection locked="0"/>
    </xf>
    <xf numFmtId="0" fontId="8" fillId="0" borderId="0" xfId="7" applyFont="1" applyAlignment="1">
      <alignment horizontal="left" vertical="center" wrapText="1"/>
    </xf>
    <xf numFmtId="0" fontId="73" fillId="0" borderId="0" xfId="7" quotePrefix="1" applyFont="1" applyAlignment="1" applyProtection="1">
      <alignment horizontal="left" vertical="center" wrapText="1"/>
      <protection locked="0"/>
    </xf>
    <xf numFmtId="11" fontId="71" fillId="0" borderId="0" xfId="7" quotePrefix="1" applyNumberFormat="1" applyFont="1" applyAlignment="1" applyProtection="1">
      <alignment horizontal="left"/>
      <protection locked="0"/>
    </xf>
    <xf numFmtId="0" fontId="71" fillId="0" borderId="0" xfId="7" applyFont="1" applyAlignment="1" applyProtection="1">
      <alignment horizontal="left"/>
      <protection locked="0"/>
    </xf>
    <xf numFmtId="0" fontId="8" fillId="0" borderId="0" xfId="7" applyFont="1" applyAlignment="1" applyProtection="1">
      <alignment horizontal="left" vertical="center" wrapText="1"/>
      <protection locked="0"/>
    </xf>
    <xf numFmtId="173" fontId="8" fillId="0" borderId="0" xfId="7" applyNumberFormat="1" applyFont="1" applyAlignment="1">
      <alignment horizontal="left" vertical="center" wrapText="1"/>
    </xf>
    <xf numFmtId="0" fontId="73" fillId="0" borderId="0" xfId="7" applyFont="1" applyAlignment="1" applyProtection="1">
      <alignment horizontal="left" vertical="center" wrapText="1"/>
      <protection locked="0"/>
    </xf>
    <xf numFmtId="0" fontId="8" fillId="0" borderId="0" xfId="7" applyFont="1" applyAlignment="1" applyProtection="1">
      <alignment horizontal="left" vertical="top" wrapText="1"/>
      <protection locked="0"/>
    </xf>
    <xf numFmtId="0" fontId="8" fillId="0" borderId="0" xfId="7" applyFont="1" applyAlignment="1" applyProtection="1">
      <alignment horizontal="justify" vertical="top" wrapText="1"/>
      <protection locked="0"/>
    </xf>
    <xf numFmtId="183" fontId="71" fillId="0" borderId="0" xfId="7" quotePrefix="1" applyNumberFormat="1" applyFont="1" applyAlignment="1" applyProtection="1">
      <alignment horizontal="left" vertical="center"/>
      <protection locked="0"/>
    </xf>
    <xf numFmtId="183" fontId="71" fillId="0" borderId="0" xfId="7" applyNumberFormat="1" applyFont="1" applyAlignment="1" applyProtection="1">
      <alignment horizontal="left" vertical="center"/>
      <protection locked="0"/>
    </xf>
    <xf numFmtId="0" fontId="8" fillId="0" borderId="0" xfId="7" applyFont="1" applyAlignment="1">
      <alignment horizontal="left" vertical="top" wrapText="1"/>
    </xf>
    <xf numFmtId="0" fontId="66" fillId="0" borderId="0" xfId="7" applyFont="1" applyAlignment="1">
      <alignment horizontal="center"/>
    </xf>
    <xf numFmtId="0" fontId="8" fillId="4" borderId="0" xfId="7" applyFont="1" applyFill="1" applyAlignment="1">
      <alignment horizontal="justify" vertical="center" wrapText="1"/>
    </xf>
    <xf numFmtId="0" fontId="9" fillId="0" borderId="0" xfId="7" applyFont="1" applyAlignment="1">
      <alignment horizontal="left" vertical="center" wrapText="1"/>
    </xf>
    <xf numFmtId="173" fontId="8" fillId="0" borderId="0" xfId="7" applyNumberFormat="1" applyFont="1" applyAlignment="1">
      <alignment horizontal="left" vertical="top" wrapText="1"/>
    </xf>
    <xf numFmtId="2" fontId="1" fillId="2" borderId="63" xfId="0" applyNumberFormat="1" applyFont="1" applyFill="1" applyBorder="1" applyAlignment="1">
      <alignment horizontal="center"/>
    </xf>
    <xf numFmtId="2" fontId="1" fillId="2" borderId="69" xfId="0" applyNumberFormat="1" applyFont="1" applyFill="1" applyBorder="1" applyAlignment="1">
      <alignment horizontal="center"/>
    </xf>
    <xf numFmtId="2" fontId="7" fillId="2" borderId="30" xfId="0" applyNumberFormat="1" applyFont="1" applyFill="1" applyBorder="1" applyAlignment="1">
      <alignment horizontal="center" vertical="center"/>
    </xf>
    <xf numFmtId="2" fontId="7" fillId="2" borderId="28" xfId="0" applyNumberFormat="1" applyFont="1" applyFill="1" applyBorder="1" applyAlignment="1">
      <alignment horizontal="center" vertical="center"/>
    </xf>
    <xf numFmtId="2" fontId="7" fillId="2" borderId="53" xfId="0" applyNumberFormat="1" applyFont="1" applyFill="1" applyBorder="1" applyAlignment="1">
      <alignment horizontal="center" vertical="center"/>
    </xf>
    <xf numFmtId="2" fontId="7" fillId="2" borderId="59" xfId="0" applyNumberFormat="1" applyFont="1" applyFill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59" xfId="0" applyNumberFormat="1" applyFont="1" applyBorder="1" applyAlignment="1">
      <alignment horizontal="center" vertical="center"/>
    </xf>
    <xf numFmtId="2" fontId="0" fillId="0" borderId="63" xfId="0" applyNumberFormat="1" applyBorder="1" applyAlignment="1">
      <alignment horizontal="left" vertical="center"/>
    </xf>
    <xf numFmtId="2" fontId="0" fillId="0" borderId="56" xfId="0" applyNumberFormat="1" applyBorder="1" applyAlignment="1">
      <alignment horizontal="left" vertical="center"/>
    </xf>
    <xf numFmtId="2" fontId="0" fillId="0" borderId="69" xfId="0" applyNumberFormat="1" applyBorder="1" applyAlignment="1">
      <alignment horizontal="left" vertical="center"/>
    </xf>
    <xf numFmtId="2" fontId="1" fillId="2" borderId="36" xfId="0" applyNumberFormat="1" applyFont="1" applyFill="1" applyBorder="1" applyAlignment="1">
      <alignment horizontal="center"/>
    </xf>
    <xf numFmtId="2" fontId="1" fillId="2" borderId="55" xfId="0" applyNumberFormat="1" applyFont="1" applyFill="1" applyBorder="1" applyAlignment="1">
      <alignment horizontal="center"/>
    </xf>
    <xf numFmtId="2" fontId="49" fillId="2" borderId="30" xfId="0" applyNumberFormat="1" applyFont="1" applyFill="1" applyBorder="1" applyAlignment="1">
      <alignment horizontal="center" vertical="center"/>
    </xf>
    <xf numFmtId="2" fontId="49" fillId="2" borderId="28" xfId="0" applyNumberFormat="1" applyFont="1" applyFill="1" applyBorder="1" applyAlignment="1">
      <alignment horizontal="center" vertical="center"/>
    </xf>
    <xf numFmtId="2" fontId="49" fillId="2" borderId="59" xfId="0" applyNumberFormat="1" applyFont="1" applyFill="1" applyBorder="1" applyAlignment="1">
      <alignment horizontal="center" vertical="center"/>
    </xf>
    <xf numFmtId="2" fontId="13" fillId="0" borderId="30" xfId="0" applyNumberFormat="1" applyFont="1" applyBorder="1" applyAlignment="1">
      <alignment horizontal="center"/>
    </xf>
    <xf numFmtId="2" fontId="13" fillId="0" borderId="59" xfId="0" applyNumberFormat="1" applyFont="1" applyBorder="1" applyAlignment="1">
      <alignment horizontal="center"/>
    </xf>
    <xf numFmtId="2" fontId="5" fillId="0" borderId="33" xfId="0" applyNumberFormat="1" applyFont="1" applyBorder="1" applyAlignment="1">
      <alignment horizontal="center"/>
    </xf>
    <xf numFmtId="2" fontId="5" fillId="0" borderId="42" xfId="0" applyNumberFormat="1" applyFont="1" applyBorder="1" applyAlignment="1">
      <alignment horizontal="center"/>
    </xf>
    <xf numFmtId="2" fontId="5" fillId="0" borderId="43" xfId="0" applyNumberFormat="1" applyFont="1" applyBorder="1" applyAlignment="1">
      <alignment horizontal="center"/>
    </xf>
    <xf numFmtId="2" fontId="1" fillId="2" borderId="45" xfId="0" applyNumberFormat="1" applyFont="1" applyFill="1" applyBorder="1" applyAlignment="1">
      <alignment horizontal="center"/>
    </xf>
    <xf numFmtId="2" fontId="1" fillId="2" borderId="46" xfId="0" applyNumberFormat="1" applyFont="1" applyFill="1" applyBorder="1" applyAlignment="1">
      <alignment horizontal="center"/>
    </xf>
    <xf numFmtId="2" fontId="7" fillId="2" borderId="60" xfId="0" applyNumberFormat="1" applyFont="1" applyFill="1" applyBorder="1" applyAlignment="1">
      <alignment horizontal="center" vertical="center"/>
    </xf>
    <xf numFmtId="2" fontId="7" fillId="2" borderId="85" xfId="0" applyNumberFormat="1" applyFont="1" applyFill="1" applyBorder="1" applyAlignment="1">
      <alignment horizontal="center" vertical="center"/>
    </xf>
    <xf numFmtId="2" fontId="7" fillId="2" borderId="61" xfId="0" applyNumberFormat="1" applyFont="1" applyFill="1" applyBorder="1" applyAlignment="1">
      <alignment horizontal="center" vertical="center"/>
    </xf>
    <xf numFmtId="2" fontId="7" fillId="2" borderId="62" xfId="0" applyNumberFormat="1" applyFont="1" applyFill="1" applyBorder="1" applyAlignment="1">
      <alignment horizontal="center" vertical="center"/>
    </xf>
    <xf numFmtId="2" fontId="46" fillId="2" borderId="60" xfId="0" applyNumberFormat="1" applyFont="1" applyFill="1" applyBorder="1" applyAlignment="1">
      <alignment horizontal="center" vertical="center"/>
    </xf>
    <xf numFmtId="2" fontId="46" fillId="2" borderId="61" xfId="0" applyNumberFormat="1" applyFont="1" applyFill="1" applyBorder="1" applyAlignment="1">
      <alignment horizontal="center" vertical="center"/>
    </xf>
    <xf numFmtId="2" fontId="46" fillId="2" borderId="62" xfId="0" applyNumberFormat="1" applyFont="1" applyFill="1" applyBorder="1" applyAlignment="1">
      <alignment horizontal="center" vertical="center"/>
    </xf>
    <xf numFmtId="2" fontId="46" fillId="2" borderId="0" xfId="0" applyNumberFormat="1" applyFont="1" applyFill="1" applyAlignment="1">
      <alignment horizontal="center" vertical="center"/>
    </xf>
    <xf numFmtId="2" fontId="48" fillId="4" borderId="13" xfId="0" applyNumberFormat="1" applyFont="1" applyFill="1" applyBorder="1" applyAlignment="1">
      <alignment horizontal="center" vertical="center"/>
    </xf>
    <xf numFmtId="2" fontId="48" fillId="4" borderId="67" xfId="0" applyNumberFormat="1" applyFont="1" applyFill="1" applyBorder="1" applyAlignment="1">
      <alignment horizontal="center" vertical="center"/>
    </xf>
    <xf numFmtId="2" fontId="54" fillId="2" borderId="0" xfId="0" applyNumberFormat="1" applyFont="1" applyFill="1" applyAlignment="1">
      <alignment horizontal="center" wrapText="1"/>
    </xf>
    <xf numFmtId="2" fontId="7" fillId="2" borderId="60" xfId="0" applyNumberFormat="1" applyFont="1" applyFill="1" applyBorder="1" applyAlignment="1">
      <alignment horizontal="center" vertical="center" wrapText="1"/>
    </xf>
    <xf numFmtId="2" fontId="7" fillId="2" borderId="44" xfId="0" applyNumberFormat="1" applyFont="1" applyFill="1" applyBorder="1" applyAlignment="1">
      <alignment horizontal="center" vertical="center" wrapText="1"/>
    </xf>
    <xf numFmtId="2" fontId="7" fillId="2" borderId="57" xfId="0" applyNumberFormat="1" applyFont="1" applyFill="1" applyBorder="1" applyAlignment="1">
      <alignment horizontal="center" vertical="center" wrapText="1"/>
    </xf>
    <xf numFmtId="2" fontId="16" fillId="2" borderId="15" xfId="2" applyNumberFormat="1" applyFont="1" applyFill="1" applyBorder="1" applyAlignment="1">
      <alignment horizontal="center" vertical="center" wrapText="1"/>
    </xf>
    <xf numFmtId="2" fontId="54" fillId="2" borderId="0" xfId="0" applyNumberFormat="1" applyFont="1" applyFill="1" applyAlignment="1">
      <alignment horizontal="center" vertical="center" wrapText="1"/>
    </xf>
    <xf numFmtId="2" fontId="18" fillId="2" borderId="18" xfId="0" applyNumberFormat="1" applyFont="1" applyFill="1" applyBorder="1" applyAlignment="1">
      <alignment horizontal="center" vertical="center"/>
    </xf>
    <xf numFmtId="2" fontId="18" fillId="2" borderId="22" xfId="0" applyNumberFormat="1" applyFont="1" applyFill="1" applyBorder="1" applyAlignment="1">
      <alignment horizontal="center" vertical="center"/>
    </xf>
    <xf numFmtId="2" fontId="18" fillId="2" borderId="23" xfId="0" applyNumberFormat="1" applyFont="1" applyFill="1" applyBorder="1" applyAlignment="1">
      <alignment horizontal="center" vertical="center"/>
    </xf>
    <xf numFmtId="2" fontId="18" fillId="2" borderId="25" xfId="0" applyNumberFormat="1" applyFont="1" applyFill="1" applyBorder="1" applyAlignment="1">
      <alignment horizontal="center" vertical="center"/>
    </xf>
    <xf numFmtId="2" fontId="18" fillId="2" borderId="26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 wrapText="1"/>
    </xf>
    <xf numFmtId="2" fontId="7" fillId="9" borderId="60" xfId="0" applyNumberFormat="1" applyFont="1" applyFill="1" applyBorder="1" applyAlignment="1">
      <alignment horizontal="center" vertical="center"/>
    </xf>
    <xf numFmtId="2" fontId="7" fillId="9" borderId="44" xfId="0" applyNumberFormat="1" applyFont="1" applyFill="1" applyBorder="1" applyAlignment="1">
      <alignment horizontal="center" vertical="center"/>
    </xf>
    <xf numFmtId="2" fontId="7" fillId="9" borderId="57" xfId="0" applyNumberFormat="1" applyFont="1" applyFill="1" applyBorder="1" applyAlignment="1">
      <alignment horizontal="center" vertical="center"/>
    </xf>
    <xf numFmtId="2" fontId="7" fillId="9" borderId="60" xfId="0" applyNumberFormat="1" applyFont="1" applyFill="1" applyBorder="1" applyAlignment="1">
      <alignment horizontal="center" vertical="center" wrapText="1"/>
    </xf>
    <xf numFmtId="2" fontId="7" fillId="9" borderId="44" xfId="0" applyNumberFormat="1" applyFont="1" applyFill="1" applyBorder="1" applyAlignment="1">
      <alignment horizontal="center" vertical="center" wrapText="1"/>
    </xf>
    <xf numFmtId="2" fontId="7" fillId="9" borderId="57" xfId="0" applyNumberFormat="1" applyFont="1" applyFill="1" applyBorder="1" applyAlignment="1">
      <alignment horizontal="center" vertical="center" wrapText="1"/>
    </xf>
    <xf numFmtId="2" fontId="7" fillId="2" borderId="86" xfId="0" applyNumberFormat="1" applyFont="1" applyFill="1" applyBorder="1" applyAlignment="1">
      <alignment horizontal="center" vertical="center" wrapText="1"/>
    </xf>
    <xf numFmtId="2" fontId="7" fillId="2" borderId="71" xfId="0" applyNumberFormat="1" applyFont="1" applyFill="1" applyBorder="1" applyAlignment="1">
      <alignment horizontal="center" vertical="center" wrapText="1"/>
    </xf>
    <xf numFmtId="2" fontId="7" fillId="9" borderId="86" xfId="0" applyNumberFormat="1" applyFont="1" applyFill="1" applyBorder="1" applyAlignment="1">
      <alignment horizontal="center" vertical="center" wrapText="1"/>
    </xf>
    <xf numFmtId="2" fontId="7" fillId="9" borderId="71" xfId="0" applyNumberFormat="1" applyFont="1" applyFill="1" applyBorder="1" applyAlignment="1">
      <alignment horizontal="center" vertical="center" wrapText="1"/>
    </xf>
    <xf numFmtId="2" fontId="7" fillId="9" borderId="88" xfId="0" applyNumberFormat="1" applyFont="1" applyFill="1" applyBorder="1" applyAlignment="1">
      <alignment horizontal="center" vertical="center" wrapText="1"/>
    </xf>
    <xf numFmtId="2" fontId="2" fillId="0" borderId="86" xfId="0" applyNumberFormat="1" applyFont="1" applyBorder="1" applyAlignment="1">
      <alignment horizontal="center" vertical="center"/>
    </xf>
    <xf numFmtId="2" fontId="2" fillId="0" borderId="71" xfId="0" applyNumberFormat="1" applyFont="1" applyBorder="1" applyAlignment="1">
      <alignment horizontal="center" vertical="center"/>
    </xf>
    <xf numFmtId="2" fontId="2" fillId="0" borderId="88" xfId="0" applyNumberFormat="1" applyFont="1" applyBorder="1" applyAlignment="1">
      <alignment horizontal="center" vertical="center"/>
    </xf>
    <xf numFmtId="2" fontId="18" fillId="9" borderId="61" xfId="0" applyNumberFormat="1" applyFont="1" applyFill="1" applyBorder="1" applyAlignment="1">
      <alignment horizontal="center" vertical="center" wrapText="1"/>
    </xf>
    <xf numFmtId="2" fontId="18" fillId="9" borderId="15" xfId="0" applyNumberFormat="1" applyFont="1" applyFill="1" applyBorder="1" applyAlignment="1">
      <alignment horizontal="center" vertical="center" wrapText="1"/>
    </xf>
    <xf numFmtId="2" fontId="18" fillId="9" borderId="61" xfId="0" applyNumberFormat="1" applyFont="1" applyFill="1" applyBorder="1" applyAlignment="1">
      <alignment horizontal="center" vertical="center"/>
    </xf>
    <xf numFmtId="2" fontId="18" fillId="9" borderId="15" xfId="0" applyNumberFormat="1" applyFont="1" applyFill="1" applyBorder="1" applyAlignment="1">
      <alignment horizontal="center" vertical="center"/>
    </xf>
    <xf numFmtId="2" fontId="18" fillId="9" borderId="31" xfId="0" applyNumberFormat="1" applyFont="1" applyFill="1" applyBorder="1" applyAlignment="1">
      <alignment horizontal="center" vertical="center"/>
    </xf>
    <xf numFmtId="2" fontId="18" fillId="9" borderId="16" xfId="0" applyNumberFormat="1" applyFont="1" applyFill="1" applyBorder="1" applyAlignment="1">
      <alignment horizontal="center" vertical="center"/>
    </xf>
    <xf numFmtId="2" fontId="18" fillId="9" borderId="66" xfId="0" applyNumberFormat="1" applyFont="1" applyFill="1" applyBorder="1" applyAlignment="1">
      <alignment horizontal="center" vertical="center"/>
    </xf>
    <xf numFmtId="2" fontId="18" fillId="9" borderId="40" xfId="0" applyNumberFormat="1" applyFont="1" applyFill="1" applyBorder="1" applyAlignment="1">
      <alignment horizontal="center" vertical="center" wrapText="1"/>
    </xf>
    <xf numFmtId="2" fontId="2" fillId="0" borderId="62" xfId="0" applyNumberFormat="1" applyFont="1" applyBorder="1" applyAlignment="1">
      <alignment horizontal="center" vertical="center" wrapText="1"/>
    </xf>
    <xf numFmtId="2" fontId="2" fillId="0" borderId="38" xfId="0" applyNumberFormat="1" applyFont="1" applyBorder="1" applyAlignment="1">
      <alignment horizontal="center" vertical="center" wrapText="1"/>
    </xf>
    <xf numFmtId="2" fontId="2" fillId="0" borderId="41" xfId="0" applyNumberFormat="1" applyFont="1" applyBorder="1" applyAlignment="1">
      <alignment horizontal="center" vertical="center" wrapText="1"/>
    </xf>
    <xf numFmtId="2" fontId="7" fillId="9" borderId="58" xfId="0" applyNumberFormat="1" applyFont="1" applyFill="1" applyBorder="1" applyAlignment="1">
      <alignment horizontal="center" vertical="center"/>
    </xf>
    <xf numFmtId="2" fontId="0" fillId="7" borderId="52" xfId="0" applyNumberFormat="1" applyFill="1" applyBorder="1" applyAlignment="1">
      <alignment horizontal="center" vertical="center"/>
    </xf>
    <xf numFmtId="2" fontId="0" fillId="7" borderId="53" xfId="0" applyNumberFormat="1" applyFill="1" applyBorder="1" applyAlignment="1">
      <alignment horizontal="center" vertical="center"/>
    </xf>
    <xf numFmtId="2" fontId="0" fillId="7" borderId="54" xfId="0" applyNumberFormat="1" applyFill="1" applyBorder="1" applyAlignment="1">
      <alignment horizontal="center" vertical="center"/>
    </xf>
    <xf numFmtId="2" fontId="7" fillId="9" borderId="31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2" fontId="7" fillId="9" borderId="66" xfId="0" applyNumberFormat="1" applyFont="1" applyFill="1" applyBorder="1" applyAlignment="1">
      <alignment horizontal="center" vertical="center" wrapText="1"/>
    </xf>
    <xf numFmtId="2" fontId="18" fillId="9" borderId="34" xfId="0" applyNumberFormat="1" applyFont="1" applyFill="1" applyBorder="1" applyAlignment="1">
      <alignment horizontal="center" vertical="center" wrapText="1"/>
    </xf>
    <xf numFmtId="2" fontId="18" fillId="9" borderId="18" xfId="0" applyNumberFormat="1" applyFont="1" applyFill="1" applyBorder="1" applyAlignment="1">
      <alignment horizontal="center" vertical="center" wrapText="1"/>
    </xf>
    <xf numFmtId="2" fontId="18" fillId="9" borderId="47" xfId="0" applyNumberFormat="1" applyFont="1" applyFill="1" applyBorder="1" applyAlignment="1">
      <alignment horizontal="center" vertical="center"/>
    </xf>
    <xf numFmtId="2" fontId="18" fillId="9" borderId="48" xfId="0" applyNumberFormat="1" applyFont="1" applyFill="1" applyBorder="1" applyAlignment="1">
      <alignment horizontal="center" vertical="center"/>
    </xf>
    <xf numFmtId="2" fontId="18" fillId="9" borderId="49" xfId="0" applyNumberFormat="1" applyFont="1" applyFill="1" applyBorder="1" applyAlignment="1">
      <alignment horizontal="center" vertical="center"/>
    </xf>
    <xf numFmtId="2" fontId="18" fillId="9" borderId="50" xfId="0" applyNumberFormat="1" applyFont="1" applyFill="1" applyBorder="1" applyAlignment="1">
      <alignment horizontal="center" vertical="center"/>
    </xf>
    <xf numFmtId="2" fontId="18" fillId="9" borderId="0" xfId="0" applyNumberFormat="1" applyFont="1" applyFill="1" applyAlignment="1">
      <alignment horizontal="center" vertical="center"/>
    </xf>
    <xf numFmtId="2" fontId="18" fillId="9" borderId="51" xfId="0" applyNumberFormat="1" applyFont="1" applyFill="1" applyBorder="1" applyAlignment="1">
      <alignment horizontal="center" vertical="center"/>
    </xf>
    <xf numFmtId="2" fontId="18" fillId="9" borderId="86" xfId="0" applyNumberFormat="1" applyFont="1" applyFill="1" applyBorder="1" applyAlignment="1">
      <alignment horizontal="center" vertical="center"/>
    </xf>
    <xf numFmtId="2" fontId="18" fillId="9" borderId="71" xfId="0" applyNumberFormat="1" applyFont="1" applyFill="1" applyBorder="1" applyAlignment="1">
      <alignment horizontal="center" vertical="center"/>
    </xf>
    <xf numFmtId="2" fontId="18" fillId="9" borderId="65" xfId="0" applyNumberFormat="1" applyFont="1" applyFill="1" applyBorder="1" applyAlignment="1">
      <alignment horizontal="center" vertical="center"/>
    </xf>
    <xf numFmtId="2" fontId="18" fillId="9" borderId="70" xfId="0" applyNumberFormat="1" applyFont="1" applyFill="1" applyBorder="1" applyAlignment="1">
      <alignment horizontal="center" vertical="center" wrapText="1"/>
    </xf>
    <xf numFmtId="2" fontId="18" fillId="9" borderId="75" xfId="0" applyNumberFormat="1" applyFont="1" applyFill="1" applyBorder="1" applyAlignment="1">
      <alignment horizontal="center" vertical="center" wrapText="1"/>
    </xf>
    <xf numFmtId="2" fontId="18" fillId="9" borderId="73" xfId="0" applyNumberFormat="1" applyFont="1" applyFill="1" applyBorder="1" applyAlignment="1">
      <alignment horizontal="center" vertical="center" wrapText="1"/>
    </xf>
    <xf numFmtId="2" fontId="18" fillId="9" borderId="74" xfId="0" applyNumberFormat="1" applyFont="1" applyFill="1" applyBorder="1" applyAlignment="1">
      <alignment horizontal="center" vertical="center" wrapText="1"/>
    </xf>
    <xf numFmtId="2" fontId="7" fillId="9" borderId="61" xfId="0" applyNumberFormat="1" applyFont="1" applyFill="1" applyBorder="1" applyAlignment="1">
      <alignment horizontal="center" vertical="center" wrapText="1"/>
    </xf>
    <xf numFmtId="2" fontId="7" fillId="9" borderId="15" xfId="0" applyNumberFormat="1" applyFont="1" applyFill="1" applyBorder="1" applyAlignment="1">
      <alignment horizontal="center" vertical="center" wrapText="1"/>
    </xf>
    <xf numFmtId="2" fontId="7" fillId="9" borderId="40" xfId="0" applyNumberFormat="1" applyFont="1" applyFill="1" applyBorder="1" applyAlignment="1">
      <alignment horizontal="center" vertical="center" wrapText="1"/>
    </xf>
    <xf numFmtId="2" fontId="0" fillId="2" borderId="4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2" fontId="6" fillId="2" borderId="24" xfId="0" applyNumberFormat="1" applyFont="1" applyFill="1" applyBorder="1" applyAlignment="1">
      <alignment horizontal="center"/>
    </xf>
    <xf numFmtId="2" fontId="8" fillId="5" borderId="18" xfId="2" applyNumberFormat="1" applyFont="1" applyFill="1" applyBorder="1" applyAlignment="1">
      <alignment horizontal="center"/>
    </xf>
    <xf numFmtId="2" fontId="8" fillId="5" borderId="22" xfId="2" applyNumberFormat="1" applyFont="1" applyFill="1" applyBorder="1" applyAlignment="1">
      <alignment horizontal="center"/>
    </xf>
    <xf numFmtId="2" fontId="8" fillId="5" borderId="23" xfId="2" applyNumberFormat="1" applyFont="1" applyFill="1" applyBorder="1" applyAlignment="1">
      <alignment horizontal="center"/>
    </xf>
    <xf numFmtId="2" fontId="15" fillId="2" borderId="15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15" fillId="2" borderId="38" xfId="0" applyNumberFormat="1" applyFont="1" applyFill="1" applyBorder="1" applyAlignment="1">
      <alignment horizontal="center" vertical="center" wrapText="1"/>
    </xf>
    <xf numFmtId="2" fontId="45" fillId="5" borderId="15" xfId="2" applyNumberFormat="1" applyFont="1" applyFill="1" applyBorder="1" applyAlignment="1">
      <alignment horizontal="center"/>
    </xf>
    <xf numFmtId="2" fontId="15" fillId="2" borderId="18" xfId="0" applyNumberFormat="1" applyFont="1" applyFill="1" applyBorder="1" applyAlignment="1">
      <alignment horizontal="center" vertical="center"/>
    </xf>
    <xf numFmtId="2" fontId="15" fillId="2" borderId="22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0" fillId="2" borderId="36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2" fontId="0" fillId="2" borderId="23" xfId="0" applyNumberFormat="1" applyFill="1" applyBorder="1" applyAlignment="1">
      <alignment horizontal="center"/>
    </xf>
    <xf numFmtId="2" fontId="6" fillId="2" borderId="18" xfId="0" applyNumberFormat="1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23" xfId="0" applyNumberFormat="1" applyFon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55" xfId="0" applyNumberFormat="1" applyFill="1" applyBorder="1" applyAlignment="1">
      <alignment horizontal="center"/>
    </xf>
    <xf numFmtId="2" fontId="46" fillId="7" borderId="47" xfId="0" applyNumberFormat="1" applyFont="1" applyFill="1" applyBorder="1" applyAlignment="1">
      <alignment horizontal="center" vertical="center"/>
    </xf>
    <xf numFmtId="2" fontId="46" fillId="7" borderId="48" xfId="0" applyNumberFormat="1" applyFont="1" applyFill="1" applyBorder="1" applyAlignment="1">
      <alignment horizontal="center" vertical="center"/>
    </xf>
    <xf numFmtId="2" fontId="46" fillId="7" borderId="49" xfId="0" applyNumberFormat="1" applyFont="1" applyFill="1" applyBorder="1" applyAlignment="1">
      <alignment horizontal="center" vertical="center"/>
    </xf>
    <xf numFmtId="2" fontId="45" fillId="5" borderId="15" xfId="2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 wrapText="1"/>
    </xf>
    <xf numFmtId="2" fontId="6" fillId="9" borderId="60" xfId="0" applyNumberFormat="1" applyFont="1" applyFill="1" applyBorder="1" applyAlignment="1">
      <alignment horizontal="center" vertical="center" wrapText="1"/>
    </xf>
    <xf numFmtId="2" fontId="6" fillId="9" borderId="44" xfId="0" applyNumberFormat="1" applyFont="1" applyFill="1" applyBorder="1" applyAlignment="1">
      <alignment horizontal="center" vertical="center" wrapText="1"/>
    </xf>
    <xf numFmtId="2" fontId="6" fillId="9" borderId="72" xfId="0" applyNumberFormat="1" applyFont="1" applyFill="1" applyBorder="1" applyAlignment="1">
      <alignment horizontal="center" vertical="center" wrapText="1"/>
    </xf>
    <xf numFmtId="2" fontId="1" fillId="0" borderId="60" xfId="0" applyNumberFormat="1" applyFon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2" fontId="6" fillId="9" borderId="86" xfId="0" applyNumberFormat="1" applyFont="1" applyFill="1" applyBorder="1" applyAlignment="1">
      <alignment horizontal="center" vertical="center" wrapText="1"/>
    </xf>
    <xf numFmtId="2" fontId="6" fillId="9" borderId="71" xfId="0" applyNumberFormat="1" applyFont="1" applyFill="1" applyBorder="1" applyAlignment="1">
      <alignment horizontal="center" vertical="center" wrapText="1"/>
    </xf>
    <xf numFmtId="2" fontId="6" fillId="9" borderId="88" xfId="0" applyNumberFormat="1" applyFont="1" applyFill="1" applyBorder="1" applyAlignment="1">
      <alignment horizontal="center" vertical="center" wrapText="1"/>
    </xf>
    <xf numFmtId="2" fontId="16" fillId="2" borderId="18" xfId="2" applyNumberFormat="1" applyFont="1" applyFill="1" applyBorder="1" applyAlignment="1">
      <alignment horizontal="center" vertical="center" wrapText="1"/>
    </xf>
    <xf numFmtId="2" fontId="16" fillId="2" borderId="22" xfId="2" applyNumberFormat="1" applyFont="1" applyFill="1" applyBorder="1" applyAlignment="1">
      <alignment horizontal="center" vertical="center" wrapText="1"/>
    </xf>
    <xf numFmtId="2" fontId="16" fillId="2" borderId="27" xfId="2" applyNumberFormat="1" applyFont="1" applyFill="1" applyBorder="1" applyAlignment="1">
      <alignment horizontal="center" vertical="center" wrapText="1"/>
    </xf>
    <xf numFmtId="2" fontId="16" fillId="2" borderId="0" xfId="2" applyNumberFormat="1" applyFont="1" applyFill="1" applyAlignment="1">
      <alignment horizontal="left" vertical="center" wrapText="1"/>
    </xf>
    <xf numFmtId="2" fontId="15" fillId="2" borderId="0" xfId="0" applyNumberFormat="1" applyFont="1" applyFill="1" applyAlignment="1">
      <alignment horizontal="center" vertical="center"/>
    </xf>
    <xf numFmtId="2" fontId="6" fillId="9" borderId="86" xfId="0" applyNumberFormat="1" applyFont="1" applyFill="1" applyBorder="1" applyAlignment="1">
      <alignment horizontal="center" vertical="center"/>
    </xf>
    <xf numFmtId="2" fontId="6" fillId="9" borderId="71" xfId="0" applyNumberFormat="1" applyFont="1" applyFill="1" applyBorder="1" applyAlignment="1">
      <alignment horizontal="center" vertical="center"/>
    </xf>
    <xf numFmtId="2" fontId="6" fillId="2" borderId="60" xfId="0" applyNumberFormat="1" applyFont="1" applyFill="1" applyBorder="1" applyAlignment="1">
      <alignment horizontal="center" vertical="center" wrapText="1"/>
    </xf>
    <xf numFmtId="2" fontId="6" fillId="2" borderId="44" xfId="0" applyNumberFormat="1" applyFont="1" applyFill="1" applyBorder="1" applyAlignment="1">
      <alignment horizontal="center" vertical="center" wrapText="1"/>
    </xf>
    <xf numFmtId="2" fontId="6" fillId="2" borderId="72" xfId="0" applyNumberFormat="1" applyFont="1" applyFill="1" applyBorder="1" applyAlignment="1">
      <alignment horizontal="center" vertical="center" wrapText="1"/>
    </xf>
    <xf numFmtId="2" fontId="18" fillId="9" borderId="26" xfId="0" applyNumberFormat="1" applyFont="1" applyFill="1" applyBorder="1" applyAlignment="1">
      <alignment horizontal="center" vertical="center"/>
    </xf>
    <xf numFmtId="2" fontId="7" fillId="9" borderId="72" xfId="0" applyNumberFormat="1" applyFont="1" applyFill="1" applyBorder="1" applyAlignment="1">
      <alignment horizontal="center" vertical="center" wrapText="1"/>
    </xf>
    <xf numFmtId="2" fontId="18" fillId="9" borderId="25" xfId="0" applyNumberFormat="1" applyFont="1" applyFill="1" applyBorder="1" applyAlignment="1">
      <alignment horizontal="center" vertical="center" wrapText="1"/>
    </xf>
    <xf numFmtId="2" fontId="8" fillId="5" borderId="36" xfId="2" applyNumberFormat="1" applyFont="1" applyFill="1" applyBorder="1" applyAlignment="1">
      <alignment horizontal="center"/>
    </xf>
    <xf numFmtId="2" fontId="45" fillId="5" borderId="44" xfId="2" applyNumberFormat="1" applyFont="1" applyFill="1" applyBorder="1" applyAlignment="1">
      <alignment horizontal="center"/>
    </xf>
    <xf numFmtId="2" fontId="45" fillId="5" borderId="23" xfId="2" applyNumberFormat="1" applyFont="1" applyFill="1" applyBorder="1" applyAlignment="1">
      <alignment horizontal="center"/>
    </xf>
    <xf numFmtId="2" fontId="45" fillId="5" borderId="44" xfId="2" applyNumberFormat="1" applyFont="1" applyFill="1" applyBorder="1" applyAlignment="1">
      <alignment horizontal="center" vertical="center"/>
    </xf>
    <xf numFmtId="2" fontId="45" fillId="5" borderId="23" xfId="2" applyNumberFormat="1" applyFont="1" applyFill="1" applyBorder="1" applyAlignment="1">
      <alignment horizontal="center" vertical="center"/>
    </xf>
    <xf numFmtId="2" fontId="43" fillId="2" borderId="0" xfId="0" applyNumberFormat="1" applyFont="1" applyFill="1" applyAlignment="1">
      <alignment horizontal="center" vertical="center" wrapText="1"/>
    </xf>
    <xf numFmtId="2" fontId="51" fillId="0" borderId="30" xfId="0" applyNumberFormat="1" applyFont="1" applyBorder="1" applyAlignment="1">
      <alignment horizontal="center"/>
    </xf>
    <xf numFmtId="2" fontId="51" fillId="0" borderId="28" xfId="0" applyNumberFormat="1" applyFont="1" applyBorder="1" applyAlignment="1">
      <alignment horizontal="center"/>
    </xf>
    <xf numFmtId="2" fontId="51" fillId="0" borderId="59" xfId="0" applyNumberFormat="1" applyFont="1" applyBorder="1" applyAlignment="1">
      <alignment horizontal="center"/>
    </xf>
    <xf numFmtId="1" fontId="2" fillId="8" borderId="57" xfId="0" applyNumberFormat="1" applyFont="1" applyFill="1" applyBorder="1" applyAlignment="1">
      <alignment horizontal="center"/>
    </xf>
    <xf numFmtId="1" fontId="2" fillId="8" borderId="40" xfId="0" applyNumberFormat="1" applyFont="1" applyFill="1" applyBorder="1" applyAlignment="1">
      <alignment horizontal="center"/>
    </xf>
    <xf numFmtId="1" fontId="2" fillId="8" borderId="41" xfId="0" applyNumberFormat="1" applyFont="1" applyFill="1" applyBorder="1" applyAlignment="1">
      <alignment horizontal="center"/>
    </xf>
    <xf numFmtId="2" fontId="23" fillId="2" borderId="33" xfId="2" applyNumberFormat="1" applyFont="1" applyFill="1" applyBorder="1" applyAlignment="1">
      <alignment horizontal="center" vertical="center"/>
    </xf>
    <xf numFmtId="2" fontId="23" fillId="2" borderId="42" xfId="2" applyNumberFormat="1" applyFont="1" applyFill="1" applyBorder="1" applyAlignment="1">
      <alignment horizontal="center" vertical="center"/>
    </xf>
    <xf numFmtId="2" fontId="23" fillId="2" borderId="43" xfId="2" applyNumberFormat="1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 wrapText="1"/>
    </xf>
    <xf numFmtId="2" fontId="19" fillId="2" borderId="15" xfId="0" applyNumberFormat="1" applyFont="1" applyFill="1" applyBorder="1" applyAlignment="1">
      <alignment horizontal="center" vertical="center" wrapText="1"/>
    </xf>
    <xf numFmtId="2" fontId="11" fillId="2" borderId="60" xfId="0" applyNumberFormat="1" applyFont="1" applyFill="1" applyBorder="1" applyAlignment="1">
      <alignment horizontal="center" vertical="center" wrapText="1"/>
    </xf>
    <xf numFmtId="2" fontId="11" fillId="2" borderId="44" xfId="0" applyNumberFormat="1" applyFont="1" applyFill="1" applyBorder="1" applyAlignment="1">
      <alignment horizontal="center" vertical="center" wrapText="1"/>
    </xf>
    <xf numFmtId="2" fontId="11" fillId="2" borderId="72" xfId="0" applyNumberFormat="1" applyFont="1" applyFill="1" applyBorder="1" applyAlignment="1">
      <alignment horizontal="center" vertical="center" wrapText="1"/>
    </xf>
    <xf numFmtId="2" fontId="11" fillId="2" borderId="31" xfId="0" applyNumberFormat="1" applyFont="1" applyFill="1" applyBorder="1" applyAlignment="1">
      <alignment horizontal="center" vertical="center" wrapText="1"/>
    </xf>
    <xf numFmtId="2" fontId="11" fillId="2" borderId="16" xfId="0" applyNumberFormat="1" applyFont="1" applyFill="1" applyBorder="1" applyAlignment="1">
      <alignment horizontal="center" vertical="center" wrapText="1"/>
    </xf>
    <xf numFmtId="2" fontId="11" fillId="2" borderId="66" xfId="0" applyNumberFormat="1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35" xfId="0" applyNumberFormat="1" applyFont="1" applyFill="1" applyBorder="1" applyAlignment="1">
      <alignment horizontal="center" vertical="center" wrapText="1"/>
    </xf>
    <xf numFmtId="2" fontId="2" fillId="2" borderId="68" xfId="0" applyNumberFormat="1" applyFont="1" applyFill="1" applyBorder="1" applyAlignment="1">
      <alignment horizontal="center" vertical="center" wrapText="1"/>
    </xf>
    <xf numFmtId="2" fontId="12" fillId="2" borderId="15" xfId="2" applyNumberFormat="1" applyFont="1" applyFill="1" applyBorder="1" applyAlignment="1">
      <alignment horizontal="center" vertical="center" wrapText="1"/>
    </xf>
    <xf numFmtId="2" fontId="1" fillId="8" borderId="15" xfId="0" applyNumberFormat="1" applyFon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 vertical="center" wrapText="1"/>
    </xf>
    <xf numFmtId="2" fontId="2" fillId="8" borderId="15" xfId="0" applyNumberFormat="1" applyFont="1" applyFill="1" applyBorder="1" applyAlignment="1">
      <alignment horizontal="center" vertical="center"/>
    </xf>
    <xf numFmtId="2" fontId="17" fillId="8" borderId="15" xfId="0" applyNumberFormat="1" applyFont="1" applyFill="1" applyBorder="1" applyAlignment="1">
      <alignment horizontal="center" vertical="center" wrapText="1"/>
    </xf>
    <xf numFmtId="2" fontId="2" fillId="2" borderId="15" xfId="0" applyNumberFormat="1" applyFont="1" applyFill="1" applyBorder="1" applyAlignment="1">
      <alignment horizontal="center" vertical="center" wrapText="1"/>
    </xf>
    <xf numFmtId="2" fontId="15" fillId="0" borderId="15" xfId="0" applyNumberFormat="1" applyFont="1" applyBorder="1" applyAlignment="1">
      <alignment horizontal="center" vertical="center"/>
    </xf>
    <xf numFmtId="2" fontId="20" fillId="7" borderId="50" xfId="0" applyNumberFormat="1" applyFont="1" applyFill="1" applyBorder="1" applyAlignment="1">
      <alignment horizontal="center" vertical="center" wrapText="1"/>
    </xf>
    <xf numFmtId="2" fontId="20" fillId="7" borderId="0" xfId="0" applyNumberFormat="1" applyFont="1" applyFill="1" applyAlignment="1">
      <alignment horizontal="center" vertical="center" wrapText="1"/>
    </xf>
    <xf numFmtId="2" fontId="8" fillId="8" borderId="15" xfId="2" applyNumberFormat="1" applyFont="1" applyFill="1" applyBorder="1" applyAlignment="1">
      <alignment horizontal="center"/>
    </xf>
    <xf numFmtId="2" fontId="8" fillId="8" borderId="18" xfId="2" applyNumberFormat="1" applyFont="1" applyFill="1" applyBorder="1" applyAlignment="1">
      <alignment horizontal="center"/>
    </xf>
    <xf numFmtId="2" fontId="8" fillId="8" borderId="22" xfId="2" applyNumberFormat="1" applyFont="1" applyFill="1" applyBorder="1" applyAlignment="1">
      <alignment horizontal="center"/>
    </xf>
    <xf numFmtId="2" fontId="8" fillId="8" borderId="23" xfId="2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 wrapText="1"/>
    </xf>
    <xf numFmtId="2" fontId="58" fillId="0" borderId="15" xfId="0" applyNumberFormat="1" applyFont="1" applyBorder="1" applyAlignment="1">
      <alignment horizontal="center" vertical="center" wrapText="1"/>
    </xf>
    <xf numFmtId="2" fontId="17" fillId="0" borderId="15" xfId="0" applyNumberFormat="1" applyFont="1" applyBorder="1" applyAlignment="1">
      <alignment horizontal="center" vertical="center"/>
    </xf>
    <xf numFmtId="2" fontId="12" fillId="0" borderId="15" xfId="2" applyNumberFormat="1" applyFont="1" applyBorder="1" applyAlignment="1">
      <alignment horizontal="center" vertical="center"/>
    </xf>
    <xf numFmtId="2" fontId="58" fillId="2" borderId="15" xfId="0" applyNumberFormat="1" applyFont="1" applyFill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12" fillId="0" borderId="15" xfId="2" applyNumberFormat="1" applyFont="1" applyBorder="1" applyAlignment="1">
      <alignment horizontal="center"/>
    </xf>
    <xf numFmtId="2" fontId="15" fillId="0" borderId="25" xfId="0" applyNumberFormat="1" applyFont="1" applyBorder="1" applyAlignment="1">
      <alignment horizontal="center" vertical="center"/>
    </xf>
    <xf numFmtId="2" fontId="15" fillId="0" borderId="26" xfId="0" applyNumberFormat="1" applyFont="1" applyBorder="1" applyAlignment="1">
      <alignment horizontal="center" vertical="center"/>
    </xf>
    <xf numFmtId="2" fontId="1" fillId="0" borderId="25" xfId="2" applyNumberFormat="1" applyBorder="1" applyAlignment="1">
      <alignment horizontal="center" vertical="center"/>
    </xf>
    <xf numFmtId="2" fontId="1" fillId="0" borderId="26" xfId="2" applyNumberFormat="1" applyBorder="1" applyAlignment="1">
      <alignment horizontal="center" vertical="center"/>
    </xf>
    <xf numFmtId="2" fontId="22" fillId="7" borderId="45" xfId="0" applyNumberFormat="1" applyFont="1" applyFill="1" applyBorder="1" applyAlignment="1">
      <alignment horizontal="center" vertical="center"/>
    </xf>
    <xf numFmtId="2" fontId="22" fillId="7" borderId="17" xfId="0" applyNumberFormat="1" applyFont="1" applyFill="1" applyBorder="1" applyAlignment="1">
      <alignment horizontal="center" vertical="center"/>
    </xf>
    <xf numFmtId="2" fontId="7" fillId="5" borderId="15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 vertical="center" wrapText="1"/>
    </xf>
    <xf numFmtId="2" fontId="7" fillId="2" borderId="15" xfId="2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/>
    </xf>
    <xf numFmtId="2" fontId="6" fillId="2" borderId="44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left" vertical="center" wrapText="1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 vertic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31" xfId="0" applyNumberFormat="1" applyFont="1" applyFill="1" applyBorder="1" applyAlignment="1">
      <alignment horizontal="center" vertical="center"/>
    </xf>
    <xf numFmtId="2" fontId="6" fillId="10" borderId="16" xfId="0" applyNumberFormat="1" applyFont="1" applyFill="1" applyBorder="1" applyAlignment="1">
      <alignment horizontal="center" vertical="center"/>
    </xf>
    <xf numFmtId="2" fontId="6" fillId="10" borderId="66" xfId="0" applyNumberFormat="1" applyFont="1" applyFill="1" applyBorder="1" applyAlignment="1">
      <alignment horizontal="center" vertical="center"/>
    </xf>
    <xf numFmtId="2" fontId="16" fillId="4" borderId="60" xfId="0" applyNumberFormat="1" applyFont="1" applyFill="1" applyBorder="1" applyAlignment="1">
      <alignment horizontal="center" vertical="center"/>
    </xf>
    <xf numFmtId="2" fontId="16" fillId="4" borderId="62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10" borderId="25" xfId="0" applyNumberFormat="1" applyFont="1" applyFill="1" applyBorder="1" applyAlignment="1">
      <alignment horizontal="center" vertical="center"/>
    </xf>
    <xf numFmtId="2" fontId="18" fillId="10" borderId="15" xfId="0" applyNumberFormat="1" applyFont="1" applyFill="1" applyBorder="1" applyAlignment="1">
      <alignment horizontal="center" vertical="center"/>
    </xf>
    <xf numFmtId="2" fontId="18" fillId="10" borderId="20" xfId="0" applyNumberFormat="1" applyFont="1" applyFill="1" applyBorder="1" applyAlignment="1">
      <alignment horizontal="center" vertical="center"/>
    </xf>
    <xf numFmtId="2" fontId="18" fillId="10" borderId="1" xfId="0" applyNumberFormat="1" applyFont="1" applyFill="1" applyBorder="1" applyAlignment="1">
      <alignment horizontal="center" vertical="center"/>
    </xf>
    <xf numFmtId="2" fontId="18" fillId="10" borderId="27" xfId="0" applyNumberFormat="1" applyFont="1" applyFill="1" applyBorder="1" applyAlignment="1">
      <alignment horizontal="center" vertical="center"/>
    </xf>
    <xf numFmtId="2" fontId="18" fillId="10" borderId="38" xfId="0" applyNumberFormat="1" applyFon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/>
    </xf>
    <xf numFmtId="2" fontId="13" fillId="10" borderId="15" xfId="2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16" fillId="10" borderId="15" xfId="2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 wrapText="1"/>
    </xf>
    <xf numFmtId="2" fontId="7" fillId="10" borderId="61" xfId="0" applyNumberFormat="1" applyFont="1" applyFill="1" applyBorder="1" applyAlignment="1">
      <alignment horizontal="center" vertical="center"/>
    </xf>
    <xf numFmtId="2" fontId="7" fillId="10" borderId="61" xfId="0" applyNumberFormat="1" applyFont="1" applyFill="1" applyBorder="1" applyAlignment="1">
      <alignment horizontal="center" vertical="center" wrapText="1"/>
    </xf>
    <xf numFmtId="2" fontId="16" fillId="10" borderId="61" xfId="2" applyNumberFormat="1" applyFont="1" applyFill="1" applyBorder="1" applyAlignment="1">
      <alignment horizontal="center" vertical="center"/>
    </xf>
    <xf numFmtId="2" fontId="16" fillId="10" borderId="62" xfId="2" applyNumberFormat="1" applyFont="1" applyFill="1" applyBorder="1" applyAlignment="1">
      <alignment horizontal="center" vertical="center"/>
    </xf>
    <xf numFmtId="2" fontId="11" fillId="10" borderId="60" xfId="0" applyNumberFormat="1" applyFont="1" applyFill="1" applyBorder="1" applyAlignment="1">
      <alignment horizontal="center" vertical="center"/>
    </xf>
    <xf numFmtId="2" fontId="11" fillId="10" borderId="62" xfId="0" applyNumberFormat="1" applyFont="1" applyFill="1" applyBorder="1" applyAlignment="1">
      <alignment horizontal="center" vertical="center"/>
    </xf>
    <xf numFmtId="2" fontId="15" fillId="10" borderId="15" xfId="0" applyNumberFormat="1" applyFont="1" applyFill="1" applyBorder="1" applyAlignment="1">
      <alignment horizontal="center" vertical="center"/>
    </xf>
    <xf numFmtId="2" fontId="15" fillId="10" borderId="18" xfId="0" applyNumberFormat="1" applyFont="1" applyFill="1" applyBorder="1" applyAlignment="1">
      <alignment horizontal="center" vertical="center"/>
    </xf>
    <xf numFmtId="2" fontId="15" fillId="10" borderId="22" xfId="0" applyNumberFormat="1" applyFont="1" applyFill="1" applyBorder="1" applyAlignment="1">
      <alignment horizontal="center" vertical="center"/>
    </xf>
    <xf numFmtId="2" fontId="15" fillId="10" borderId="23" xfId="0" applyNumberFormat="1" applyFont="1" applyFill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23" fillId="7" borderId="50" xfId="0" applyNumberFormat="1" applyFont="1" applyFill="1" applyBorder="1" applyAlignment="1">
      <alignment horizontal="center" vertical="center"/>
    </xf>
    <xf numFmtId="2" fontId="23" fillId="7" borderId="0" xfId="0" applyNumberFormat="1" applyFont="1" applyFill="1" applyAlignment="1">
      <alignment horizontal="center" vertical="center"/>
    </xf>
    <xf numFmtId="0" fontId="2" fillId="2" borderId="20" xfId="0" applyFont="1" applyFill="1" applyBorder="1" applyAlignment="1" applyProtection="1">
      <alignment horizontal="center" vertical="center"/>
      <protection hidden="1"/>
    </xf>
    <xf numFmtId="0" fontId="2" fillId="2" borderId="27" xfId="0" applyFont="1" applyFill="1" applyBorder="1" applyAlignment="1" applyProtection="1">
      <alignment horizontal="center" vertical="center"/>
      <protection hidden="1"/>
    </xf>
    <xf numFmtId="2" fontId="81" fillId="0" borderId="20" xfId="0" applyNumberFormat="1" applyFont="1" applyBorder="1" applyAlignment="1" applyProtection="1">
      <alignment horizontal="center" vertical="center" wrapText="1"/>
      <protection hidden="1"/>
    </xf>
    <xf numFmtId="2" fontId="81" fillId="0" borderId="27" xfId="0" applyNumberFormat="1" applyFont="1" applyBorder="1" applyAlignment="1" applyProtection="1">
      <alignment horizontal="center" vertical="center" wrapText="1"/>
      <protection hidden="1"/>
    </xf>
    <xf numFmtId="2" fontId="81" fillId="0" borderId="19" xfId="0" applyNumberFormat="1" applyFont="1" applyBorder="1" applyAlignment="1" applyProtection="1">
      <alignment horizontal="center" vertical="center" wrapText="1"/>
      <protection hidden="1"/>
    </xf>
    <xf numFmtId="2" fontId="81" fillId="0" borderId="24" xfId="0" applyNumberFormat="1" applyFont="1" applyBorder="1" applyAlignment="1" applyProtection="1">
      <alignment horizontal="center" vertical="center" wrapText="1"/>
      <protection hidden="1"/>
    </xf>
    <xf numFmtId="2" fontId="81" fillId="0" borderId="4" xfId="0" applyNumberFormat="1" applyFont="1" applyBorder="1" applyAlignment="1" applyProtection="1">
      <alignment horizontal="center" vertical="center" wrapText="1"/>
      <protection hidden="1"/>
    </xf>
    <xf numFmtId="2" fontId="81" fillId="0" borderId="6" xfId="0" applyNumberFormat="1" applyFont="1" applyBorder="1" applyAlignment="1" applyProtection="1">
      <alignment horizontal="center" vertical="center" wrapText="1"/>
      <protection hidden="1"/>
    </xf>
    <xf numFmtId="2" fontId="27" fillId="0" borderId="0" xfId="0" applyNumberFormat="1" applyFont="1" applyBorder="1" applyAlignment="1" applyProtection="1">
      <alignment horizontal="center" vertical="center" wrapText="1"/>
      <protection hidden="1"/>
    </xf>
    <xf numFmtId="9" fontId="32" fillId="0" borderId="0" xfId="0" quotePrefix="1" applyNumberFormat="1" applyFont="1" applyBorder="1" applyAlignment="1">
      <alignment horizontal="center" vertical="center" wrapText="1"/>
    </xf>
    <xf numFmtId="2" fontId="81" fillId="0" borderId="18" xfId="0" applyNumberFormat="1" applyFont="1" applyBorder="1" applyAlignment="1" applyProtection="1">
      <alignment horizontal="center" vertical="center" wrapText="1"/>
      <protection hidden="1"/>
    </xf>
    <xf numFmtId="2" fontId="81" fillId="0" borderId="23" xfId="0" applyNumberFormat="1" applyFont="1" applyBorder="1" applyAlignment="1" applyProtection="1">
      <alignment horizontal="center" vertical="center" wrapText="1"/>
      <protection hidden="1"/>
    </xf>
    <xf numFmtId="0" fontId="1" fillId="0" borderId="14" xfId="0" applyFont="1" applyBorder="1" applyAlignment="1" applyProtection="1">
      <alignment horizontal="left" vertical="center" wrapText="1"/>
      <protection locked="0"/>
    </xf>
    <xf numFmtId="0" fontId="1" fillId="0" borderId="79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/>
      <protection locked="0"/>
    </xf>
    <xf numFmtId="1" fontId="81" fillId="2" borderId="12" xfId="0" applyNumberFormat="1" applyFont="1" applyFill="1" applyBorder="1" applyAlignment="1" applyProtection="1">
      <alignment horizontal="right" vertical="center" wrapText="1"/>
      <protection hidden="1"/>
    </xf>
    <xf numFmtId="164" fontId="81" fillId="2" borderId="4" xfId="0" applyNumberFormat="1" applyFont="1" applyFill="1" applyBorder="1" applyAlignment="1" applyProtection="1">
      <alignment horizontal="right" vertical="center" wrapText="1"/>
      <protection hidden="1"/>
    </xf>
    <xf numFmtId="1" fontId="81" fillId="2" borderId="8" xfId="0" applyNumberFormat="1" applyFont="1" applyFill="1" applyBorder="1" applyAlignment="1" applyProtection="1">
      <alignment horizontal="right" vertical="center" wrapText="1"/>
      <protection hidden="1"/>
    </xf>
  </cellXfs>
  <cellStyles count="8">
    <cellStyle name="Normal" xfId="0" builtinId="0"/>
    <cellStyle name="Normal 2" xfId="2" xr:uid="{00000000-0005-0000-0000-000001000000}"/>
    <cellStyle name="Normal 2 2" xfId="5" xr:uid="{ACAD77C6-CEE0-4F5D-85DE-B741764DA7DF}"/>
    <cellStyle name="Normal 2 3" xfId="7" xr:uid="{91AD9BF3-8DAE-41A3-89CF-365E1D62DD73}"/>
    <cellStyle name="Normal 3" xfId="6" xr:uid="{53E5B371-1D47-4A04-BE67-B6443BE739B1}"/>
    <cellStyle name="Normal_Daftar kelistrikan (ecg)" xfId="3" xr:uid="{00000000-0005-0000-0000-000002000000}"/>
    <cellStyle name="Normal_Sheet1" xfId="4" xr:uid="{00000000-0005-0000-0000-000003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333375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23</xdr:col>
      <xdr:colOff>314325</xdr:colOff>
      <xdr:row>0</xdr:row>
      <xdr:rowOff>0</xdr:rowOff>
    </xdr:from>
    <xdr:to>
      <xdr:col>24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5553075" y="0"/>
          <a:ext cx="778669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5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5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5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5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5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5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5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5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5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5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5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5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5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5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5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5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5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5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5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5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5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5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5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5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5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5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5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5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5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5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5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5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5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5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5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5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5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5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5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5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5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5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5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5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5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5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5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5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5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5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5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5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5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5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5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5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5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5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5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5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5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5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5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5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5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5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5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5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5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5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5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5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5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5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5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5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5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5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5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5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5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5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5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5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5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5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5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5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5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5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5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5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5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5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5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5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5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5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5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5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5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5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5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5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5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5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5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5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5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5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5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5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5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5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5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5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5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5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5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5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5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5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5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5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5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5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5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5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5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5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5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5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5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5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5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5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5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5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5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5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5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5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5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5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5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5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5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5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5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5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5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5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5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5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5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5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5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5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5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5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5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5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5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5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5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5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5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5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5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5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5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5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5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5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5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5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5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5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5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5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5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5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5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5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5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5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5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5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5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5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5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5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5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5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5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5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5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5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5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5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5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5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5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5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5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5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5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5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5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5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5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5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5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5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5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5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5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5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5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5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5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5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5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5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5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5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5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5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5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5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5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5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5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5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5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5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5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5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5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5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5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5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5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5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5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5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5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5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5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5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5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5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5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5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5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5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5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5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5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5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5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5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5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5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5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5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5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5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5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5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5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5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5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5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5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5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5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5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5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5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5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5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5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5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5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5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5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5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5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5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5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5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5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5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5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5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5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5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5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5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5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5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5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5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5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5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5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5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6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6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6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6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6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6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6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6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6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6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6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6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6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6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6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6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6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6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6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6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6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6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6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6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6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6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6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6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6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6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6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6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6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6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6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6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6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6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6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6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6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6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6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6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6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6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6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6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6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6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6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6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6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6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6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6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6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6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6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6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6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6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6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6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6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6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6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6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6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6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6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6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6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6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6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6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6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6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6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6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6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6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6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6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6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6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6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6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6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6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6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6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6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6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6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6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85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6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6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6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6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6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6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6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6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6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6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6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6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6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6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6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6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6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6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6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6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6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6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6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6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6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6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6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6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6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6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6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6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6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6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85</xdr:row>
          <xdr:rowOff>0</xdr:rowOff>
        </xdr:from>
        <xdr:to>
          <xdr:col>11</xdr:col>
          <xdr:colOff>412750</xdr:colOff>
          <xdr:row>85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6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85</xdr:row>
          <xdr:rowOff>0</xdr:rowOff>
        </xdr:from>
        <xdr:to>
          <xdr:col>11</xdr:col>
          <xdr:colOff>419100</xdr:colOff>
          <xdr:row>85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6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7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7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3" name="Object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7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4" name="Object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7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5" name="Object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7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6" name="Object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7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7" name="Object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7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8" name="Object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7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369" name="Object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7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70" name="Object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7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371" name="Object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7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72" name="Object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7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73" name="Object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7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74" name="Object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7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75" name="Object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7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76" name="Object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7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77" name="Object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7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78" name="Object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7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79" name="Object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7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80" name="Object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7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81" name="Object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7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382" name="Object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7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83" name="Object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7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84" name="Object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7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85" name="Object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7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86" name="Object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7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87" name="Object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7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88" name="Object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7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89" name="Object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7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90" name="Object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7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91" name="Object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7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92" name="Object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7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393" name="Object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7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94" name="Object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7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95" name="Object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7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96" name="Object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7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97" name="Object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7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98" name="Object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7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399" name="Object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7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00" name="Object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7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01" name="Object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7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02" name="Object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7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03" name="Object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7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04" name="Object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7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05" name="Object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7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06" name="Object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7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07" name="Object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7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08" name="Object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7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09" name="Object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7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10" name="Object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7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11" name="Object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7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12" name="Object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7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13" name="Object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7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14" name="Object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7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15" name="Object 55" hidden="1">
              <a:extLst>
                <a:ext uri="{63B3BB69-23CF-44E3-9099-C40C66FF867C}">
                  <a14:compatExt spid="_x0000_s15415"/>
                </a:ext>
                <a:ext uri="{FF2B5EF4-FFF2-40B4-BE49-F238E27FC236}">
                  <a16:creationId xmlns:a16="http://schemas.microsoft.com/office/drawing/2014/main" id="{00000000-0008-0000-0700-00003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16" name="Object 56" hidden="1">
              <a:extLst>
                <a:ext uri="{63B3BB69-23CF-44E3-9099-C40C66FF867C}">
                  <a14:compatExt spid="_x0000_s15416"/>
                </a:ext>
                <a:ext uri="{FF2B5EF4-FFF2-40B4-BE49-F238E27FC236}">
                  <a16:creationId xmlns:a16="http://schemas.microsoft.com/office/drawing/2014/main" id="{00000000-0008-0000-0700-00003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17" name="Object 57" hidden="1">
              <a:extLst>
                <a:ext uri="{63B3BB69-23CF-44E3-9099-C40C66FF867C}">
                  <a14:compatExt spid="_x0000_s15417"/>
                </a:ext>
                <a:ext uri="{FF2B5EF4-FFF2-40B4-BE49-F238E27FC236}">
                  <a16:creationId xmlns:a16="http://schemas.microsoft.com/office/drawing/2014/main" id="{00000000-0008-0000-0700-00003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18" name="Object 58" hidden="1">
              <a:extLst>
                <a:ext uri="{63B3BB69-23CF-44E3-9099-C40C66FF867C}">
                  <a14:compatExt spid="_x0000_s15418"/>
                </a:ext>
                <a:ext uri="{FF2B5EF4-FFF2-40B4-BE49-F238E27FC236}">
                  <a16:creationId xmlns:a16="http://schemas.microsoft.com/office/drawing/2014/main" id="{00000000-0008-0000-0700-00003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19" name="Object 59" hidden="1">
              <a:extLst>
                <a:ext uri="{63B3BB69-23CF-44E3-9099-C40C66FF867C}">
                  <a14:compatExt spid="_x0000_s15419"/>
                </a:ext>
                <a:ext uri="{FF2B5EF4-FFF2-40B4-BE49-F238E27FC236}">
                  <a16:creationId xmlns:a16="http://schemas.microsoft.com/office/drawing/2014/main" id="{00000000-0008-0000-0700-00003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20" name="Object 60" hidden="1">
              <a:extLst>
                <a:ext uri="{63B3BB69-23CF-44E3-9099-C40C66FF867C}">
                  <a14:compatExt spid="_x0000_s15420"/>
                </a:ext>
                <a:ext uri="{FF2B5EF4-FFF2-40B4-BE49-F238E27FC236}">
                  <a16:creationId xmlns:a16="http://schemas.microsoft.com/office/drawing/2014/main" id="{00000000-0008-0000-0700-00003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21" name="Object 61" hidden="1">
              <a:extLst>
                <a:ext uri="{63B3BB69-23CF-44E3-9099-C40C66FF867C}">
                  <a14:compatExt spid="_x0000_s15421"/>
                </a:ext>
                <a:ext uri="{FF2B5EF4-FFF2-40B4-BE49-F238E27FC236}">
                  <a16:creationId xmlns:a16="http://schemas.microsoft.com/office/drawing/2014/main" id="{00000000-0008-0000-0700-00003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22" name="Object 62" hidden="1">
              <a:extLst>
                <a:ext uri="{63B3BB69-23CF-44E3-9099-C40C66FF867C}">
                  <a14:compatExt spid="_x0000_s15422"/>
                </a:ext>
                <a:ext uri="{FF2B5EF4-FFF2-40B4-BE49-F238E27FC236}">
                  <a16:creationId xmlns:a16="http://schemas.microsoft.com/office/drawing/2014/main" id="{00000000-0008-0000-0700-00003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23" name="Object 63" hidden="1">
              <a:extLst>
                <a:ext uri="{63B3BB69-23CF-44E3-9099-C40C66FF867C}">
                  <a14:compatExt spid="_x0000_s15423"/>
                </a:ext>
                <a:ext uri="{FF2B5EF4-FFF2-40B4-BE49-F238E27FC236}">
                  <a16:creationId xmlns:a16="http://schemas.microsoft.com/office/drawing/2014/main" id="{00000000-0008-0000-0700-00003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24" name="Object 64" hidden="1">
              <a:extLst>
                <a:ext uri="{63B3BB69-23CF-44E3-9099-C40C66FF867C}">
                  <a14:compatExt spid="_x0000_s15424"/>
                </a:ext>
                <a:ext uri="{FF2B5EF4-FFF2-40B4-BE49-F238E27FC236}">
                  <a16:creationId xmlns:a16="http://schemas.microsoft.com/office/drawing/2014/main" id="{00000000-0008-0000-0700-00004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25" name="Object 65" hidden="1">
              <a:extLst>
                <a:ext uri="{63B3BB69-23CF-44E3-9099-C40C66FF867C}">
                  <a14:compatExt spid="_x0000_s15425"/>
                </a:ext>
                <a:ext uri="{FF2B5EF4-FFF2-40B4-BE49-F238E27FC236}">
                  <a16:creationId xmlns:a16="http://schemas.microsoft.com/office/drawing/2014/main" id="{00000000-0008-0000-0700-00004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26" name="Object 66" hidden="1">
              <a:extLst>
                <a:ext uri="{63B3BB69-23CF-44E3-9099-C40C66FF867C}">
                  <a14:compatExt spid="_x0000_s15426"/>
                </a:ext>
                <a:ext uri="{FF2B5EF4-FFF2-40B4-BE49-F238E27FC236}">
                  <a16:creationId xmlns:a16="http://schemas.microsoft.com/office/drawing/2014/main" id="{00000000-0008-0000-0700-00004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27" name="Object 67" hidden="1">
              <a:extLst>
                <a:ext uri="{63B3BB69-23CF-44E3-9099-C40C66FF867C}">
                  <a14:compatExt spid="_x0000_s15427"/>
                </a:ext>
                <a:ext uri="{FF2B5EF4-FFF2-40B4-BE49-F238E27FC236}">
                  <a16:creationId xmlns:a16="http://schemas.microsoft.com/office/drawing/2014/main" id="{00000000-0008-0000-0700-00004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28" name="Object 68" hidden="1">
              <a:extLst>
                <a:ext uri="{63B3BB69-23CF-44E3-9099-C40C66FF867C}">
                  <a14:compatExt spid="_x0000_s15428"/>
                </a:ext>
                <a:ext uri="{FF2B5EF4-FFF2-40B4-BE49-F238E27FC236}">
                  <a16:creationId xmlns:a16="http://schemas.microsoft.com/office/drawing/2014/main" id="{00000000-0008-0000-0700-00004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29" name="Object 69" hidden="1">
              <a:extLst>
                <a:ext uri="{63B3BB69-23CF-44E3-9099-C40C66FF867C}">
                  <a14:compatExt spid="_x0000_s15429"/>
                </a:ext>
                <a:ext uri="{FF2B5EF4-FFF2-40B4-BE49-F238E27FC236}">
                  <a16:creationId xmlns:a16="http://schemas.microsoft.com/office/drawing/2014/main" id="{00000000-0008-0000-0700-00004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30" name="Object 70" hidden="1">
              <a:extLst>
                <a:ext uri="{63B3BB69-23CF-44E3-9099-C40C66FF867C}">
                  <a14:compatExt spid="_x0000_s15430"/>
                </a:ext>
                <a:ext uri="{FF2B5EF4-FFF2-40B4-BE49-F238E27FC236}">
                  <a16:creationId xmlns:a16="http://schemas.microsoft.com/office/drawing/2014/main" id="{00000000-0008-0000-0700-00004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31" name="Object 71" hidden="1">
              <a:extLst>
                <a:ext uri="{63B3BB69-23CF-44E3-9099-C40C66FF867C}">
                  <a14:compatExt spid="_x0000_s15431"/>
                </a:ext>
                <a:ext uri="{FF2B5EF4-FFF2-40B4-BE49-F238E27FC236}">
                  <a16:creationId xmlns:a16="http://schemas.microsoft.com/office/drawing/2014/main" id="{00000000-0008-0000-0700-00004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32" name="Object 72" hidden="1">
              <a:extLst>
                <a:ext uri="{63B3BB69-23CF-44E3-9099-C40C66FF867C}">
                  <a14:compatExt spid="_x0000_s15432"/>
                </a:ext>
                <a:ext uri="{FF2B5EF4-FFF2-40B4-BE49-F238E27FC236}">
                  <a16:creationId xmlns:a16="http://schemas.microsoft.com/office/drawing/2014/main" id="{00000000-0008-0000-0700-00004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33" name="Object 73" hidden="1">
              <a:extLst>
                <a:ext uri="{63B3BB69-23CF-44E3-9099-C40C66FF867C}">
                  <a14:compatExt spid="_x0000_s15433"/>
                </a:ext>
                <a:ext uri="{FF2B5EF4-FFF2-40B4-BE49-F238E27FC236}">
                  <a16:creationId xmlns:a16="http://schemas.microsoft.com/office/drawing/2014/main" id="{00000000-0008-0000-0700-00004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34" name="Object 74" hidden="1">
              <a:extLst>
                <a:ext uri="{63B3BB69-23CF-44E3-9099-C40C66FF867C}">
                  <a14:compatExt spid="_x0000_s15434"/>
                </a:ext>
                <a:ext uri="{FF2B5EF4-FFF2-40B4-BE49-F238E27FC236}">
                  <a16:creationId xmlns:a16="http://schemas.microsoft.com/office/drawing/2014/main" id="{00000000-0008-0000-0700-00004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35" name="Object 75" hidden="1">
              <a:extLst>
                <a:ext uri="{63B3BB69-23CF-44E3-9099-C40C66FF867C}">
                  <a14:compatExt spid="_x0000_s15435"/>
                </a:ext>
                <a:ext uri="{FF2B5EF4-FFF2-40B4-BE49-F238E27FC236}">
                  <a16:creationId xmlns:a16="http://schemas.microsoft.com/office/drawing/2014/main" id="{00000000-0008-0000-0700-00004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36" name="Object 76" hidden="1">
              <a:extLst>
                <a:ext uri="{63B3BB69-23CF-44E3-9099-C40C66FF867C}">
                  <a14:compatExt spid="_x0000_s15436"/>
                </a:ext>
                <a:ext uri="{FF2B5EF4-FFF2-40B4-BE49-F238E27FC236}">
                  <a16:creationId xmlns:a16="http://schemas.microsoft.com/office/drawing/2014/main" id="{00000000-0008-0000-0700-00004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37" name="Object 77" hidden="1">
              <a:extLst>
                <a:ext uri="{63B3BB69-23CF-44E3-9099-C40C66FF867C}">
                  <a14:compatExt spid="_x0000_s15437"/>
                </a:ext>
                <a:ext uri="{FF2B5EF4-FFF2-40B4-BE49-F238E27FC236}">
                  <a16:creationId xmlns:a16="http://schemas.microsoft.com/office/drawing/2014/main" id="{00000000-0008-0000-0700-00004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38" name="Object 78" hidden="1">
              <a:extLst>
                <a:ext uri="{63B3BB69-23CF-44E3-9099-C40C66FF867C}">
                  <a14:compatExt spid="_x0000_s15438"/>
                </a:ext>
                <a:ext uri="{FF2B5EF4-FFF2-40B4-BE49-F238E27FC236}">
                  <a16:creationId xmlns:a16="http://schemas.microsoft.com/office/drawing/2014/main" id="{00000000-0008-0000-0700-00004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39" name="Object 79" hidden="1">
              <a:extLst>
                <a:ext uri="{63B3BB69-23CF-44E3-9099-C40C66FF867C}">
                  <a14:compatExt spid="_x0000_s15439"/>
                </a:ext>
                <a:ext uri="{FF2B5EF4-FFF2-40B4-BE49-F238E27FC236}">
                  <a16:creationId xmlns:a16="http://schemas.microsoft.com/office/drawing/2014/main" id="{00000000-0008-0000-0700-00004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40" name="Object 80" hidden="1">
              <a:extLst>
                <a:ext uri="{63B3BB69-23CF-44E3-9099-C40C66FF867C}">
                  <a14:compatExt spid="_x0000_s15440"/>
                </a:ext>
                <a:ext uri="{FF2B5EF4-FFF2-40B4-BE49-F238E27FC236}">
                  <a16:creationId xmlns:a16="http://schemas.microsoft.com/office/drawing/2014/main" id="{00000000-0008-0000-0700-00005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41" name="Object 81" hidden="1">
              <a:extLst>
                <a:ext uri="{63B3BB69-23CF-44E3-9099-C40C66FF867C}">
                  <a14:compatExt spid="_x0000_s15441"/>
                </a:ext>
                <a:ext uri="{FF2B5EF4-FFF2-40B4-BE49-F238E27FC236}">
                  <a16:creationId xmlns:a16="http://schemas.microsoft.com/office/drawing/2014/main" id="{00000000-0008-0000-0700-00005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42" name="Object 82" hidden="1">
              <a:extLst>
                <a:ext uri="{63B3BB69-23CF-44E3-9099-C40C66FF867C}">
                  <a14:compatExt spid="_x0000_s15442"/>
                </a:ext>
                <a:ext uri="{FF2B5EF4-FFF2-40B4-BE49-F238E27FC236}">
                  <a16:creationId xmlns:a16="http://schemas.microsoft.com/office/drawing/2014/main" id="{00000000-0008-0000-0700-00005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43" name="Object 83" hidden="1">
              <a:extLst>
                <a:ext uri="{63B3BB69-23CF-44E3-9099-C40C66FF867C}">
                  <a14:compatExt spid="_x0000_s15443"/>
                </a:ext>
                <a:ext uri="{FF2B5EF4-FFF2-40B4-BE49-F238E27FC236}">
                  <a16:creationId xmlns:a16="http://schemas.microsoft.com/office/drawing/2014/main" id="{00000000-0008-0000-0700-00005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44" name="Object 84" hidden="1">
              <a:extLst>
                <a:ext uri="{63B3BB69-23CF-44E3-9099-C40C66FF867C}">
                  <a14:compatExt spid="_x0000_s15444"/>
                </a:ext>
                <a:ext uri="{FF2B5EF4-FFF2-40B4-BE49-F238E27FC236}">
                  <a16:creationId xmlns:a16="http://schemas.microsoft.com/office/drawing/2014/main" id="{00000000-0008-0000-0700-00005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45" name="Object 85" hidden="1">
              <a:extLst>
                <a:ext uri="{63B3BB69-23CF-44E3-9099-C40C66FF867C}">
                  <a14:compatExt spid="_x0000_s15445"/>
                </a:ext>
                <a:ext uri="{FF2B5EF4-FFF2-40B4-BE49-F238E27FC236}">
                  <a16:creationId xmlns:a16="http://schemas.microsoft.com/office/drawing/2014/main" id="{00000000-0008-0000-0700-00005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46" name="Object 86" hidden="1">
              <a:extLst>
                <a:ext uri="{63B3BB69-23CF-44E3-9099-C40C66FF867C}">
                  <a14:compatExt spid="_x0000_s15446"/>
                </a:ext>
                <a:ext uri="{FF2B5EF4-FFF2-40B4-BE49-F238E27FC236}">
                  <a16:creationId xmlns:a16="http://schemas.microsoft.com/office/drawing/2014/main" id="{00000000-0008-0000-0700-00005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47" name="Object 87" hidden="1">
              <a:extLst>
                <a:ext uri="{63B3BB69-23CF-44E3-9099-C40C66FF867C}">
                  <a14:compatExt spid="_x0000_s15447"/>
                </a:ext>
                <a:ext uri="{FF2B5EF4-FFF2-40B4-BE49-F238E27FC236}">
                  <a16:creationId xmlns:a16="http://schemas.microsoft.com/office/drawing/2014/main" id="{00000000-0008-0000-0700-00005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48" name="Object 88" hidden="1">
              <a:extLst>
                <a:ext uri="{63B3BB69-23CF-44E3-9099-C40C66FF867C}">
                  <a14:compatExt spid="_x0000_s15448"/>
                </a:ext>
                <a:ext uri="{FF2B5EF4-FFF2-40B4-BE49-F238E27FC236}">
                  <a16:creationId xmlns:a16="http://schemas.microsoft.com/office/drawing/2014/main" id="{00000000-0008-0000-0700-00005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49" name="Object 89" hidden="1">
              <a:extLst>
                <a:ext uri="{63B3BB69-23CF-44E3-9099-C40C66FF867C}">
                  <a14:compatExt spid="_x0000_s15449"/>
                </a:ext>
                <a:ext uri="{FF2B5EF4-FFF2-40B4-BE49-F238E27FC236}">
                  <a16:creationId xmlns:a16="http://schemas.microsoft.com/office/drawing/2014/main" id="{00000000-0008-0000-0700-00005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0" name="Object 90" hidden="1">
              <a:extLst>
                <a:ext uri="{63B3BB69-23CF-44E3-9099-C40C66FF867C}">
                  <a14:compatExt spid="_x0000_s15450"/>
                </a:ext>
                <a:ext uri="{FF2B5EF4-FFF2-40B4-BE49-F238E27FC236}">
                  <a16:creationId xmlns:a16="http://schemas.microsoft.com/office/drawing/2014/main" id="{00000000-0008-0000-0700-00005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1" name="Object 91" hidden="1">
              <a:extLst>
                <a:ext uri="{63B3BB69-23CF-44E3-9099-C40C66FF867C}">
                  <a14:compatExt spid="_x0000_s15451"/>
                </a:ext>
                <a:ext uri="{FF2B5EF4-FFF2-40B4-BE49-F238E27FC236}">
                  <a16:creationId xmlns:a16="http://schemas.microsoft.com/office/drawing/2014/main" id="{00000000-0008-0000-0700-00005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2" name="Object 92" hidden="1">
              <a:extLst>
                <a:ext uri="{63B3BB69-23CF-44E3-9099-C40C66FF867C}">
                  <a14:compatExt spid="_x0000_s15452"/>
                </a:ext>
                <a:ext uri="{FF2B5EF4-FFF2-40B4-BE49-F238E27FC236}">
                  <a16:creationId xmlns:a16="http://schemas.microsoft.com/office/drawing/2014/main" id="{00000000-0008-0000-0700-00005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3" name="Object 93" hidden="1">
              <a:extLst>
                <a:ext uri="{63B3BB69-23CF-44E3-9099-C40C66FF867C}">
                  <a14:compatExt spid="_x0000_s15453"/>
                </a:ext>
                <a:ext uri="{FF2B5EF4-FFF2-40B4-BE49-F238E27FC236}">
                  <a16:creationId xmlns:a16="http://schemas.microsoft.com/office/drawing/2014/main" id="{00000000-0008-0000-0700-00005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4" name="Object 94" hidden="1">
              <a:extLst>
                <a:ext uri="{63B3BB69-23CF-44E3-9099-C40C66FF867C}">
                  <a14:compatExt spid="_x0000_s15454"/>
                </a:ext>
                <a:ext uri="{FF2B5EF4-FFF2-40B4-BE49-F238E27FC236}">
                  <a16:creationId xmlns:a16="http://schemas.microsoft.com/office/drawing/2014/main" id="{00000000-0008-0000-0700-00005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5" name="Object 95" hidden="1">
              <a:extLst>
                <a:ext uri="{63B3BB69-23CF-44E3-9099-C40C66FF867C}">
                  <a14:compatExt spid="_x0000_s15455"/>
                </a:ext>
                <a:ext uri="{FF2B5EF4-FFF2-40B4-BE49-F238E27FC236}">
                  <a16:creationId xmlns:a16="http://schemas.microsoft.com/office/drawing/2014/main" id="{00000000-0008-0000-0700-00005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6" name="Object 96" hidden="1">
              <a:extLst>
                <a:ext uri="{63B3BB69-23CF-44E3-9099-C40C66FF867C}">
                  <a14:compatExt spid="_x0000_s15456"/>
                </a:ext>
                <a:ext uri="{FF2B5EF4-FFF2-40B4-BE49-F238E27FC236}">
                  <a16:creationId xmlns:a16="http://schemas.microsoft.com/office/drawing/2014/main" id="{00000000-0008-0000-0700-00006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57" name="Object 97" hidden="1">
              <a:extLst>
                <a:ext uri="{63B3BB69-23CF-44E3-9099-C40C66FF867C}">
                  <a14:compatExt spid="_x0000_s15457"/>
                </a:ext>
                <a:ext uri="{FF2B5EF4-FFF2-40B4-BE49-F238E27FC236}">
                  <a16:creationId xmlns:a16="http://schemas.microsoft.com/office/drawing/2014/main" id="{00000000-0008-0000-0700-00006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58" name="Object 98" hidden="1">
              <a:extLst>
                <a:ext uri="{63B3BB69-23CF-44E3-9099-C40C66FF867C}">
                  <a14:compatExt spid="_x0000_s15458"/>
                </a:ext>
                <a:ext uri="{FF2B5EF4-FFF2-40B4-BE49-F238E27FC236}">
                  <a16:creationId xmlns:a16="http://schemas.microsoft.com/office/drawing/2014/main" id="{00000000-0008-0000-0700-00006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59" name="Object 99" hidden="1">
              <a:extLst>
                <a:ext uri="{63B3BB69-23CF-44E3-9099-C40C66FF867C}">
                  <a14:compatExt spid="_x0000_s15459"/>
                </a:ext>
                <a:ext uri="{FF2B5EF4-FFF2-40B4-BE49-F238E27FC236}">
                  <a16:creationId xmlns:a16="http://schemas.microsoft.com/office/drawing/2014/main" id="{00000000-0008-0000-0700-00006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60" name="Object 100" hidden="1">
              <a:extLst>
                <a:ext uri="{63B3BB69-23CF-44E3-9099-C40C66FF867C}">
                  <a14:compatExt spid="_x0000_s15460"/>
                </a:ext>
                <a:ext uri="{FF2B5EF4-FFF2-40B4-BE49-F238E27FC236}">
                  <a16:creationId xmlns:a16="http://schemas.microsoft.com/office/drawing/2014/main" id="{00000000-0008-0000-0700-00006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61" name="Object 101" hidden="1">
              <a:extLst>
                <a:ext uri="{63B3BB69-23CF-44E3-9099-C40C66FF867C}">
                  <a14:compatExt spid="_x0000_s15461"/>
                </a:ext>
                <a:ext uri="{FF2B5EF4-FFF2-40B4-BE49-F238E27FC236}">
                  <a16:creationId xmlns:a16="http://schemas.microsoft.com/office/drawing/2014/main" id="{00000000-0008-0000-0700-00006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62" name="Object 102" hidden="1">
              <a:extLst>
                <a:ext uri="{63B3BB69-23CF-44E3-9099-C40C66FF867C}">
                  <a14:compatExt spid="_x0000_s15462"/>
                </a:ext>
                <a:ext uri="{FF2B5EF4-FFF2-40B4-BE49-F238E27FC236}">
                  <a16:creationId xmlns:a16="http://schemas.microsoft.com/office/drawing/2014/main" id="{00000000-0008-0000-0700-00006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63" name="Object 103" hidden="1">
              <a:extLst>
                <a:ext uri="{63B3BB69-23CF-44E3-9099-C40C66FF867C}">
                  <a14:compatExt spid="_x0000_s15463"/>
                </a:ext>
                <a:ext uri="{FF2B5EF4-FFF2-40B4-BE49-F238E27FC236}">
                  <a16:creationId xmlns:a16="http://schemas.microsoft.com/office/drawing/2014/main" id="{00000000-0008-0000-0700-00006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64" name="Object 104" hidden="1">
              <a:extLst>
                <a:ext uri="{63B3BB69-23CF-44E3-9099-C40C66FF867C}">
                  <a14:compatExt spid="_x0000_s15464"/>
                </a:ext>
                <a:ext uri="{FF2B5EF4-FFF2-40B4-BE49-F238E27FC236}">
                  <a16:creationId xmlns:a16="http://schemas.microsoft.com/office/drawing/2014/main" id="{00000000-0008-0000-0700-00006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65" name="Object 105" hidden="1">
              <a:extLst>
                <a:ext uri="{63B3BB69-23CF-44E3-9099-C40C66FF867C}">
                  <a14:compatExt spid="_x0000_s15465"/>
                </a:ext>
                <a:ext uri="{FF2B5EF4-FFF2-40B4-BE49-F238E27FC236}">
                  <a16:creationId xmlns:a16="http://schemas.microsoft.com/office/drawing/2014/main" id="{00000000-0008-0000-0700-00006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66" name="Object 106" hidden="1">
              <a:extLst>
                <a:ext uri="{63B3BB69-23CF-44E3-9099-C40C66FF867C}">
                  <a14:compatExt spid="_x0000_s15466"/>
                </a:ext>
                <a:ext uri="{FF2B5EF4-FFF2-40B4-BE49-F238E27FC236}">
                  <a16:creationId xmlns:a16="http://schemas.microsoft.com/office/drawing/2014/main" id="{00000000-0008-0000-0700-00006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67" name="Object 107" hidden="1">
              <a:extLst>
                <a:ext uri="{63B3BB69-23CF-44E3-9099-C40C66FF867C}">
                  <a14:compatExt spid="_x0000_s15467"/>
                </a:ext>
                <a:ext uri="{FF2B5EF4-FFF2-40B4-BE49-F238E27FC236}">
                  <a16:creationId xmlns:a16="http://schemas.microsoft.com/office/drawing/2014/main" id="{00000000-0008-0000-0700-00006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68" name="Object 108" hidden="1">
              <a:extLst>
                <a:ext uri="{63B3BB69-23CF-44E3-9099-C40C66FF867C}">
                  <a14:compatExt spid="_x0000_s15468"/>
                </a:ext>
                <a:ext uri="{FF2B5EF4-FFF2-40B4-BE49-F238E27FC236}">
                  <a16:creationId xmlns:a16="http://schemas.microsoft.com/office/drawing/2014/main" id="{00000000-0008-0000-0700-00006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69" name="Object 109" hidden="1">
              <a:extLst>
                <a:ext uri="{63B3BB69-23CF-44E3-9099-C40C66FF867C}">
                  <a14:compatExt spid="_x0000_s15469"/>
                </a:ext>
                <a:ext uri="{FF2B5EF4-FFF2-40B4-BE49-F238E27FC236}">
                  <a16:creationId xmlns:a16="http://schemas.microsoft.com/office/drawing/2014/main" id="{00000000-0008-0000-0700-00006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70" name="Object 110" hidden="1">
              <a:extLst>
                <a:ext uri="{63B3BB69-23CF-44E3-9099-C40C66FF867C}">
                  <a14:compatExt spid="_x0000_s15470"/>
                </a:ext>
                <a:ext uri="{FF2B5EF4-FFF2-40B4-BE49-F238E27FC236}">
                  <a16:creationId xmlns:a16="http://schemas.microsoft.com/office/drawing/2014/main" id="{00000000-0008-0000-0700-00006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71" name="Object 111" hidden="1">
              <a:extLst>
                <a:ext uri="{63B3BB69-23CF-44E3-9099-C40C66FF867C}">
                  <a14:compatExt spid="_x0000_s15471"/>
                </a:ext>
                <a:ext uri="{FF2B5EF4-FFF2-40B4-BE49-F238E27FC236}">
                  <a16:creationId xmlns:a16="http://schemas.microsoft.com/office/drawing/2014/main" id="{00000000-0008-0000-0700-00006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72" name="Object 112" hidden="1">
              <a:extLst>
                <a:ext uri="{63B3BB69-23CF-44E3-9099-C40C66FF867C}">
                  <a14:compatExt spid="_x0000_s15472"/>
                </a:ext>
                <a:ext uri="{FF2B5EF4-FFF2-40B4-BE49-F238E27FC236}">
                  <a16:creationId xmlns:a16="http://schemas.microsoft.com/office/drawing/2014/main" id="{00000000-0008-0000-0700-00007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73" name="Object 113" hidden="1">
              <a:extLst>
                <a:ext uri="{63B3BB69-23CF-44E3-9099-C40C66FF867C}">
                  <a14:compatExt spid="_x0000_s15473"/>
                </a:ext>
                <a:ext uri="{FF2B5EF4-FFF2-40B4-BE49-F238E27FC236}">
                  <a16:creationId xmlns:a16="http://schemas.microsoft.com/office/drawing/2014/main" id="{00000000-0008-0000-0700-00007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74" name="Object 114" hidden="1">
              <a:extLst>
                <a:ext uri="{63B3BB69-23CF-44E3-9099-C40C66FF867C}">
                  <a14:compatExt spid="_x0000_s15474"/>
                </a:ext>
                <a:ext uri="{FF2B5EF4-FFF2-40B4-BE49-F238E27FC236}">
                  <a16:creationId xmlns:a16="http://schemas.microsoft.com/office/drawing/2014/main" id="{00000000-0008-0000-0700-00007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75" name="Object 115" hidden="1">
              <a:extLst>
                <a:ext uri="{63B3BB69-23CF-44E3-9099-C40C66FF867C}">
                  <a14:compatExt spid="_x0000_s15475"/>
                </a:ext>
                <a:ext uri="{FF2B5EF4-FFF2-40B4-BE49-F238E27FC236}">
                  <a16:creationId xmlns:a16="http://schemas.microsoft.com/office/drawing/2014/main" id="{00000000-0008-0000-0700-00007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76" name="Object 116" hidden="1">
              <a:extLst>
                <a:ext uri="{63B3BB69-23CF-44E3-9099-C40C66FF867C}">
                  <a14:compatExt spid="_x0000_s15476"/>
                </a:ext>
                <a:ext uri="{FF2B5EF4-FFF2-40B4-BE49-F238E27FC236}">
                  <a16:creationId xmlns:a16="http://schemas.microsoft.com/office/drawing/2014/main" id="{00000000-0008-0000-0700-00007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77" name="Object 117" hidden="1">
              <a:extLst>
                <a:ext uri="{63B3BB69-23CF-44E3-9099-C40C66FF867C}">
                  <a14:compatExt spid="_x0000_s15477"/>
                </a:ext>
                <a:ext uri="{FF2B5EF4-FFF2-40B4-BE49-F238E27FC236}">
                  <a16:creationId xmlns:a16="http://schemas.microsoft.com/office/drawing/2014/main" id="{00000000-0008-0000-0700-00007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78" name="Object 118" hidden="1">
              <a:extLst>
                <a:ext uri="{63B3BB69-23CF-44E3-9099-C40C66FF867C}">
                  <a14:compatExt spid="_x0000_s15478"/>
                </a:ext>
                <a:ext uri="{FF2B5EF4-FFF2-40B4-BE49-F238E27FC236}">
                  <a16:creationId xmlns:a16="http://schemas.microsoft.com/office/drawing/2014/main" id="{00000000-0008-0000-0700-00007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79" name="Object 119" hidden="1">
              <a:extLst>
                <a:ext uri="{63B3BB69-23CF-44E3-9099-C40C66FF867C}">
                  <a14:compatExt spid="_x0000_s15479"/>
                </a:ext>
                <a:ext uri="{FF2B5EF4-FFF2-40B4-BE49-F238E27FC236}">
                  <a16:creationId xmlns:a16="http://schemas.microsoft.com/office/drawing/2014/main" id="{00000000-0008-0000-0700-00007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80" name="Object 120" hidden="1">
              <a:extLst>
                <a:ext uri="{63B3BB69-23CF-44E3-9099-C40C66FF867C}">
                  <a14:compatExt spid="_x0000_s15480"/>
                </a:ext>
                <a:ext uri="{FF2B5EF4-FFF2-40B4-BE49-F238E27FC236}">
                  <a16:creationId xmlns:a16="http://schemas.microsoft.com/office/drawing/2014/main" id="{00000000-0008-0000-0700-00007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81" name="Object 121" hidden="1">
              <a:extLst>
                <a:ext uri="{63B3BB69-23CF-44E3-9099-C40C66FF867C}">
                  <a14:compatExt spid="_x0000_s15481"/>
                </a:ext>
                <a:ext uri="{FF2B5EF4-FFF2-40B4-BE49-F238E27FC236}">
                  <a16:creationId xmlns:a16="http://schemas.microsoft.com/office/drawing/2014/main" id="{00000000-0008-0000-0700-00007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82" name="Object 122" hidden="1">
              <a:extLst>
                <a:ext uri="{63B3BB69-23CF-44E3-9099-C40C66FF867C}">
                  <a14:compatExt spid="_x0000_s15482"/>
                </a:ext>
                <a:ext uri="{FF2B5EF4-FFF2-40B4-BE49-F238E27FC236}">
                  <a16:creationId xmlns:a16="http://schemas.microsoft.com/office/drawing/2014/main" id="{00000000-0008-0000-0700-00007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83" name="Object 123" hidden="1">
              <a:extLst>
                <a:ext uri="{63B3BB69-23CF-44E3-9099-C40C66FF867C}">
                  <a14:compatExt spid="_x0000_s15483"/>
                </a:ext>
                <a:ext uri="{FF2B5EF4-FFF2-40B4-BE49-F238E27FC236}">
                  <a16:creationId xmlns:a16="http://schemas.microsoft.com/office/drawing/2014/main" id="{00000000-0008-0000-0700-00007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84" name="Object 124" hidden="1">
              <a:extLst>
                <a:ext uri="{63B3BB69-23CF-44E3-9099-C40C66FF867C}">
                  <a14:compatExt spid="_x0000_s15484"/>
                </a:ext>
                <a:ext uri="{FF2B5EF4-FFF2-40B4-BE49-F238E27FC236}">
                  <a16:creationId xmlns:a16="http://schemas.microsoft.com/office/drawing/2014/main" id="{00000000-0008-0000-0700-00007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85" name="Object 125" hidden="1">
              <a:extLst>
                <a:ext uri="{63B3BB69-23CF-44E3-9099-C40C66FF867C}">
                  <a14:compatExt spid="_x0000_s15485"/>
                </a:ext>
                <a:ext uri="{FF2B5EF4-FFF2-40B4-BE49-F238E27FC236}">
                  <a16:creationId xmlns:a16="http://schemas.microsoft.com/office/drawing/2014/main" id="{00000000-0008-0000-0700-00007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86" name="Object 126" hidden="1">
              <a:extLst>
                <a:ext uri="{63B3BB69-23CF-44E3-9099-C40C66FF867C}">
                  <a14:compatExt spid="_x0000_s15486"/>
                </a:ext>
                <a:ext uri="{FF2B5EF4-FFF2-40B4-BE49-F238E27FC236}">
                  <a16:creationId xmlns:a16="http://schemas.microsoft.com/office/drawing/2014/main" id="{00000000-0008-0000-0700-00007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87" name="Object 127" hidden="1">
              <a:extLst>
                <a:ext uri="{63B3BB69-23CF-44E3-9099-C40C66FF867C}">
                  <a14:compatExt spid="_x0000_s15487"/>
                </a:ext>
                <a:ext uri="{FF2B5EF4-FFF2-40B4-BE49-F238E27FC236}">
                  <a16:creationId xmlns:a16="http://schemas.microsoft.com/office/drawing/2014/main" id="{00000000-0008-0000-0700-00007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88" name="Object 128" hidden="1">
              <a:extLst>
                <a:ext uri="{63B3BB69-23CF-44E3-9099-C40C66FF867C}">
                  <a14:compatExt spid="_x0000_s15488"/>
                </a:ext>
                <a:ext uri="{FF2B5EF4-FFF2-40B4-BE49-F238E27FC236}">
                  <a16:creationId xmlns:a16="http://schemas.microsoft.com/office/drawing/2014/main" id="{00000000-0008-0000-0700-00008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89" name="Object 129" hidden="1">
              <a:extLst>
                <a:ext uri="{63B3BB69-23CF-44E3-9099-C40C66FF867C}">
                  <a14:compatExt spid="_x0000_s15489"/>
                </a:ext>
                <a:ext uri="{FF2B5EF4-FFF2-40B4-BE49-F238E27FC236}">
                  <a16:creationId xmlns:a16="http://schemas.microsoft.com/office/drawing/2014/main" id="{00000000-0008-0000-0700-00008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90" name="Object 130" hidden="1">
              <a:extLst>
                <a:ext uri="{63B3BB69-23CF-44E3-9099-C40C66FF867C}">
                  <a14:compatExt spid="_x0000_s15490"/>
                </a:ext>
                <a:ext uri="{FF2B5EF4-FFF2-40B4-BE49-F238E27FC236}">
                  <a16:creationId xmlns:a16="http://schemas.microsoft.com/office/drawing/2014/main" id="{00000000-0008-0000-0700-00008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491" name="Object 131" hidden="1">
              <a:extLst>
                <a:ext uri="{63B3BB69-23CF-44E3-9099-C40C66FF867C}">
                  <a14:compatExt spid="_x0000_s15491"/>
                </a:ext>
                <a:ext uri="{FF2B5EF4-FFF2-40B4-BE49-F238E27FC236}">
                  <a16:creationId xmlns:a16="http://schemas.microsoft.com/office/drawing/2014/main" id="{00000000-0008-0000-0700-00008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492" name="Object 132" hidden="1">
              <a:extLst>
                <a:ext uri="{63B3BB69-23CF-44E3-9099-C40C66FF867C}">
                  <a14:compatExt spid="_x0000_s15492"/>
                </a:ext>
                <a:ext uri="{FF2B5EF4-FFF2-40B4-BE49-F238E27FC236}">
                  <a16:creationId xmlns:a16="http://schemas.microsoft.com/office/drawing/2014/main" id="{00000000-0008-0000-0700-00008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laragon\www\traxel\public\excel\Centrifuge-CENTRI-14-09-2023.xlsx" TargetMode="External"/><Relationship Id="rId1" Type="http://schemas.openxmlformats.org/officeDocument/2006/relationships/externalLinkPath" Target="Centrifuge-CENTRI-14-09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wayat Revisi"/>
      <sheetName val="LK"/>
      <sheetName val="ID"/>
      <sheetName val="UB RPM"/>
      <sheetName val="UB Timer"/>
      <sheetName val="DB Tachometer"/>
      <sheetName val="PENYELIA"/>
      <sheetName val="LH"/>
      <sheetName val="SERTIFIKAT"/>
      <sheetName val="DB Stopwatch"/>
      <sheetName val="DB ESA"/>
      <sheetName val="Laporan"/>
      <sheetName val="DB Thermohygro"/>
    </sheetNames>
    <sheetDataSet>
      <sheetData sheetId="0"/>
      <sheetData sheetId="1"/>
      <sheetData sheetId="2">
        <row r="1">
          <cell r="A1" t="str">
            <v>Input Data Kalibrasi Centrifuge</v>
          </cell>
        </row>
        <row r="2">
          <cell r="I2" t="str">
            <v>1 / VIII - 22 / E - 008.27 DL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5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1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421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63" Type="http://schemas.openxmlformats.org/officeDocument/2006/relationships/oleObject" Target="../embeddings/oleObject367.bin"/><Relationship Id="rId84" Type="http://schemas.openxmlformats.org/officeDocument/2006/relationships/oleObject" Target="../embeddings/oleObject388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123" Type="http://schemas.openxmlformats.org/officeDocument/2006/relationships/oleObject" Target="../embeddings/oleObject427.bin"/><Relationship Id="rId128" Type="http://schemas.openxmlformats.org/officeDocument/2006/relationships/oleObject" Target="../embeddings/oleObject432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113" Type="http://schemas.openxmlformats.org/officeDocument/2006/relationships/oleObject" Target="../embeddings/oleObject417.bin"/><Relationship Id="rId118" Type="http://schemas.openxmlformats.org/officeDocument/2006/relationships/oleObject" Target="../embeddings/oleObject422.bin"/><Relationship Id="rId134" Type="http://schemas.openxmlformats.org/officeDocument/2006/relationships/oleObject" Target="../embeddings/oleObject438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59" Type="http://schemas.openxmlformats.org/officeDocument/2006/relationships/oleObject" Target="../embeddings/oleObject363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124" Type="http://schemas.openxmlformats.org/officeDocument/2006/relationships/oleObject" Target="../embeddings/oleObject428.bin"/><Relationship Id="rId129" Type="http://schemas.openxmlformats.org/officeDocument/2006/relationships/oleObject" Target="../embeddings/oleObject433.bin"/><Relationship Id="rId54" Type="http://schemas.openxmlformats.org/officeDocument/2006/relationships/oleObject" Target="../embeddings/oleObject358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10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49" Type="http://schemas.openxmlformats.org/officeDocument/2006/relationships/oleObject" Target="../embeddings/oleObject353.bin"/><Relationship Id="rId114" Type="http://schemas.openxmlformats.org/officeDocument/2006/relationships/oleObject" Target="../embeddings/oleObject418.bin"/><Relationship Id="rId119" Type="http://schemas.openxmlformats.org/officeDocument/2006/relationships/oleObject" Target="../embeddings/oleObject423.bin"/><Relationship Id="rId44" Type="http://schemas.openxmlformats.org/officeDocument/2006/relationships/oleObject" Target="../embeddings/oleObject348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130" Type="http://schemas.openxmlformats.org/officeDocument/2006/relationships/oleObject" Target="../embeddings/oleObject434.bin"/><Relationship Id="rId135" Type="http://schemas.openxmlformats.org/officeDocument/2006/relationships/oleObject" Target="../embeddings/oleObject439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120" Type="http://schemas.openxmlformats.org/officeDocument/2006/relationships/oleObject" Target="../embeddings/oleObject424.bin"/><Relationship Id="rId125" Type="http://schemas.openxmlformats.org/officeDocument/2006/relationships/oleObject" Target="../embeddings/oleObject429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110" Type="http://schemas.openxmlformats.org/officeDocument/2006/relationships/oleObject" Target="../embeddings/oleObject414.bin"/><Relationship Id="rId115" Type="http://schemas.openxmlformats.org/officeDocument/2006/relationships/oleObject" Target="../embeddings/oleObject419.bin"/><Relationship Id="rId131" Type="http://schemas.openxmlformats.org/officeDocument/2006/relationships/oleObject" Target="../embeddings/oleObject435.bin"/><Relationship Id="rId136" Type="http://schemas.openxmlformats.org/officeDocument/2006/relationships/oleObject" Target="../embeddings/oleObject440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Relationship Id="rId14" Type="http://schemas.openxmlformats.org/officeDocument/2006/relationships/oleObject" Target="../embeddings/oleObject318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56" Type="http://schemas.openxmlformats.org/officeDocument/2006/relationships/oleObject" Target="../embeddings/oleObject360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126" Type="http://schemas.openxmlformats.org/officeDocument/2006/relationships/oleObject" Target="../embeddings/oleObject430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121" Type="http://schemas.openxmlformats.org/officeDocument/2006/relationships/oleObject" Target="../embeddings/oleObject425.bin"/><Relationship Id="rId3" Type="http://schemas.openxmlformats.org/officeDocument/2006/relationships/vmlDrawing" Target="../drawings/vmlDrawing2.vml"/><Relationship Id="rId25" Type="http://schemas.openxmlformats.org/officeDocument/2006/relationships/oleObject" Target="../embeddings/oleObject329.bin"/><Relationship Id="rId46" Type="http://schemas.openxmlformats.org/officeDocument/2006/relationships/oleObject" Target="../embeddings/oleObject350.bin"/><Relationship Id="rId67" Type="http://schemas.openxmlformats.org/officeDocument/2006/relationships/oleObject" Target="../embeddings/oleObject371.bin"/><Relationship Id="rId116" Type="http://schemas.openxmlformats.org/officeDocument/2006/relationships/oleObject" Target="../embeddings/oleObject420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62" Type="http://schemas.openxmlformats.org/officeDocument/2006/relationships/oleObject" Target="../embeddings/oleObject366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Relationship Id="rId111" Type="http://schemas.openxmlformats.org/officeDocument/2006/relationships/oleObject" Target="../embeddings/oleObject415.bin"/><Relationship Id="rId132" Type="http://schemas.openxmlformats.org/officeDocument/2006/relationships/oleObject" Target="../embeddings/oleObject436.bin"/><Relationship Id="rId15" Type="http://schemas.openxmlformats.org/officeDocument/2006/relationships/oleObject" Target="../embeddings/oleObject319.bin"/><Relationship Id="rId36" Type="http://schemas.openxmlformats.org/officeDocument/2006/relationships/oleObject" Target="../embeddings/oleObject340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27" Type="http://schemas.openxmlformats.org/officeDocument/2006/relationships/oleObject" Target="../embeddings/oleObject431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52" Type="http://schemas.openxmlformats.org/officeDocument/2006/relationships/oleObject" Target="../embeddings/oleObject356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122" Type="http://schemas.openxmlformats.org/officeDocument/2006/relationships/oleObject" Target="../embeddings/oleObject426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26" Type="http://schemas.openxmlformats.org/officeDocument/2006/relationships/oleObject" Target="../embeddings/oleObject330.bin"/><Relationship Id="rId47" Type="http://schemas.openxmlformats.org/officeDocument/2006/relationships/oleObject" Target="../embeddings/oleObject351.bin"/><Relationship Id="rId68" Type="http://schemas.openxmlformats.org/officeDocument/2006/relationships/oleObject" Target="../embeddings/oleObject372.bin"/><Relationship Id="rId89" Type="http://schemas.openxmlformats.org/officeDocument/2006/relationships/oleObject" Target="../embeddings/oleObject393.bin"/><Relationship Id="rId112" Type="http://schemas.openxmlformats.org/officeDocument/2006/relationships/oleObject" Target="../embeddings/oleObject416.bin"/><Relationship Id="rId133" Type="http://schemas.openxmlformats.org/officeDocument/2006/relationships/oleObject" Target="../embeddings/oleObject437.bin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553.bin"/><Relationship Id="rId21" Type="http://schemas.openxmlformats.org/officeDocument/2006/relationships/oleObject" Target="../embeddings/oleObject457.bin"/><Relationship Id="rId42" Type="http://schemas.openxmlformats.org/officeDocument/2006/relationships/oleObject" Target="../embeddings/oleObject478.bin"/><Relationship Id="rId63" Type="http://schemas.openxmlformats.org/officeDocument/2006/relationships/oleObject" Target="../embeddings/oleObject499.bin"/><Relationship Id="rId84" Type="http://schemas.openxmlformats.org/officeDocument/2006/relationships/oleObject" Target="../embeddings/oleObject520.bin"/><Relationship Id="rId16" Type="http://schemas.openxmlformats.org/officeDocument/2006/relationships/oleObject" Target="../embeddings/oleObject452.bin"/><Relationship Id="rId107" Type="http://schemas.openxmlformats.org/officeDocument/2006/relationships/oleObject" Target="../embeddings/oleObject543.bin"/><Relationship Id="rId11" Type="http://schemas.openxmlformats.org/officeDocument/2006/relationships/oleObject" Target="../embeddings/oleObject447.bin"/><Relationship Id="rId32" Type="http://schemas.openxmlformats.org/officeDocument/2006/relationships/oleObject" Target="../embeddings/oleObject468.bin"/><Relationship Id="rId37" Type="http://schemas.openxmlformats.org/officeDocument/2006/relationships/oleObject" Target="../embeddings/oleObject473.bin"/><Relationship Id="rId53" Type="http://schemas.openxmlformats.org/officeDocument/2006/relationships/oleObject" Target="../embeddings/oleObject489.bin"/><Relationship Id="rId58" Type="http://schemas.openxmlformats.org/officeDocument/2006/relationships/oleObject" Target="../embeddings/oleObject494.bin"/><Relationship Id="rId74" Type="http://schemas.openxmlformats.org/officeDocument/2006/relationships/oleObject" Target="../embeddings/oleObject510.bin"/><Relationship Id="rId79" Type="http://schemas.openxmlformats.org/officeDocument/2006/relationships/oleObject" Target="../embeddings/oleObject515.bin"/><Relationship Id="rId102" Type="http://schemas.openxmlformats.org/officeDocument/2006/relationships/oleObject" Target="../embeddings/oleObject538.bin"/><Relationship Id="rId123" Type="http://schemas.openxmlformats.org/officeDocument/2006/relationships/oleObject" Target="../embeddings/oleObject559.bin"/><Relationship Id="rId128" Type="http://schemas.openxmlformats.org/officeDocument/2006/relationships/oleObject" Target="../embeddings/oleObject564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526.bin"/><Relationship Id="rId95" Type="http://schemas.openxmlformats.org/officeDocument/2006/relationships/oleObject" Target="../embeddings/oleObject531.bin"/><Relationship Id="rId22" Type="http://schemas.openxmlformats.org/officeDocument/2006/relationships/oleObject" Target="../embeddings/oleObject458.bin"/><Relationship Id="rId27" Type="http://schemas.openxmlformats.org/officeDocument/2006/relationships/oleObject" Target="../embeddings/oleObject463.bin"/><Relationship Id="rId43" Type="http://schemas.openxmlformats.org/officeDocument/2006/relationships/oleObject" Target="../embeddings/oleObject479.bin"/><Relationship Id="rId48" Type="http://schemas.openxmlformats.org/officeDocument/2006/relationships/oleObject" Target="../embeddings/oleObject484.bin"/><Relationship Id="rId64" Type="http://schemas.openxmlformats.org/officeDocument/2006/relationships/oleObject" Target="../embeddings/oleObject500.bin"/><Relationship Id="rId69" Type="http://schemas.openxmlformats.org/officeDocument/2006/relationships/oleObject" Target="../embeddings/oleObject505.bin"/><Relationship Id="rId113" Type="http://schemas.openxmlformats.org/officeDocument/2006/relationships/oleObject" Target="../embeddings/oleObject549.bin"/><Relationship Id="rId118" Type="http://schemas.openxmlformats.org/officeDocument/2006/relationships/oleObject" Target="../embeddings/oleObject554.bin"/><Relationship Id="rId134" Type="http://schemas.openxmlformats.org/officeDocument/2006/relationships/oleObject" Target="../embeddings/oleObject570.bin"/><Relationship Id="rId80" Type="http://schemas.openxmlformats.org/officeDocument/2006/relationships/oleObject" Target="../embeddings/oleObject516.bin"/><Relationship Id="rId85" Type="http://schemas.openxmlformats.org/officeDocument/2006/relationships/oleObject" Target="../embeddings/oleObject521.bin"/><Relationship Id="rId12" Type="http://schemas.openxmlformats.org/officeDocument/2006/relationships/oleObject" Target="../embeddings/oleObject448.bin"/><Relationship Id="rId17" Type="http://schemas.openxmlformats.org/officeDocument/2006/relationships/oleObject" Target="../embeddings/oleObject453.bin"/><Relationship Id="rId33" Type="http://schemas.openxmlformats.org/officeDocument/2006/relationships/oleObject" Target="../embeddings/oleObject469.bin"/><Relationship Id="rId38" Type="http://schemas.openxmlformats.org/officeDocument/2006/relationships/oleObject" Target="../embeddings/oleObject474.bin"/><Relationship Id="rId59" Type="http://schemas.openxmlformats.org/officeDocument/2006/relationships/oleObject" Target="../embeddings/oleObject495.bin"/><Relationship Id="rId103" Type="http://schemas.openxmlformats.org/officeDocument/2006/relationships/oleObject" Target="../embeddings/oleObject539.bin"/><Relationship Id="rId108" Type="http://schemas.openxmlformats.org/officeDocument/2006/relationships/oleObject" Target="../embeddings/oleObject544.bin"/><Relationship Id="rId124" Type="http://schemas.openxmlformats.org/officeDocument/2006/relationships/oleObject" Target="../embeddings/oleObject560.bin"/><Relationship Id="rId129" Type="http://schemas.openxmlformats.org/officeDocument/2006/relationships/oleObject" Target="../embeddings/oleObject565.bin"/><Relationship Id="rId54" Type="http://schemas.openxmlformats.org/officeDocument/2006/relationships/oleObject" Target="../embeddings/oleObject490.bin"/><Relationship Id="rId70" Type="http://schemas.openxmlformats.org/officeDocument/2006/relationships/oleObject" Target="../embeddings/oleObject506.bin"/><Relationship Id="rId75" Type="http://schemas.openxmlformats.org/officeDocument/2006/relationships/oleObject" Target="../embeddings/oleObject511.bin"/><Relationship Id="rId91" Type="http://schemas.openxmlformats.org/officeDocument/2006/relationships/oleObject" Target="../embeddings/oleObject527.bin"/><Relationship Id="rId96" Type="http://schemas.openxmlformats.org/officeDocument/2006/relationships/oleObject" Target="../embeddings/oleObject532.bin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442.bin"/><Relationship Id="rId23" Type="http://schemas.openxmlformats.org/officeDocument/2006/relationships/oleObject" Target="../embeddings/oleObject459.bin"/><Relationship Id="rId28" Type="http://schemas.openxmlformats.org/officeDocument/2006/relationships/oleObject" Target="../embeddings/oleObject464.bin"/><Relationship Id="rId49" Type="http://schemas.openxmlformats.org/officeDocument/2006/relationships/oleObject" Target="../embeddings/oleObject485.bin"/><Relationship Id="rId114" Type="http://schemas.openxmlformats.org/officeDocument/2006/relationships/oleObject" Target="../embeddings/oleObject550.bin"/><Relationship Id="rId119" Type="http://schemas.openxmlformats.org/officeDocument/2006/relationships/oleObject" Target="../embeddings/oleObject555.bin"/><Relationship Id="rId44" Type="http://schemas.openxmlformats.org/officeDocument/2006/relationships/oleObject" Target="../embeddings/oleObject480.bin"/><Relationship Id="rId60" Type="http://schemas.openxmlformats.org/officeDocument/2006/relationships/oleObject" Target="../embeddings/oleObject496.bin"/><Relationship Id="rId65" Type="http://schemas.openxmlformats.org/officeDocument/2006/relationships/oleObject" Target="../embeddings/oleObject501.bin"/><Relationship Id="rId81" Type="http://schemas.openxmlformats.org/officeDocument/2006/relationships/oleObject" Target="../embeddings/oleObject517.bin"/><Relationship Id="rId86" Type="http://schemas.openxmlformats.org/officeDocument/2006/relationships/oleObject" Target="../embeddings/oleObject522.bin"/><Relationship Id="rId130" Type="http://schemas.openxmlformats.org/officeDocument/2006/relationships/oleObject" Target="../embeddings/oleObject566.bin"/><Relationship Id="rId135" Type="http://schemas.openxmlformats.org/officeDocument/2006/relationships/oleObject" Target="../embeddings/oleObject571.bin"/><Relationship Id="rId13" Type="http://schemas.openxmlformats.org/officeDocument/2006/relationships/oleObject" Target="../embeddings/oleObject449.bin"/><Relationship Id="rId18" Type="http://schemas.openxmlformats.org/officeDocument/2006/relationships/oleObject" Target="../embeddings/oleObject454.bin"/><Relationship Id="rId39" Type="http://schemas.openxmlformats.org/officeDocument/2006/relationships/oleObject" Target="../embeddings/oleObject475.bin"/><Relationship Id="rId109" Type="http://schemas.openxmlformats.org/officeDocument/2006/relationships/oleObject" Target="../embeddings/oleObject545.bin"/><Relationship Id="rId34" Type="http://schemas.openxmlformats.org/officeDocument/2006/relationships/oleObject" Target="../embeddings/oleObject470.bin"/><Relationship Id="rId50" Type="http://schemas.openxmlformats.org/officeDocument/2006/relationships/oleObject" Target="../embeddings/oleObject486.bin"/><Relationship Id="rId55" Type="http://schemas.openxmlformats.org/officeDocument/2006/relationships/oleObject" Target="../embeddings/oleObject491.bin"/><Relationship Id="rId76" Type="http://schemas.openxmlformats.org/officeDocument/2006/relationships/oleObject" Target="../embeddings/oleObject512.bin"/><Relationship Id="rId97" Type="http://schemas.openxmlformats.org/officeDocument/2006/relationships/oleObject" Target="../embeddings/oleObject533.bin"/><Relationship Id="rId104" Type="http://schemas.openxmlformats.org/officeDocument/2006/relationships/oleObject" Target="../embeddings/oleObject540.bin"/><Relationship Id="rId120" Type="http://schemas.openxmlformats.org/officeDocument/2006/relationships/oleObject" Target="../embeddings/oleObject556.bin"/><Relationship Id="rId125" Type="http://schemas.openxmlformats.org/officeDocument/2006/relationships/oleObject" Target="../embeddings/oleObject561.bin"/><Relationship Id="rId7" Type="http://schemas.openxmlformats.org/officeDocument/2006/relationships/oleObject" Target="../embeddings/oleObject443.bin"/><Relationship Id="rId71" Type="http://schemas.openxmlformats.org/officeDocument/2006/relationships/oleObject" Target="../embeddings/oleObject507.bin"/><Relationship Id="rId92" Type="http://schemas.openxmlformats.org/officeDocument/2006/relationships/oleObject" Target="../embeddings/oleObject528.bin"/><Relationship Id="rId2" Type="http://schemas.openxmlformats.org/officeDocument/2006/relationships/drawing" Target="../drawings/drawing4.xml"/><Relationship Id="rId29" Type="http://schemas.openxmlformats.org/officeDocument/2006/relationships/oleObject" Target="../embeddings/oleObject465.bin"/><Relationship Id="rId24" Type="http://schemas.openxmlformats.org/officeDocument/2006/relationships/oleObject" Target="../embeddings/oleObject460.bin"/><Relationship Id="rId40" Type="http://schemas.openxmlformats.org/officeDocument/2006/relationships/oleObject" Target="../embeddings/oleObject476.bin"/><Relationship Id="rId45" Type="http://schemas.openxmlformats.org/officeDocument/2006/relationships/oleObject" Target="../embeddings/oleObject481.bin"/><Relationship Id="rId66" Type="http://schemas.openxmlformats.org/officeDocument/2006/relationships/oleObject" Target="../embeddings/oleObject502.bin"/><Relationship Id="rId87" Type="http://schemas.openxmlformats.org/officeDocument/2006/relationships/oleObject" Target="../embeddings/oleObject523.bin"/><Relationship Id="rId110" Type="http://schemas.openxmlformats.org/officeDocument/2006/relationships/oleObject" Target="../embeddings/oleObject546.bin"/><Relationship Id="rId115" Type="http://schemas.openxmlformats.org/officeDocument/2006/relationships/oleObject" Target="../embeddings/oleObject551.bin"/><Relationship Id="rId131" Type="http://schemas.openxmlformats.org/officeDocument/2006/relationships/oleObject" Target="../embeddings/oleObject567.bin"/><Relationship Id="rId136" Type="http://schemas.openxmlformats.org/officeDocument/2006/relationships/oleObject" Target="../embeddings/oleObject572.bin"/><Relationship Id="rId61" Type="http://schemas.openxmlformats.org/officeDocument/2006/relationships/oleObject" Target="../embeddings/oleObject497.bin"/><Relationship Id="rId82" Type="http://schemas.openxmlformats.org/officeDocument/2006/relationships/oleObject" Target="../embeddings/oleObject518.bin"/><Relationship Id="rId19" Type="http://schemas.openxmlformats.org/officeDocument/2006/relationships/oleObject" Target="../embeddings/oleObject455.bin"/><Relationship Id="rId14" Type="http://schemas.openxmlformats.org/officeDocument/2006/relationships/oleObject" Target="../embeddings/oleObject450.bin"/><Relationship Id="rId30" Type="http://schemas.openxmlformats.org/officeDocument/2006/relationships/oleObject" Target="../embeddings/oleObject466.bin"/><Relationship Id="rId35" Type="http://schemas.openxmlformats.org/officeDocument/2006/relationships/oleObject" Target="../embeddings/oleObject471.bin"/><Relationship Id="rId56" Type="http://schemas.openxmlformats.org/officeDocument/2006/relationships/oleObject" Target="../embeddings/oleObject492.bin"/><Relationship Id="rId77" Type="http://schemas.openxmlformats.org/officeDocument/2006/relationships/oleObject" Target="../embeddings/oleObject513.bin"/><Relationship Id="rId100" Type="http://schemas.openxmlformats.org/officeDocument/2006/relationships/oleObject" Target="../embeddings/oleObject536.bin"/><Relationship Id="rId105" Type="http://schemas.openxmlformats.org/officeDocument/2006/relationships/oleObject" Target="../embeddings/oleObject541.bin"/><Relationship Id="rId126" Type="http://schemas.openxmlformats.org/officeDocument/2006/relationships/oleObject" Target="../embeddings/oleObject562.bin"/><Relationship Id="rId8" Type="http://schemas.openxmlformats.org/officeDocument/2006/relationships/oleObject" Target="../embeddings/oleObject444.bin"/><Relationship Id="rId51" Type="http://schemas.openxmlformats.org/officeDocument/2006/relationships/oleObject" Target="../embeddings/oleObject487.bin"/><Relationship Id="rId72" Type="http://schemas.openxmlformats.org/officeDocument/2006/relationships/oleObject" Target="../embeddings/oleObject508.bin"/><Relationship Id="rId93" Type="http://schemas.openxmlformats.org/officeDocument/2006/relationships/oleObject" Target="../embeddings/oleObject529.bin"/><Relationship Id="rId98" Type="http://schemas.openxmlformats.org/officeDocument/2006/relationships/oleObject" Target="../embeddings/oleObject534.bin"/><Relationship Id="rId121" Type="http://schemas.openxmlformats.org/officeDocument/2006/relationships/oleObject" Target="../embeddings/oleObject557.bin"/><Relationship Id="rId3" Type="http://schemas.openxmlformats.org/officeDocument/2006/relationships/vmlDrawing" Target="../drawings/vmlDrawing3.vml"/><Relationship Id="rId25" Type="http://schemas.openxmlformats.org/officeDocument/2006/relationships/oleObject" Target="../embeddings/oleObject461.bin"/><Relationship Id="rId46" Type="http://schemas.openxmlformats.org/officeDocument/2006/relationships/oleObject" Target="../embeddings/oleObject482.bin"/><Relationship Id="rId67" Type="http://schemas.openxmlformats.org/officeDocument/2006/relationships/oleObject" Target="../embeddings/oleObject503.bin"/><Relationship Id="rId116" Type="http://schemas.openxmlformats.org/officeDocument/2006/relationships/oleObject" Target="../embeddings/oleObject552.bin"/><Relationship Id="rId20" Type="http://schemas.openxmlformats.org/officeDocument/2006/relationships/oleObject" Target="../embeddings/oleObject456.bin"/><Relationship Id="rId41" Type="http://schemas.openxmlformats.org/officeDocument/2006/relationships/oleObject" Target="../embeddings/oleObject477.bin"/><Relationship Id="rId62" Type="http://schemas.openxmlformats.org/officeDocument/2006/relationships/oleObject" Target="../embeddings/oleObject498.bin"/><Relationship Id="rId83" Type="http://schemas.openxmlformats.org/officeDocument/2006/relationships/oleObject" Target="../embeddings/oleObject519.bin"/><Relationship Id="rId88" Type="http://schemas.openxmlformats.org/officeDocument/2006/relationships/oleObject" Target="../embeddings/oleObject524.bin"/><Relationship Id="rId111" Type="http://schemas.openxmlformats.org/officeDocument/2006/relationships/oleObject" Target="../embeddings/oleObject547.bin"/><Relationship Id="rId132" Type="http://schemas.openxmlformats.org/officeDocument/2006/relationships/oleObject" Target="../embeddings/oleObject568.bin"/><Relationship Id="rId15" Type="http://schemas.openxmlformats.org/officeDocument/2006/relationships/oleObject" Target="../embeddings/oleObject451.bin"/><Relationship Id="rId36" Type="http://schemas.openxmlformats.org/officeDocument/2006/relationships/oleObject" Target="../embeddings/oleObject472.bin"/><Relationship Id="rId57" Type="http://schemas.openxmlformats.org/officeDocument/2006/relationships/oleObject" Target="../embeddings/oleObject493.bin"/><Relationship Id="rId106" Type="http://schemas.openxmlformats.org/officeDocument/2006/relationships/oleObject" Target="../embeddings/oleObject542.bin"/><Relationship Id="rId127" Type="http://schemas.openxmlformats.org/officeDocument/2006/relationships/oleObject" Target="../embeddings/oleObject563.bin"/><Relationship Id="rId10" Type="http://schemas.openxmlformats.org/officeDocument/2006/relationships/oleObject" Target="../embeddings/oleObject446.bin"/><Relationship Id="rId31" Type="http://schemas.openxmlformats.org/officeDocument/2006/relationships/oleObject" Target="../embeddings/oleObject467.bin"/><Relationship Id="rId52" Type="http://schemas.openxmlformats.org/officeDocument/2006/relationships/oleObject" Target="../embeddings/oleObject488.bin"/><Relationship Id="rId73" Type="http://schemas.openxmlformats.org/officeDocument/2006/relationships/oleObject" Target="../embeddings/oleObject509.bin"/><Relationship Id="rId78" Type="http://schemas.openxmlformats.org/officeDocument/2006/relationships/oleObject" Target="../embeddings/oleObject514.bin"/><Relationship Id="rId94" Type="http://schemas.openxmlformats.org/officeDocument/2006/relationships/oleObject" Target="../embeddings/oleObject530.bin"/><Relationship Id="rId99" Type="http://schemas.openxmlformats.org/officeDocument/2006/relationships/oleObject" Target="../embeddings/oleObject535.bin"/><Relationship Id="rId101" Type="http://schemas.openxmlformats.org/officeDocument/2006/relationships/oleObject" Target="../embeddings/oleObject537.bin"/><Relationship Id="rId122" Type="http://schemas.openxmlformats.org/officeDocument/2006/relationships/oleObject" Target="../embeddings/oleObject558.bin"/><Relationship Id="rId4" Type="http://schemas.openxmlformats.org/officeDocument/2006/relationships/oleObject" Target="../embeddings/oleObject441.bin"/><Relationship Id="rId9" Type="http://schemas.openxmlformats.org/officeDocument/2006/relationships/oleObject" Target="../embeddings/oleObject445.bin"/><Relationship Id="rId26" Type="http://schemas.openxmlformats.org/officeDocument/2006/relationships/oleObject" Target="../embeddings/oleObject462.bin"/><Relationship Id="rId47" Type="http://schemas.openxmlformats.org/officeDocument/2006/relationships/oleObject" Target="../embeddings/oleObject483.bin"/><Relationship Id="rId68" Type="http://schemas.openxmlformats.org/officeDocument/2006/relationships/oleObject" Target="../embeddings/oleObject504.bin"/><Relationship Id="rId89" Type="http://schemas.openxmlformats.org/officeDocument/2006/relationships/oleObject" Target="../embeddings/oleObject525.bin"/><Relationship Id="rId112" Type="http://schemas.openxmlformats.org/officeDocument/2006/relationships/oleObject" Target="../embeddings/oleObject548.bin"/><Relationship Id="rId133" Type="http://schemas.openxmlformats.org/officeDocument/2006/relationships/oleObject" Target="../embeddings/oleObject56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1B3D-AE7F-4A3F-B0B2-B5AC3E3019D3}">
  <sheetPr codeName="Sheet6"/>
  <dimension ref="A2:E100"/>
  <sheetViews>
    <sheetView topLeftCell="A11" workbookViewId="0">
      <selection activeCell="D32" sqref="D32"/>
    </sheetView>
  </sheetViews>
  <sheetFormatPr defaultRowHeight="12.5" x14ac:dyDescent="0.25"/>
  <cols>
    <col min="2" max="2" width="28.1796875" customWidth="1"/>
    <col min="3" max="3" width="48.1796875" bestFit="1" customWidth="1"/>
    <col min="4" max="4" width="58.81640625" customWidth="1"/>
    <col min="5" max="5" width="11.81640625" customWidth="1"/>
  </cols>
  <sheetData>
    <row r="2" spans="1:5" x14ac:dyDescent="0.25">
      <c r="A2" s="1090" t="s">
        <v>0</v>
      </c>
      <c r="B2" s="1090" t="s">
        <v>1</v>
      </c>
      <c r="C2" s="1090" t="s">
        <v>2</v>
      </c>
      <c r="D2" s="1091"/>
      <c r="E2" s="1092" t="s">
        <v>3</v>
      </c>
    </row>
    <row r="3" spans="1:5" x14ac:dyDescent="0.25">
      <c r="A3" s="1090"/>
      <c r="B3" s="1090"/>
      <c r="C3" s="376" t="s">
        <v>4</v>
      </c>
      <c r="D3" s="437" t="s">
        <v>5</v>
      </c>
      <c r="E3" s="1093"/>
    </row>
    <row r="4" spans="1:5" x14ac:dyDescent="0.25">
      <c r="A4" s="376">
        <v>1</v>
      </c>
      <c r="B4" s="377">
        <v>44231</v>
      </c>
      <c r="C4" s="376" t="s">
        <v>6</v>
      </c>
      <c r="D4" s="438" t="s">
        <v>7</v>
      </c>
      <c r="E4" s="442"/>
    </row>
    <row r="5" spans="1:5" ht="25" x14ac:dyDescent="0.25">
      <c r="A5" s="376"/>
      <c r="B5" s="378"/>
      <c r="C5" s="379" t="s">
        <v>8</v>
      </c>
      <c r="D5" s="439" t="s">
        <v>9</v>
      </c>
      <c r="E5" s="442"/>
    </row>
    <row r="6" spans="1:5" ht="37.5" x14ac:dyDescent="0.25">
      <c r="A6" s="376"/>
      <c r="B6" s="378"/>
      <c r="C6" s="380" t="s">
        <v>10</v>
      </c>
      <c r="D6" s="438" t="s">
        <v>11</v>
      </c>
      <c r="E6" s="442"/>
    </row>
    <row r="7" spans="1:5" ht="25" x14ac:dyDescent="0.25">
      <c r="A7" s="376"/>
      <c r="B7" s="378"/>
      <c r="C7" s="382" t="s">
        <v>12</v>
      </c>
      <c r="D7" s="440" t="s">
        <v>13</v>
      </c>
      <c r="E7" s="442"/>
    </row>
    <row r="8" spans="1:5" ht="25" x14ac:dyDescent="0.25">
      <c r="A8" s="376"/>
      <c r="B8" s="378"/>
      <c r="C8" s="383" t="s">
        <v>14</v>
      </c>
      <c r="D8" s="440" t="s">
        <v>15</v>
      </c>
      <c r="E8" s="442"/>
    </row>
    <row r="9" spans="1:5" ht="52" x14ac:dyDescent="0.25">
      <c r="A9" s="376"/>
      <c r="B9" s="378"/>
      <c r="C9" s="384" t="s">
        <v>16</v>
      </c>
      <c r="D9" s="441" t="s">
        <v>17</v>
      </c>
      <c r="E9" s="442"/>
    </row>
    <row r="10" spans="1:5" ht="25" x14ac:dyDescent="0.25">
      <c r="A10" s="376">
        <v>2</v>
      </c>
      <c r="B10" s="378" t="s">
        <v>18</v>
      </c>
      <c r="C10" s="385" t="s">
        <v>19</v>
      </c>
      <c r="D10" s="437" t="s">
        <v>20</v>
      </c>
      <c r="E10" s="442"/>
    </row>
    <row r="11" spans="1:5" x14ac:dyDescent="0.25">
      <c r="A11" s="376">
        <v>3</v>
      </c>
      <c r="B11" s="436" t="s">
        <v>21</v>
      </c>
      <c r="C11" s="376" t="s">
        <v>22</v>
      </c>
      <c r="D11" s="437" t="s">
        <v>23</v>
      </c>
      <c r="E11" s="442" t="s">
        <v>24</v>
      </c>
    </row>
    <row r="12" spans="1:5" x14ac:dyDescent="0.25">
      <c r="A12" s="376">
        <v>4</v>
      </c>
      <c r="B12" s="377" t="s">
        <v>25</v>
      </c>
      <c r="C12" s="448" t="s">
        <v>26</v>
      </c>
      <c r="D12" s="437" t="s">
        <v>23</v>
      </c>
      <c r="E12" s="442" t="s">
        <v>24</v>
      </c>
    </row>
    <row r="13" spans="1:5" x14ac:dyDescent="0.25">
      <c r="A13" s="376">
        <v>5</v>
      </c>
      <c r="B13" s="378" t="s">
        <v>27</v>
      </c>
      <c r="C13" s="376" t="s">
        <v>28</v>
      </c>
      <c r="D13" s="437" t="s">
        <v>23</v>
      </c>
      <c r="E13" s="442" t="s">
        <v>24</v>
      </c>
    </row>
    <row r="14" spans="1:5" x14ac:dyDescent="0.25">
      <c r="A14" s="376">
        <v>6</v>
      </c>
      <c r="B14" s="378" t="s">
        <v>29</v>
      </c>
      <c r="C14" s="376" t="s">
        <v>30</v>
      </c>
      <c r="D14" s="437" t="s">
        <v>23</v>
      </c>
      <c r="E14" s="442" t="s">
        <v>24</v>
      </c>
    </row>
    <row r="15" spans="1:5" x14ac:dyDescent="0.25">
      <c r="A15" s="376">
        <v>7</v>
      </c>
      <c r="B15" s="377" t="s">
        <v>31</v>
      </c>
      <c r="C15" s="448" t="s">
        <v>32</v>
      </c>
      <c r="D15" s="438" t="s">
        <v>23</v>
      </c>
      <c r="E15" s="250" t="s">
        <v>33</v>
      </c>
    </row>
    <row r="16" spans="1:5" x14ac:dyDescent="0.25">
      <c r="A16" s="376">
        <v>8</v>
      </c>
      <c r="B16" s="378">
        <v>44456</v>
      </c>
      <c r="C16" s="448" t="s">
        <v>34</v>
      </c>
      <c r="D16" s="438" t="s">
        <v>23</v>
      </c>
      <c r="E16" s="250" t="s">
        <v>24</v>
      </c>
    </row>
    <row r="17" spans="1:5" x14ac:dyDescent="0.25">
      <c r="A17" s="1097">
        <v>9</v>
      </c>
      <c r="B17" s="1094" t="s">
        <v>35</v>
      </c>
      <c r="C17" s="376" t="s">
        <v>36</v>
      </c>
      <c r="D17" s="376" t="s">
        <v>23</v>
      </c>
      <c r="E17" s="442" t="s">
        <v>24</v>
      </c>
    </row>
    <row r="18" spans="1:5" x14ac:dyDescent="0.25">
      <c r="A18" s="1098"/>
      <c r="B18" s="1095"/>
      <c r="C18" s="376" t="s">
        <v>37</v>
      </c>
      <c r="D18" s="376" t="s">
        <v>23</v>
      </c>
      <c r="E18" s="442" t="s">
        <v>24</v>
      </c>
    </row>
    <row r="19" spans="1:5" x14ac:dyDescent="0.25">
      <c r="A19" s="1099"/>
      <c r="B19" s="1096"/>
      <c r="C19" s="376" t="s">
        <v>38</v>
      </c>
      <c r="D19" s="376" t="s">
        <v>23</v>
      </c>
      <c r="E19" s="442" t="s">
        <v>24</v>
      </c>
    </row>
    <row r="20" spans="1:5" x14ac:dyDescent="0.25">
      <c r="A20" s="376">
        <v>10</v>
      </c>
      <c r="B20" s="377" t="s">
        <v>39</v>
      </c>
      <c r="C20" s="448" t="s">
        <v>40</v>
      </c>
      <c r="D20" s="376" t="s">
        <v>23</v>
      </c>
      <c r="E20" s="442" t="s">
        <v>24</v>
      </c>
    </row>
    <row r="21" spans="1:5" x14ac:dyDescent="0.25">
      <c r="A21" s="376">
        <v>11</v>
      </c>
      <c r="B21" s="378" t="s">
        <v>41</v>
      </c>
      <c r="C21" s="376" t="s">
        <v>42</v>
      </c>
      <c r="D21" s="437" t="s">
        <v>23</v>
      </c>
      <c r="E21" s="442" t="s">
        <v>24</v>
      </c>
    </row>
    <row r="22" spans="1:5" x14ac:dyDescent="0.25">
      <c r="A22" s="376">
        <v>12</v>
      </c>
      <c r="B22" s="378" t="s">
        <v>43</v>
      </c>
      <c r="C22" s="376" t="s">
        <v>44</v>
      </c>
      <c r="D22" s="437" t="s">
        <v>23</v>
      </c>
      <c r="E22" s="442" t="s">
        <v>45</v>
      </c>
    </row>
    <row r="23" spans="1:5" x14ac:dyDescent="0.25">
      <c r="A23" s="376">
        <v>13</v>
      </c>
      <c r="B23" s="378" t="s">
        <v>46</v>
      </c>
      <c r="C23" s="376" t="s">
        <v>47</v>
      </c>
      <c r="D23" s="437" t="s">
        <v>23</v>
      </c>
      <c r="E23" s="442" t="s">
        <v>45</v>
      </c>
    </row>
    <row r="24" spans="1:5" x14ac:dyDescent="0.25">
      <c r="A24" s="376">
        <v>14</v>
      </c>
      <c r="B24" s="377" t="s">
        <v>48</v>
      </c>
      <c r="C24" s="448" t="s">
        <v>49</v>
      </c>
      <c r="D24" s="438" t="s">
        <v>23</v>
      </c>
      <c r="E24" s="250" t="s">
        <v>24</v>
      </c>
    </row>
    <row r="25" spans="1:5" ht="25" x14ac:dyDescent="0.25">
      <c r="A25" s="376">
        <v>15</v>
      </c>
      <c r="B25" s="377" t="s">
        <v>489</v>
      </c>
      <c r="C25" s="380" t="s">
        <v>490</v>
      </c>
      <c r="D25" s="448" t="s">
        <v>23</v>
      </c>
      <c r="E25" s="250" t="s">
        <v>24</v>
      </c>
    </row>
    <row r="26" spans="1:5" x14ac:dyDescent="0.25">
      <c r="A26" s="376"/>
      <c r="B26" s="378"/>
      <c r="C26" s="376"/>
      <c r="D26" s="437"/>
      <c r="E26" s="442"/>
    </row>
    <row r="100" spans="1:1" x14ac:dyDescent="0.25">
      <c r="A100" s="443" t="s">
        <v>491</v>
      </c>
    </row>
  </sheetData>
  <mergeCells count="6">
    <mergeCell ref="A2:A3"/>
    <mergeCell ref="B2:B3"/>
    <mergeCell ref="C2:D2"/>
    <mergeCell ref="E2:E3"/>
    <mergeCell ref="B17:B19"/>
    <mergeCell ref="A17:A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A947-F298-4683-AE3F-D4439F3B9481}">
  <dimension ref="A1:AF244"/>
  <sheetViews>
    <sheetView topLeftCell="A189" workbookViewId="0">
      <selection activeCell="K206" sqref="K206"/>
    </sheetView>
  </sheetViews>
  <sheetFormatPr defaultColWidth="9.1796875" defaultRowHeight="12.5" x14ac:dyDescent="0.25"/>
  <cols>
    <col min="1" max="1" width="11.7265625" style="569" customWidth="1"/>
    <col min="2" max="2" width="9.1796875" style="569"/>
    <col min="3" max="3" width="9.453125" style="569" customWidth="1"/>
    <col min="4" max="4" width="11" style="569" customWidth="1"/>
    <col min="5" max="5" width="9.81640625" style="569" customWidth="1"/>
    <col min="6" max="6" width="9" style="569" customWidth="1"/>
    <col min="7" max="7" width="12.1796875" style="569" bestFit="1" customWidth="1"/>
    <col min="8" max="8" width="11.26953125" style="569" customWidth="1"/>
    <col min="9" max="12" width="9.1796875" style="569"/>
    <col min="13" max="13" width="11.81640625" style="569" customWidth="1"/>
    <col min="14" max="14" width="10" style="569" customWidth="1"/>
    <col min="15" max="15" width="12.26953125" style="569" customWidth="1"/>
    <col min="16" max="16" width="9.26953125" style="569" customWidth="1"/>
    <col min="17" max="16384" width="9.1796875" style="569"/>
  </cols>
  <sheetData>
    <row r="1" spans="1:32" ht="13.5" thickBot="1" x14ac:dyDescent="0.35">
      <c r="A1" s="1041"/>
      <c r="B1" s="1041"/>
      <c r="C1" s="225"/>
      <c r="D1" s="225"/>
      <c r="E1" s="225"/>
      <c r="F1" s="225"/>
      <c r="G1" s="225"/>
      <c r="H1" s="719"/>
      <c r="I1" s="719"/>
      <c r="J1" s="1041"/>
      <c r="K1" s="225"/>
      <c r="L1" s="225"/>
      <c r="M1" s="225"/>
      <c r="N1" s="225"/>
      <c r="O1" s="225"/>
      <c r="P1" s="225"/>
      <c r="Q1" s="719"/>
      <c r="R1" s="719"/>
      <c r="S1" s="719"/>
      <c r="T1" s="614"/>
    </row>
    <row r="2" spans="1:32" ht="15" x14ac:dyDescent="0.25">
      <c r="A2" s="1461" t="s">
        <v>292</v>
      </c>
      <c r="B2" s="1462"/>
      <c r="C2" s="1462"/>
      <c r="D2" s="1462"/>
      <c r="E2" s="1462"/>
      <c r="F2" s="1462"/>
      <c r="G2" s="1462"/>
      <c r="H2" s="1462"/>
      <c r="I2" s="1462"/>
      <c r="J2" s="1462"/>
      <c r="K2" s="1462"/>
      <c r="L2" s="1462"/>
      <c r="M2" s="1462"/>
      <c r="N2" s="1462"/>
      <c r="O2" s="1462"/>
      <c r="P2" s="1462"/>
      <c r="Q2" s="1462"/>
      <c r="R2" s="1462"/>
      <c r="S2" s="1462"/>
      <c r="T2" s="1463"/>
      <c r="U2" s="691"/>
      <c r="V2" s="763"/>
      <c r="W2" s="763"/>
      <c r="X2" s="763"/>
      <c r="Y2" s="763"/>
      <c r="Z2" s="763"/>
      <c r="AA2" s="763"/>
      <c r="AB2" s="763"/>
      <c r="AC2" s="763"/>
      <c r="AD2" s="763"/>
      <c r="AE2" s="763"/>
      <c r="AF2" s="763"/>
    </row>
    <row r="3" spans="1:32" ht="15.75" customHeight="1" x14ac:dyDescent="0.3">
      <c r="A3" s="1449" t="s">
        <v>293</v>
      </c>
      <c r="B3" s="1449"/>
      <c r="C3" s="1449"/>
      <c r="D3" s="1449"/>
      <c r="E3" s="1446" t="s">
        <v>294</v>
      </c>
      <c r="F3" s="1447" t="s">
        <v>295</v>
      </c>
      <c r="G3" s="764"/>
      <c r="H3" s="1464" t="s">
        <v>296</v>
      </c>
      <c r="I3" s="1464"/>
      <c r="J3" s="1464"/>
      <c r="K3" s="1464"/>
      <c r="L3" s="1446" t="s">
        <v>294</v>
      </c>
      <c r="M3" s="1447" t="str">
        <f>F3</f>
        <v>U95 STD</v>
      </c>
      <c r="N3" s="574"/>
      <c r="O3" s="1449" t="s">
        <v>297</v>
      </c>
      <c r="P3" s="1449"/>
      <c r="Q3" s="1449"/>
      <c r="R3" s="1449"/>
      <c r="S3" s="1446" t="s">
        <v>294</v>
      </c>
      <c r="T3" s="1448" t="str">
        <f>M3</f>
        <v>U95 STD</v>
      </c>
      <c r="V3" s="765"/>
      <c r="W3" s="765"/>
      <c r="X3" s="765"/>
      <c r="Y3" s="766"/>
      <c r="Z3" s="767"/>
      <c r="AA3" s="768"/>
      <c r="AB3" s="769"/>
      <c r="AC3" s="769"/>
      <c r="AD3" s="769"/>
      <c r="AE3" s="766"/>
      <c r="AF3" s="767"/>
    </row>
    <row r="4" spans="1:32" ht="12.75" customHeight="1" x14ac:dyDescent="0.25">
      <c r="A4" s="770" t="s">
        <v>191</v>
      </c>
      <c r="B4" s="771"/>
      <c r="C4" s="1446" t="s">
        <v>298</v>
      </c>
      <c r="D4" s="1446"/>
      <c r="E4" s="1446"/>
      <c r="F4" s="1447"/>
      <c r="G4" s="772"/>
      <c r="H4" s="649" t="str">
        <f>A4</f>
        <v>Kecepatan</v>
      </c>
      <c r="I4" s="649"/>
      <c r="J4" s="1446" t="s">
        <v>298</v>
      </c>
      <c r="K4" s="1446"/>
      <c r="L4" s="1446"/>
      <c r="M4" s="1447"/>
      <c r="N4" s="574"/>
      <c r="O4" s="649" t="str">
        <f>H4</f>
        <v>Kecepatan</v>
      </c>
      <c r="P4" s="1450" t="s">
        <v>298</v>
      </c>
      <c r="Q4" s="1451"/>
      <c r="R4" s="1452"/>
      <c r="S4" s="1446"/>
      <c r="T4" s="1448"/>
      <c r="V4" s="573"/>
      <c r="W4" s="766"/>
      <c r="X4" s="766"/>
      <c r="Y4" s="766"/>
      <c r="Z4" s="767"/>
      <c r="AA4" s="768"/>
      <c r="AB4" s="573"/>
      <c r="AC4" s="766"/>
      <c r="AD4" s="766"/>
      <c r="AE4" s="766"/>
      <c r="AF4" s="767"/>
    </row>
    <row r="5" spans="1:32" ht="12.75" customHeight="1" x14ac:dyDescent="0.25">
      <c r="A5" s="773" t="s">
        <v>299</v>
      </c>
      <c r="B5" s="564">
        <v>2023</v>
      </c>
      <c r="C5" s="564">
        <v>2022</v>
      </c>
      <c r="D5" s="565">
        <v>2021</v>
      </c>
      <c r="E5" s="1446"/>
      <c r="F5" s="1447"/>
      <c r="G5" s="772"/>
      <c r="H5" s="619" t="str">
        <f>A5</f>
        <v>rpm</v>
      </c>
      <c r="I5" s="564">
        <v>2022</v>
      </c>
      <c r="J5" s="565">
        <v>2019</v>
      </c>
      <c r="K5" s="565">
        <v>2018</v>
      </c>
      <c r="L5" s="1446"/>
      <c r="M5" s="1447"/>
      <c r="N5" s="574"/>
      <c r="O5" s="619" t="str">
        <f>H5</f>
        <v>rpm</v>
      </c>
      <c r="P5" s="564">
        <v>2022</v>
      </c>
      <c r="Q5" s="565">
        <v>2021</v>
      </c>
      <c r="R5" s="565">
        <v>2019</v>
      </c>
      <c r="S5" s="1446"/>
      <c r="T5" s="1448"/>
      <c r="V5" s="774"/>
      <c r="W5" s="573"/>
      <c r="X5" s="775"/>
      <c r="Y5" s="766"/>
      <c r="Z5" s="767"/>
      <c r="AA5" s="768"/>
      <c r="AB5" s="774"/>
      <c r="AC5" s="573"/>
      <c r="AD5" s="573"/>
      <c r="AE5" s="766"/>
      <c r="AF5" s="767"/>
    </row>
    <row r="6" spans="1:32" ht="13.5" customHeight="1" x14ac:dyDescent="0.25">
      <c r="A6" s="757">
        <v>0</v>
      </c>
      <c r="B6" s="526">
        <v>0</v>
      </c>
      <c r="C6" s="526">
        <v>0</v>
      </c>
      <c r="D6" s="210">
        <v>9.9999999999999995E-7</v>
      </c>
      <c r="E6" s="211">
        <f t="shared" ref="E6:E20" si="0">IFERROR(IF(OR(C6="-",D6="-"),1/3*F6,0.5*(MAX(C6:D6)-MIN(C6:D6))),0)</f>
        <v>4.9999999999999998E-7</v>
      </c>
      <c r="F6" s="213">
        <f>0.03%*A6</f>
        <v>0</v>
      </c>
      <c r="G6" s="776"/>
      <c r="H6" s="757">
        <v>0</v>
      </c>
      <c r="I6" s="210" t="s">
        <v>128</v>
      </c>
      <c r="J6" s="210">
        <v>9.9999999999999995E-7</v>
      </c>
      <c r="K6" s="210">
        <v>9.9999999999999995E-7</v>
      </c>
      <c r="L6" s="211">
        <f t="shared" ref="L6:L20" si="1">IFERROR(IF(OR(J6="-",K6="-"),1/3*M6,0.5*(MAX(J6:K6)-MIN(J6:K6))),0)</f>
        <v>0</v>
      </c>
      <c r="M6" s="213">
        <f>0.03%*H6</f>
        <v>0</v>
      </c>
      <c r="N6" s="574"/>
      <c r="O6" s="757">
        <v>0</v>
      </c>
      <c r="P6" s="526">
        <v>0</v>
      </c>
      <c r="Q6" s="210">
        <v>9.9999999999999995E-7</v>
      </c>
      <c r="R6" s="210">
        <v>9.9999999999999995E-7</v>
      </c>
      <c r="S6" s="211">
        <f t="shared" ref="S6:S20" si="2">IFERROR(IF(OR(Q6="-",R6="-"),1/3*T6,0.5*(MAX(Q6:R6)-MIN(Q6:R6))),0)</f>
        <v>0</v>
      </c>
      <c r="T6" s="213">
        <f>0.03%*(O6-P6)</f>
        <v>0</v>
      </c>
      <c r="V6" s="228"/>
      <c r="W6" s="228"/>
      <c r="X6" s="288"/>
      <c r="Y6" s="289"/>
      <c r="Z6" s="290"/>
      <c r="AA6" s="768"/>
      <c r="AB6" s="228"/>
      <c r="AC6" s="228"/>
      <c r="AD6" s="290"/>
      <c r="AE6" s="289"/>
      <c r="AF6" s="290"/>
    </row>
    <row r="7" spans="1:32" ht="13.5" customHeight="1" x14ac:dyDescent="0.25">
      <c r="A7" s="526">
        <v>50</v>
      </c>
      <c r="B7" s="526">
        <v>0</v>
      </c>
      <c r="C7" s="526">
        <v>0</v>
      </c>
      <c r="D7" s="210">
        <v>9.9999999999999995E-7</v>
      </c>
      <c r="E7" s="211">
        <f>IFERROR(IF(OR(C7="-",D7="-"),1/3*F7,0.5*(MAX(C7:D7)-MIN(C7:D7))),0)</f>
        <v>4.9999999999999998E-7</v>
      </c>
      <c r="F7" s="213">
        <f>0.03%*A7</f>
        <v>1.4999999999999999E-2</v>
      </c>
      <c r="G7" s="776"/>
      <c r="H7" s="526">
        <v>50</v>
      </c>
      <c r="I7" s="210" t="s">
        <v>128</v>
      </c>
      <c r="J7" s="210">
        <v>9.9999999999999995E-7</v>
      </c>
      <c r="K7" s="210">
        <v>9.9999999999999995E-7</v>
      </c>
      <c r="L7" s="211">
        <f t="shared" si="1"/>
        <v>0</v>
      </c>
      <c r="M7" s="213">
        <f>0.03%*H7</f>
        <v>1.4999999999999999E-2</v>
      </c>
      <c r="N7" s="574"/>
      <c r="O7" s="209">
        <v>50</v>
      </c>
      <c r="P7" s="526">
        <v>0</v>
      </c>
      <c r="Q7" s="210">
        <v>9.9999999999999995E-7</v>
      </c>
      <c r="R7" s="210">
        <v>9.9999999999999995E-7</v>
      </c>
      <c r="S7" s="211">
        <f t="shared" si="2"/>
        <v>0</v>
      </c>
      <c r="T7" s="213">
        <f t="shared" ref="T7:T21" si="3">0.03%*(O7-P7)</f>
        <v>1.4999999999999999E-2</v>
      </c>
      <c r="V7" s="228"/>
      <c r="W7" s="228"/>
      <c r="X7" s="288"/>
      <c r="Y7" s="289"/>
      <c r="Z7" s="290"/>
      <c r="AA7" s="768"/>
      <c r="AB7" s="228"/>
      <c r="AC7" s="228"/>
      <c r="AD7" s="290"/>
      <c r="AE7" s="289"/>
      <c r="AF7" s="290"/>
    </row>
    <row r="8" spans="1:32" ht="13.5" customHeight="1" x14ac:dyDescent="0.25">
      <c r="A8" s="526">
        <v>100</v>
      </c>
      <c r="B8" s="526">
        <v>1</v>
      </c>
      <c r="C8" s="526">
        <v>0</v>
      </c>
      <c r="D8" s="209">
        <v>1</v>
      </c>
      <c r="E8" s="211">
        <f t="shared" si="0"/>
        <v>0.5</v>
      </c>
      <c r="F8" s="213">
        <f>0.03%*A8</f>
        <v>0.03</v>
      </c>
      <c r="G8" s="776"/>
      <c r="H8" s="526">
        <v>100</v>
      </c>
      <c r="I8" s="210" t="s">
        <v>128</v>
      </c>
      <c r="J8" s="209">
        <v>1</v>
      </c>
      <c r="K8" s="210">
        <v>9.9999999999999995E-7</v>
      </c>
      <c r="L8" s="211">
        <f t="shared" si="1"/>
        <v>0.49999949999999999</v>
      </c>
      <c r="M8" s="213">
        <f>0.03%*H8</f>
        <v>0.03</v>
      </c>
      <c r="N8" s="574"/>
      <c r="O8" s="209">
        <v>100</v>
      </c>
      <c r="P8" s="526">
        <v>1</v>
      </c>
      <c r="Q8" s="210">
        <v>9.9999999999999995E-7</v>
      </c>
      <c r="R8" s="210">
        <v>9.9999999999999995E-7</v>
      </c>
      <c r="S8" s="211">
        <f t="shared" si="2"/>
        <v>0</v>
      </c>
      <c r="T8" s="213">
        <f>0.03%*(O8-P8)</f>
        <v>2.9699999999999997E-2</v>
      </c>
      <c r="V8" s="228"/>
      <c r="W8" s="228"/>
      <c r="X8" s="288"/>
      <c r="Y8" s="289"/>
      <c r="Z8" s="290"/>
      <c r="AA8" s="768"/>
      <c r="AB8" s="228"/>
      <c r="AC8" s="228"/>
      <c r="AD8" s="290"/>
      <c r="AE8" s="289"/>
      <c r="AF8" s="290"/>
    </row>
    <row r="9" spans="1:32" ht="12.75" customHeight="1" x14ac:dyDescent="0.25">
      <c r="A9" s="209">
        <v>200</v>
      </c>
      <c r="B9" s="526">
        <v>0</v>
      </c>
      <c r="C9" s="526">
        <v>0</v>
      </c>
      <c r="D9" s="210">
        <v>9.9999999999999995E-7</v>
      </c>
      <c r="E9" s="211">
        <f t="shared" si="0"/>
        <v>4.9999999999999998E-7</v>
      </c>
      <c r="F9" s="213">
        <f t="shared" ref="F9:F21" si="4">0.03%*A9</f>
        <v>0.06</v>
      </c>
      <c r="G9" s="776"/>
      <c r="H9" s="209">
        <v>200</v>
      </c>
      <c r="I9" s="210" t="s">
        <v>128</v>
      </c>
      <c r="J9" s="210">
        <v>9.9999999999999995E-7</v>
      </c>
      <c r="K9" s="210">
        <v>9.9999999999999995E-7</v>
      </c>
      <c r="L9" s="211">
        <f t="shared" si="1"/>
        <v>0</v>
      </c>
      <c r="M9" s="213">
        <f>0.03%*H9</f>
        <v>0.06</v>
      </c>
      <c r="N9" s="574"/>
      <c r="O9" s="209">
        <v>200</v>
      </c>
      <c r="P9" s="526">
        <v>0</v>
      </c>
      <c r="Q9" s="210">
        <v>9.9999999999999995E-7</v>
      </c>
      <c r="R9" s="210">
        <v>9.9999999999999995E-7</v>
      </c>
      <c r="S9" s="211">
        <f t="shared" si="2"/>
        <v>0</v>
      </c>
      <c r="T9" s="213">
        <f t="shared" si="3"/>
        <v>0.06</v>
      </c>
      <c r="V9" s="228"/>
      <c r="W9" s="228"/>
      <c r="X9" s="290"/>
      <c r="Y9" s="289"/>
      <c r="Z9" s="290"/>
      <c r="AA9" s="768"/>
      <c r="AB9" s="228"/>
      <c r="AC9" s="228"/>
      <c r="AD9" s="290"/>
      <c r="AE9" s="289"/>
      <c r="AF9" s="290"/>
    </row>
    <row r="10" spans="1:32" ht="12.75" customHeight="1" x14ac:dyDescent="0.25">
      <c r="A10" s="209">
        <v>1000</v>
      </c>
      <c r="B10" s="526">
        <v>0</v>
      </c>
      <c r="C10" s="526">
        <v>0</v>
      </c>
      <c r="D10" s="210">
        <v>9.9999999999999995E-7</v>
      </c>
      <c r="E10" s="211">
        <f t="shared" si="0"/>
        <v>4.9999999999999998E-7</v>
      </c>
      <c r="F10" s="213">
        <f t="shared" si="4"/>
        <v>0.3</v>
      </c>
      <c r="G10" s="776"/>
      <c r="H10" s="209">
        <v>1000</v>
      </c>
      <c r="I10" s="210" t="s">
        <v>128</v>
      </c>
      <c r="J10" s="210">
        <v>9.9999999999999995E-7</v>
      </c>
      <c r="K10" s="210">
        <v>9.9999999999999995E-7</v>
      </c>
      <c r="L10" s="211">
        <f t="shared" si="1"/>
        <v>0</v>
      </c>
      <c r="M10" s="213">
        <f t="shared" ref="M10:M20" si="5">0.03%*H10</f>
        <v>0.3</v>
      </c>
      <c r="N10" s="574"/>
      <c r="O10" s="209">
        <v>1000</v>
      </c>
      <c r="P10" s="526">
        <v>0</v>
      </c>
      <c r="Q10" s="210">
        <v>9.9999999999999995E-7</v>
      </c>
      <c r="R10" s="210">
        <v>9.9999999999999995E-7</v>
      </c>
      <c r="S10" s="211">
        <f t="shared" si="2"/>
        <v>0</v>
      </c>
      <c r="T10" s="213">
        <f t="shared" si="3"/>
        <v>0.3</v>
      </c>
      <c r="V10" s="228"/>
      <c r="W10" s="228"/>
      <c r="X10" s="290"/>
      <c r="Y10" s="289"/>
      <c r="Z10" s="290"/>
      <c r="AA10" s="768"/>
      <c r="AB10" s="228"/>
      <c r="AC10" s="228"/>
      <c r="AD10" s="290"/>
      <c r="AE10" s="289"/>
      <c r="AF10" s="290"/>
    </row>
    <row r="11" spans="1:32" ht="12.75" customHeight="1" x14ac:dyDescent="0.25">
      <c r="A11" s="209">
        <v>2000</v>
      </c>
      <c r="B11" s="526">
        <v>0</v>
      </c>
      <c r="C11" s="526">
        <v>0</v>
      </c>
      <c r="D11" s="210">
        <v>9.9999999999999995E-7</v>
      </c>
      <c r="E11" s="211">
        <f t="shared" si="0"/>
        <v>4.9999999999999998E-7</v>
      </c>
      <c r="F11" s="213">
        <f t="shared" si="4"/>
        <v>0.6</v>
      </c>
      <c r="G11" s="776"/>
      <c r="H11" s="209">
        <v>2000</v>
      </c>
      <c r="I11" s="210" t="s">
        <v>128</v>
      </c>
      <c r="J11" s="210">
        <v>9.9999999999999995E-7</v>
      </c>
      <c r="K11" s="210">
        <v>9.9999999999999995E-7</v>
      </c>
      <c r="L11" s="211">
        <f t="shared" si="1"/>
        <v>0</v>
      </c>
      <c r="M11" s="213">
        <f t="shared" si="5"/>
        <v>0.6</v>
      </c>
      <c r="N11" s="574"/>
      <c r="O11" s="209">
        <v>2000</v>
      </c>
      <c r="P11" s="526">
        <v>0</v>
      </c>
      <c r="Q11" s="210">
        <v>9.9999999999999995E-7</v>
      </c>
      <c r="R11" s="210">
        <v>9.9999999999999995E-7</v>
      </c>
      <c r="S11" s="211">
        <f t="shared" si="2"/>
        <v>0</v>
      </c>
      <c r="T11" s="213">
        <f t="shared" si="3"/>
        <v>0.6</v>
      </c>
      <c r="V11" s="228"/>
      <c r="W11" s="228"/>
      <c r="X11" s="288"/>
      <c r="Y11" s="289"/>
      <c r="Z11" s="290"/>
      <c r="AA11" s="768"/>
      <c r="AB11" s="228"/>
      <c r="AC11" s="228"/>
      <c r="AD11" s="288"/>
      <c r="AE11" s="289"/>
      <c r="AF11" s="290"/>
    </row>
    <row r="12" spans="1:32" ht="12.75" customHeight="1" x14ac:dyDescent="0.25">
      <c r="A12" s="209">
        <v>3000</v>
      </c>
      <c r="B12" s="526" t="s">
        <v>128</v>
      </c>
      <c r="C12" s="526">
        <v>0</v>
      </c>
      <c r="D12" s="210" t="s">
        <v>128</v>
      </c>
      <c r="E12" s="211">
        <f t="shared" si="0"/>
        <v>0.29999999999999993</v>
      </c>
      <c r="F12" s="213">
        <f>0.03%*A12</f>
        <v>0.89999999999999991</v>
      </c>
      <c r="G12" s="776"/>
      <c r="H12" s="209">
        <v>3000</v>
      </c>
      <c r="I12" s="210" t="s">
        <v>128</v>
      </c>
      <c r="J12" s="210" t="s">
        <v>128</v>
      </c>
      <c r="K12" s="210">
        <v>9.9999999999999995E-7</v>
      </c>
      <c r="L12" s="211">
        <f t="shared" si="1"/>
        <v>0.29999999999999993</v>
      </c>
      <c r="M12" s="213">
        <f t="shared" si="5"/>
        <v>0.89999999999999991</v>
      </c>
      <c r="N12" s="574"/>
      <c r="O12" s="209">
        <v>3000</v>
      </c>
      <c r="P12" s="526">
        <v>0</v>
      </c>
      <c r="Q12" s="210">
        <v>9.9999999999999995E-7</v>
      </c>
      <c r="R12" s="210">
        <v>9.9999999999999995E-7</v>
      </c>
      <c r="S12" s="211">
        <f t="shared" si="2"/>
        <v>0</v>
      </c>
      <c r="T12" s="213">
        <f t="shared" si="3"/>
        <v>0.89999999999999991</v>
      </c>
      <c r="V12" s="228"/>
      <c r="W12" s="228"/>
      <c r="X12" s="288"/>
      <c r="Y12" s="289"/>
      <c r="Z12" s="290"/>
      <c r="AA12" s="768"/>
      <c r="AB12" s="228"/>
      <c r="AC12" s="228"/>
      <c r="AD12" s="288"/>
      <c r="AE12" s="289"/>
      <c r="AF12" s="290"/>
    </row>
    <row r="13" spans="1:32" ht="12.75" customHeight="1" x14ac:dyDescent="0.25">
      <c r="A13" s="209">
        <v>4000</v>
      </c>
      <c r="B13" s="526">
        <v>0</v>
      </c>
      <c r="C13" s="526">
        <v>0</v>
      </c>
      <c r="D13" s="210">
        <v>9.9999999999999995E-7</v>
      </c>
      <c r="E13" s="211">
        <f t="shared" si="0"/>
        <v>4.9999999999999998E-7</v>
      </c>
      <c r="F13" s="213">
        <f t="shared" si="4"/>
        <v>1.2</v>
      </c>
      <c r="G13" s="776"/>
      <c r="H13" s="209">
        <v>4000</v>
      </c>
      <c r="I13" s="210" t="s">
        <v>128</v>
      </c>
      <c r="J13" s="210">
        <v>9.9999999999999995E-7</v>
      </c>
      <c r="K13" s="210">
        <v>9.9999999999999995E-7</v>
      </c>
      <c r="L13" s="211">
        <f t="shared" si="1"/>
        <v>0</v>
      </c>
      <c r="M13" s="213">
        <f t="shared" si="5"/>
        <v>1.2</v>
      </c>
      <c r="N13" s="574"/>
      <c r="O13" s="209">
        <v>4000</v>
      </c>
      <c r="P13" s="526">
        <v>0</v>
      </c>
      <c r="Q13" s="210">
        <v>9.9999999999999995E-7</v>
      </c>
      <c r="R13" s="210">
        <v>9.9999999999999995E-7</v>
      </c>
      <c r="S13" s="211">
        <f t="shared" si="2"/>
        <v>0</v>
      </c>
      <c r="T13" s="213">
        <f t="shared" si="3"/>
        <v>1.2</v>
      </c>
      <c r="V13" s="228"/>
      <c r="W13" s="228"/>
      <c r="X13" s="288"/>
      <c r="Y13" s="289"/>
      <c r="Z13" s="290"/>
      <c r="AA13" s="768"/>
      <c r="AB13" s="228"/>
      <c r="AC13" s="228"/>
      <c r="AD13" s="288"/>
      <c r="AE13" s="289"/>
      <c r="AF13" s="290"/>
    </row>
    <row r="14" spans="1:32" ht="12.75" customHeight="1" x14ac:dyDescent="0.25">
      <c r="A14" s="209">
        <v>5000</v>
      </c>
      <c r="B14" s="526">
        <v>0</v>
      </c>
      <c r="C14" s="526">
        <v>0</v>
      </c>
      <c r="D14" s="210">
        <v>9.9999999999999995E-7</v>
      </c>
      <c r="E14" s="211">
        <f t="shared" si="0"/>
        <v>4.9999999999999998E-7</v>
      </c>
      <c r="F14" s="213">
        <f t="shared" si="4"/>
        <v>1.4999999999999998</v>
      </c>
      <c r="G14" s="776"/>
      <c r="H14" s="209">
        <v>5000</v>
      </c>
      <c r="I14" s="210" t="s">
        <v>128</v>
      </c>
      <c r="J14" s="210">
        <v>9.9999999999999995E-7</v>
      </c>
      <c r="K14" s="210">
        <v>9.9999999999999995E-7</v>
      </c>
      <c r="L14" s="211">
        <f t="shared" si="1"/>
        <v>0</v>
      </c>
      <c r="M14" s="213">
        <f t="shared" si="5"/>
        <v>1.4999999999999998</v>
      </c>
      <c r="N14" s="574"/>
      <c r="O14" s="209">
        <v>5000</v>
      </c>
      <c r="P14" s="526">
        <v>0</v>
      </c>
      <c r="Q14" s="210">
        <v>9.9999999999999995E-7</v>
      </c>
      <c r="R14" s="210">
        <v>9.9999999999999995E-7</v>
      </c>
      <c r="S14" s="211">
        <f t="shared" si="2"/>
        <v>0</v>
      </c>
      <c r="T14" s="213">
        <f t="shared" si="3"/>
        <v>1.4999999999999998</v>
      </c>
      <c r="V14" s="228"/>
      <c r="W14" s="228"/>
      <c r="X14" s="288"/>
      <c r="Y14" s="289"/>
      <c r="Z14" s="290"/>
      <c r="AA14" s="768"/>
      <c r="AB14" s="228"/>
      <c r="AC14" s="228"/>
      <c r="AD14" s="288"/>
      <c r="AE14" s="289"/>
      <c r="AF14" s="290"/>
    </row>
    <row r="15" spans="1:32" ht="12.75" customHeight="1" x14ac:dyDescent="0.25">
      <c r="A15" s="209">
        <v>6000</v>
      </c>
      <c r="B15" s="526">
        <v>0</v>
      </c>
      <c r="C15" s="526">
        <v>0</v>
      </c>
      <c r="D15" s="210">
        <v>9.9999999999999995E-7</v>
      </c>
      <c r="E15" s="211">
        <f t="shared" si="0"/>
        <v>4.9999999999999998E-7</v>
      </c>
      <c r="F15" s="213">
        <f t="shared" si="4"/>
        <v>1.7999999999999998</v>
      </c>
      <c r="G15" s="776"/>
      <c r="H15" s="209">
        <v>6000</v>
      </c>
      <c r="I15" s="210" t="s">
        <v>128</v>
      </c>
      <c r="J15" s="210">
        <v>9.9999999999999995E-7</v>
      </c>
      <c r="K15" s="210">
        <v>9.9999999999999995E-7</v>
      </c>
      <c r="L15" s="211">
        <f t="shared" si="1"/>
        <v>0</v>
      </c>
      <c r="M15" s="213">
        <f t="shared" si="5"/>
        <v>1.7999999999999998</v>
      </c>
      <c r="N15" s="574"/>
      <c r="O15" s="209">
        <v>6000</v>
      </c>
      <c r="P15" s="526">
        <v>0</v>
      </c>
      <c r="Q15" s="210">
        <v>9.9999999999999995E-7</v>
      </c>
      <c r="R15" s="210">
        <v>9.9999999999999995E-7</v>
      </c>
      <c r="S15" s="211">
        <f t="shared" si="2"/>
        <v>0</v>
      </c>
      <c r="T15" s="213">
        <f t="shared" si="3"/>
        <v>1.7999999999999998</v>
      </c>
      <c r="V15" s="228"/>
      <c r="W15" s="228"/>
      <c r="X15" s="288"/>
      <c r="Y15" s="289"/>
      <c r="Z15" s="290"/>
      <c r="AA15" s="768"/>
      <c r="AB15" s="228"/>
      <c r="AC15" s="228"/>
      <c r="AD15" s="288"/>
      <c r="AE15" s="289"/>
      <c r="AF15" s="290"/>
    </row>
    <row r="16" spans="1:32" ht="12.75" customHeight="1" x14ac:dyDescent="0.25">
      <c r="A16" s="209">
        <v>7000</v>
      </c>
      <c r="B16" s="526">
        <v>0</v>
      </c>
      <c r="C16" s="526">
        <v>0</v>
      </c>
      <c r="D16" s="210" t="s">
        <v>128</v>
      </c>
      <c r="E16" s="211">
        <f t="shared" si="0"/>
        <v>0.69999999999999984</v>
      </c>
      <c r="F16" s="213">
        <f t="shared" si="4"/>
        <v>2.0999999999999996</v>
      </c>
      <c r="G16" s="776"/>
      <c r="H16" s="209">
        <v>7000</v>
      </c>
      <c r="I16" s="210" t="s">
        <v>128</v>
      </c>
      <c r="J16" s="210" t="s">
        <v>128</v>
      </c>
      <c r="K16" s="210">
        <v>9.9999999999999995E-7</v>
      </c>
      <c r="L16" s="211">
        <f t="shared" si="1"/>
        <v>0.69999999999999984</v>
      </c>
      <c r="M16" s="213">
        <f t="shared" si="5"/>
        <v>2.0999999999999996</v>
      </c>
      <c r="N16" s="574"/>
      <c r="O16" s="209">
        <v>7000</v>
      </c>
      <c r="P16" s="526">
        <v>0</v>
      </c>
      <c r="Q16" s="210">
        <v>9.9999999999999995E-7</v>
      </c>
      <c r="R16" s="210">
        <v>9.9999999999999995E-7</v>
      </c>
      <c r="S16" s="211">
        <f t="shared" si="2"/>
        <v>0</v>
      </c>
      <c r="T16" s="213">
        <f t="shared" si="3"/>
        <v>2.0999999999999996</v>
      </c>
      <c r="V16" s="228"/>
      <c r="W16" s="228"/>
      <c r="X16" s="288"/>
      <c r="Y16" s="289"/>
      <c r="Z16" s="290"/>
      <c r="AA16" s="768"/>
      <c r="AB16" s="228"/>
      <c r="AC16" s="228"/>
      <c r="AD16" s="288"/>
      <c r="AE16" s="289"/>
      <c r="AF16" s="290"/>
    </row>
    <row r="17" spans="1:32" ht="12.75" customHeight="1" x14ac:dyDescent="0.25">
      <c r="A17" s="209">
        <v>8000</v>
      </c>
      <c r="B17" s="526">
        <v>0</v>
      </c>
      <c r="C17" s="526">
        <v>0</v>
      </c>
      <c r="D17" s="210" t="s">
        <v>128</v>
      </c>
      <c r="E17" s="211">
        <f t="shared" si="0"/>
        <v>0.79999999999999993</v>
      </c>
      <c r="F17" s="213">
        <f>0.03%*A17</f>
        <v>2.4</v>
      </c>
      <c r="G17" s="776"/>
      <c r="H17" s="209">
        <v>8000</v>
      </c>
      <c r="I17" s="210" t="s">
        <v>128</v>
      </c>
      <c r="J17" s="210" t="s">
        <v>128</v>
      </c>
      <c r="K17" s="210" t="s">
        <v>128</v>
      </c>
      <c r="L17" s="211">
        <f t="shared" si="1"/>
        <v>0.79999999999999993</v>
      </c>
      <c r="M17" s="213">
        <f t="shared" si="5"/>
        <v>2.4</v>
      </c>
      <c r="N17" s="574"/>
      <c r="O17" s="209">
        <v>8000</v>
      </c>
      <c r="P17" s="526">
        <v>0</v>
      </c>
      <c r="Q17" s="210">
        <v>9.9999999999999995E-7</v>
      </c>
      <c r="R17" s="209" t="s">
        <v>128</v>
      </c>
      <c r="S17" s="211">
        <f t="shared" si="2"/>
        <v>0.79999999999999993</v>
      </c>
      <c r="T17" s="213">
        <f t="shared" si="3"/>
        <v>2.4</v>
      </c>
      <c r="V17" s="228"/>
      <c r="W17" s="228"/>
      <c r="X17" s="288"/>
      <c r="Y17" s="289"/>
      <c r="Z17" s="290"/>
      <c r="AA17" s="768"/>
      <c r="AB17" s="228"/>
      <c r="AC17" s="228"/>
      <c r="AD17" s="288"/>
      <c r="AE17" s="289"/>
      <c r="AF17" s="290"/>
    </row>
    <row r="18" spans="1:32" ht="12.75" customHeight="1" x14ac:dyDescent="0.25">
      <c r="A18" s="209">
        <v>9000</v>
      </c>
      <c r="B18" s="526">
        <v>0</v>
      </c>
      <c r="C18" s="526">
        <v>0</v>
      </c>
      <c r="D18" s="210" t="s">
        <v>128</v>
      </c>
      <c r="E18" s="211">
        <f t="shared" si="0"/>
        <v>0.89999999999999991</v>
      </c>
      <c r="F18" s="213">
        <f t="shared" si="4"/>
        <v>2.6999999999999997</v>
      </c>
      <c r="G18" s="776"/>
      <c r="H18" s="209">
        <v>9000</v>
      </c>
      <c r="I18" s="210" t="s">
        <v>128</v>
      </c>
      <c r="J18" s="210" t="s">
        <v>128</v>
      </c>
      <c r="K18" s="210" t="s">
        <v>128</v>
      </c>
      <c r="L18" s="211">
        <f t="shared" si="1"/>
        <v>0.89999999999999991</v>
      </c>
      <c r="M18" s="213">
        <f t="shared" si="5"/>
        <v>2.6999999999999997</v>
      </c>
      <c r="N18" s="574"/>
      <c r="O18" s="209">
        <v>9000</v>
      </c>
      <c r="P18" s="526">
        <v>0</v>
      </c>
      <c r="Q18" s="210">
        <v>9.9999999999999995E-7</v>
      </c>
      <c r="R18" s="209" t="s">
        <v>128</v>
      </c>
      <c r="S18" s="211">
        <f t="shared" si="2"/>
        <v>0.89999999999999991</v>
      </c>
      <c r="T18" s="213">
        <f t="shared" si="3"/>
        <v>2.6999999999999997</v>
      </c>
      <c r="V18" s="228"/>
      <c r="W18" s="228"/>
      <c r="X18" s="288"/>
      <c r="Y18" s="289"/>
      <c r="Z18" s="290"/>
      <c r="AA18" s="768"/>
      <c r="AB18" s="228"/>
      <c r="AC18" s="228"/>
      <c r="AD18" s="288"/>
      <c r="AE18" s="289"/>
      <c r="AF18" s="290"/>
    </row>
    <row r="19" spans="1:32" ht="12.75" customHeight="1" x14ac:dyDescent="0.25">
      <c r="A19" s="209">
        <v>10000</v>
      </c>
      <c r="B19" s="526">
        <v>0</v>
      </c>
      <c r="C19" s="526">
        <v>0</v>
      </c>
      <c r="D19" s="210" t="s">
        <v>128</v>
      </c>
      <c r="E19" s="211">
        <f t="shared" si="0"/>
        <v>0.99999999999999978</v>
      </c>
      <c r="F19" s="213">
        <f t="shared" si="4"/>
        <v>2.9999999999999996</v>
      </c>
      <c r="G19" s="776"/>
      <c r="H19" s="209">
        <v>10000</v>
      </c>
      <c r="I19" s="210" t="s">
        <v>128</v>
      </c>
      <c r="J19" s="210" t="s">
        <v>128</v>
      </c>
      <c r="K19" s="210">
        <v>9.9999999999999995E-7</v>
      </c>
      <c r="L19" s="211">
        <f t="shared" si="1"/>
        <v>0.99999999999999978</v>
      </c>
      <c r="M19" s="213">
        <f t="shared" si="5"/>
        <v>2.9999999999999996</v>
      </c>
      <c r="N19" s="574"/>
      <c r="O19" s="209">
        <v>10000</v>
      </c>
      <c r="P19" s="526">
        <v>0</v>
      </c>
      <c r="Q19" s="210">
        <v>9.9999999999999995E-7</v>
      </c>
      <c r="R19" s="210">
        <v>9.9999999999999995E-7</v>
      </c>
      <c r="S19" s="211">
        <f t="shared" si="2"/>
        <v>0</v>
      </c>
      <c r="T19" s="213">
        <f t="shared" si="3"/>
        <v>2.9999999999999996</v>
      </c>
      <c r="V19" s="228"/>
      <c r="W19" s="228"/>
      <c r="X19" s="288"/>
      <c r="Y19" s="228"/>
      <c r="Z19" s="228"/>
      <c r="AA19" s="768"/>
      <c r="AB19" s="228"/>
      <c r="AC19" s="228"/>
      <c r="AD19" s="288"/>
      <c r="AE19" s="228"/>
      <c r="AF19" s="228"/>
    </row>
    <row r="20" spans="1:32" ht="12.75" customHeight="1" x14ac:dyDescent="0.25">
      <c r="A20" s="209">
        <v>50000</v>
      </c>
      <c r="B20" s="526">
        <v>0</v>
      </c>
      <c r="C20" s="526">
        <v>0</v>
      </c>
      <c r="D20" s="210">
        <v>9.9999999999999995E-7</v>
      </c>
      <c r="E20" s="211">
        <f t="shared" si="0"/>
        <v>4.9999999999999998E-7</v>
      </c>
      <c r="F20" s="213">
        <f>0.03%*A20</f>
        <v>14.999999999999998</v>
      </c>
      <c r="G20" s="776"/>
      <c r="H20" s="209">
        <v>50000</v>
      </c>
      <c r="I20" s="210" t="s">
        <v>128</v>
      </c>
      <c r="J20" s="210">
        <v>9.9999999999999995E-7</v>
      </c>
      <c r="K20" s="210">
        <v>9.9999999999999995E-7</v>
      </c>
      <c r="L20" s="211">
        <f t="shared" si="1"/>
        <v>0</v>
      </c>
      <c r="M20" s="213">
        <f t="shared" si="5"/>
        <v>14.999999999999998</v>
      </c>
      <c r="N20" s="574"/>
      <c r="O20" s="209">
        <v>50000</v>
      </c>
      <c r="P20" s="526">
        <v>0</v>
      </c>
      <c r="Q20" s="210">
        <v>9.9999999999999995E-7</v>
      </c>
      <c r="R20" s="210">
        <v>9.9999999999999995E-7</v>
      </c>
      <c r="S20" s="211">
        <f t="shared" si="2"/>
        <v>0</v>
      </c>
      <c r="T20" s="213">
        <f t="shared" si="3"/>
        <v>14.999999999999998</v>
      </c>
      <c r="V20" s="228"/>
      <c r="W20" s="228"/>
      <c r="X20" s="288"/>
      <c r="Y20" s="228"/>
      <c r="Z20" s="228"/>
      <c r="AA20" s="768"/>
      <c r="AB20" s="228"/>
      <c r="AC20" s="228"/>
      <c r="AD20" s="288"/>
      <c r="AE20" s="228"/>
      <c r="AF20" s="228"/>
    </row>
    <row r="21" spans="1:32" ht="12.75" customHeight="1" x14ac:dyDescent="0.25">
      <c r="A21" s="758">
        <v>99000</v>
      </c>
      <c r="B21" s="209">
        <v>2</v>
      </c>
      <c r="C21" s="209">
        <v>0</v>
      </c>
      <c r="D21" s="210">
        <v>9.9999999999999995E-7</v>
      </c>
      <c r="E21" s="211">
        <f>IFERROR(IF(OR(C21="-",D21="-"),1/3*F21,0.5*(MAX(C21:D21)-MIN(C21:D21))),0)</f>
        <v>4.9999999999999998E-7</v>
      </c>
      <c r="F21" s="213">
        <f t="shared" si="4"/>
        <v>29.699999999999996</v>
      </c>
      <c r="G21" s="777"/>
      <c r="H21" s="758">
        <v>95000</v>
      </c>
      <c r="I21" s="210" t="s">
        <v>128</v>
      </c>
      <c r="J21" s="210">
        <v>9.9999999999999995E-7</v>
      </c>
      <c r="K21" s="425" t="s">
        <v>128</v>
      </c>
      <c r="L21" s="211">
        <f>IFERROR(IF(OR(J21="-",K21="-"),1/3*M21,0.5*(MAX(J21:K21)-MIN(J21:K21))),0)</f>
        <v>9.4999999999999982</v>
      </c>
      <c r="M21" s="213">
        <f>0.03%*H21</f>
        <v>28.499999999999996</v>
      </c>
      <c r="N21" s="574"/>
      <c r="O21" s="758">
        <v>95000</v>
      </c>
      <c r="P21" s="526">
        <v>0</v>
      </c>
      <c r="Q21" s="210">
        <v>9.9999999999999995E-7</v>
      </c>
      <c r="R21" s="210">
        <v>9.9999999999999995E-7</v>
      </c>
      <c r="S21" s="211">
        <f>IFERROR(IF(OR(Q21="-",R21="-"),1/3*T21,0.5*(MAX(Q21:R21)-MIN(Q21:R21))),0)</f>
        <v>0</v>
      </c>
      <c r="T21" s="213">
        <f t="shared" si="3"/>
        <v>28.499999999999996</v>
      </c>
      <c r="V21" s="228"/>
      <c r="W21" s="228"/>
      <c r="X21" s="288"/>
      <c r="Y21" s="228"/>
      <c r="Z21" s="228"/>
      <c r="AA21" s="768"/>
      <c r="AB21" s="228"/>
      <c r="AC21" s="228"/>
      <c r="AD21" s="288"/>
      <c r="AE21" s="228"/>
      <c r="AF21" s="228"/>
    </row>
    <row r="22" spans="1:32" ht="12.75" customHeight="1" x14ac:dyDescent="0.3">
      <c r="A22" s="1453"/>
      <c r="B22" s="1454"/>
      <c r="C22" s="1454"/>
      <c r="D22" s="1454"/>
      <c r="E22" s="1454"/>
      <c r="F22" s="1455"/>
      <c r="G22" s="772"/>
      <c r="H22" s="1456"/>
      <c r="I22" s="1457"/>
      <c r="J22" s="1457"/>
      <c r="K22" s="1457"/>
      <c r="L22" s="1457"/>
      <c r="M22" s="1458"/>
      <c r="N22" s="719"/>
      <c r="O22" s="1459"/>
      <c r="P22" s="1454"/>
      <c r="Q22" s="1454"/>
      <c r="R22" s="1454"/>
      <c r="S22" s="1454"/>
      <c r="T22" s="1460"/>
      <c r="V22" s="574"/>
      <c r="W22" s="574"/>
      <c r="X22" s="574"/>
      <c r="Y22" s="574"/>
      <c r="Z22" s="574"/>
      <c r="AA22" s="768"/>
      <c r="AB22" s="719"/>
      <c r="AC22" s="719"/>
      <c r="AD22" s="719"/>
      <c r="AE22" s="719"/>
      <c r="AF22" s="719"/>
    </row>
    <row r="23" spans="1:32" ht="15.75" customHeight="1" x14ac:dyDescent="0.3">
      <c r="A23" s="1449" t="s">
        <v>300</v>
      </c>
      <c r="B23" s="1449"/>
      <c r="C23" s="1449"/>
      <c r="D23" s="1449"/>
      <c r="E23" s="1446" t="s">
        <v>294</v>
      </c>
      <c r="F23" s="1447" t="str">
        <f>F3</f>
        <v>U95 STD</v>
      </c>
      <c r="G23" s="772"/>
      <c r="H23" s="1443" t="s">
        <v>301</v>
      </c>
      <c r="I23" s="1444"/>
      <c r="J23" s="1444"/>
      <c r="K23" s="1445"/>
      <c r="L23" s="1446" t="s">
        <v>294</v>
      </c>
      <c r="M23" s="1447" t="str">
        <f>F23</f>
        <v>U95 STD</v>
      </c>
      <c r="N23" s="719"/>
      <c r="O23" s="1443" t="s">
        <v>302</v>
      </c>
      <c r="P23" s="1444"/>
      <c r="Q23" s="1444"/>
      <c r="R23" s="1445"/>
      <c r="S23" s="1446" t="s">
        <v>294</v>
      </c>
      <c r="T23" s="1448" t="str">
        <f>M23</f>
        <v>U95 STD</v>
      </c>
      <c r="V23" s="765"/>
      <c r="W23" s="765"/>
      <c r="X23" s="765"/>
      <c r="Y23" s="766"/>
      <c r="Z23" s="767"/>
      <c r="AA23" s="768"/>
      <c r="AB23" s="765"/>
      <c r="AC23" s="765"/>
      <c r="AD23" s="765"/>
      <c r="AE23" s="766"/>
      <c r="AF23" s="767"/>
    </row>
    <row r="24" spans="1:32" ht="12.75" customHeight="1" x14ac:dyDescent="0.3">
      <c r="A24" s="770" t="str">
        <f>A4</f>
        <v>Kecepatan</v>
      </c>
      <c r="B24" s="771"/>
      <c r="C24" s="1446" t="s">
        <v>298</v>
      </c>
      <c r="D24" s="1446"/>
      <c r="E24" s="1446"/>
      <c r="F24" s="1447"/>
      <c r="G24" s="772"/>
      <c r="H24" s="649" t="str">
        <f>A24</f>
        <v>Kecepatan</v>
      </c>
      <c r="I24" s="649"/>
      <c r="J24" s="1446" t="s">
        <v>298</v>
      </c>
      <c r="K24" s="1446"/>
      <c r="L24" s="1446"/>
      <c r="M24" s="1447"/>
      <c r="N24" s="719"/>
      <c r="O24" s="649" t="str">
        <f>H24</f>
        <v>Kecepatan</v>
      </c>
      <c r="P24" s="649"/>
      <c r="Q24" s="1446" t="s">
        <v>298</v>
      </c>
      <c r="R24" s="1446"/>
      <c r="S24" s="1446"/>
      <c r="T24" s="1448"/>
      <c r="V24" s="573"/>
      <c r="W24" s="766"/>
      <c r="X24" s="766"/>
      <c r="Y24" s="766"/>
      <c r="Z24" s="767"/>
      <c r="AA24" s="768"/>
      <c r="AB24" s="573"/>
      <c r="AC24" s="766"/>
      <c r="AD24" s="766"/>
      <c r="AE24" s="766"/>
      <c r="AF24" s="767"/>
    </row>
    <row r="25" spans="1:32" ht="15" customHeight="1" x14ac:dyDescent="0.3">
      <c r="A25" s="773" t="str">
        <f>A5</f>
        <v>rpm</v>
      </c>
      <c r="B25" s="564">
        <v>2022</v>
      </c>
      <c r="C25" s="565">
        <v>2020</v>
      </c>
      <c r="D25" s="565">
        <v>2018</v>
      </c>
      <c r="E25" s="1446"/>
      <c r="F25" s="1447"/>
      <c r="G25" s="772"/>
      <c r="H25" s="619" t="str">
        <f>A25</f>
        <v>rpm</v>
      </c>
      <c r="I25" s="564">
        <v>2022</v>
      </c>
      <c r="J25" s="565">
        <v>2021</v>
      </c>
      <c r="K25" s="565">
        <v>2019</v>
      </c>
      <c r="L25" s="1446"/>
      <c r="M25" s="1447"/>
      <c r="N25" s="719"/>
      <c r="O25" s="619" t="str">
        <f>H25</f>
        <v>rpm</v>
      </c>
      <c r="P25" s="564">
        <v>2023</v>
      </c>
      <c r="Q25" s="564">
        <v>2022</v>
      </c>
      <c r="R25" s="566">
        <v>2021</v>
      </c>
      <c r="S25" s="1446"/>
      <c r="T25" s="1448"/>
      <c r="V25" s="774"/>
      <c r="W25" s="573"/>
      <c r="X25" s="573"/>
      <c r="Y25" s="766"/>
      <c r="Z25" s="767"/>
      <c r="AA25" s="768"/>
      <c r="AB25" s="774"/>
      <c r="AC25" s="573"/>
      <c r="AD25" s="573"/>
      <c r="AE25" s="766"/>
      <c r="AF25" s="767"/>
    </row>
    <row r="26" spans="1:32" ht="12.75" customHeight="1" x14ac:dyDescent="0.3">
      <c r="A26" s="757">
        <v>0</v>
      </c>
      <c r="B26" s="526">
        <v>0</v>
      </c>
      <c r="C26" s="210">
        <v>9.9999999999999995E-7</v>
      </c>
      <c r="D26" s="210">
        <v>9.9999999999999995E-7</v>
      </c>
      <c r="E26" s="211">
        <f>IFERROR(IF(OR(C26="-",D26="-"),1/3*F26,0.5*(MAX(C26:D26)-MIN(C26:D26))),0)</f>
        <v>0</v>
      </c>
      <c r="F26" s="213">
        <f>0.03%*(A26-B26)</f>
        <v>0</v>
      </c>
      <c r="G26" s="772"/>
      <c r="H26" s="757">
        <v>0</v>
      </c>
      <c r="I26" s="526">
        <v>0</v>
      </c>
      <c r="J26" s="210">
        <v>9.9999999999999995E-7</v>
      </c>
      <c r="K26" s="210">
        <v>9.9999999999999995E-7</v>
      </c>
      <c r="L26" s="211">
        <f>IFERROR(IF(OR(J26="-",K26="-"),1/3*M26,0.5*(MAX(J26:K26)-MIN(J26:K26))),0)</f>
        <v>0</v>
      </c>
      <c r="M26" s="213">
        <f>(H26-I26)*0.03%</f>
        <v>0</v>
      </c>
      <c r="N26" s="719"/>
      <c r="O26" s="757">
        <v>0</v>
      </c>
      <c r="P26" s="526">
        <v>0</v>
      </c>
      <c r="Q26" s="526">
        <v>0</v>
      </c>
      <c r="R26" s="210">
        <v>9.9999999999999995E-7</v>
      </c>
      <c r="S26" s="213">
        <f>IFERROR(IF(OR(Q26="-",R26="-"),1/3*T26,0.5*(MAX(Q26:R26)-MIN(Q26:R26))),0)</f>
        <v>4.9999999999999998E-7</v>
      </c>
      <c r="T26" s="7">
        <f>0.03%*(O26-P26)</f>
        <v>0</v>
      </c>
      <c r="V26" s="228"/>
      <c r="W26" s="228"/>
      <c r="X26" s="290"/>
      <c r="Y26" s="289"/>
      <c r="Z26" s="290"/>
      <c r="AA26" s="768"/>
      <c r="AB26" s="228"/>
      <c r="AC26" s="228"/>
      <c r="AD26" s="290"/>
      <c r="AE26" s="289"/>
      <c r="AF26" s="290"/>
    </row>
    <row r="27" spans="1:32" ht="12.75" customHeight="1" x14ac:dyDescent="0.3">
      <c r="A27" s="526">
        <v>50</v>
      </c>
      <c r="B27" s="526">
        <v>1</v>
      </c>
      <c r="C27" s="209">
        <v>1</v>
      </c>
      <c r="D27" s="209" t="s">
        <v>128</v>
      </c>
      <c r="E27" s="211">
        <f>IFERROR(IF(OR(C27="-",D27="-"),1/3*F27,0.5*(MAX(C27:D27)-MIN(C27:D27))),0)</f>
        <v>4.8999999999999998E-3</v>
      </c>
      <c r="F27" s="213">
        <f t="shared" ref="F27:F41" si="6">0.03%*(A27-B27)</f>
        <v>1.47E-2</v>
      </c>
      <c r="G27" s="772"/>
      <c r="H27" s="757">
        <v>50</v>
      </c>
      <c r="I27" s="526">
        <v>0</v>
      </c>
      <c r="J27" s="210">
        <v>9.9999999999999995E-7</v>
      </c>
      <c r="K27" s="210">
        <v>9.9999999999999995E-7</v>
      </c>
      <c r="L27" s="211">
        <f t="shared" ref="L27:L41" si="7">IFERROR(IF(OR(J27="-",K27="-"),1/3*M27,0.5*(MAX(J27:K27)-MIN(J27:K27))),0)</f>
        <v>0</v>
      </c>
      <c r="M27" s="213">
        <f t="shared" ref="M27:M41" si="8">(H27-I27)*0.03%</f>
        <v>1.4999999999999999E-2</v>
      </c>
      <c r="N27" s="719"/>
      <c r="O27" s="209">
        <v>50</v>
      </c>
      <c r="P27" s="526">
        <v>0</v>
      </c>
      <c r="Q27" s="526">
        <v>0</v>
      </c>
      <c r="R27" s="210">
        <v>9.9999999999999995E-7</v>
      </c>
      <c r="S27" s="213">
        <f t="shared" ref="S27:S41" si="9">IFERROR(IF(OR(Q27="-",R27="-"),1/3*T27,0.5*(MAX(Q27:R27)-MIN(Q27:R27))),0)</f>
        <v>4.9999999999999998E-7</v>
      </c>
      <c r="T27" s="7">
        <f>0.03%*(O27-P27)</f>
        <v>1.4999999999999999E-2</v>
      </c>
      <c r="V27" s="228"/>
      <c r="W27" s="228"/>
      <c r="X27" s="290"/>
      <c r="Y27" s="289"/>
      <c r="Z27" s="290"/>
      <c r="AA27" s="768"/>
      <c r="AB27" s="228"/>
      <c r="AC27" s="228"/>
      <c r="AD27" s="290"/>
      <c r="AE27" s="289"/>
      <c r="AF27" s="290"/>
    </row>
    <row r="28" spans="1:32" ht="12.75" customHeight="1" x14ac:dyDescent="0.3">
      <c r="A28" s="526">
        <v>100</v>
      </c>
      <c r="B28" s="526">
        <v>1</v>
      </c>
      <c r="C28" s="209">
        <v>1</v>
      </c>
      <c r="D28" s="209" t="s">
        <v>128</v>
      </c>
      <c r="E28" s="211">
        <f t="shared" ref="E28:E41" si="10">IFERROR(IF(OR(C28="-",D28="-"),1/3*F28,0.5*(MAX(C28:D28)-MIN(C28:D28))),0)</f>
        <v>9.8999999999999991E-3</v>
      </c>
      <c r="F28" s="213">
        <f t="shared" si="6"/>
        <v>2.9699999999999997E-2</v>
      </c>
      <c r="G28" s="772"/>
      <c r="H28" s="209">
        <v>100</v>
      </c>
      <c r="I28" s="526">
        <v>0</v>
      </c>
      <c r="J28" s="210">
        <v>9.9999999999999995E-7</v>
      </c>
      <c r="K28" s="210">
        <v>9.9999999999999995E-7</v>
      </c>
      <c r="L28" s="211">
        <f t="shared" si="7"/>
        <v>0</v>
      </c>
      <c r="M28" s="213">
        <f t="shared" si="8"/>
        <v>0.03</v>
      </c>
      <c r="N28" s="719"/>
      <c r="O28" s="209">
        <v>100</v>
      </c>
      <c r="P28" s="526">
        <v>0</v>
      </c>
      <c r="Q28" s="526">
        <v>0.1</v>
      </c>
      <c r="R28" s="210">
        <v>9.9999999999999995E-7</v>
      </c>
      <c r="S28" s="213">
        <f t="shared" si="9"/>
        <v>4.9999500000000002E-2</v>
      </c>
      <c r="T28" s="7">
        <f t="shared" ref="T28:T41" si="11">0.03%*(O28-P28)</f>
        <v>0.03</v>
      </c>
      <c r="V28" s="228"/>
      <c r="W28" s="228"/>
      <c r="X28" s="290"/>
      <c r="Y28" s="289"/>
      <c r="Z28" s="290"/>
      <c r="AA28" s="768"/>
      <c r="AB28" s="228"/>
      <c r="AC28" s="228"/>
      <c r="AD28" s="290"/>
      <c r="AE28" s="289"/>
      <c r="AF28" s="290"/>
    </row>
    <row r="29" spans="1:32" ht="12.75" customHeight="1" x14ac:dyDescent="0.3">
      <c r="A29" s="209">
        <v>200</v>
      </c>
      <c r="B29" s="526">
        <v>1</v>
      </c>
      <c r="C29" s="209">
        <v>1</v>
      </c>
      <c r="D29" s="210">
        <v>9.9999999999999995E-7</v>
      </c>
      <c r="E29" s="211">
        <f t="shared" si="10"/>
        <v>0.49999949999999999</v>
      </c>
      <c r="F29" s="213">
        <f t="shared" si="6"/>
        <v>5.9699999999999996E-2</v>
      </c>
      <c r="G29" s="772"/>
      <c r="H29" s="209">
        <v>200</v>
      </c>
      <c r="I29" s="526">
        <v>0</v>
      </c>
      <c r="J29" s="210">
        <v>9.9999999999999995E-7</v>
      </c>
      <c r="K29" s="210">
        <v>9.9999999999999995E-7</v>
      </c>
      <c r="L29" s="211">
        <f t="shared" si="7"/>
        <v>0</v>
      </c>
      <c r="M29" s="213">
        <f t="shared" si="8"/>
        <v>0.06</v>
      </c>
      <c r="N29" s="719"/>
      <c r="O29" s="209">
        <v>200</v>
      </c>
      <c r="P29" s="526">
        <v>0</v>
      </c>
      <c r="Q29" s="526">
        <v>0</v>
      </c>
      <c r="R29" s="210">
        <v>9.9999999999999995E-7</v>
      </c>
      <c r="S29" s="213">
        <f t="shared" si="9"/>
        <v>4.9999999999999998E-7</v>
      </c>
      <c r="T29" s="7">
        <f t="shared" si="11"/>
        <v>0.06</v>
      </c>
      <c r="V29" s="228"/>
      <c r="W29" s="228"/>
      <c r="X29" s="290"/>
      <c r="Y29" s="289"/>
      <c r="Z29" s="290"/>
      <c r="AA29" s="768"/>
      <c r="AB29" s="228"/>
      <c r="AC29" s="228"/>
      <c r="AD29" s="290"/>
      <c r="AE29" s="289"/>
      <c r="AF29" s="290"/>
    </row>
    <row r="30" spans="1:32" ht="12.75" customHeight="1" x14ac:dyDescent="0.3">
      <c r="A30" s="209">
        <v>1000</v>
      </c>
      <c r="B30" s="526">
        <v>1</v>
      </c>
      <c r="C30" s="209">
        <v>1</v>
      </c>
      <c r="D30" s="210">
        <v>9.9999999999999995E-7</v>
      </c>
      <c r="E30" s="211">
        <f t="shared" si="10"/>
        <v>0.49999949999999999</v>
      </c>
      <c r="F30" s="213">
        <f t="shared" si="6"/>
        <v>0.29969999999999997</v>
      </c>
      <c r="G30" s="772"/>
      <c r="H30" s="209">
        <v>1000</v>
      </c>
      <c r="I30" s="526">
        <v>-0.1</v>
      </c>
      <c r="J30" s="210">
        <v>9.9999999999999995E-7</v>
      </c>
      <c r="K30" s="209">
        <v>-0.1</v>
      </c>
      <c r="L30" s="211">
        <f t="shared" si="7"/>
        <v>5.0000500000000003E-2</v>
      </c>
      <c r="M30" s="213">
        <f t="shared" si="8"/>
        <v>0.30002999999999996</v>
      </c>
      <c r="N30" s="719"/>
      <c r="O30" s="209">
        <v>1000</v>
      </c>
      <c r="P30" s="526">
        <v>0</v>
      </c>
      <c r="Q30" s="526">
        <v>0</v>
      </c>
      <c r="R30" s="209">
        <v>-0.1</v>
      </c>
      <c r="S30" s="213">
        <f t="shared" si="9"/>
        <v>0.05</v>
      </c>
      <c r="T30" s="7">
        <f t="shared" si="11"/>
        <v>0.3</v>
      </c>
      <c r="V30" s="228"/>
      <c r="W30" s="228"/>
      <c r="X30" s="290"/>
      <c r="Y30" s="289"/>
      <c r="Z30" s="290"/>
      <c r="AA30" s="768"/>
      <c r="AB30" s="228"/>
      <c r="AC30" s="228"/>
      <c r="AD30" s="290"/>
      <c r="AE30" s="289"/>
      <c r="AF30" s="290"/>
    </row>
    <row r="31" spans="1:32" ht="12.75" customHeight="1" x14ac:dyDescent="0.3">
      <c r="A31" s="209">
        <v>2000</v>
      </c>
      <c r="B31" s="526">
        <v>1</v>
      </c>
      <c r="C31" s="209">
        <v>1</v>
      </c>
      <c r="D31" s="210">
        <v>9.9999999999999995E-7</v>
      </c>
      <c r="E31" s="211">
        <f t="shared" si="10"/>
        <v>0.49999949999999999</v>
      </c>
      <c r="F31" s="213">
        <f t="shared" si="6"/>
        <v>0.5996999999999999</v>
      </c>
      <c r="G31" s="772"/>
      <c r="H31" s="209">
        <v>2000</v>
      </c>
      <c r="I31" s="526">
        <v>-0.1</v>
      </c>
      <c r="J31" s="209">
        <v>-0.1</v>
      </c>
      <c r="K31" s="209">
        <v>-0.1</v>
      </c>
      <c r="L31" s="211">
        <f t="shared" si="7"/>
        <v>0</v>
      </c>
      <c r="M31" s="213">
        <f t="shared" si="8"/>
        <v>0.60002999999999995</v>
      </c>
      <c r="N31" s="719"/>
      <c r="O31" s="209">
        <v>2000</v>
      </c>
      <c r="P31" s="526">
        <v>-0.1</v>
      </c>
      <c r="Q31" s="526">
        <v>-0.1</v>
      </c>
      <c r="R31" s="210">
        <v>-0.1</v>
      </c>
      <c r="S31" s="213">
        <f t="shared" si="9"/>
        <v>0</v>
      </c>
      <c r="T31" s="7">
        <f t="shared" si="11"/>
        <v>0.60002999999999995</v>
      </c>
      <c r="V31" s="228"/>
      <c r="W31" s="228"/>
      <c r="X31" s="288"/>
      <c r="Y31" s="289"/>
      <c r="Z31" s="290"/>
      <c r="AA31" s="768"/>
      <c r="AB31" s="228"/>
      <c r="AC31" s="228"/>
      <c r="AD31" s="288"/>
      <c r="AE31" s="289"/>
      <c r="AF31" s="290"/>
    </row>
    <row r="32" spans="1:32" ht="12.75" customHeight="1" x14ac:dyDescent="0.3">
      <c r="A32" s="209">
        <v>3000</v>
      </c>
      <c r="B32" s="526">
        <v>1</v>
      </c>
      <c r="C32" s="210">
        <v>1</v>
      </c>
      <c r="D32" s="210">
        <v>1</v>
      </c>
      <c r="E32" s="211">
        <f t="shared" si="10"/>
        <v>0</v>
      </c>
      <c r="F32" s="213">
        <f t="shared" si="6"/>
        <v>0.89969999999999994</v>
      </c>
      <c r="G32" s="772"/>
      <c r="H32" s="209">
        <v>3000</v>
      </c>
      <c r="I32" s="526">
        <v>-0.1</v>
      </c>
      <c r="J32" s="209">
        <v>-0.1</v>
      </c>
      <c r="K32" s="209">
        <v>-0.1</v>
      </c>
      <c r="L32" s="211">
        <f t="shared" si="7"/>
        <v>0</v>
      </c>
      <c r="M32" s="213">
        <f t="shared" si="8"/>
        <v>0.90002999999999989</v>
      </c>
      <c r="N32" s="719"/>
      <c r="O32" s="209">
        <v>3000</v>
      </c>
      <c r="P32" s="526">
        <v>-0.3</v>
      </c>
      <c r="Q32" s="526">
        <v>-0.1</v>
      </c>
      <c r="R32" s="210">
        <v>-0.1</v>
      </c>
      <c r="S32" s="213">
        <f t="shared" si="9"/>
        <v>0</v>
      </c>
      <c r="T32" s="7">
        <f t="shared" si="11"/>
        <v>0.90008999999999995</v>
      </c>
      <c r="V32" s="228"/>
      <c r="W32" s="228"/>
      <c r="X32" s="288"/>
      <c r="Y32" s="289"/>
      <c r="Z32" s="290"/>
      <c r="AA32" s="768"/>
      <c r="AB32" s="228"/>
      <c r="AC32" s="228"/>
      <c r="AD32" s="288"/>
      <c r="AE32" s="289"/>
      <c r="AF32" s="290"/>
    </row>
    <row r="33" spans="1:32" ht="12.75" customHeight="1" x14ac:dyDescent="0.3">
      <c r="A33" s="209">
        <v>4000</v>
      </c>
      <c r="B33" s="526">
        <v>1</v>
      </c>
      <c r="C33" s="210">
        <v>1</v>
      </c>
      <c r="D33" s="210">
        <v>1</v>
      </c>
      <c r="E33" s="211">
        <f t="shared" si="10"/>
        <v>0</v>
      </c>
      <c r="F33" s="213">
        <f t="shared" si="6"/>
        <v>1.1997</v>
      </c>
      <c r="G33" s="772"/>
      <c r="H33" s="209">
        <v>4000</v>
      </c>
      <c r="I33" s="526">
        <v>-0.2</v>
      </c>
      <c r="J33" s="209">
        <v>-0.2</v>
      </c>
      <c r="K33" s="209">
        <v>-0.2</v>
      </c>
      <c r="L33" s="211">
        <f t="shared" si="7"/>
        <v>0</v>
      </c>
      <c r="M33" s="213">
        <f t="shared" si="8"/>
        <v>1.2000599999999999</v>
      </c>
      <c r="N33" s="719"/>
      <c r="O33" s="209">
        <v>4000</v>
      </c>
      <c r="P33" s="526">
        <v>-0.2</v>
      </c>
      <c r="Q33" s="526">
        <v>-0.2</v>
      </c>
      <c r="R33" s="210">
        <v>-0.2</v>
      </c>
      <c r="S33" s="213">
        <f t="shared" si="9"/>
        <v>0</v>
      </c>
      <c r="T33" s="7">
        <f t="shared" si="11"/>
        <v>1.2000599999999999</v>
      </c>
      <c r="V33" s="228"/>
      <c r="W33" s="228"/>
      <c r="X33" s="288"/>
      <c r="Y33" s="289"/>
      <c r="Z33" s="290"/>
      <c r="AA33" s="768"/>
      <c r="AB33" s="228"/>
      <c r="AC33" s="228"/>
      <c r="AD33" s="288"/>
      <c r="AE33" s="289"/>
      <c r="AF33" s="290"/>
    </row>
    <row r="34" spans="1:32" ht="12.75" customHeight="1" x14ac:dyDescent="0.3">
      <c r="A34" s="209">
        <v>5000</v>
      </c>
      <c r="B34" s="526">
        <v>1</v>
      </c>
      <c r="C34" s="210">
        <v>1</v>
      </c>
      <c r="D34" s="210">
        <v>1</v>
      </c>
      <c r="E34" s="211">
        <f t="shared" si="10"/>
        <v>0</v>
      </c>
      <c r="F34" s="213">
        <f t="shared" si="6"/>
        <v>1.4996999999999998</v>
      </c>
      <c r="G34" s="772"/>
      <c r="H34" s="209">
        <v>5000</v>
      </c>
      <c r="I34" s="526">
        <v>-0.3</v>
      </c>
      <c r="J34" s="209">
        <v>-0.3</v>
      </c>
      <c r="K34" s="209">
        <v>-0.2</v>
      </c>
      <c r="L34" s="211">
        <f t="shared" si="7"/>
        <v>4.9999999999999989E-2</v>
      </c>
      <c r="M34" s="213">
        <f t="shared" si="8"/>
        <v>1.5000899999999999</v>
      </c>
      <c r="N34" s="719"/>
      <c r="O34" s="209">
        <v>5000</v>
      </c>
      <c r="P34" s="526">
        <v>-0.2</v>
      </c>
      <c r="Q34" s="526">
        <v>-0.2</v>
      </c>
      <c r="R34" s="210">
        <v>-0.3</v>
      </c>
      <c r="S34" s="213">
        <f t="shared" si="9"/>
        <v>4.9999999999999989E-2</v>
      </c>
      <c r="T34" s="7">
        <f t="shared" si="11"/>
        <v>1.5000599999999997</v>
      </c>
      <c r="V34" s="228"/>
      <c r="W34" s="228"/>
      <c r="X34" s="288"/>
      <c r="Y34" s="289"/>
      <c r="Z34" s="290"/>
      <c r="AA34" s="768"/>
      <c r="AB34" s="228"/>
      <c r="AC34" s="228"/>
      <c r="AD34" s="288"/>
      <c r="AE34" s="289"/>
      <c r="AF34" s="290"/>
    </row>
    <row r="35" spans="1:32" ht="12.75" customHeight="1" x14ac:dyDescent="0.3">
      <c r="A35" s="209">
        <v>6000</v>
      </c>
      <c r="B35" s="526">
        <v>1</v>
      </c>
      <c r="C35" s="210">
        <v>1</v>
      </c>
      <c r="D35" s="210" t="s">
        <v>128</v>
      </c>
      <c r="E35" s="211">
        <f t="shared" si="10"/>
        <v>0.59989999999999988</v>
      </c>
      <c r="F35" s="213">
        <f t="shared" si="6"/>
        <v>1.7996999999999999</v>
      </c>
      <c r="G35" s="772"/>
      <c r="H35" s="209">
        <v>6000</v>
      </c>
      <c r="I35" s="526">
        <v>-0.3</v>
      </c>
      <c r="J35" s="209">
        <v>-0.3</v>
      </c>
      <c r="K35" s="209">
        <v>-0.3</v>
      </c>
      <c r="L35" s="211">
        <f t="shared" si="7"/>
        <v>0</v>
      </c>
      <c r="M35" s="213">
        <f t="shared" si="8"/>
        <v>1.80009</v>
      </c>
      <c r="N35" s="719"/>
      <c r="O35" s="209">
        <v>6000</v>
      </c>
      <c r="P35" s="526">
        <v>-0.3</v>
      </c>
      <c r="Q35" s="526">
        <v>-0.3</v>
      </c>
      <c r="R35" s="210">
        <v>-0.3</v>
      </c>
      <c r="S35" s="213">
        <f t="shared" si="9"/>
        <v>0</v>
      </c>
      <c r="T35" s="7">
        <f t="shared" si="11"/>
        <v>1.80009</v>
      </c>
      <c r="V35" s="228"/>
      <c r="W35" s="228"/>
      <c r="X35" s="288"/>
      <c r="Y35" s="289"/>
      <c r="Z35" s="290"/>
      <c r="AA35" s="768"/>
      <c r="AB35" s="228"/>
      <c r="AC35" s="228"/>
      <c r="AD35" s="288"/>
      <c r="AE35" s="289"/>
      <c r="AF35" s="290"/>
    </row>
    <row r="36" spans="1:32" ht="12.75" customHeight="1" x14ac:dyDescent="0.3">
      <c r="A36" s="209">
        <v>7000</v>
      </c>
      <c r="B36" s="526">
        <v>1</v>
      </c>
      <c r="C36" s="210">
        <v>1</v>
      </c>
      <c r="D36" s="210" t="s">
        <v>128</v>
      </c>
      <c r="E36" s="211">
        <f t="shared" si="10"/>
        <v>0.69989999999999997</v>
      </c>
      <c r="F36" s="213">
        <f t="shared" si="6"/>
        <v>2.0996999999999999</v>
      </c>
      <c r="G36" s="772"/>
      <c r="H36" s="209">
        <v>7000</v>
      </c>
      <c r="I36" s="526">
        <v>-0.4</v>
      </c>
      <c r="J36" s="209">
        <v>-0.4</v>
      </c>
      <c r="K36" s="209">
        <v>-0.3</v>
      </c>
      <c r="L36" s="211">
        <f t="shared" si="7"/>
        <v>5.0000000000000017E-2</v>
      </c>
      <c r="M36" s="213">
        <f t="shared" si="8"/>
        <v>2.1001199999999995</v>
      </c>
      <c r="N36" s="719"/>
      <c r="O36" s="209">
        <v>7000</v>
      </c>
      <c r="P36" s="526">
        <v>-0.2</v>
      </c>
      <c r="Q36" s="526">
        <v>-0.4</v>
      </c>
      <c r="R36" s="210">
        <v>-0.3</v>
      </c>
      <c r="S36" s="213">
        <f t="shared" si="9"/>
        <v>5.0000000000000017E-2</v>
      </c>
      <c r="T36" s="7">
        <f t="shared" si="11"/>
        <v>2.1000599999999996</v>
      </c>
      <c r="V36" s="228"/>
      <c r="W36" s="228"/>
      <c r="X36" s="288"/>
      <c r="Y36" s="289"/>
      <c r="Z36" s="290"/>
      <c r="AA36" s="768"/>
      <c r="AB36" s="228"/>
      <c r="AC36" s="228"/>
      <c r="AD36" s="288"/>
      <c r="AE36" s="289"/>
      <c r="AF36" s="290"/>
    </row>
    <row r="37" spans="1:32" ht="12.75" customHeight="1" x14ac:dyDescent="0.3">
      <c r="A37" s="209">
        <v>8000</v>
      </c>
      <c r="B37" s="526">
        <v>1</v>
      </c>
      <c r="C37" s="210">
        <v>1</v>
      </c>
      <c r="D37" s="210" t="s">
        <v>128</v>
      </c>
      <c r="E37" s="211">
        <f t="shared" si="10"/>
        <v>0.79989999999999983</v>
      </c>
      <c r="F37" s="213">
        <f t="shared" si="6"/>
        <v>2.3996999999999997</v>
      </c>
      <c r="G37" s="772"/>
      <c r="H37" s="209">
        <v>8000</v>
      </c>
      <c r="I37" s="526">
        <v>-0.4</v>
      </c>
      <c r="J37" s="209" t="s">
        <v>128</v>
      </c>
      <c r="K37" s="209">
        <v>-0.3</v>
      </c>
      <c r="L37" s="211">
        <f t="shared" si="7"/>
        <v>0.80003999999999986</v>
      </c>
      <c r="M37" s="213">
        <f t="shared" si="8"/>
        <v>2.4001199999999998</v>
      </c>
      <c r="N37" s="719"/>
      <c r="O37" s="209">
        <v>8000</v>
      </c>
      <c r="P37" s="526">
        <v>-0.4</v>
      </c>
      <c r="Q37" s="526">
        <v>-0.4</v>
      </c>
      <c r="R37" s="210" t="s">
        <v>128</v>
      </c>
      <c r="S37" s="213">
        <f t="shared" si="9"/>
        <v>0.80003999999999986</v>
      </c>
      <c r="T37" s="7">
        <f t="shared" si="11"/>
        <v>2.4001199999999998</v>
      </c>
      <c r="V37" s="228"/>
      <c r="W37" s="228"/>
      <c r="X37" s="288"/>
      <c r="Y37" s="289"/>
      <c r="Z37" s="290"/>
      <c r="AA37" s="768"/>
      <c r="AB37" s="228"/>
      <c r="AC37" s="228"/>
      <c r="AD37" s="288"/>
      <c r="AE37" s="289"/>
      <c r="AF37" s="290"/>
    </row>
    <row r="38" spans="1:32" ht="12.75" customHeight="1" x14ac:dyDescent="0.3">
      <c r="A38" s="209">
        <v>9000</v>
      </c>
      <c r="B38" s="526">
        <v>1</v>
      </c>
      <c r="C38" s="210">
        <v>1</v>
      </c>
      <c r="D38" s="210" t="s">
        <v>128</v>
      </c>
      <c r="E38" s="211">
        <f t="shared" si="10"/>
        <v>0.89989999999999981</v>
      </c>
      <c r="F38" s="213">
        <f t="shared" si="6"/>
        <v>2.6996999999999995</v>
      </c>
      <c r="G38" s="772"/>
      <c r="H38" s="209">
        <v>9000</v>
      </c>
      <c r="I38" s="526">
        <v>-0.4</v>
      </c>
      <c r="J38" s="209" t="s">
        <v>128</v>
      </c>
      <c r="K38" s="209">
        <v>-0.3</v>
      </c>
      <c r="L38" s="211">
        <f t="shared" si="7"/>
        <v>0.90003999999999984</v>
      </c>
      <c r="M38" s="213">
        <f t="shared" si="8"/>
        <v>2.7001199999999996</v>
      </c>
      <c r="N38" s="719"/>
      <c r="O38" s="209">
        <v>9000</v>
      </c>
      <c r="P38" s="526">
        <v>-0.4</v>
      </c>
      <c r="Q38" s="526">
        <v>-0.5</v>
      </c>
      <c r="R38" s="210" t="s">
        <v>128</v>
      </c>
      <c r="S38" s="213">
        <f t="shared" si="9"/>
        <v>0.90003999999999984</v>
      </c>
      <c r="T38" s="7">
        <f t="shared" si="11"/>
        <v>2.7001199999999996</v>
      </c>
      <c r="V38" s="228"/>
      <c r="W38" s="228"/>
      <c r="X38" s="288"/>
      <c r="Y38" s="289"/>
      <c r="Z38" s="290"/>
      <c r="AA38" s="768"/>
      <c r="AB38" s="228"/>
      <c r="AC38" s="228"/>
      <c r="AD38" s="288"/>
      <c r="AE38" s="289"/>
      <c r="AF38" s="290"/>
    </row>
    <row r="39" spans="1:32" ht="12.75" customHeight="1" x14ac:dyDescent="0.3">
      <c r="A39" s="209">
        <v>10000</v>
      </c>
      <c r="B39" s="526">
        <v>1</v>
      </c>
      <c r="C39" s="210" t="s">
        <v>128</v>
      </c>
      <c r="D39" s="210">
        <v>1</v>
      </c>
      <c r="E39" s="211">
        <f t="shared" si="10"/>
        <v>0.9998999999999999</v>
      </c>
      <c r="F39" s="213">
        <f t="shared" si="6"/>
        <v>2.9996999999999998</v>
      </c>
      <c r="G39" s="772"/>
      <c r="H39" s="209">
        <v>10000</v>
      </c>
      <c r="I39" s="526">
        <v>0</v>
      </c>
      <c r="J39" s="210">
        <v>9.9999999999999995E-7</v>
      </c>
      <c r="K39" s="210">
        <v>9.9999999999999995E-7</v>
      </c>
      <c r="L39" s="211">
        <f t="shared" si="7"/>
        <v>0</v>
      </c>
      <c r="M39" s="213">
        <f t="shared" si="8"/>
        <v>2.9999999999999996</v>
      </c>
      <c r="N39" s="719"/>
      <c r="O39" s="209">
        <v>10000</v>
      </c>
      <c r="P39" s="526">
        <v>0</v>
      </c>
      <c r="Q39" s="526">
        <v>0</v>
      </c>
      <c r="R39" s="210">
        <v>9.9999999999999995E-7</v>
      </c>
      <c r="S39" s="213">
        <f t="shared" si="9"/>
        <v>4.9999999999999998E-7</v>
      </c>
      <c r="T39" s="7">
        <f t="shared" si="11"/>
        <v>2.9999999999999996</v>
      </c>
      <c r="V39" s="228"/>
      <c r="W39" s="228"/>
      <c r="X39" s="288"/>
      <c r="Y39" s="228"/>
      <c r="Z39" s="228"/>
      <c r="AA39" s="768"/>
      <c r="AB39" s="228"/>
      <c r="AC39" s="228"/>
      <c r="AD39" s="288"/>
      <c r="AE39" s="228"/>
      <c r="AF39" s="228"/>
    </row>
    <row r="40" spans="1:32" ht="12.75" customHeight="1" x14ac:dyDescent="0.3">
      <c r="A40" s="209">
        <v>50000</v>
      </c>
      <c r="B40" s="526">
        <v>1</v>
      </c>
      <c r="C40" s="210" t="s">
        <v>128</v>
      </c>
      <c r="D40" s="210">
        <v>1</v>
      </c>
      <c r="E40" s="211">
        <f t="shared" si="10"/>
        <v>4.9998999999999993</v>
      </c>
      <c r="F40" s="213">
        <f t="shared" si="6"/>
        <v>14.999699999999999</v>
      </c>
      <c r="G40" s="772"/>
      <c r="H40" s="209">
        <v>50000</v>
      </c>
      <c r="I40" s="526">
        <v>-2</v>
      </c>
      <c r="J40" s="209">
        <v>-2</v>
      </c>
      <c r="K40" s="209">
        <v>-2</v>
      </c>
      <c r="L40" s="211">
        <f t="shared" si="7"/>
        <v>0</v>
      </c>
      <c r="M40" s="213">
        <f t="shared" si="8"/>
        <v>15.000599999999999</v>
      </c>
      <c r="N40" s="719"/>
      <c r="O40" s="209">
        <v>50000</v>
      </c>
      <c r="P40" s="526">
        <v>-2</v>
      </c>
      <c r="Q40" s="526">
        <v>0</v>
      </c>
      <c r="R40" s="210">
        <v>-2</v>
      </c>
      <c r="S40" s="213">
        <f t="shared" si="9"/>
        <v>1</v>
      </c>
      <c r="T40" s="7">
        <f>0.03%*(O40-P40)</f>
        <v>15.000599999999999</v>
      </c>
      <c r="V40" s="228"/>
      <c r="W40" s="228"/>
      <c r="X40" s="288"/>
      <c r="Y40" s="228"/>
      <c r="Z40" s="228"/>
      <c r="AA40" s="778"/>
      <c r="AB40" s="228"/>
      <c r="AC40" s="228"/>
      <c r="AD40" s="288"/>
      <c r="AE40" s="228"/>
      <c r="AF40" s="228"/>
    </row>
    <row r="41" spans="1:32" ht="12.75" customHeight="1" x14ac:dyDescent="0.25">
      <c r="A41" s="758">
        <v>99000</v>
      </c>
      <c r="B41" s="526">
        <v>1</v>
      </c>
      <c r="C41" s="209" t="s">
        <v>128</v>
      </c>
      <c r="D41" s="425" t="s">
        <v>128</v>
      </c>
      <c r="E41" s="211">
        <f t="shared" si="10"/>
        <v>9.8998999999999988</v>
      </c>
      <c r="F41" s="213">
        <f t="shared" si="6"/>
        <v>29.699699999999996</v>
      </c>
      <c r="G41" s="228"/>
      <c r="H41" s="758">
        <v>99000</v>
      </c>
      <c r="I41" s="209">
        <v>-5</v>
      </c>
      <c r="J41" s="209">
        <v>-4</v>
      </c>
      <c r="K41" s="425">
        <v>-4</v>
      </c>
      <c r="L41" s="211">
        <f t="shared" si="7"/>
        <v>0</v>
      </c>
      <c r="M41" s="213">
        <f t="shared" si="8"/>
        <v>29.701499999999996</v>
      </c>
      <c r="N41" s="291"/>
      <c r="O41" s="209">
        <v>99000</v>
      </c>
      <c r="P41" s="209">
        <v>-6</v>
      </c>
      <c r="Q41" s="209">
        <v>-4</v>
      </c>
      <c r="R41" s="210">
        <v>-3</v>
      </c>
      <c r="S41" s="213">
        <f t="shared" si="9"/>
        <v>0.5</v>
      </c>
      <c r="T41" s="7">
        <f t="shared" si="11"/>
        <v>29.701799999999999</v>
      </c>
      <c r="V41" s="228"/>
      <c r="W41" s="228"/>
      <c r="X41" s="228"/>
      <c r="Y41" s="228"/>
      <c r="Z41" s="228"/>
      <c r="AA41" s="228"/>
      <c r="AB41" s="228"/>
      <c r="AC41" s="228"/>
      <c r="AD41" s="228"/>
      <c r="AE41" s="228"/>
      <c r="AF41" s="228"/>
    </row>
    <row r="42" spans="1:32" ht="13" x14ac:dyDescent="0.3">
      <c r="A42" s="779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86"/>
      <c r="R42" s="686"/>
      <c r="S42" s="686"/>
      <c r="T42" s="780"/>
      <c r="V42" s="574"/>
      <c r="W42" s="574"/>
      <c r="X42" s="574"/>
      <c r="Y42" s="574"/>
      <c r="Z42" s="574"/>
      <c r="AA42" s="574"/>
      <c r="AB42" s="574"/>
      <c r="AC42" s="574"/>
      <c r="AD42" s="574"/>
      <c r="AE42" s="574"/>
      <c r="AF42" s="574"/>
    </row>
    <row r="43" spans="1:32" ht="15.75" customHeight="1" x14ac:dyDescent="0.3">
      <c r="A43" s="1443" t="s">
        <v>303</v>
      </c>
      <c r="B43" s="1444"/>
      <c r="C43" s="1444"/>
      <c r="D43" s="1445"/>
      <c r="E43" s="1446" t="s">
        <v>294</v>
      </c>
      <c r="F43" s="1447" t="str">
        <f>F23</f>
        <v>U95 STD</v>
      </c>
      <c r="G43" s="781"/>
      <c r="H43" s="1443" t="s">
        <v>304</v>
      </c>
      <c r="I43" s="1444"/>
      <c r="J43" s="1444"/>
      <c r="K43" s="1445"/>
      <c r="L43" s="1446" t="s">
        <v>294</v>
      </c>
      <c r="M43" s="1447" t="str">
        <f>F43</f>
        <v>U95 STD</v>
      </c>
      <c r="N43" s="686"/>
      <c r="O43" s="1443" t="s">
        <v>305</v>
      </c>
      <c r="P43" s="1444"/>
      <c r="Q43" s="1444"/>
      <c r="R43" s="1445"/>
      <c r="S43" s="1446" t="s">
        <v>294</v>
      </c>
      <c r="T43" s="1447" t="str">
        <f>M43</f>
        <v>U95 STD</v>
      </c>
      <c r="V43" s="765"/>
      <c r="W43" s="765"/>
      <c r="X43" s="765"/>
      <c r="Y43" s="766"/>
      <c r="Z43" s="767"/>
      <c r="AA43" s="768"/>
      <c r="AB43" s="769"/>
      <c r="AC43" s="769"/>
      <c r="AD43" s="769"/>
      <c r="AE43" s="766"/>
      <c r="AF43" s="767"/>
    </row>
    <row r="44" spans="1:32" ht="12.75" customHeight="1" x14ac:dyDescent="0.3">
      <c r="A44" s="770" t="str">
        <f>A24</f>
        <v>Kecepatan</v>
      </c>
      <c r="B44" s="771"/>
      <c r="C44" s="1446" t="s">
        <v>298</v>
      </c>
      <c r="D44" s="1446"/>
      <c r="E44" s="1446"/>
      <c r="F44" s="1447"/>
      <c r="G44" s="782"/>
      <c r="H44" s="649" t="str">
        <f>A44</f>
        <v>Kecepatan</v>
      </c>
      <c r="I44" s="649"/>
      <c r="J44" s="1446" t="s">
        <v>298</v>
      </c>
      <c r="K44" s="1446"/>
      <c r="L44" s="1446"/>
      <c r="M44" s="1447"/>
      <c r="N44" s="686"/>
      <c r="O44" s="649" t="str">
        <f>H44</f>
        <v>Kecepatan</v>
      </c>
      <c r="P44" s="649"/>
      <c r="Q44" s="1446" t="s">
        <v>298</v>
      </c>
      <c r="R44" s="1446"/>
      <c r="S44" s="1446"/>
      <c r="T44" s="1447"/>
      <c r="V44" s="573"/>
      <c r="W44" s="766"/>
      <c r="X44" s="766"/>
      <c r="Y44" s="766"/>
      <c r="Z44" s="767"/>
      <c r="AA44" s="768"/>
      <c r="AB44" s="573"/>
      <c r="AC44" s="766"/>
      <c r="AD44" s="766"/>
      <c r="AE44" s="766"/>
      <c r="AF44" s="767"/>
    </row>
    <row r="45" spans="1:32" ht="15" customHeight="1" x14ac:dyDescent="0.3">
      <c r="A45" s="773" t="str">
        <f>A25</f>
        <v>rpm</v>
      </c>
      <c r="B45" s="564">
        <v>2023</v>
      </c>
      <c r="C45" s="564">
        <v>2022</v>
      </c>
      <c r="D45" s="566">
        <v>2021</v>
      </c>
      <c r="E45" s="1446"/>
      <c r="F45" s="1447"/>
      <c r="G45" s="782"/>
      <c r="H45" s="619" t="str">
        <f>A45</f>
        <v>rpm</v>
      </c>
      <c r="I45" s="783">
        <v>8</v>
      </c>
      <c r="J45" s="565">
        <v>8</v>
      </c>
      <c r="K45" s="566">
        <v>8</v>
      </c>
      <c r="L45" s="1446"/>
      <c r="M45" s="1447"/>
      <c r="N45" s="686"/>
      <c r="O45" s="619" t="str">
        <f>H45</f>
        <v>rpm</v>
      </c>
      <c r="P45" s="783">
        <v>9</v>
      </c>
      <c r="Q45" s="565">
        <v>9</v>
      </c>
      <c r="R45" s="566">
        <v>9</v>
      </c>
      <c r="S45" s="1446"/>
      <c r="T45" s="1447"/>
      <c r="V45" s="774"/>
      <c r="W45" s="573"/>
      <c r="X45" s="775"/>
      <c r="Y45" s="766"/>
      <c r="Z45" s="767"/>
      <c r="AA45" s="768"/>
      <c r="AB45" s="774"/>
      <c r="AC45" s="573"/>
      <c r="AD45" s="573"/>
      <c r="AE45" s="766"/>
      <c r="AF45" s="767"/>
    </row>
    <row r="46" spans="1:32" ht="12.75" customHeight="1" x14ac:dyDescent="0.25">
      <c r="A46" s="757">
        <v>0</v>
      </c>
      <c r="B46" s="526">
        <v>0</v>
      </c>
      <c r="C46" s="526">
        <v>0</v>
      </c>
      <c r="D46" s="210">
        <v>9.9999999999999995E-7</v>
      </c>
      <c r="E46" s="211">
        <f>IFERROR(IF(OR(C46="-",D46="-"),1/3*F46,0.5*(MAX(C46:D46)-MIN(C46:D46))),0)</f>
        <v>4.9999999999999998E-7</v>
      </c>
      <c r="F46" s="213">
        <f>0.03%*(A46-B46)</f>
        <v>0</v>
      </c>
      <c r="G46" s="782"/>
      <c r="H46" s="757">
        <v>0</v>
      </c>
      <c r="I46" s="526" t="s">
        <v>128</v>
      </c>
      <c r="J46" s="209" t="s">
        <v>128</v>
      </c>
      <c r="K46" s="209" t="s">
        <v>128</v>
      </c>
      <c r="L46" s="213" t="s">
        <v>128</v>
      </c>
      <c r="M46" s="213" t="s">
        <v>128</v>
      </c>
      <c r="O46" s="757">
        <v>0</v>
      </c>
      <c r="P46" s="526" t="s">
        <v>128</v>
      </c>
      <c r="Q46" s="209" t="s">
        <v>128</v>
      </c>
      <c r="R46" s="209" t="s">
        <v>128</v>
      </c>
      <c r="S46" s="213" t="s">
        <v>128</v>
      </c>
      <c r="T46" s="213" t="s">
        <v>128</v>
      </c>
      <c r="V46" s="228"/>
      <c r="W46" s="228"/>
      <c r="X46" s="288"/>
      <c r="Y46" s="289"/>
      <c r="Z46" s="290"/>
      <c r="AA46" s="768"/>
      <c r="AB46" s="228"/>
      <c r="AC46" s="228"/>
      <c r="AD46" s="290"/>
      <c r="AE46" s="289"/>
      <c r="AF46" s="290"/>
    </row>
    <row r="47" spans="1:32" ht="12.75" customHeight="1" x14ac:dyDescent="0.25">
      <c r="A47" s="209">
        <v>50</v>
      </c>
      <c r="B47" s="526">
        <v>0</v>
      </c>
      <c r="C47" s="526">
        <v>0</v>
      </c>
      <c r="D47" s="210">
        <v>9.9999999999999995E-7</v>
      </c>
      <c r="E47" s="211">
        <f t="shared" ref="E47:E61" si="12">IFERROR(IF(OR(C47="-",D47="-"),1/3*F47,0.5*(MAX(C47:D47)-MIN(C47:D47))),0)</f>
        <v>4.9999999999999998E-7</v>
      </c>
      <c r="F47" s="213">
        <f>0.03%*(A47-B47)</f>
        <v>1.4999999999999999E-2</v>
      </c>
      <c r="G47" s="782"/>
      <c r="H47" s="209">
        <v>50</v>
      </c>
      <c r="I47" s="526" t="s">
        <v>128</v>
      </c>
      <c r="J47" s="209" t="s">
        <v>128</v>
      </c>
      <c r="K47" s="209" t="s">
        <v>128</v>
      </c>
      <c r="L47" s="213" t="s">
        <v>128</v>
      </c>
      <c r="M47" s="213" t="s">
        <v>128</v>
      </c>
      <c r="O47" s="209">
        <v>50</v>
      </c>
      <c r="P47" s="526" t="s">
        <v>128</v>
      </c>
      <c r="Q47" s="209" t="s">
        <v>128</v>
      </c>
      <c r="R47" s="209" t="s">
        <v>128</v>
      </c>
      <c r="S47" s="213" t="s">
        <v>128</v>
      </c>
      <c r="T47" s="213" t="s">
        <v>128</v>
      </c>
      <c r="V47" s="228"/>
      <c r="W47" s="228"/>
      <c r="X47" s="288"/>
      <c r="Y47" s="289"/>
      <c r="Z47" s="290"/>
      <c r="AA47" s="768"/>
      <c r="AB47" s="228"/>
      <c r="AC47" s="228"/>
      <c r="AD47" s="290"/>
      <c r="AE47" s="289"/>
      <c r="AF47" s="290"/>
    </row>
    <row r="48" spans="1:32" ht="12.75" customHeight="1" x14ac:dyDescent="0.25">
      <c r="A48" s="209">
        <v>100</v>
      </c>
      <c r="B48" s="526">
        <v>0</v>
      </c>
      <c r="C48" s="526">
        <v>0</v>
      </c>
      <c r="D48" s="210">
        <v>9.9999999999999995E-7</v>
      </c>
      <c r="E48" s="211">
        <f t="shared" si="12"/>
        <v>4.9999999999999998E-7</v>
      </c>
      <c r="F48" s="213">
        <f t="shared" ref="F48:F58" si="13">0.03%*(A48-B48)</f>
        <v>0.03</v>
      </c>
      <c r="G48" s="782"/>
      <c r="H48" s="209">
        <v>100</v>
      </c>
      <c r="I48" s="526" t="s">
        <v>128</v>
      </c>
      <c r="J48" s="209" t="s">
        <v>128</v>
      </c>
      <c r="K48" s="209" t="s">
        <v>128</v>
      </c>
      <c r="L48" s="213" t="s">
        <v>128</v>
      </c>
      <c r="M48" s="213" t="s">
        <v>128</v>
      </c>
      <c r="O48" s="209">
        <v>100</v>
      </c>
      <c r="P48" s="526" t="s">
        <v>128</v>
      </c>
      <c r="Q48" s="209" t="s">
        <v>128</v>
      </c>
      <c r="R48" s="209" t="s">
        <v>128</v>
      </c>
      <c r="S48" s="213" t="s">
        <v>128</v>
      </c>
      <c r="T48" s="213" t="s">
        <v>128</v>
      </c>
      <c r="V48" s="228"/>
      <c r="W48" s="228"/>
      <c r="X48" s="288"/>
      <c r="Y48" s="289"/>
      <c r="Z48" s="290"/>
      <c r="AA48" s="768"/>
      <c r="AB48" s="228"/>
      <c r="AC48" s="228"/>
      <c r="AD48" s="290"/>
      <c r="AE48" s="289"/>
      <c r="AF48" s="290"/>
    </row>
    <row r="49" spans="1:32" ht="12.75" customHeight="1" x14ac:dyDescent="0.25">
      <c r="A49" s="209">
        <v>200</v>
      </c>
      <c r="B49" s="526">
        <v>0</v>
      </c>
      <c r="C49" s="526">
        <v>0</v>
      </c>
      <c r="D49" s="210">
        <v>9.9999999999999995E-7</v>
      </c>
      <c r="E49" s="211">
        <f t="shared" si="12"/>
        <v>4.9999999999999998E-7</v>
      </c>
      <c r="F49" s="213">
        <f t="shared" si="13"/>
        <v>0.06</v>
      </c>
      <c r="G49" s="782"/>
      <c r="H49" s="209">
        <v>200</v>
      </c>
      <c r="I49" s="526" t="s">
        <v>128</v>
      </c>
      <c r="J49" s="209" t="s">
        <v>128</v>
      </c>
      <c r="K49" s="209" t="s">
        <v>128</v>
      </c>
      <c r="L49" s="213" t="s">
        <v>128</v>
      </c>
      <c r="M49" s="213" t="s">
        <v>128</v>
      </c>
      <c r="O49" s="209">
        <v>200</v>
      </c>
      <c r="P49" s="526" t="s">
        <v>128</v>
      </c>
      <c r="Q49" s="209" t="s">
        <v>128</v>
      </c>
      <c r="R49" s="209" t="s">
        <v>128</v>
      </c>
      <c r="S49" s="213" t="s">
        <v>128</v>
      </c>
      <c r="T49" s="213" t="s">
        <v>128</v>
      </c>
      <c r="V49" s="228"/>
      <c r="W49" s="228"/>
      <c r="X49" s="290"/>
      <c r="Y49" s="289"/>
      <c r="Z49" s="290"/>
      <c r="AA49" s="768"/>
      <c r="AB49" s="228"/>
      <c r="AC49" s="228"/>
      <c r="AD49" s="290"/>
      <c r="AE49" s="289"/>
      <c r="AF49" s="290"/>
    </row>
    <row r="50" spans="1:32" ht="12.75" customHeight="1" x14ac:dyDescent="0.25">
      <c r="A50" s="209">
        <v>1000</v>
      </c>
      <c r="B50" s="526">
        <v>-0.1</v>
      </c>
      <c r="C50" s="526">
        <v>-0.1</v>
      </c>
      <c r="D50" s="209">
        <v>-0.1</v>
      </c>
      <c r="E50" s="211">
        <f t="shared" si="12"/>
        <v>0</v>
      </c>
      <c r="F50" s="213">
        <f t="shared" si="13"/>
        <v>0.30002999999999996</v>
      </c>
      <c r="G50" s="782"/>
      <c r="H50" s="209">
        <v>1000</v>
      </c>
      <c r="I50" s="526" t="s">
        <v>128</v>
      </c>
      <c r="J50" s="209" t="s">
        <v>128</v>
      </c>
      <c r="K50" s="209" t="s">
        <v>128</v>
      </c>
      <c r="L50" s="213" t="s">
        <v>128</v>
      </c>
      <c r="M50" s="213" t="s">
        <v>128</v>
      </c>
      <c r="O50" s="209">
        <v>1000</v>
      </c>
      <c r="P50" s="526" t="s">
        <v>128</v>
      </c>
      <c r="Q50" s="209" t="s">
        <v>128</v>
      </c>
      <c r="R50" s="209" t="s">
        <v>128</v>
      </c>
      <c r="S50" s="213" t="s">
        <v>128</v>
      </c>
      <c r="T50" s="213" t="s">
        <v>128</v>
      </c>
      <c r="V50" s="228"/>
      <c r="W50" s="228"/>
      <c r="X50" s="290"/>
      <c r="Y50" s="289"/>
      <c r="Z50" s="290"/>
      <c r="AA50" s="768"/>
      <c r="AB50" s="228"/>
      <c r="AC50" s="228"/>
      <c r="AD50" s="290"/>
      <c r="AE50" s="289"/>
      <c r="AF50" s="290"/>
    </row>
    <row r="51" spans="1:32" ht="12.75" customHeight="1" x14ac:dyDescent="0.25">
      <c r="A51" s="209">
        <v>2000</v>
      </c>
      <c r="B51" s="526">
        <v>-0.1</v>
      </c>
      <c r="C51" s="526">
        <v>-0.1</v>
      </c>
      <c r="D51" s="210">
        <v>-0.1</v>
      </c>
      <c r="E51" s="211">
        <f t="shared" si="12"/>
        <v>0</v>
      </c>
      <c r="F51" s="213">
        <f t="shared" si="13"/>
        <v>0.60002999999999995</v>
      </c>
      <c r="G51" s="782"/>
      <c r="H51" s="209">
        <v>2000</v>
      </c>
      <c r="I51" s="526" t="s">
        <v>128</v>
      </c>
      <c r="J51" s="209" t="s">
        <v>128</v>
      </c>
      <c r="K51" s="209" t="s">
        <v>128</v>
      </c>
      <c r="L51" s="213" t="s">
        <v>128</v>
      </c>
      <c r="M51" s="213" t="s">
        <v>128</v>
      </c>
      <c r="O51" s="209">
        <v>2000</v>
      </c>
      <c r="P51" s="526" t="s">
        <v>128</v>
      </c>
      <c r="Q51" s="209" t="s">
        <v>128</v>
      </c>
      <c r="R51" s="209" t="s">
        <v>128</v>
      </c>
      <c r="S51" s="213" t="s">
        <v>128</v>
      </c>
      <c r="T51" s="213" t="s">
        <v>128</v>
      </c>
      <c r="V51" s="228"/>
      <c r="W51" s="228"/>
      <c r="X51" s="288"/>
      <c r="Y51" s="289"/>
      <c r="Z51" s="290"/>
      <c r="AA51" s="768"/>
      <c r="AB51" s="228"/>
      <c r="AC51" s="228"/>
      <c r="AD51" s="288"/>
      <c r="AE51" s="289"/>
      <c r="AF51" s="290"/>
    </row>
    <row r="52" spans="1:32" ht="12.75" customHeight="1" x14ac:dyDescent="0.25">
      <c r="A52" s="209">
        <v>3000</v>
      </c>
      <c r="B52" s="526">
        <v>-0.3</v>
      </c>
      <c r="C52" s="526">
        <v>-0.2</v>
      </c>
      <c r="D52" s="210">
        <v>-0.2</v>
      </c>
      <c r="E52" s="211">
        <f t="shared" si="12"/>
        <v>0</v>
      </c>
      <c r="F52" s="213">
        <f t="shared" si="13"/>
        <v>0.90008999999999995</v>
      </c>
      <c r="G52" s="782"/>
      <c r="H52" s="209">
        <v>3000</v>
      </c>
      <c r="I52" s="526" t="s">
        <v>128</v>
      </c>
      <c r="J52" s="209" t="s">
        <v>128</v>
      </c>
      <c r="K52" s="209" t="s">
        <v>128</v>
      </c>
      <c r="L52" s="213" t="s">
        <v>128</v>
      </c>
      <c r="M52" s="213" t="s">
        <v>128</v>
      </c>
      <c r="O52" s="209">
        <v>3000</v>
      </c>
      <c r="P52" s="526" t="s">
        <v>128</v>
      </c>
      <c r="Q52" s="209" t="s">
        <v>128</v>
      </c>
      <c r="R52" s="209" t="s">
        <v>128</v>
      </c>
      <c r="S52" s="213" t="s">
        <v>128</v>
      </c>
      <c r="T52" s="213" t="s">
        <v>128</v>
      </c>
      <c r="V52" s="228"/>
      <c r="W52" s="228"/>
      <c r="X52" s="288"/>
      <c r="Y52" s="289"/>
      <c r="Z52" s="290"/>
      <c r="AA52" s="768"/>
      <c r="AB52" s="228"/>
      <c r="AC52" s="228"/>
      <c r="AD52" s="288"/>
      <c r="AE52" s="289"/>
      <c r="AF52" s="290"/>
    </row>
    <row r="53" spans="1:32" ht="12.75" customHeight="1" x14ac:dyDescent="0.25">
      <c r="A53" s="209">
        <v>4000</v>
      </c>
      <c r="B53" s="526">
        <v>-0.2</v>
      </c>
      <c r="C53" s="526">
        <v>-0.3</v>
      </c>
      <c r="D53" s="210">
        <v>-0.3</v>
      </c>
      <c r="E53" s="211">
        <f t="shared" si="12"/>
        <v>0</v>
      </c>
      <c r="F53" s="213">
        <f t="shared" si="13"/>
        <v>1.2000599999999999</v>
      </c>
      <c r="G53" s="782"/>
      <c r="H53" s="209">
        <v>4000</v>
      </c>
      <c r="I53" s="526" t="s">
        <v>128</v>
      </c>
      <c r="J53" s="209" t="s">
        <v>128</v>
      </c>
      <c r="K53" s="209" t="s">
        <v>128</v>
      </c>
      <c r="L53" s="213" t="s">
        <v>128</v>
      </c>
      <c r="M53" s="213" t="s">
        <v>128</v>
      </c>
      <c r="O53" s="209">
        <v>4000</v>
      </c>
      <c r="P53" s="526" t="s">
        <v>128</v>
      </c>
      <c r="Q53" s="209" t="s">
        <v>128</v>
      </c>
      <c r="R53" s="209" t="s">
        <v>128</v>
      </c>
      <c r="S53" s="213" t="s">
        <v>128</v>
      </c>
      <c r="T53" s="213" t="s">
        <v>128</v>
      </c>
      <c r="V53" s="228"/>
      <c r="W53" s="228"/>
      <c r="X53" s="288"/>
      <c r="Y53" s="289"/>
      <c r="Z53" s="290"/>
      <c r="AA53" s="768"/>
      <c r="AB53" s="228"/>
      <c r="AC53" s="228"/>
      <c r="AD53" s="288"/>
      <c r="AE53" s="289"/>
      <c r="AF53" s="290"/>
    </row>
    <row r="54" spans="1:32" ht="12.75" customHeight="1" x14ac:dyDescent="0.25">
      <c r="A54" s="209">
        <v>5000</v>
      </c>
      <c r="B54" s="526">
        <v>-0.3</v>
      </c>
      <c r="C54" s="526">
        <v>-0.4</v>
      </c>
      <c r="D54" s="210">
        <v>-0.3</v>
      </c>
      <c r="E54" s="211">
        <f t="shared" si="12"/>
        <v>5.0000000000000017E-2</v>
      </c>
      <c r="F54" s="213">
        <f t="shared" si="13"/>
        <v>1.5000899999999999</v>
      </c>
      <c r="G54" s="782"/>
      <c r="H54" s="209">
        <v>5000</v>
      </c>
      <c r="I54" s="526" t="s">
        <v>128</v>
      </c>
      <c r="J54" s="209" t="s">
        <v>128</v>
      </c>
      <c r="K54" s="209" t="s">
        <v>128</v>
      </c>
      <c r="L54" s="213" t="s">
        <v>128</v>
      </c>
      <c r="M54" s="213" t="s">
        <v>128</v>
      </c>
      <c r="O54" s="209">
        <v>5000</v>
      </c>
      <c r="P54" s="526" t="s">
        <v>128</v>
      </c>
      <c r="Q54" s="209" t="s">
        <v>128</v>
      </c>
      <c r="R54" s="209" t="s">
        <v>128</v>
      </c>
      <c r="S54" s="213" t="s">
        <v>128</v>
      </c>
      <c r="T54" s="213" t="s">
        <v>128</v>
      </c>
      <c r="V54" s="228"/>
      <c r="W54" s="228"/>
      <c r="X54" s="288"/>
      <c r="Y54" s="289"/>
      <c r="Z54" s="290"/>
      <c r="AA54" s="768"/>
      <c r="AB54" s="228"/>
      <c r="AC54" s="228"/>
      <c r="AD54" s="288"/>
      <c r="AE54" s="289"/>
      <c r="AF54" s="290"/>
    </row>
    <row r="55" spans="1:32" ht="12.75" customHeight="1" x14ac:dyDescent="0.25">
      <c r="A55" s="209">
        <v>6000</v>
      </c>
      <c r="B55" s="526">
        <v>-0.3</v>
      </c>
      <c r="C55" s="526">
        <v>-0.4</v>
      </c>
      <c r="D55" s="210">
        <v>-0.4</v>
      </c>
      <c r="E55" s="211">
        <f t="shared" si="12"/>
        <v>0</v>
      </c>
      <c r="F55" s="213">
        <f t="shared" si="13"/>
        <v>1.80009</v>
      </c>
      <c r="G55" s="782"/>
      <c r="H55" s="209">
        <v>6000</v>
      </c>
      <c r="I55" s="526" t="s">
        <v>128</v>
      </c>
      <c r="J55" s="209" t="s">
        <v>128</v>
      </c>
      <c r="K55" s="209" t="s">
        <v>128</v>
      </c>
      <c r="L55" s="213" t="s">
        <v>128</v>
      </c>
      <c r="M55" s="213" t="s">
        <v>128</v>
      </c>
      <c r="O55" s="209">
        <v>6000</v>
      </c>
      <c r="P55" s="526" t="s">
        <v>128</v>
      </c>
      <c r="Q55" s="209" t="s">
        <v>128</v>
      </c>
      <c r="R55" s="209" t="s">
        <v>128</v>
      </c>
      <c r="S55" s="213" t="s">
        <v>128</v>
      </c>
      <c r="T55" s="213" t="s">
        <v>128</v>
      </c>
      <c r="V55" s="228"/>
      <c r="W55" s="228"/>
      <c r="X55" s="288"/>
      <c r="Y55" s="289"/>
      <c r="Z55" s="290"/>
      <c r="AA55" s="768"/>
      <c r="AB55" s="228"/>
      <c r="AC55" s="228"/>
      <c r="AD55" s="288"/>
      <c r="AE55" s="289"/>
      <c r="AF55" s="290"/>
    </row>
    <row r="56" spans="1:32" ht="12.75" customHeight="1" x14ac:dyDescent="0.25">
      <c r="A56" s="209">
        <v>7000</v>
      </c>
      <c r="B56" s="526">
        <v>-0.2</v>
      </c>
      <c r="C56" s="526">
        <v>-0.5</v>
      </c>
      <c r="D56" s="210">
        <v>-0.5</v>
      </c>
      <c r="E56" s="211">
        <f t="shared" si="12"/>
        <v>0</v>
      </c>
      <c r="F56" s="213">
        <f t="shared" si="13"/>
        <v>2.1000599999999996</v>
      </c>
      <c r="G56" s="782"/>
      <c r="H56" s="209">
        <v>7000</v>
      </c>
      <c r="I56" s="526" t="s">
        <v>128</v>
      </c>
      <c r="J56" s="209" t="s">
        <v>128</v>
      </c>
      <c r="K56" s="209" t="s">
        <v>128</v>
      </c>
      <c r="L56" s="213" t="s">
        <v>128</v>
      </c>
      <c r="M56" s="213" t="s">
        <v>128</v>
      </c>
      <c r="O56" s="209">
        <v>7000</v>
      </c>
      <c r="P56" s="526" t="s">
        <v>128</v>
      </c>
      <c r="Q56" s="209" t="s">
        <v>128</v>
      </c>
      <c r="R56" s="209" t="s">
        <v>128</v>
      </c>
      <c r="S56" s="213" t="s">
        <v>128</v>
      </c>
      <c r="T56" s="213" t="s">
        <v>128</v>
      </c>
      <c r="V56" s="228"/>
      <c r="W56" s="228"/>
      <c r="X56" s="288"/>
      <c r="Y56" s="289"/>
      <c r="Z56" s="290"/>
      <c r="AA56" s="768"/>
      <c r="AB56" s="228"/>
      <c r="AC56" s="228"/>
      <c r="AD56" s="288"/>
      <c r="AE56" s="289"/>
      <c r="AF56" s="290"/>
    </row>
    <row r="57" spans="1:32" ht="12.75" customHeight="1" x14ac:dyDescent="0.25">
      <c r="A57" s="209">
        <v>8000</v>
      </c>
      <c r="B57" s="526">
        <v>-0.4</v>
      </c>
      <c r="C57" s="526">
        <v>-0.6</v>
      </c>
      <c r="D57" s="210" t="s">
        <v>128</v>
      </c>
      <c r="E57" s="211">
        <f t="shared" si="12"/>
        <v>0.80003999999999986</v>
      </c>
      <c r="F57" s="213">
        <f t="shared" si="13"/>
        <v>2.4001199999999998</v>
      </c>
      <c r="G57" s="782"/>
      <c r="H57" s="209">
        <v>8000</v>
      </c>
      <c r="I57" s="526" t="s">
        <v>128</v>
      </c>
      <c r="J57" s="209" t="s">
        <v>128</v>
      </c>
      <c r="K57" s="209" t="s">
        <v>128</v>
      </c>
      <c r="L57" s="213" t="s">
        <v>128</v>
      </c>
      <c r="M57" s="213" t="s">
        <v>128</v>
      </c>
      <c r="O57" s="209">
        <v>8000</v>
      </c>
      <c r="P57" s="526" t="s">
        <v>128</v>
      </c>
      <c r="Q57" s="209" t="s">
        <v>128</v>
      </c>
      <c r="R57" s="209" t="s">
        <v>128</v>
      </c>
      <c r="S57" s="213" t="s">
        <v>128</v>
      </c>
      <c r="T57" s="213" t="s">
        <v>128</v>
      </c>
      <c r="V57" s="228"/>
      <c r="W57" s="228"/>
      <c r="X57" s="288"/>
      <c r="Y57" s="289"/>
      <c r="Z57" s="290"/>
      <c r="AA57" s="768"/>
      <c r="AB57" s="228"/>
      <c r="AC57" s="228"/>
      <c r="AD57" s="288"/>
      <c r="AE57" s="289"/>
      <c r="AF57" s="290"/>
    </row>
    <row r="58" spans="1:32" ht="12.75" customHeight="1" x14ac:dyDescent="0.25">
      <c r="A58" s="209">
        <v>9000</v>
      </c>
      <c r="B58" s="526">
        <v>-0.4</v>
      </c>
      <c r="C58" s="526">
        <v>-0.7</v>
      </c>
      <c r="D58" s="210" t="s">
        <v>128</v>
      </c>
      <c r="E58" s="211">
        <f t="shared" si="12"/>
        <v>0.90003999999999984</v>
      </c>
      <c r="F58" s="213">
        <f t="shared" si="13"/>
        <v>2.7001199999999996</v>
      </c>
      <c r="G58" s="782"/>
      <c r="H58" s="209">
        <v>9000</v>
      </c>
      <c r="I58" s="526" t="s">
        <v>128</v>
      </c>
      <c r="J58" s="209" t="s">
        <v>128</v>
      </c>
      <c r="K58" s="209" t="s">
        <v>128</v>
      </c>
      <c r="L58" s="213" t="s">
        <v>128</v>
      </c>
      <c r="M58" s="213" t="s">
        <v>128</v>
      </c>
      <c r="O58" s="209">
        <v>9000</v>
      </c>
      <c r="P58" s="526" t="s">
        <v>128</v>
      </c>
      <c r="Q58" s="209" t="s">
        <v>128</v>
      </c>
      <c r="R58" s="209" t="s">
        <v>128</v>
      </c>
      <c r="S58" s="213" t="s">
        <v>128</v>
      </c>
      <c r="T58" s="213" t="s">
        <v>128</v>
      </c>
      <c r="V58" s="228"/>
      <c r="W58" s="228"/>
      <c r="X58" s="288"/>
      <c r="Y58" s="289"/>
      <c r="Z58" s="290"/>
      <c r="AA58" s="768"/>
      <c r="AB58" s="228"/>
      <c r="AC58" s="228"/>
      <c r="AD58" s="288"/>
      <c r="AE58" s="289"/>
      <c r="AF58" s="290"/>
    </row>
    <row r="59" spans="1:32" ht="13.5" customHeight="1" x14ac:dyDescent="0.25">
      <c r="A59" s="209">
        <v>10000</v>
      </c>
      <c r="B59" s="526">
        <v>0</v>
      </c>
      <c r="C59" s="526">
        <v>0</v>
      </c>
      <c r="D59" s="210">
        <v>9.9999999999999995E-7</v>
      </c>
      <c r="E59" s="211">
        <f t="shared" si="12"/>
        <v>4.9999999999999998E-7</v>
      </c>
      <c r="F59" s="213">
        <f>0.03%*(A59-B59)</f>
        <v>2.9999999999999996</v>
      </c>
      <c r="G59" s="782"/>
      <c r="H59" s="209">
        <v>10000</v>
      </c>
      <c r="I59" s="526" t="s">
        <v>128</v>
      </c>
      <c r="J59" s="209" t="s">
        <v>128</v>
      </c>
      <c r="K59" s="209" t="s">
        <v>128</v>
      </c>
      <c r="L59" s="213" t="s">
        <v>128</v>
      </c>
      <c r="M59" s="213" t="s">
        <v>128</v>
      </c>
      <c r="O59" s="209">
        <v>10000</v>
      </c>
      <c r="P59" s="526" t="s">
        <v>128</v>
      </c>
      <c r="Q59" s="209" t="s">
        <v>128</v>
      </c>
      <c r="R59" s="209" t="s">
        <v>128</v>
      </c>
      <c r="S59" s="213" t="s">
        <v>128</v>
      </c>
      <c r="T59" s="213" t="s">
        <v>128</v>
      </c>
      <c r="V59" s="228"/>
      <c r="W59" s="228"/>
      <c r="X59" s="288"/>
      <c r="Y59" s="289"/>
      <c r="Z59" s="290"/>
      <c r="AA59" s="768"/>
      <c r="AB59" s="228"/>
      <c r="AC59" s="228"/>
      <c r="AD59" s="288"/>
      <c r="AE59" s="289"/>
      <c r="AF59" s="290"/>
    </row>
    <row r="60" spans="1:32" ht="13.5" customHeight="1" x14ac:dyDescent="0.25">
      <c r="A60" s="209">
        <v>50000</v>
      </c>
      <c r="B60" s="526">
        <v>-3</v>
      </c>
      <c r="C60" s="526">
        <v>-3</v>
      </c>
      <c r="D60" s="210">
        <v>-3</v>
      </c>
      <c r="E60" s="211">
        <f t="shared" si="12"/>
        <v>0</v>
      </c>
      <c r="F60" s="213">
        <f>0.03%*(A60-B60)</f>
        <v>15.000899999999998</v>
      </c>
      <c r="G60" s="782"/>
      <c r="H60" s="209">
        <v>50000</v>
      </c>
      <c r="I60" s="526" t="s">
        <v>128</v>
      </c>
      <c r="J60" s="209" t="s">
        <v>128</v>
      </c>
      <c r="K60" s="209" t="s">
        <v>128</v>
      </c>
      <c r="L60" s="213" t="s">
        <v>128</v>
      </c>
      <c r="M60" s="213" t="s">
        <v>128</v>
      </c>
      <c r="O60" s="209">
        <v>50000</v>
      </c>
      <c r="P60" s="526" t="s">
        <v>128</v>
      </c>
      <c r="Q60" s="209" t="s">
        <v>128</v>
      </c>
      <c r="R60" s="209" t="s">
        <v>128</v>
      </c>
      <c r="S60" s="213" t="s">
        <v>128</v>
      </c>
      <c r="T60" s="213" t="s">
        <v>128</v>
      </c>
      <c r="V60" s="228"/>
      <c r="W60" s="228"/>
      <c r="X60" s="288"/>
      <c r="Y60" s="289"/>
      <c r="Z60" s="290"/>
      <c r="AA60" s="768"/>
      <c r="AB60" s="228"/>
      <c r="AC60" s="228"/>
      <c r="AD60" s="288"/>
      <c r="AE60" s="289"/>
      <c r="AF60" s="290"/>
    </row>
    <row r="61" spans="1:32" ht="13.5" customHeight="1" x14ac:dyDescent="0.25">
      <c r="A61" s="759">
        <v>99000</v>
      </c>
      <c r="B61" s="209">
        <v>-12</v>
      </c>
      <c r="C61" s="209">
        <v>-7</v>
      </c>
      <c r="D61" s="210">
        <v>-6</v>
      </c>
      <c r="E61" s="211">
        <f t="shared" si="12"/>
        <v>0.5</v>
      </c>
      <c r="F61" s="213">
        <f>0.03%*(A61-B61)</f>
        <v>29.703599999999998</v>
      </c>
      <c r="G61" s="782"/>
      <c r="H61" s="209">
        <v>99000</v>
      </c>
      <c r="I61" s="209" t="s">
        <v>128</v>
      </c>
      <c r="J61" s="209" t="s">
        <v>128</v>
      </c>
      <c r="K61" s="210" t="s">
        <v>128</v>
      </c>
      <c r="L61" s="211" t="s">
        <v>128</v>
      </c>
      <c r="M61" s="426" t="s">
        <v>128</v>
      </c>
      <c r="O61" s="209">
        <v>99000</v>
      </c>
      <c r="P61" s="209" t="s">
        <v>128</v>
      </c>
      <c r="Q61" s="209" t="s">
        <v>128</v>
      </c>
      <c r="R61" s="210" t="s">
        <v>128</v>
      </c>
      <c r="S61" s="211" t="s">
        <v>128</v>
      </c>
      <c r="T61" s="426" t="s">
        <v>128</v>
      </c>
      <c r="V61" s="228"/>
      <c r="W61" s="228"/>
      <c r="X61" s="288"/>
      <c r="Y61" s="289"/>
      <c r="Z61" s="290"/>
      <c r="AA61" s="768"/>
      <c r="AB61" s="228"/>
      <c r="AC61" s="228"/>
      <c r="AD61" s="288"/>
      <c r="AE61" s="289"/>
      <c r="AF61" s="290"/>
    </row>
    <row r="62" spans="1:32" ht="13.5" customHeight="1" x14ac:dyDescent="0.3">
      <c r="A62" s="1437"/>
      <c r="B62" s="1438"/>
      <c r="C62" s="1438"/>
      <c r="D62" s="1438"/>
      <c r="E62" s="1438"/>
      <c r="F62" s="1439"/>
      <c r="G62" s="782"/>
      <c r="H62" s="1440"/>
      <c r="I62" s="1441"/>
      <c r="J62" s="1441"/>
      <c r="K62" s="1441"/>
      <c r="L62" s="1441"/>
      <c r="M62" s="1442"/>
      <c r="T62" s="584"/>
      <c r="V62" s="574"/>
      <c r="W62" s="574"/>
      <c r="X62" s="574"/>
      <c r="Y62" s="574"/>
      <c r="Z62" s="574"/>
      <c r="AA62" s="768"/>
      <c r="AB62" s="719"/>
      <c r="AC62" s="719"/>
      <c r="AD62" s="719"/>
      <c r="AE62" s="719"/>
      <c r="AF62" s="719"/>
    </row>
    <row r="63" spans="1:32" ht="15.75" customHeight="1" x14ac:dyDescent="0.3">
      <c r="A63" s="1443" t="s">
        <v>306</v>
      </c>
      <c r="B63" s="1444"/>
      <c r="C63" s="1444"/>
      <c r="D63" s="1445"/>
      <c r="E63" s="1446" t="s">
        <v>294</v>
      </c>
      <c r="F63" s="1447" t="str">
        <f>F43</f>
        <v>U95 STD</v>
      </c>
      <c r="G63" s="782"/>
      <c r="H63" s="1443" t="s">
        <v>307</v>
      </c>
      <c r="I63" s="1444"/>
      <c r="J63" s="1444"/>
      <c r="K63" s="1445"/>
      <c r="L63" s="1446" t="s">
        <v>294</v>
      </c>
      <c r="M63" s="1447" t="str">
        <f>M43</f>
        <v>U95 STD</v>
      </c>
      <c r="N63" s="686"/>
      <c r="O63" s="784"/>
      <c r="P63" s="784"/>
      <c r="Q63" s="784"/>
      <c r="R63" s="784"/>
      <c r="S63" s="784"/>
      <c r="T63" s="785"/>
      <c r="V63" s="765"/>
      <c r="W63" s="765"/>
      <c r="X63" s="765"/>
      <c r="Y63" s="766"/>
      <c r="Z63" s="767"/>
      <c r="AA63" s="768"/>
      <c r="AB63" s="765"/>
      <c r="AC63" s="765"/>
      <c r="AD63" s="765"/>
      <c r="AE63" s="766"/>
      <c r="AF63" s="767"/>
    </row>
    <row r="64" spans="1:32" ht="12.75" customHeight="1" x14ac:dyDescent="0.3">
      <c r="A64" s="770" t="str">
        <f>A44</f>
        <v>Kecepatan</v>
      </c>
      <c r="B64" s="771"/>
      <c r="C64" s="1446" t="s">
        <v>298</v>
      </c>
      <c r="D64" s="1446"/>
      <c r="E64" s="1446"/>
      <c r="F64" s="1447"/>
      <c r="G64" s="782"/>
      <c r="H64" s="649" t="str">
        <f>H44</f>
        <v>Kecepatan</v>
      </c>
      <c r="I64" s="649"/>
      <c r="J64" s="1446" t="s">
        <v>298</v>
      </c>
      <c r="K64" s="1446"/>
      <c r="L64" s="1446"/>
      <c r="M64" s="1447"/>
      <c r="N64" s="686"/>
      <c r="O64" s="784"/>
      <c r="P64" s="784"/>
      <c r="Q64" s="784"/>
      <c r="R64" s="784"/>
      <c r="S64" s="784"/>
      <c r="T64" s="785"/>
      <c r="V64" s="573"/>
      <c r="W64" s="766"/>
      <c r="X64" s="766"/>
      <c r="Y64" s="766"/>
      <c r="Z64" s="767"/>
      <c r="AA64" s="768"/>
      <c r="AB64" s="573"/>
      <c r="AC64" s="766"/>
      <c r="AD64" s="766"/>
      <c r="AE64" s="766"/>
      <c r="AF64" s="767"/>
    </row>
    <row r="65" spans="1:32" ht="15" customHeight="1" x14ac:dyDescent="0.3">
      <c r="A65" s="773" t="str">
        <f>A45</f>
        <v>rpm</v>
      </c>
      <c r="B65" s="564">
        <v>10</v>
      </c>
      <c r="C65" s="565">
        <v>10</v>
      </c>
      <c r="D65" s="566">
        <v>10</v>
      </c>
      <c r="E65" s="1446"/>
      <c r="F65" s="1447"/>
      <c r="G65" s="782"/>
      <c r="H65" s="619" t="str">
        <f>H45</f>
        <v>rpm</v>
      </c>
      <c r="I65" s="783">
        <v>11</v>
      </c>
      <c r="J65" s="565">
        <v>11</v>
      </c>
      <c r="K65" s="566">
        <v>11</v>
      </c>
      <c r="L65" s="1446"/>
      <c r="M65" s="1447"/>
      <c r="N65" s="686"/>
      <c r="O65" s="784"/>
      <c r="P65" s="784"/>
      <c r="Q65" s="784"/>
      <c r="R65" s="784"/>
      <c r="S65" s="784"/>
      <c r="T65" s="785"/>
      <c r="V65" s="774"/>
      <c r="W65" s="573"/>
      <c r="X65" s="573"/>
      <c r="Y65" s="766"/>
      <c r="Z65" s="767"/>
      <c r="AA65" s="768"/>
      <c r="AB65" s="774"/>
      <c r="AC65" s="573"/>
      <c r="AD65" s="573"/>
      <c r="AE65" s="766"/>
      <c r="AF65" s="767"/>
    </row>
    <row r="66" spans="1:32" ht="12.75" customHeight="1" x14ac:dyDescent="0.3">
      <c r="A66" s="757">
        <v>0</v>
      </c>
      <c r="B66" s="526" t="s">
        <v>128</v>
      </c>
      <c r="C66" s="209" t="s">
        <v>128</v>
      </c>
      <c r="D66" s="209" t="s">
        <v>128</v>
      </c>
      <c r="E66" s="213" t="s">
        <v>128</v>
      </c>
      <c r="F66" s="213" t="s">
        <v>128</v>
      </c>
      <c r="G66" s="782"/>
      <c r="H66" s="757">
        <v>0</v>
      </c>
      <c r="I66" s="526" t="s">
        <v>128</v>
      </c>
      <c r="J66" s="209" t="s">
        <v>128</v>
      </c>
      <c r="K66" s="209" t="s">
        <v>128</v>
      </c>
      <c r="L66" s="213" t="s">
        <v>128</v>
      </c>
      <c r="M66" s="213" t="s">
        <v>128</v>
      </c>
      <c r="N66" s="686"/>
      <c r="O66" s="784"/>
      <c r="P66" s="784"/>
      <c r="Q66" s="784"/>
      <c r="R66" s="784"/>
      <c r="S66" s="784"/>
      <c r="T66" s="785"/>
      <c r="V66" s="228"/>
      <c r="W66" s="228"/>
      <c r="X66" s="290"/>
      <c r="Y66" s="289"/>
      <c r="Z66" s="290"/>
      <c r="AA66" s="768"/>
      <c r="AB66" s="228"/>
      <c r="AC66" s="228"/>
      <c r="AD66" s="290"/>
      <c r="AE66" s="289"/>
      <c r="AF66" s="290"/>
    </row>
    <row r="67" spans="1:32" ht="12.75" customHeight="1" x14ac:dyDescent="0.3">
      <c r="A67" s="209">
        <v>50</v>
      </c>
      <c r="B67" s="526" t="s">
        <v>128</v>
      </c>
      <c r="C67" s="209" t="s">
        <v>128</v>
      </c>
      <c r="D67" s="209" t="s">
        <v>128</v>
      </c>
      <c r="E67" s="213" t="s">
        <v>128</v>
      </c>
      <c r="F67" s="213" t="s">
        <v>128</v>
      </c>
      <c r="G67" s="782"/>
      <c r="H67" s="209">
        <v>50</v>
      </c>
      <c r="I67" s="526" t="s">
        <v>128</v>
      </c>
      <c r="J67" s="209" t="s">
        <v>128</v>
      </c>
      <c r="K67" s="209" t="s">
        <v>128</v>
      </c>
      <c r="L67" s="213" t="s">
        <v>128</v>
      </c>
      <c r="M67" s="213" t="s">
        <v>128</v>
      </c>
      <c r="N67" s="686"/>
      <c r="O67" s="784"/>
      <c r="P67" s="784"/>
      <c r="Q67" s="784"/>
      <c r="R67" s="784"/>
      <c r="S67" s="784"/>
      <c r="T67" s="785"/>
      <c r="V67" s="228"/>
      <c r="W67" s="228"/>
      <c r="X67" s="290"/>
      <c r="Y67" s="289"/>
      <c r="Z67" s="290"/>
      <c r="AA67" s="768"/>
      <c r="AB67" s="228"/>
      <c r="AC67" s="228"/>
      <c r="AD67" s="290"/>
      <c r="AE67" s="289"/>
      <c r="AF67" s="290"/>
    </row>
    <row r="68" spans="1:32" ht="12.75" customHeight="1" x14ac:dyDescent="0.3">
      <c r="A68" s="209">
        <v>100</v>
      </c>
      <c r="B68" s="526" t="s">
        <v>128</v>
      </c>
      <c r="C68" s="209" t="s">
        <v>128</v>
      </c>
      <c r="D68" s="209" t="s">
        <v>128</v>
      </c>
      <c r="E68" s="213" t="s">
        <v>128</v>
      </c>
      <c r="F68" s="213" t="s">
        <v>128</v>
      </c>
      <c r="G68" s="782"/>
      <c r="H68" s="209">
        <v>100</v>
      </c>
      <c r="I68" s="526" t="s">
        <v>128</v>
      </c>
      <c r="J68" s="209" t="s">
        <v>128</v>
      </c>
      <c r="K68" s="209" t="s">
        <v>128</v>
      </c>
      <c r="L68" s="213" t="s">
        <v>128</v>
      </c>
      <c r="M68" s="213" t="s">
        <v>128</v>
      </c>
      <c r="N68" s="686"/>
      <c r="O68" s="784"/>
      <c r="P68" s="784"/>
      <c r="Q68" s="784"/>
      <c r="R68" s="784"/>
      <c r="S68" s="784"/>
      <c r="T68" s="785"/>
      <c r="V68" s="228"/>
      <c r="W68" s="228"/>
      <c r="X68" s="290"/>
      <c r="Y68" s="289"/>
      <c r="Z68" s="290"/>
      <c r="AA68" s="768"/>
      <c r="AB68" s="228"/>
      <c r="AC68" s="228"/>
      <c r="AD68" s="290"/>
      <c r="AE68" s="289"/>
      <c r="AF68" s="290"/>
    </row>
    <row r="69" spans="1:32" ht="12.75" customHeight="1" x14ac:dyDescent="0.3">
      <c r="A69" s="209">
        <v>200</v>
      </c>
      <c r="B69" s="526" t="s">
        <v>128</v>
      </c>
      <c r="C69" s="209" t="s">
        <v>128</v>
      </c>
      <c r="D69" s="209" t="s">
        <v>128</v>
      </c>
      <c r="E69" s="213" t="s">
        <v>128</v>
      </c>
      <c r="F69" s="213" t="s">
        <v>128</v>
      </c>
      <c r="G69" s="782"/>
      <c r="H69" s="209">
        <v>200</v>
      </c>
      <c r="I69" s="526" t="s">
        <v>128</v>
      </c>
      <c r="J69" s="209" t="s">
        <v>128</v>
      </c>
      <c r="K69" s="209" t="s">
        <v>128</v>
      </c>
      <c r="L69" s="213" t="s">
        <v>128</v>
      </c>
      <c r="M69" s="213" t="s">
        <v>128</v>
      </c>
      <c r="N69" s="686"/>
      <c r="O69" s="784"/>
      <c r="P69" s="784"/>
      <c r="Q69" s="784"/>
      <c r="R69" s="784"/>
      <c r="S69" s="784"/>
      <c r="T69" s="785"/>
      <c r="V69" s="228"/>
      <c r="W69" s="228"/>
      <c r="X69" s="290"/>
      <c r="Y69" s="289"/>
      <c r="Z69" s="290"/>
      <c r="AA69" s="768"/>
      <c r="AB69" s="228"/>
      <c r="AC69" s="228"/>
      <c r="AD69" s="290"/>
      <c r="AE69" s="289"/>
      <c r="AF69" s="290"/>
    </row>
    <row r="70" spans="1:32" ht="12.75" customHeight="1" x14ac:dyDescent="0.3">
      <c r="A70" s="209">
        <v>1000</v>
      </c>
      <c r="B70" s="526" t="s">
        <v>128</v>
      </c>
      <c r="C70" s="209" t="s">
        <v>128</v>
      </c>
      <c r="D70" s="209" t="s">
        <v>128</v>
      </c>
      <c r="E70" s="213" t="s">
        <v>128</v>
      </c>
      <c r="F70" s="213" t="s">
        <v>128</v>
      </c>
      <c r="G70" s="782"/>
      <c r="H70" s="209">
        <v>1000</v>
      </c>
      <c r="I70" s="526" t="s">
        <v>128</v>
      </c>
      <c r="J70" s="209" t="s">
        <v>128</v>
      </c>
      <c r="K70" s="209" t="s">
        <v>128</v>
      </c>
      <c r="L70" s="213" t="s">
        <v>128</v>
      </c>
      <c r="M70" s="213" t="s">
        <v>128</v>
      </c>
      <c r="N70" s="686"/>
      <c r="O70" s="784"/>
      <c r="P70" s="784"/>
      <c r="Q70" s="784"/>
      <c r="R70" s="784"/>
      <c r="S70" s="784"/>
      <c r="T70" s="785"/>
      <c r="V70" s="228"/>
      <c r="W70" s="228"/>
      <c r="X70" s="290"/>
      <c r="Y70" s="289"/>
      <c r="Z70" s="290"/>
      <c r="AA70" s="768"/>
      <c r="AB70" s="228"/>
      <c r="AC70" s="228"/>
      <c r="AD70" s="290"/>
      <c r="AE70" s="289"/>
      <c r="AF70" s="290"/>
    </row>
    <row r="71" spans="1:32" ht="12.75" customHeight="1" x14ac:dyDescent="0.3">
      <c r="A71" s="209">
        <v>2000</v>
      </c>
      <c r="B71" s="526" t="s">
        <v>128</v>
      </c>
      <c r="C71" s="209" t="s">
        <v>128</v>
      </c>
      <c r="D71" s="209" t="s">
        <v>128</v>
      </c>
      <c r="E71" s="213" t="s">
        <v>128</v>
      </c>
      <c r="F71" s="213" t="s">
        <v>128</v>
      </c>
      <c r="G71" s="782"/>
      <c r="H71" s="209">
        <v>2000</v>
      </c>
      <c r="I71" s="526" t="s">
        <v>128</v>
      </c>
      <c r="J71" s="209" t="s">
        <v>128</v>
      </c>
      <c r="K71" s="209" t="s">
        <v>128</v>
      </c>
      <c r="L71" s="213" t="s">
        <v>128</v>
      </c>
      <c r="M71" s="213" t="s">
        <v>128</v>
      </c>
      <c r="N71" s="686"/>
      <c r="O71" s="784"/>
      <c r="P71" s="784"/>
      <c r="Q71" s="784"/>
      <c r="R71" s="784"/>
      <c r="S71" s="784"/>
      <c r="T71" s="785"/>
      <c r="V71" s="228"/>
      <c r="W71" s="228"/>
      <c r="X71" s="288"/>
      <c r="Y71" s="289"/>
      <c r="Z71" s="290"/>
      <c r="AA71" s="768"/>
      <c r="AB71" s="228"/>
      <c r="AC71" s="228"/>
      <c r="AD71" s="288"/>
      <c r="AE71" s="289"/>
      <c r="AF71" s="290"/>
    </row>
    <row r="72" spans="1:32" ht="12.75" customHeight="1" x14ac:dyDescent="0.3">
      <c r="A72" s="209">
        <v>3000</v>
      </c>
      <c r="B72" s="526" t="s">
        <v>128</v>
      </c>
      <c r="C72" s="209" t="s">
        <v>128</v>
      </c>
      <c r="D72" s="209" t="s">
        <v>128</v>
      </c>
      <c r="E72" s="213" t="s">
        <v>128</v>
      </c>
      <c r="F72" s="213" t="s">
        <v>128</v>
      </c>
      <c r="G72" s="782"/>
      <c r="H72" s="209">
        <v>3000</v>
      </c>
      <c r="I72" s="526" t="s">
        <v>128</v>
      </c>
      <c r="J72" s="209" t="s">
        <v>128</v>
      </c>
      <c r="K72" s="209" t="s">
        <v>128</v>
      </c>
      <c r="L72" s="213" t="s">
        <v>128</v>
      </c>
      <c r="M72" s="213" t="s">
        <v>128</v>
      </c>
      <c r="N72" s="686"/>
      <c r="O72" s="784"/>
      <c r="P72" s="784"/>
      <c r="Q72" s="784"/>
      <c r="R72" s="784"/>
      <c r="S72" s="784"/>
      <c r="T72" s="785"/>
      <c r="V72" s="228"/>
      <c r="W72" s="228"/>
      <c r="X72" s="288"/>
      <c r="Y72" s="289"/>
      <c r="Z72" s="290"/>
      <c r="AA72" s="768"/>
      <c r="AB72" s="228"/>
      <c r="AC72" s="228"/>
      <c r="AD72" s="288"/>
      <c r="AE72" s="289"/>
      <c r="AF72" s="290"/>
    </row>
    <row r="73" spans="1:32" ht="12.75" customHeight="1" x14ac:dyDescent="0.3">
      <c r="A73" s="209">
        <v>4000</v>
      </c>
      <c r="B73" s="526" t="s">
        <v>128</v>
      </c>
      <c r="C73" s="209" t="s">
        <v>128</v>
      </c>
      <c r="D73" s="209" t="s">
        <v>128</v>
      </c>
      <c r="E73" s="213" t="s">
        <v>128</v>
      </c>
      <c r="F73" s="213" t="s">
        <v>128</v>
      </c>
      <c r="G73" s="782"/>
      <c r="H73" s="209">
        <v>4000</v>
      </c>
      <c r="I73" s="526" t="s">
        <v>128</v>
      </c>
      <c r="J73" s="209" t="s">
        <v>128</v>
      </c>
      <c r="K73" s="209" t="s">
        <v>128</v>
      </c>
      <c r="L73" s="213" t="s">
        <v>128</v>
      </c>
      <c r="M73" s="213" t="s">
        <v>128</v>
      </c>
      <c r="N73" s="686"/>
      <c r="O73" s="784"/>
      <c r="P73" s="784"/>
      <c r="Q73" s="784"/>
      <c r="R73" s="784"/>
      <c r="S73" s="784"/>
      <c r="T73" s="785"/>
      <c r="V73" s="228"/>
      <c r="W73" s="228"/>
      <c r="X73" s="288"/>
      <c r="Y73" s="289"/>
      <c r="Z73" s="290"/>
      <c r="AA73" s="768"/>
      <c r="AB73" s="228"/>
      <c r="AC73" s="228"/>
      <c r="AD73" s="288"/>
      <c r="AE73" s="289"/>
      <c r="AF73" s="290"/>
    </row>
    <row r="74" spans="1:32" ht="12.75" customHeight="1" x14ac:dyDescent="0.3">
      <c r="A74" s="209">
        <v>5000</v>
      </c>
      <c r="B74" s="526" t="s">
        <v>128</v>
      </c>
      <c r="C74" s="209" t="s">
        <v>128</v>
      </c>
      <c r="D74" s="209" t="s">
        <v>128</v>
      </c>
      <c r="E74" s="213" t="s">
        <v>128</v>
      </c>
      <c r="F74" s="213" t="s">
        <v>128</v>
      </c>
      <c r="G74" s="782"/>
      <c r="H74" s="209">
        <v>5000</v>
      </c>
      <c r="I74" s="526" t="s">
        <v>128</v>
      </c>
      <c r="J74" s="209" t="s">
        <v>128</v>
      </c>
      <c r="K74" s="209" t="s">
        <v>128</v>
      </c>
      <c r="L74" s="213" t="s">
        <v>128</v>
      </c>
      <c r="M74" s="213" t="s">
        <v>128</v>
      </c>
      <c r="N74" s="686"/>
      <c r="O74" s="784"/>
      <c r="P74" s="784"/>
      <c r="Q74" s="784"/>
      <c r="R74" s="784"/>
      <c r="S74" s="784"/>
      <c r="T74" s="785"/>
      <c r="V74" s="228"/>
      <c r="W74" s="228"/>
      <c r="X74" s="288"/>
      <c r="Y74" s="289"/>
      <c r="Z74" s="290"/>
      <c r="AA74" s="768"/>
      <c r="AB74" s="228"/>
      <c r="AC74" s="228"/>
      <c r="AD74" s="288"/>
      <c r="AE74" s="289"/>
      <c r="AF74" s="290"/>
    </row>
    <row r="75" spans="1:32" ht="12.75" customHeight="1" x14ac:dyDescent="0.3">
      <c r="A75" s="209">
        <v>6000</v>
      </c>
      <c r="B75" s="526" t="s">
        <v>128</v>
      </c>
      <c r="C75" s="209" t="s">
        <v>128</v>
      </c>
      <c r="D75" s="209" t="s">
        <v>128</v>
      </c>
      <c r="E75" s="213" t="s">
        <v>128</v>
      </c>
      <c r="F75" s="213" t="s">
        <v>128</v>
      </c>
      <c r="G75" s="782"/>
      <c r="H75" s="209">
        <v>6000</v>
      </c>
      <c r="I75" s="526" t="s">
        <v>128</v>
      </c>
      <c r="J75" s="209" t="s">
        <v>128</v>
      </c>
      <c r="K75" s="209" t="s">
        <v>128</v>
      </c>
      <c r="L75" s="213" t="s">
        <v>128</v>
      </c>
      <c r="M75" s="213" t="s">
        <v>128</v>
      </c>
      <c r="N75" s="686"/>
      <c r="O75" s="784"/>
      <c r="P75" s="784"/>
      <c r="Q75" s="784"/>
      <c r="R75" s="784"/>
      <c r="S75" s="784"/>
      <c r="T75" s="785"/>
      <c r="V75" s="228"/>
      <c r="W75" s="228"/>
      <c r="X75" s="288"/>
      <c r="Y75" s="289"/>
      <c r="Z75" s="290"/>
      <c r="AA75" s="768"/>
      <c r="AB75" s="228"/>
      <c r="AC75" s="228"/>
      <c r="AD75" s="288"/>
      <c r="AE75" s="289"/>
      <c r="AF75" s="290"/>
    </row>
    <row r="76" spans="1:32" ht="12.75" customHeight="1" x14ac:dyDescent="0.3">
      <c r="A76" s="209">
        <v>7000</v>
      </c>
      <c r="B76" s="526" t="s">
        <v>128</v>
      </c>
      <c r="C76" s="209" t="s">
        <v>128</v>
      </c>
      <c r="D76" s="209" t="s">
        <v>128</v>
      </c>
      <c r="E76" s="213" t="s">
        <v>128</v>
      </c>
      <c r="F76" s="213" t="s">
        <v>128</v>
      </c>
      <c r="G76" s="782"/>
      <c r="H76" s="209">
        <v>7000</v>
      </c>
      <c r="I76" s="526" t="s">
        <v>128</v>
      </c>
      <c r="J76" s="209" t="s">
        <v>128</v>
      </c>
      <c r="K76" s="209" t="s">
        <v>128</v>
      </c>
      <c r="L76" s="213" t="s">
        <v>128</v>
      </c>
      <c r="M76" s="213" t="s">
        <v>128</v>
      </c>
      <c r="N76" s="686"/>
      <c r="O76" s="784"/>
      <c r="P76" s="784"/>
      <c r="Q76" s="784"/>
      <c r="R76" s="784"/>
      <c r="S76" s="784"/>
      <c r="T76" s="785"/>
      <c r="V76" s="228"/>
      <c r="W76" s="228"/>
      <c r="X76" s="288"/>
      <c r="Y76" s="289"/>
      <c r="Z76" s="290"/>
      <c r="AA76" s="768"/>
      <c r="AB76" s="228"/>
      <c r="AC76" s="228"/>
      <c r="AD76" s="288"/>
      <c r="AE76" s="289"/>
      <c r="AF76" s="290"/>
    </row>
    <row r="77" spans="1:32" ht="12.75" customHeight="1" x14ac:dyDescent="0.3">
      <c r="A77" s="209">
        <v>8000</v>
      </c>
      <c r="B77" s="526" t="s">
        <v>128</v>
      </c>
      <c r="C77" s="209" t="s">
        <v>128</v>
      </c>
      <c r="D77" s="209" t="s">
        <v>128</v>
      </c>
      <c r="E77" s="213" t="s">
        <v>128</v>
      </c>
      <c r="F77" s="213" t="s">
        <v>128</v>
      </c>
      <c r="G77" s="782"/>
      <c r="H77" s="209">
        <v>8000</v>
      </c>
      <c r="I77" s="526" t="s">
        <v>128</v>
      </c>
      <c r="J77" s="209" t="s">
        <v>128</v>
      </c>
      <c r="K77" s="209" t="s">
        <v>128</v>
      </c>
      <c r="L77" s="213" t="s">
        <v>128</v>
      </c>
      <c r="M77" s="213" t="s">
        <v>128</v>
      </c>
      <c r="N77" s="686"/>
      <c r="O77" s="784"/>
      <c r="P77" s="784"/>
      <c r="Q77" s="784"/>
      <c r="R77" s="784"/>
      <c r="S77" s="784"/>
      <c r="T77" s="785"/>
      <c r="V77" s="228"/>
      <c r="W77" s="228"/>
      <c r="X77" s="288"/>
      <c r="Y77" s="289"/>
      <c r="Z77" s="290"/>
      <c r="AA77" s="768"/>
      <c r="AB77" s="228"/>
      <c r="AC77" s="228"/>
      <c r="AD77" s="288"/>
      <c r="AE77" s="289"/>
      <c r="AF77" s="290"/>
    </row>
    <row r="78" spans="1:32" ht="12.75" customHeight="1" x14ac:dyDescent="0.3">
      <c r="A78" s="209">
        <v>9000</v>
      </c>
      <c r="B78" s="526" t="s">
        <v>128</v>
      </c>
      <c r="C78" s="209" t="s">
        <v>128</v>
      </c>
      <c r="D78" s="209" t="s">
        <v>128</v>
      </c>
      <c r="E78" s="213" t="s">
        <v>128</v>
      </c>
      <c r="F78" s="213" t="s">
        <v>128</v>
      </c>
      <c r="G78" s="782"/>
      <c r="H78" s="209">
        <v>9000</v>
      </c>
      <c r="I78" s="526" t="s">
        <v>128</v>
      </c>
      <c r="J78" s="209" t="s">
        <v>128</v>
      </c>
      <c r="K78" s="209" t="s">
        <v>128</v>
      </c>
      <c r="L78" s="213" t="s">
        <v>128</v>
      </c>
      <c r="M78" s="213" t="s">
        <v>128</v>
      </c>
      <c r="N78" s="686"/>
      <c r="O78" s="784"/>
      <c r="P78" s="784"/>
      <c r="Q78" s="784"/>
      <c r="R78" s="784"/>
      <c r="S78" s="784"/>
      <c r="T78" s="785"/>
      <c r="V78" s="228"/>
      <c r="W78" s="228"/>
      <c r="X78" s="288"/>
      <c r="Y78" s="289"/>
      <c r="Z78" s="290"/>
      <c r="AA78" s="768"/>
      <c r="AB78" s="228"/>
      <c r="AC78" s="228"/>
      <c r="AD78" s="288"/>
      <c r="AE78" s="289"/>
      <c r="AF78" s="290"/>
    </row>
    <row r="79" spans="1:32" ht="13.5" customHeight="1" x14ac:dyDescent="0.3">
      <c r="A79" s="209">
        <v>10000</v>
      </c>
      <c r="B79" s="526" t="s">
        <v>128</v>
      </c>
      <c r="C79" s="209" t="s">
        <v>128</v>
      </c>
      <c r="D79" s="209" t="s">
        <v>128</v>
      </c>
      <c r="E79" s="213" t="s">
        <v>128</v>
      </c>
      <c r="F79" s="213" t="s">
        <v>128</v>
      </c>
      <c r="G79" s="782"/>
      <c r="H79" s="209">
        <v>10000</v>
      </c>
      <c r="I79" s="526" t="s">
        <v>128</v>
      </c>
      <c r="J79" s="209" t="s">
        <v>128</v>
      </c>
      <c r="K79" s="209" t="s">
        <v>128</v>
      </c>
      <c r="L79" s="213" t="s">
        <v>128</v>
      </c>
      <c r="M79" s="213" t="s">
        <v>128</v>
      </c>
      <c r="N79" s="686"/>
      <c r="O79" s="784"/>
      <c r="P79" s="784"/>
      <c r="Q79" s="784"/>
      <c r="R79" s="784"/>
      <c r="S79" s="784"/>
      <c r="T79" s="785"/>
      <c r="V79" s="228"/>
      <c r="W79" s="228"/>
      <c r="X79" s="288"/>
      <c r="Y79" s="289"/>
      <c r="Z79" s="290"/>
      <c r="AA79" s="768"/>
      <c r="AB79" s="228"/>
      <c r="AC79" s="228"/>
      <c r="AD79" s="288"/>
      <c r="AE79" s="289"/>
      <c r="AF79" s="290"/>
    </row>
    <row r="80" spans="1:32" ht="13.5" customHeight="1" x14ac:dyDescent="0.3">
      <c r="A80" s="209">
        <v>50000</v>
      </c>
      <c r="B80" s="526" t="s">
        <v>128</v>
      </c>
      <c r="C80" s="209" t="s">
        <v>128</v>
      </c>
      <c r="D80" s="209" t="s">
        <v>128</v>
      </c>
      <c r="E80" s="213" t="s">
        <v>128</v>
      </c>
      <c r="F80" s="213" t="s">
        <v>128</v>
      </c>
      <c r="G80" s="782"/>
      <c r="H80" s="209">
        <v>50000</v>
      </c>
      <c r="I80" s="526" t="s">
        <v>128</v>
      </c>
      <c r="J80" s="209" t="s">
        <v>128</v>
      </c>
      <c r="K80" s="209" t="s">
        <v>128</v>
      </c>
      <c r="L80" s="213" t="s">
        <v>128</v>
      </c>
      <c r="M80" s="213" t="s">
        <v>128</v>
      </c>
      <c r="N80" s="686"/>
      <c r="O80" s="784"/>
      <c r="P80" s="784"/>
      <c r="Q80" s="784"/>
      <c r="R80" s="784"/>
      <c r="S80" s="784"/>
      <c r="T80" s="785"/>
      <c r="V80" s="228"/>
      <c r="W80" s="228"/>
      <c r="X80" s="288"/>
      <c r="Y80" s="289"/>
      <c r="Z80" s="290"/>
      <c r="AA80" s="778"/>
      <c r="AB80" s="228"/>
      <c r="AC80" s="228"/>
      <c r="AD80" s="288"/>
      <c r="AE80" s="289"/>
      <c r="AF80" s="290"/>
    </row>
    <row r="81" spans="1:32" ht="13.5" customHeight="1" x14ac:dyDescent="0.3">
      <c r="A81" s="209">
        <v>99000</v>
      </c>
      <c r="B81" s="209" t="s">
        <v>128</v>
      </c>
      <c r="C81" s="209"/>
      <c r="D81" s="209"/>
      <c r="E81" s="213"/>
      <c r="F81" s="213"/>
      <c r="G81" s="778"/>
      <c r="H81" s="209">
        <v>99000</v>
      </c>
      <c r="I81" s="209" t="s">
        <v>128</v>
      </c>
      <c r="J81" s="209"/>
      <c r="K81" s="209"/>
      <c r="L81" s="213"/>
      <c r="M81" s="213"/>
      <c r="N81" s="686"/>
      <c r="O81" s="784"/>
      <c r="P81" s="784"/>
      <c r="Q81" s="784"/>
      <c r="R81" s="784"/>
      <c r="S81" s="784"/>
      <c r="T81" s="785"/>
      <c r="V81" s="228"/>
      <c r="W81" s="228"/>
      <c r="X81" s="288"/>
      <c r="Y81" s="289"/>
      <c r="Z81" s="290"/>
      <c r="AA81" s="778"/>
      <c r="AB81" s="228"/>
      <c r="AC81" s="228"/>
      <c r="AD81" s="288"/>
      <c r="AE81" s="289"/>
      <c r="AF81" s="290"/>
    </row>
    <row r="82" spans="1:32" ht="13.5" customHeight="1" thickBot="1" x14ac:dyDescent="0.3">
      <c r="A82" s="1413"/>
      <c r="B82" s="1414"/>
      <c r="C82" s="1414"/>
      <c r="D82" s="1414"/>
      <c r="E82" s="1414"/>
      <c r="F82" s="1414"/>
      <c r="G82" s="1414"/>
      <c r="H82" s="1414"/>
      <c r="I82" s="1414"/>
      <c r="J82" s="1414"/>
      <c r="K82" s="1414"/>
      <c r="L82" s="1414"/>
      <c r="M82" s="1414"/>
      <c r="N82" s="1414"/>
      <c r="O82" s="1414"/>
      <c r="P82" s="1414"/>
      <c r="Q82" s="1414"/>
      <c r="R82" s="1414"/>
      <c r="S82" s="1414"/>
      <c r="T82" s="1415"/>
      <c r="V82" s="291"/>
      <c r="W82" s="291"/>
      <c r="X82" s="291"/>
      <c r="Y82" s="291"/>
      <c r="Z82" s="291"/>
      <c r="AA82" s="291"/>
      <c r="AB82" s="291"/>
      <c r="AC82" s="291"/>
      <c r="AD82" s="291"/>
      <c r="AE82" s="291"/>
      <c r="AF82" s="291"/>
    </row>
    <row r="83" spans="1:32" ht="12.75" customHeight="1" x14ac:dyDescent="0.3">
      <c r="A83" s="227"/>
      <c r="B83" s="228"/>
      <c r="C83" s="228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686"/>
      <c r="O83" s="784"/>
      <c r="P83" s="784"/>
      <c r="Q83" s="784"/>
      <c r="R83" s="784"/>
      <c r="S83" s="784"/>
      <c r="T83" s="784"/>
      <c r="V83" s="228"/>
      <c r="W83" s="228"/>
      <c r="X83" s="228"/>
      <c r="Y83" s="228"/>
      <c r="Z83" s="228"/>
      <c r="AA83" s="228"/>
      <c r="AB83" s="228"/>
      <c r="AC83" s="228"/>
      <c r="AD83" s="228"/>
      <c r="AE83" s="228"/>
      <c r="AF83" s="228"/>
    </row>
    <row r="84" spans="1:32" ht="13.5" thickBot="1" x14ac:dyDescent="0.35">
      <c r="A84" s="779"/>
      <c r="B84" s="686"/>
      <c r="C84" s="686"/>
      <c r="D84" s="686"/>
      <c r="E84" s="686"/>
      <c r="F84" s="686"/>
      <c r="G84" s="686"/>
      <c r="H84" s="686"/>
      <c r="I84" s="686"/>
      <c r="J84" s="686"/>
      <c r="K84" s="686"/>
      <c r="L84" s="686"/>
      <c r="M84" s="686"/>
      <c r="N84" s="686"/>
      <c r="O84" s="686"/>
      <c r="P84" s="686"/>
      <c r="Q84" s="686"/>
      <c r="R84" s="686"/>
      <c r="S84" s="686"/>
      <c r="T84" s="686"/>
    </row>
    <row r="85" spans="1:32" ht="12.75" customHeight="1" x14ac:dyDescent="0.25">
      <c r="A85" s="1390" t="s">
        <v>308</v>
      </c>
      <c r="B85" s="1416"/>
      <c r="C85" s="1419" t="s">
        <v>191</v>
      </c>
      <c r="D85" s="1421" t="s">
        <v>298</v>
      </c>
      <c r="E85" s="1422"/>
      <c r="F85" s="1423"/>
      <c r="G85" s="1427" t="s">
        <v>294</v>
      </c>
      <c r="H85" s="1419" t="s">
        <v>309</v>
      </c>
      <c r="I85" s="1431"/>
      <c r="J85" s="786"/>
      <c r="K85" s="1390" t="str">
        <f>A85</f>
        <v>No Urut Titik Ukur</v>
      </c>
      <c r="L85" s="1434"/>
      <c r="M85" s="1401" t="s">
        <v>191</v>
      </c>
      <c r="N85" s="1403" t="s">
        <v>298</v>
      </c>
      <c r="O85" s="1403"/>
      <c r="P85" s="1403"/>
      <c r="Q85" s="1405" t="s">
        <v>294</v>
      </c>
      <c r="R85" s="1401" t="s">
        <v>309</v>
      </c>
      <c r="S85" s="1409"/>
    </row>
    <row r="86" spans="1:32" ht="12.75" customHeight="1" x14ac:dyDescent="0.25">
      <c r="A86" s="1391"/>
      <c r="B86" s="1417"/>
      <c r="C86" s="1420"/>
      <c r="D86" s="1424"/>
      <c r="E86" s="1425"/>
      <c r="F86" s="1426"/>
      <c r="G86" s="1428"/>
      <c r="H86" s="1420"/>
      <c r="I86" s="1432"/>
      <c r="J86" s="787"/>
      <c r="K86" s="1391"/>
      <c r="L86" s="1435"/>
      <c r="M86" s="1402"/>
      <c r="N86" s="1404"/>
      <c r="O86" s="1404"/>
      <c r="P86" s="1404"/>
      <c r="Q86" s="1406"/>
      <c r="R86" s="1402"/>
      <c r="S86" s="1410"/>
    </row>
    <row r="87" spans="1:32" ht="14.5" thickBot="1" x14ac:dyDescent="0.3">
      <c r="A87" s="1392"/>
      <c r="B87" s="1418"/>
      <c r="C87" s="788" t="s">
        <v>299</v>
      </c>
      <c r="D87" s="789"/>
      <c r="E87" s="789"/>
      <c r="F87" s="789"/>
      <c r="G87" s="1429"/>
      <c r="H87" s="1430"/>
      <c r="I87" s="1433"/>
      <c r="J87" s="787"/>
      <c r="K87" s="1392"/>
      <c r="L87" s="1436"/>
      <c r="M87" s="790" t="s">
        <v>299</v>
      </c>
      <c r="N87" s="791"/>
      <c r="O87" s="791"/>
      <c r="P87" s="791"/>
      <c r="Q87" s="1407"/>
      <c r="R87" s="1408"/>
      <c r="S87" s="1411"/>
    </row>
    <row r="88" spans="1:32" ht="13" x14ac:dyDescent="0.25">
      <c r="A88" s="1412" t="s">
        <v>95</v>
      </c>
      <c r="B88" s="792">
        <v>1</v>
      </c>
      <c r="C88" s="294">
        <f t="shared" ref="C88:H88" si="14">A6</f>
        <v>0</v>
      </c>
      <c r="D88" s="294">
        <f t="shared" si="14"/>
        <v>0</v>
      </c>
      <c r="E88" s="294">
        <f t="shared" si="14"/>
        <v>0</v>
      </c>
      <c r="F88" s="294">
        <f t="shared" si="14"/>
        <v>9.9999999999999995E-7</v>
      </c>
      <c r="G88" s="294">
        <f t="shared" si="14"/>
        <v>4.9999999999999998E-7</v>
      </c>
      <c r="H88" s="527">
        <f t="shared" si="14"/>
        <v>0</v>
      </c>
      <c r="I88" s="528"/>
      <c r="J88" s="787"/>
      <c r="K88" s="1395" t="s">
        <v>310</v>
      </c>
      <c r="L88" s="792">
        <v>1</v>
      </c>
      <c r="M88" s="230">
        <f t="shared" ref="M88:R88" si="15">A14</f>
        <v>5000</v>
      </c>
      <c r="N88" s="230">
        <f t="shared" si="15"/>
        <v>0</v>
      </c>
      <c r="O88" s="230">
        <f t="shared" si="15"/>
        <v>0</v>
      </c>
      <c r="P88" s="230">
        <f t="shared" si="15"/>
        <v>9.9999999999999995E-7</v>
      </c>
      <c r="Q88" s="230">
        <f t="shared" si="15"/>
        <v>4.9999999999999998E-7</v>
      </c>
      <c r="R88" s="230">
        <f t="shared" si="15"/>
        <v>1.4999999999999998</v>
      </c>
      <c r="S88" s="793"/>
    </row>
    <row r="89" spans="1:32" ht="13" x14ac:dyDescent="0.25">
      <c r="A89" s="1388"/>
      <c r="B89" s="794">
        <v>2</v>
      </c>
      <c r="C89" s="229">
        <f t="shared" ref="C89:H89" si="16">H6</f>
        <v>0</v>
      </c>
      <c r="D89" s="229" t="str">
        <f t="shared" si="16"/>
        <v>-</v>
      </c>
      <c r="E89" s="229">
        <f t="shared" si="16"/>
        <v>9.9999999999999995E-7</v>
      </c>
      <c r="F89" s="229">
        <f t="shared" si="16"/>
        <v>9.9999999999999995E-7</v>
      </c>
      <c r="G89" s="229">
        <f t="shared" si="16"/>
        <v>0</v>
      </c>
      <c r="H89" s="529">
        <f t="shared" si="16"/>
        <v>0</v>
      </c>
      <c r="I89" s="530"/>
      <c r="J89" s="787"/>
      <c r="K89" s="1396"/>
      <c r="L89" s="794">
        <v>2</v>
      </c>
      <c r="M89" s="229">
        <f t="shared" ref="M89:R89" si="17">H14</f>
        <v>5000</v>
      </c>
      <c r="N89" s="229" t="str">
        <f t="shared" si="17"/>
        <v>-</v>
      </c>
      <c r="O89" s="229">
        <f t="shared" si="17"/>
        <v>9.9999999999999995E-7</v>
      </c>
      <c r="P89" s="229">
        <f t="shared" si="17"/>
        <v>9.9999999999999995E-7</v>
      </c>
      <c r="Q89" s="229">
        <f t="shared" si="17"/>
        <v>0</v>
      </c>
      <c r="R89" s="229">
        <f t="shared" si="17"/>
        <v>1.4999999999999998</v>
      </c>
      <c r="S89" s="793"/>
    </row>
    <row r="90" spans="1:32" ht="13" x14ac:dyDescent="0.25">
      <c r="A90" s="1388"/>
      <c r="B90" s="794">
        <v>3</v>
      </c>
      <c r="C90" s="229">
        <f t="shared" ref="C90:H90" si="18">O6</f>
        <v>0</v>
      </c>
      <c r="D90" s="229">
        <f t="shared" si="18"/>
        <v>0</v>
      </c>
      <c r="E90" s="229">
        <f t="shared" si="18"/>
        <v>9.9999999999999995E-7</v>
      </c>
      <c r="F90" s="229">
        <f t="shared" si="18"/>
        <v>9.9999999999999995E-7</v>
      </c>
      <c r="G90" s="229">
        <f t="shared" si="18"/>
        <v>0</v>
      </c>
      <c r="H90" s="529">
        <f t="shared" si="18"/>
        <v>0</v>
      </c>
      <c r="I90" s="530"/>
      <c r="J90" s="787"/>
      <c r="K90" s="1396"/>
      <c r="L90" s="794">
        <v>3</v>
      </c>
      <c r="M90" s="229">
        <f t="shared" ref="M90:R90" si="19">O14</f>
        <v>5000</v>
      </c>
      <c r="N90" s="229">
        <f t="shared" si="19"/>
        <v>0</v>
      </c>
      <c r="O90" s="229">
        <f t="shared" si="19"/>
        <v>9.9999999999999995E-7</v>
      </c>
      <c r="P90" s="229">
        <f t="shared" si="19"/>
        <v>9.9999999999999995E-7</v>
      </c>
      <c r="Q90" s="229">
        <f t="shared" si="19"/>
        <v>0</v>
      </c>
      <c r="R90" s="229">
        <f t="shared" si="19"/>
        <v>1.4999999999999998</v>
      </c>
      <c r="S90" s="793"/>
    </row>
    <row r="91" spans="1:32" ht="13" x14ac:dyDescent="0.25">
      <c r="A91" s="1388"/>
      <c r="B91" s="794">
        <v>4</v>
      </c>
      <c r="C91" s="229">
        <f t="shared" ref="C91:H91" si="20">A26</f>
        <v>0</v>
      </c>
      <c r="D91" s="229">
        <f t="shared" si="20"/>
        <v>0</v>
      </c>
      <c r="E91" s="229">
        <f t="shared" si="20"/>
        <v>9.9999999999999995E-7</v>
      </c>
      <c r="F91" s="229">
        <f t="shared" si="20"/>
        <v>9.9999999999999995E-7</v>
      </c>
      <c r="G91" s="229">
        <f t="shared" si="20"/>
        <v>0</v>
      </c>
      <c r="H91" s="529">
        <f t="shared" si="20"/>
        <v>0</v>
      </c>
      <c r="I91" s="530"/>
      <c r="J91" s="787"/>
      <c r="K91" s="1396"/>
      <c r="L91" s="794">
        <v>4</v>
      </c>
      <c r="M91" s="229">
        <f t="shared" ref="M91:R91" si="21">A34</f>
        <v>5000</v>
      </c>
      <c r="N91" s="229">
        <f t="shared" si="21"/>
        <v>1</v>
      </c>
      <c r="O91" s="229">
        <f t="shared" si="21"/>
        <v>1</v>
      </c>
      <c r="P91" s="229">
        <f t="shared" si="21"/>
        <v>1</v>
      </c>
      <c r="Q91" s="229">
        <f t="shared" si="21"/>
        <v>0</v>
      </c>
      <c r="R91" s="229">
        <f t="shared" si="21"/>
        <v>1.4996999999999998</v>
      </c>
      <c r="S91" s="793"/>
    </row>
    <row r="92" spans="1:32" ht="13" x14ac:dyDescent="0.25">
      <c r="A92" s="1388"/>
      <c r="B92" s="794">
        <v>5</v>
      </c>
      <c r="C92" s="229">
        <f t="shared" ref="C92:H92" si="22">H26</f>
        <v>0</v>
      </c>
      <c r="D92" s="229">
        <f t="shared" si="22"/>
        <v>0</v>
      </c>
      <c r="E92" s="229">
        <f t="shared" si="22"/>
        <v>9.9999999999999995E-7</v>
      </c>
      <c r="F92" s="229">
        <f t="shared" si="22"/>
        <v>9.9999999999999995E-7</v>
      </c>
      <c r="G92" s="229">
        <f t="shared" si="22"/>
        <v>0</v>
      </c>
      <c r="H92" s="529">
        <f t="shared" si="22"/>
        <v>0</v>
      </c>
      <c r="I92" s="530"/>
      <c r="J92" s="787"/>
      <c r="K92" s="1396"/>
      <c r="L92" s="794">
        <v>5</v>
      </c>
      <c r="M92" s="229">
        <f t="shared" ref="M92:R92" si="23">H34</f>
        <v>5000</v>
      </c>
      <c r="N92" s="229">
        <f t="shared" si="23"/>
        <v>-0.3</v>
      </c>
      <c r="O92" s="229">
        <f t="shared" si="23"/>
        <v>-0.3</v>
      </c>
      <c r="P92" s="229">
        <f t="shared" si="23"/>
        <v>-0.2</v>
      </c>
      <c r="Q92" s="229">
        <f t="shared" si="23"/>
        <v>4.9999999999999989E-2</v>
      </c>
      <c r="R92" s="229">
        <f t="shared" si="23"/>
        <v>1.5000899999999999</v>
      </c>
      <c r="S92" s="793"/>
    </row>
    <row r="93" spans="1:32" ht="13" x14ac:dyDescent="0.25">
      <c r="A93" s="1388"/>
      <c r="B93" s="794">
        <v>6</v>
      </c>
      <c r="C93" s="229">
        <f>O$26</f>
        <v>0</v>
      </c>
      <c r="D93" s="229">
        <f t="shared" ref="D93:H93" si="24">P$26</f>
        <v>0</v>
      </c>
      <c r="E93" s="229">
        <f t="shared" si="24"/>
        <v>0</v>
      </c>
      <c r="F93" s="229">
        <f t="shared" si="24"/>
        <v>9.9999999999999995E-7</v>
      </c>
      <c r="G93" s="229">
        <f t="shared" si="24"/>
        <v>4.9999999999999998E-7</v>
      </c>
      <c r="H93" s="529">
        <f t="shared" si="24"/>
        <v>0</v>
      </c>
      <c r="I93" s="530"/>
      <c r="J93" s="787"/>
      <c r="K93" s="1396"/>
      <c r="L93" s="794">
        <v>6</v>
      </c>
      <c r="M93" s="229">
        <f t="shared" ref="M93:R93" si="25">O$34</f>
        <v>5000</v>
      </c>
      <c r="N93" s="229">
        <f t="shared" si="25"/>
        <v>-0.2</v>
      </c>
      <c r="O93" s="229">
        <f t="shared" si="25"/>
        <v>-0.2</v>
      </c>
      <c r="P93" s="229">
        <f t="shared" si="25"/>
        <v>-0.3</v>
      </c>
      <c r="Q93" s="229">
        <f t="shared" si="25"/>
        <v>4.9999999999999989E-2</v>
      </c>
      <c r="R93" s="229">
        <f t="shared" si="25"/>
        <v>1.5000599999999997</v>
      </c>
      <c r="S93" s="793"/>
    </row>
    <row r="94" spans="1:32" ht="13" x14ac:dyDescent="0.25">
      <c r="A94" s="1388"/>
      <c r="B94" s="794">
        <v>7</v>
      </c>
      <c r="C94" s="229">
        <f>A$46</f>
        <v>0</v>
      </c>
      <c r="D94" s="229">
        <f t="shared" ref="D94:H94" si="26">B$46</f>
        <v>0</v>
      </c>
      <c r="E94" s="229">
        <f t="shared" si="26"/>
        <v>0</v>
      </c>
      <c r="F94" s="229">
        <f t="shared" si="26"/>
        <v>9.9999999999999995E-7</v>
      </c>
      <c r="G94" s="229">
        <f t="shared" si="26"/>
        <v>4.9999999999999998E-7</v>
      </c>
      <c r="H94" s="529">
        <f t="shared" si="26"/>
        <v>0</v>
      </c>
      <c r="I94" s="530"/>
      <c r="J94" s="787"/>
      <c r="K94" s="1396"/>
      <c r="L94" s="794">
        <v>7</v>
      </c>
      <c r="M94" s="229">
        <f t="shared" ref="M94:R94" si="27">A$54</f>
        <v>5000</v>
      </c>
      <c r="N94" s="229">
        <f t="shared" si="27"/>
        <v>-0.3</v>
      </c>
      <c r="O94" s="229">
        <f t="shared" si="27"/>
        <v>-0.4</v>
      </c>
      <c r="P94" s="229">
        <f t="shared" si="27"/>
        <v>-0.3</v>
      </c>
      <c r="Q94" s="229">
        <f t="shared" si="27"/>
        <v>5.0000000000000017E-2</v>
      </c>
      <c r="R94" s="229">
        <f t="shared" si="27"/>
        <v>1.5000899999999999</v>
      </c>
      <c r="S94" s="793"/>
    </row>
    <row r="95" spans="1:32" ht="13" x14ac:dyDescent="0.25">
      <c r="A95" s="1388"/>
      <c r="B95" s="794">
        <v>8</v>
      </c>
      <c r="C95" s="229">
        <f t="shared" ref="C95:H95" si="28">H46</f>
        <v>0</v>
      </c>
      <c r="D95" s="229" t="str">
        <f t="shared" si="28"/>
        <v>-</v>
      </c>
      <c r="E95" s="229" t="str">
        <f t="shared" si="28"/>
        <v>-</v>
      </c>
      <c r="F95" s="229" t="str">
        <f t="shared" si="28"/>
        <v>-</v>
      </c>
      <c r="G95" s="229" t="str">
        <f t="shared" si="28"/>
        <v>-</v>
      </c>
      <c r="H95" s="529" t="str">
        <f t="shared" si="28"/>
        <v>-</v>
      </c>
      <c r="I95" s="530"/>
      <c r="J95" s="787"/>
      <c r="K95" s="1396"/>
      <c r="L95" s="794">
        <v>8</v>
      </c>
      <c r="M95" s="229">
        <f t="shared" ref="M95:R95" si="29">H54</f>
        <v>5000</v>
      </c>
      <c r="N95" s="229" t="str">
        <f t="shared" si="29"/>
        <v>-</v>
      </c>
      <c r="O95" s="229" t="str">
        <f t="shared" si="29"/>
        <v>-</v>
      </c>
      <c r="P95" s="229" t="str">
        <f t="shared" si="29"/>
        <v>-</v>
      </c>
      <c r="Q95" s="229" t="str">
        <f t="shared" si="29"/>
        <v>-</v>
      </c>
      <c r="R95" s="229" t="str">
        <f t="shared" si="29"/>
        <v>-</v>
      </c>
      <c r="S95" s="793"/>
    </row>
    <row r="96" spans="1:32" ht="13" x14ac:dyDescent="0.25">
      <c r="A96" s="1388"/>
      <c r="B96" s="794">
        <v>9</v>
      </c>
      <c r="C96" s="229">
        <f>O46</f>
        <v>0</v>
      </c>
      <c r="D96" s="229" t="str">
        <f>B66</f>
        <v>-</v>
      </c>
      <c r="E96" s="229" t="str">
        <f>C66</f>
        <v>-</v>
      </c>
      <c r="F96" s="229" t="str">
        <f>D66</f>
        <v>-</v>
      </c>
      <c r="G96" s="229" t="str">
        <f>E66</f>
        <v>-</v>
      </c>
      <c r="H96" s="529" t="str">
        <f>F66</f>
        <v>-</v>
      </c>
      <c r="I96" s="530"/>
      <c r="J96" s="787"/>
      <c r="K96" s="1396"/>
      <c r="L96" s="794">
        <v>9</v>
      </c>
      <c r="M96" s="229">
        <f t="shared" ref="M96:R96" si="30">A74</f>
        <v>5000</v>
      </c>
      <c r="N96" s="229" t="str">
        <f t="shared" si="30"/>
        <v>-</v>
      </c>
      <c r="O96" s="229" t="str">
        <f t="shared" si="30"/>
        <v>-</v>
      </c>
      <c r="P96" s="229" t="str">
        <f t="shared" si="30"/>
        <v>-</v>
      </c>
      <c r="Q96" s="229" t="str">
        <f t="shared" si="30"/>
        <v>-</v>
      </c>
      <c r="R96" s="229" t="str">
        <f t="shared" si="30"/>
        <v>-</v>
      </c>
      <c r="S96" s="793"/>
    </row>
    <row r="97" spans="1:19" ht="13.5" thickBot="1" x14ac:dyDescent="0.3">
      <c r="A97" s="1389"/>
      <c r="B97" s="795">
        <v>10</v>
      </c>
      <c r="C97" s="349">
        <f>A66</f>
        <v>0</v>
      </c>
      <c r="D97" s="349" t="str">
        <f>I66</f>
        <v>-</v>
      </c>
      <c r="E97" s="349" t="str">
        <f>J66</f>
        <v>-</v>
      </c>
      <c r="F97" s="349" t="str">
        <f>K66</f>
        <v>-</v>
      </c>
      <c r="G97" s="349" t="str">
        <f>L66</f>
        <v>-</v>
      </c>
      <c r="H97" s="531" t="str">
        <f>M66</f>
        <v>-</v>
      </c>
      <c r="I97" s="532"/>
      <c r="J97" s="787"/>
      <c r="K97" s="1397"/>
      <c r="L97" s="795">
        <v>10</v>
      </c>
      <c r="M97" s="349">
        <f t="shared" ref="M97:R97" si="31">H74</f>
        <v>5000</v>
      </c>
      <c r="N97" s="349" t="str">
        <f t="shared" si="31"/>
        <v>-</v>
      </c>
      <c r="O97" s="349" t="str">
        <f t="shared" si="31"/>
        <v>-</v>
      </c>
      <c r="P97" s="349" t="str">
        <f t="shared" si="31"/>
        <v>-</v>
      </c>
      <c r="Q97" s="349" t="str">
        <f t="shared" si="31"/>
        <v>-</v>
      </c>
      <c r="R97" s="349" t="str">
        <f t="shared" si="31"/>
        <v>-</v>
      </c>
      <c r="S97" s="796"/>
    </row>
    <row r="98" spans="1:19" ht="13" x14ac:dyDescent="0.3">
      <c r="A98" s="1395" t="s">
        <v>96</v>
      </c>
      <c r="B98" s="797">
        <v>1</v>
      </c>
      <c r="C98" s="798">
        <f t="shared" ref="C98:H98" si="32">A7</f>
        <v>50</v>
      </c>
      <c r="D98" s="798">
        <f t="shared" si="32"/>
        <v>0</v>
      </c>
      <c r="E98" s="798">
        <f t="shared" si="32"/>
        <v>0</v>
      </c>
      <c r="F98" s="798">
        <f t="shared" si="32"/>
        <v>9.9999999999999995E-7</v>
      </c>
      <c r="G98" s="798">
        <f t="shared" si="32"/>
        <v>4.9999999999999998E-7</v>
      </c>
      <c r="H98" s="799">
        <f t="shared" si="32"/>
        <v>1.4999999999999999E-2</v>
      </c>
      <c r="I98" s="800"/>
      <c r="J98" s="787"/>
      <c r="K98" s="1395" t="s">
        <v>311</v>
      </c>
      <c r="L98" s="794">
        <v>1</v>
      </c>
      <c r="M98" s="801">
        <f t="shared" ref="M98:R98" si="33">A15</f>
        <v>6000</v>
      </c>
      <c r="N98" s="801">
        <f t="shared" si="33"/>
        <v>0</v>
      </c>
      <c r="O98" s="801">
        <f t="shared" si="33"/>
        <v>0</v>
      </c>
      <c r="P98" s="801">
        <f t="shared" si="33"/>
        <v>9.9999999999999995E-7</v>
      </c>
      <c r="Q98" s="801">
        <f t="shared" si="33"/>
        <v>4.9999999999999998E-7</v>
      </c>
      <c r="R98" s="801">
        <f t="shared" si="33"/>
        <v>1.7999999999999998</v>
      </c>
      <c r="S98" s="793"/>
    </row>
    <row r="99" spans="1:19" ht="13" x14ac:dyDescent="0.3">
      <c r="A99" s="1396"/>
      <c r="B99" s="794">
        <v>2</v>
      </c>
      <c r="C99" s="802">
        <f t="shared" ref="C99:H99" si="34">H7</f>
        <v>50</v>
      </c>
      <c r="D99" s="802" t="str">
        <f t="shared" si="34"/>
        <v>-</v>
      </c>
      <c r="E99" s="802">
        <f t="shared" si="34"/>
        <v>9.9999999999999995E-7</v>
      </c>
      <c r="F99" s="802">
        <f t="shared" si="34"/>
        <v>9.9999999999999995E-7</v>
      </c>
      <c r="G99" s="802">
        <f t="shared" si="34"/>
        <v>0</v>
      </c>
      <c r="H99" s="803">
        <f t="shared" si="34"/>
        <v>1.4999999999999999E-2</v>
      </c>
      <c r="I99" s="804"/>
      <c r="J99" s="787"/>
      <c r="K99" s="1396"/>
      <c r="L99" s="794">
        <v>2</v>
      </c>
      <c r="M99" s="428">
        <f t="shared" ref="M99:R99" si="35">H15</f>
        <v>6000</v>
      </c>
      <c r="N99" s="428" t="str">
        <f t="shared" si="35"/>
        <v>-</v>
      </c>
      <c r="O99" s="428">
        <f t="shared" si="35"/>
        <v>9.9999999999999995E-7</v>
      </c>
      <c r="P99" s="428">
        <f t="shared" si="35"/>
        <v>9.9999999999999995E-7</v>
      </c>
      <c r="Q99" s="428">
        <f t="shared" si="35"/>
        <v>0</v>
      </c>
      <c r="R99" s="428">
        <f t="shared" si="35"/>
        <v>1.7999999999999998</v>
      </c>
      <c r="S99" s="793"/>
    </row>
    <row r="100" spans="1:19" ht="13" x14ac:dyDescent="0.3">
      <c r="A100" s="1396"/>
      <c r="B100" s="794">
        <v>3</v>
      </c>
      <c r="C100" s="802">
        <f t="shared" ref="C100:H100" si="36">O7</f>
        <v>50</v>
      </c>
      <c r="D100" s="802">
        <f t="shared" si="36"/>
        <v>0</v>
      </c>
      <c r="E100" s="802">
        <f t="shared" si="36"/>
        <v>9.9999999999999995E-7</v>
      </c>
      <c r="F100" s="802">
        <f t="shared" si="36"/>
        <v>9.9999999999999995E-7</v>
      </c>
      <c r="G100" s="802">
        <f t="shared" si="36"/>
        <v>0</v>
      </c>
      <c r="H100" s="803">
        <f t="shared" si="36"/>
        <v>1.4999999999999999E-2</v>
      </c>
      <c r="I100" s="804"/>
      <c r="J100" s="787"/>
      <c r="K100" s="1396"/>
      <c r="L100" s="794">
        <v>3</v>
      </c>
      <c r="M100" s="428">
        <f t="shared" ref="M100:R100" si="37">O15</f>
        <v>6000</v>
      </c>
      <c r="N100" s="428">
        <f t="shared" si="37"/>
        <v>0</v>
      </c>
      <c r="O100" s="428">
        <f t="shared" si="37"/>
        <v>9.9999999999999995E-7</v>
      </c>
      <c r="P100" s="428">
        <f t="shared" si="37"/>
        <v>9.9999999999999995E-7</v>
      </c>
      <c r="Q100" s="428">
        <f t="shared" si="37"/>
        <v>0</v>
      </c>
      <c r="R100" s="428">
        <f t="shared" si="37"/>
        <v>1.7999999999999998</v>
      </c>
      <c r="S100" s="793"/>
    </row>
    <row r="101" spans="1:19" ht="13" x14ac:dyDescent="0.3">
      <c r="A101" s="1396"/>
      <c r="B101" s="794">
        <v>4</v>
      </c>
      <c r="C101" s="802">
        <f t="shared" ref="C101:H101" si="38">A27</f>
        <v>50</v>
      </c>
      <c r="D101" s="802">
        <f t="shared" si="38"/>
        <v>1</v>
      </c>
      <c r="E101" s="802">
        <f t="shared" si="38"/>
        <v>1</v>
      </c>
      <c r="F101" s="802" t="str">
        <f t="shared" si="38"/>
        <v>-</v>
      </c>
      <c r="G101" s="802">
        <f t="shared" si="38"/>
        <v>4.8999999999999998E-3</v>
      </c>
      <c r="H101" s="803">
        <f t="shared" si="38"/>
        <v>1.47E-2</v>
      </c>
      <c r="I101" s="804"/>
      <c r="J101" s="787"/>
      <c r="K101" s="1396"/>
      <c r="L101" s="794">
        <v>4</v>
      </c>
      <c r="M101" s="428">
        <f t="shared" ref="M101:R101" si="39">A35</f>
        <v>6000</v>
      </c>
      <c r="N101" s="428">
        <f t="shared" si="39"/>
        <v>1</v>
      </c>
      <c r="O101" s="428">
        <f t="shared" si="39"/>
        <v>1</v>
      </c>
      <c r="P101" s="428" t="str">
        <f t="shared" si="39"/>
        <v>-</v>
      </c>
      <c r="Q101" s="428">
        <f t="shared" si="39"/>
        <v>0.59989999999999988</v>
      </c>
      <c r="R101" s="428">
        <f t="shared" si="39"/>
        <v>1.7996999999999999</v>
      </c>
      <c r="S101" s="793"/>
    </row>
    <row r="102" spans="1:19" ht="13" x14ac:dyDescent="0.3">
      <c r="A102" s="1396"/>
      <c r="B102" s="794">
        <v>5</v>
      </c>
      <c r="C102" s="802">
        <f t="shared" ref="C102:H102" si="40">H27</f>
        <v>50</v>
      </c>
      <c r="D102" s="802">
        <f t="shared" si="40"/>
        <v>0</v>
      </c>
      <c r="E102" s="802">
        <f t="shared" si="40"/>
        <v>9.9999999999999995E-7</v>
      </c>
      <c r="F102" s="802">
        <f t="shared" si="40"/>
        <v>9.9999999999999995E-7</v>
      </c>
      <c r="G102" s="802">
        <f t="shared" si="40"/>
        <v>0</v>
      </c>
      <c r="H102" s="803">
        <f t="shared" si="40"/>
        <v>1.4999999999999999E-2</v>
      </c>
      <c r="I102" s="804"/>
      <c r="J102" s="787"/>
      <c r="K102" s="1396"/>
      <c r="L102" s="794">
        <v>5</v>
      </c>
      <c r="M102" s="428">
        <f t="shared" ref="M102:R102" si="41">H35</f>
        <v>6000</v>
      </c>
      <c r="N102" s="428">
        <f t="shared" si="41"/>
        <v>-0.3</v>
      </c>
      <c r="O102" s="428">
        <f t="shared" si="41"/>
        <v>-0.3</v>
      </c>
      <c r="P102" s="428">
        <f t="shared" si="41"/>
        <v>-0.3</v>
      </c>
      <c r="Q102" s="428">
        <f t="shared" si="41"/>
        <v>0</v>
      </c>
      <c r="R102" s="428">
        <f t="shared" si="41"/>
        <v>1.80009</v>
      </c>
      <c r="S102" s="793"/>
    </row>
    <row r="103" spans="1:19" ht="13" x14ac:dyDescent="0.3">
      <c r="A103" s="1396"/>
      <c r="B103" s="794">
        <v>6</v>
      </c>
      <c r="C103" s="802">
        <f>O$27</f>
        <v>50</v>
      </c>
      <c r="D103" s="802">
        <f t="shared" ref="D103:H103" si="42">P$27</f>
        <v>0</v>
      </c>
      <c r="E103" s="802">
        <f t="shared" si="42"/>
        <v>0</v>
      </c>
      <c r="F103" s="802">
        <f t="shared" si="42"/>
        <v>9.9999999999999995E-7</v>
      </c>
      <c r="G103" s="802">
        <f t="shared" si="42"/>
        <v>4.9999999999999998E-7</v>
      </c>
      <c r="H103" s="803">
        <f t="shared" si="42"/>
        <v>1.4999999999999999E-2</v>
      </c>
      <c r="I103" s="804"/>
      <c r="J103" s="787"/>
      <c r="K103" s="1396"/>
      <c r="L103" s="794">
        <v>6</v>
      </c>
      <c r="M103" s="428">
        <f t="shared" ref="M103:R103" si="43">O$35</f>
        <v>6000</v>
      </c>
      <c r="N103" s="428">
        <f t="shared" si="43"/>
        <v>-0.3</v>
      </c>
      <c r="O103" s="428">
        <f t="shared" si="43"/>
        <v>-0.3</v>
      </c>
      <c r="P103" s="428">
        <f t="shared" si="43"/>
        <v>-0.3</v>
      </c>
      <c r="Q103" s="428">
        <f t="shared" si="43"/>
        <v>0</v>
      </c>
      <c r="R103" s="428">
        <f t="shared" si="43"/>
        <v>1.80009</v>
      </c>
      <c r="S103" s="793"/>
    </row>
    <row r="104" spans="1:19" ht="13" x14ac:dyDescent="0.3">
      <c r="A104" s="1396"/>
      <c r="B104" s="794">
        <v>7</v>
      </c>
      <c r="C104" s="802">
        <f>A$47</f>
        <v>50</v>
      </c>
      <c r="D104" s="802">
        <f t="shared" ref="D104:H104" si="44">B$47</f>
        <v>0</v>
      </c>
      <c r="E104" s="802">
        <f t="shared" si="44"/>
        <v>0</v>
      </c>
      <c r="F104" s="802">
        <f t="shared" si="44"/>
        <v>9.9999999999999995E-7</v>
      </c>
      <c r="G104" s="802">
        <f t="shared" si="44"/>
        <v>4.9999999999999998E-7</v>
      </c>
      <c r="H104" s="803">
        <f t="shared" si="44"/>
        <v>1.4999999999999999E-2</v>
      </c>
      <c r="I104" s="804"/>
      <c r="J104" s="787"/>
      <c r="K104" s="1396"/>
      <c r="L104" s="794">
        <v>7</v>
      </c>
      <c r="M104" s="428">
        <f t="shared" ref="M104:R104" si="45">A$55</f>
        <v>6000</v>
      </c>
      <c r="N104" s="428">
        <f t="shared" si="45"/>
        <v>-0.3</v>
      </c>
      <c r="O104" s="428">
        <f t="shared" si="45"/>
        <v>-0.4</v>
      </c>
      <c r="P104" s="428">
        <f t="shared" si="45"/>
        <v>-0.4</v>
      </c>
      <c r="Q104" s="428">
        <f t="shared" si="45"/>
        <v>0</v>
      </c>
      <c r="R104" s="428">
        <f t="shared" si="45"/>
        <v>1.80009</v>
      </c>
      <c r="S104" s="793"/>
    </row>
    <row r="105" spans="1:19" ht="13" x14ac:dyDescent="0.3">
      <c r="A105" s="1396"/>
      <c r="B105" s="794">
        <v>8</v>
      </c>
      <c r="C105" s="802">
        <f t="shared" ref="C105:H105" si="46">H47</f>
        <v>50</v>
      </c>
      <c r="D105" s="802" t="str">
        <f t="shared" si="46"/>
        <v>-</v>
      </c>
      <c r="E105" s="802" t="str">
        <f t="shared" si="46"/>
        <v>-</v>
      </c>
      <c r="F105" s="802" t="str">
        <f t="shared" si="46"/>
        <v>-</v>
      </c>
      <c r="G105" s="802" t="str">
        <f t="shared" si="46"/>
        <v>-</v>
      </c>
      <c r="H105" s="803" t="str">
        <f t="shared" si="46"/>
        <v>-</v>
      </c>
      <c r="I105" s="804"/>
      <c r="J105" s="787"/>
      <c r="K105" s="1396"/>
      <c r="L105" s="794">
        <v>8</v>
      </c>
      <c r="M105" s="428">
        <f t="shared" ref="M105:R105" si="47">H55</f>
        <v>6000</v>
      </c>
      <c r="N105" s="428" t="str">
        <f t="shared" si="47"/>
        <v>-</v>
      </c>
      <c r="O105" s="428" t="str">
        <f t="shared" si="47"/>
        <v>-</v>
      </c>
      <c r="P105" s="428" t="str">
        <f t="shared" si="47"/>
        <v>-</v>
      </c>
      <c r="Q105" s="428" t="str">
        <f t="shared" si="47"/>
        <v>-</v>
      </c>
      <c r="R105" s="428" t="str">
        <f t="shared" si="47"/>
        <v>-</v>
      </c>
      <c r="S105" s="793"/>
    </row>
    <row r="106" spans="1:19" ht="13" x14ac:dyDescent="0.3">
      <c r="A106" s="1396"/>
      <c r="B106" s="794">
        <v>9</v>
      </c>
      <c r="C106" s="802">
        <f t="shared" ref="C106:H106" si="48">O47</f>
        <v>50</v>
      </c>
      <c r="D106" s="802" t="str">
        <f t="shared" si="48"/>
        <v>-</v>
      </c>
      <c r="E106" s="802" t="str">
        <f t="shared" si="48"/>
        <v>-</v>
      </c>
      <c r="F106" s="802" t="str">
        <f t="shared" si="48"/>
        <v>-</v>
      </c>
      <c r="G106" s="802" t="str">
        <f t="shared" si="48"/>
        <v>-</v>
      </c>
      <c r="H106" s="803" t="str">
        <f t="shared" si="48"/>
        <v>-</v>
      </c>
      <c r="I106" s="804"/>
      <c r="J106" s="787"/>
      <c r="K106" s="1396"/>
      <c r="L106" s="794">
        <v>9</v>
      </c>
      <c r="M106" s="428">
        <f t="shared" ref="M106:R106" si="49">O55</f>
        <v>6000</v>
      </c>
      <c r="N106" s="428" t="str">
        <f t="shared" si="49"/>
        <v>-</v>
      </c>
      <c r="O106" s="428" t="str">
        <f t="shared" si="49"/>
        <v>-</v>
      </c>
      <c r="P106" s="428" t="str">
        <f t="shared" si="49"/>
        <v>-</v>
      </c>
      <c r="Q106" s="428" t="str">
        <f t="shared" si="49"/>
        <v>-</v>
      </c>
      <c r="R106" s="428" t="str">
        <f t="shared" si="49"/>
        <v>-</v>
      </c>
      <c r="S106" s="793"/>
    </row>
    <row r="107" spans="1:19" ht="13.5" thickBot="1" x14ac:dyDescent="0.35">
      <c r="A107" s="1397"/>
      <c r="B107" s="795">
        <v>10</v>
      </c>
      <c r="C107" s="805">
        <f t="shared" ref="C107:H107" si="50">A67</f>
        <v>50</v>
      </c>
      <c r="D107" s="805" t="str">
        <f t="shared" si="50"/>
        <v>-</v>
      </c>
      <c r="E107" s="805" t="str">
        <f t="shared" si="50"/>
        <v>-</v>
      </c>
      <c r="F107" s="805" t="str">
        <f t="shared" si="50"/>
        <v>-</v>
      </c>
      <c r="G107" s="805" t="str">
        <f t="shared" si="50"/>
        <v>-</v>
      </c>
      <c r="H107" s="806" t="str">
        <f t="shared" si="50"/>
        <v>-</v>
      </c>
      <c r="I107" s="807"/>
      <c r="J107" s="787"/>
      <c r="K107" s="1397"/>
      <c r="L107" s="795">
        <v>10</v>
      </c>
      <c r="M107" s="808">
        <f t="shared" ref="M107:R107" si="51">A75</f>
        <v>6000</v>
      </c>
      <c r="N107" s="808" t="str">
        <f t="shared" si="51"/>
        <v>-</v>
      </c>
      <c r="O107" s="808" t="str">
        <f t="shared" si="51"/>
        <v>-</v>
      </c>
      <c r="P107" s="808" t="str">
        <f t="shared" si="51"/>
        <v>-</v>
      </c>
      <c r="Q107" s="808" t="str">
        <f t="shared" si="51"/>
        <v>-</v>
      </c>
      <c r="R107" s="808" t="str">
        <f t="shared" si="51"/>
        <v>-</v>
      </c>
      <c r="S107" s="809"/>
    </row>
    <row r="108" spans="1:19" ht="13" x14ac:dyDescent="0.25">
      <c r="A108" s="1398" t="s">
        <v>97</v>
      </c>
      <c r="B108" s="797">
        <v>1</v>
      </c>
      <c r="C108" s="810">
        <f t="shared" ref="C108:H108" si="52">A8</f>
        <v>100</v>
      </c>
      <c r="D108" s="810">
        <f t="shared" si="52"/>
        <v>1</v>
      </c>
      <c r="E108" s="810">
        <f t="shared" si="52"/>
        <v>0</v>
      </c>
      <c r="F108" s="810">
        <f t="shared" si="52"/>
        <v>1</v>
      </c>
      <c r="G108" s="810">
        <f t="shared" si="52"/>
        <v>0.5</v>
      </c>
      <c r="H108" s="811">
        <f t="shared" si="52"/>
        <v>0.03</v>
      </c>
      <c r="I108" s="812"/>
      <c r="J108" s="787"/>
      <c r="K108" s="1395" t="s">
        <v>312</v>
      </c>
      <c r="L108" s="797">
        <v>1</v>
      </c>
      <c r="M108" s="810">
        <f t="shared" ref="M108:R108" si="53">A16</f>
        <v>7000</v>
      </c>
      <c r="N108" s="810">
        <f t="shared" si="53"/>
        <v>0</v>
      </c>
      <c r="O108" s="810">
        <f t="shared" si="53"/>
        <v>0</v>
      </c>
      <c r="P108" s="810" t="str">
        <f t="shared" si="53"/>
        <v>-</v>
      </c>
      <c r="Q108" s="810">
        <f t="shared" si="53"/>
        <v>0.69999999999999984</v>
      </c>
      <c r="R108" s="810">
        <f t="shared" si="53"/>
        <v>2.0999999999999996</v>
      </c>
      <c r="S108" s="813"/>
    </row>
    <row r="109" spans="1:19" ht="13" x14ac:dyDescent="0.25">
      <c r="A109" s="1399"/>
      <c r="B109" s="794">
        <v>2</v>
      </c>
      <c r="C109" s="295">
        <f t="shared" ref="C109:H109" si="54">H8</f>
        <v>100</v>
      </c>
      <c r="D109" s="295" t="str">
        <f t="shared" si="54"/>
        <v>-</v>
      </c>
      <c r="E109" s="295">
        <f t="shared" si="54"/>
        <v>1</v>
      </c>
      <c r="F109" s="295">
        <f t="shared" si="54"/>
        <v>9.9999999999999995E-7</v>
      </c>
      <c r="G109" s="295">
        <f t="shared" si="54"/>
        <v>0.49999949999999999</v>
      </c>
      <c r="H109" s="814">
        <f t="shared" si="54"/>
        <v>0.03</v>
      </c>
      <c r="I109" s="815"/>
      <c r="J109" s="787"/>
      <c r="K109" s="1396"/>
      <c r="L109" s="794">
        <v>2</v>
      </c>
      <c r="M109" s="295">
        <f t="shared" ref="M109:R109" si="55">H16</f>
        <v>7000</v>
      </c>
      <c r="N109" s="295" t="str">
        <f t="shared" si="55"/>
        <v>-</v>
      </c>
      <c r="O109" s="295" t="str">
        <f t="shared" si="55"/>
        <v>-</v>
      </c>
      <c r="P109" s="295">
        <f t="shared" si="55"/>
        <v>9.9999999999999995E-7</v>
      </c>
      <c r="Q109" s="295">
        <f t="shared" si="55"/>
        <v>0.69999999999999984</v>
      </c>
      <c r="R109" s="295">
        <f t="shared" si="55"/>
        <v>2.0999999999999996</v>
      </c>
      <c r="S109" s="816"/>
    </row>
    <row r="110" spans="1:19" ht="13" x14ac:dyDescent="0.25">
      <c r="A110" s="1399"/>
      <c r="B110" s="794">
        <v>3</v>
      </c>
      <c r="C110" s="295">
        <f t="shared" ref="C110:H110" si="56">O8</f>
        <v>100</v>
      </c>
      <c r="D110" s="295">
        <f t="shared" si="56"/>
        <v>1</v>
      </c>
      <c r="E110" s="295">
        <f t="shared" si="56"/>
        <v>9.9999999999999995E-7</v>
      </c>
      <c r="F110" s="295">
        <f t="shared" si="56"/>
        <v>9.9999999999999995E-7</v>
      </c>
      <c r="G110" s="295">
        <f t="shared" si="56"/>
        <v>0</v>
      </c>
      <c r="H110" s="814">
        <f t="shared" si="56"/>
        <v>2.9699999999999997E-2</v>
      </c>
      <c r="I110" s="815"/>
      <c r="J110" s="787"/>
      <c r="K110" s="1396"/>
      <c r="L110" s="794">
        <v>3</v>
      </c>
      <c r="M110" s="295">
        <f t="shared" ref="M110:R110" si="57">O16</f>
        <v>7000</v>
      </c>
      <c r="N110" s="295">
        <f t="shared" si="57"/>
        <v>0</v>
      </c>
      <c r="O110" s="295">
        <f t="shared" si="57"/>
        <v>9.9999999999999995E-7</v>
      </c>
      <c r="P110" s="295">
        <f t="shared" si="57"/>
        <v>9.9999999999999995E-7</v>
      </c>
      <c r="Q110" s="295">
        <f t="shared" si="57"/>
        <v>0</v>
      </c>
      <c r="R110" s="295">
        <f t="shared" si="57"/>
        <v>2.0999999999999996</v>
      </c>
      <c r="S110" s="816"/>
    </row>
    <row r="111" spans="1:19" ht="13" x14ac:dyDescent="0.25">
      <c r="A111" s="1399"/>
      <c r="B111" s="794">
        <v>4</v>
      </c>
      <c r="C111" s="295">
        <f t="shared" ref="C111:H111" si="58">A28</f>
        <v>100</v>
      </c>
      <c r="D111" s="295">
        <f t="shared" si="58"/>
        <v>1</v>
      </c>
      <c r="E111" s="295">
        <f t="shared" si="58"/>
        <v>1</v>
      </c>
      <c r="F111" s="295" t="str">
        <f t="shared" si="58"/>
        <v>-</v>
      </c>
      <c r="G111" s="295">
        <f t="shared" si="58"/>
        <v>9.8999999999999991E-3</v>
      </c>
      <c r="H111" s="814">
        <f t="shared" si="58"/>
        <v>2.9699999999999997E-2</v>
      </c>
      <c r="I111" s="815"/>
      <c r="J111" s="787"/>
      <c r="K111" s="1396"/>
      <c r="L111" s="794">
        <v>4</v>
      </c>
      <c r="M111" s="295">
        <f t="shared" ref="M111:R111" si="59">A36</f>
        <v>7000</v>
      </c>
      <c r="N111" s="295">
        <f t="shared" si="59"/>
        <v>1</v>
      </c>
      <c r="O111" s="295">
        <f t="shared" si="59"/>
        <v>1</v>
      </c>
      <c r="P111" s="295" t="str">
        <f t="shared" si="59"/>
        <v>-</v>
      </c>
      <c r="Q111" s="295">
        <f t="shared" si="59"/>
        <v>0.69989999999999997</v>
      </c>
      <c r="R111" s="295">
        <f t="shared" si="59"/>
        <v>2.0996999999999999</v>
      </c>
      <c r="S111" s="816"/>
    </row>
    <row r="112" spans="1:19" ht="13" x14ac:dyDescent="0.25">
      <c r="A112" s="1399"/>
      <c r="B112" s="794">
        <v>5</v>
      </c>
      <c r="C112" s="295">
        <f t="shared" ref="C112:H112" si="60">H28</f>
        <v>100</v>
      </c>
      <c r="D112" s="295">
        <f t="shared" si="60"/>
        <v>0</v>
      </c>
      <c r="E112" s="295">
        <f t="shared" si="60"/>
        <v>9.9999999999999995E-7</v>
      </c>
      <c r="F112" s="295">
        <f t="shared" si="60"/>
        <v>9.9999999999999995E-7</v>
      </c>
      <c r="G112" s="295">
        <f t="shared" si="60"/>
        <v>0</v>
      </c>
      <c r="H112" s="814">
        <f t="shared" si="60"/>
        <v>0.03</v>
      </c>
      <c r="I112" s="815"/>
      <c r="J112" s="787"/>
      <c r="K112" s="1396"/>
      <c r="L112" s="794">
        <v>5</v>
      </c>
      <c r="M112" s="295">
        <f t="shared" ref="M112:R112" si="61">H36</f>
        <v>7000</v>
      </c>
      <c r="N112" s="295">
        <f t="shared" si="61"/>
        <v>-0.4</v>
      </c>
      <c r="O112" s="295">
        <f t="shared" si="61"/>
        <v>-0.4</v>
      </c>
      <c r="P112" s="295">
        <f t="shared" si="61"/>
        <v>-0.3</v>
      </c>
      <c r="Q112" s="295">
        <f t="shared" si="61"/>
        <v>5.0000000000000017E-2</v>
      </c>
      <c r="R112" s="295">
        <f t="shared" si="61"/>
        <v>2.1001199999999995</v>
      </c>
      <c r="S112" s="817"/>
    </row>
    <row r="113" spans="1:19" ht="13" x14ac:dyDescent="0.25">
      <c r="A113" s="1399"/>
      <c r="B113" s="794">
        <v>6</v>
      </c>
      <c r="C113" s="295">
        <f>O$28</f>
        <v>100</v>
      </c>
      <c r="D113" s="295">
        <f t="shared" ref="D113:H113" si="62">P$28</f>
        <v>0</v>
      </c>
      <c r="E113" s="295">
        <f t="shared" si="62"/>
        <v>0.1</v>
      </c>
      <c r="F113" s="295">
        <f t="shared" si="62"/>
        <v>9.9999999999999995E-7</v>
      </c>
      <c r="G113" s="295">
        <f t="shared" si="62"/>
        <v>4.9999500000000002E-2</v>
      </c>
      <c r="H113" s="814">
        <f t="shared" si="62"/>
        <v>0.03</v>
      </c>
      <c r="I113" s="815"/>
      <c r="J113" s="787"/>
      <c r="K113" s="1396"/>
      <c r="L113" s="794">
        <v>6</v>
      </c>
      <c r="M113" s="295">
        <f t="shared" ref="M113:R113" si="63">O$36</f>
        <v>7000</v>
      </c>
      <c r="N113" s="295">
        <f t="shared" si="63"/>
        <v>-0.2</v>
      </c>
      <c r="O113" s="295">
        <f t="shared" si="63"/>
        <v>-0.4</v>
      </c>
      <c r="P113" s="295">
        <f t="shared" si="63"/>
        <v>-0.3</v>
      </c>
      <c r="Q113" s="295">
        <f t="shared" si="63"/>
        <v>5.0000000000000017E-2</v>
      </c>
      <c r="R113" s="295">
        <f t="shared" si="63"/>
        <v>2.1000599999999996</v>
      </c>
      <c r="S113" s="816"/>
    </row>
    <row r="114" spans="1:19" ht="13" x14ac:dyDescent="0.25">
      <c r="A114" s="1399"/>
      <c r="B114" s="794">
        <v>7</v>
      </c>
      <c r="C114" s="295">
        <f>A$48</f>
        <v>100</v>
      </c>
      <c r="D114" s="295">
        <f t="shared" ref="D114:H114" si="64">B$48</f>
        <v>0</v>
      </c>
      <c r="E114" s="295">
        <f t="shared" si="64"/>
        <v>0</v>
      </c>
      <c r="F114" s="295">
        <f t="shared" si="64"/>
        <v>9.9999999999999995E-7</v>
      </c>
      <c r="G114" s="295">
        <f t="shared" si="64"/>
        <v>4.9999999999999998E-7</v>
      </c>
      <c r="H114" s="814">
        <f t="shared" si="64"/>
        <v>0.03</v>
      </c>
      <c r="I114" s="815"/>
      <c r="J114" s="787"/>
      <c r="K114" s="1396"/>
      <c r="L114" s="794">
        <v>7</v>
      </c>
      <c r="M114" s="295">
        <f t="shared" ref="M114:R114" si="65">A$56</f>
        <v>7000</v>
      </c>
      <c r="N114" s="295">
        <f t="shared" si="65"/>
        <v>-0.2</v>
      </c>
      <c r="O114" s="295">
        <f t="shared" si="65"/>
        <v>-0.5</v>
      </c>
      <c r="P114" s="295">
        <f t="shared" si="65"/>
        <v>-0.5</v>
      </c>
      <c r="Q114" s="295">
        <f t="shared" si="65"/>
        <v>0</v>
      </c>
      <c r="R114" s="295">
        <f t="shared" si="65"/>
        <v>2.1000599999999996</v>
      </c>
      <c r="S114" s="816"/>
    </row>
    <row r="115" spans="1:19" ht="13" x14ac:dyDescent="0.25">
      <c r="A115" s="1399"/>
      <c r="B115" s="794">
        <v>8</v>
      </c>
      <c r="C115" s="295">
        <f t="shared" ref="C115:H115" si="66">H48</f>
        <v>100</v>
      </c>
      <c r="D115" s="295" t="str">
        <f t="shared" si="66"/>
        <v>-</v>
      </c>
      <c r="E115" s="295" t="str">
        <f t="shared" si="66"/>
        <v>-</v>
      </c>
      <c r="F115" s="295" t="str">
        <f t="shared" si="66"/>
        <v>-</v>
      </c>
      <c r="G115" s="295" t="str">
        <f t="shared" si="66"/>
        <v>-</v>
      </c>
      <c r="H115" s="814" t="str">
        <f t="shared" si="66"/>
        <v>-</v>
      </c>
      <c r="I115" s="815"/>
      <c r="J115" s="787"/>
      <c r="K115" s="1396"/>
      <c r="L115" s="794">
        <v>8</v>
      </c>
      <c r="M115" s="295">
        <f t="shared" ref="M115:R115" si="67">H56</f>
        <v>7000</v>
      </c>
      <c r="N115" s="295" t="str">
        <f t="shared" si="67"/>
        <v>-</v>
      </c>
      <c r="O115" s="295" t="str">
        <f t="shared" si="67"/>
        <v>-</v>
      </c>
      <c r="P115" s="295" t="str">
        <f t="shared" si="67"/>
        <v>-</v>
      </c>
      <c r="Q115" s="295" t="str">
        <f t="shared" si="67"/>
        <v>-</v>
      </c>
      <c r="R115" s="295" t="str">
        <f t="shared" si="67"/>
        <v>-</v>
      </c>
      <c r="S115" s="816"/>
    </row>
    <row r="116" spans="1:19" ht="13" x14ac:dyDescent="0.25">
      <c r="A116" s="1399"/>
      <c r="B116" s="794">
        <v>9</v>
      </c>
      <c r="C116" s="295">
        <f t="shared" ref="C116:H116" si="68">O48</f>
        <v>100</v>
      </c>
      <c r="D116" s="295" t="str">
        <f t="shared" si="68"/>
        <v>-</v>
      </c>
      <c r="E116" s="295" t="str">
        <f t="shared" si="68"/>
        <v>-</v>
      </c>
      <c r="F116" s="295" t="str">
        <f t="shared" si="68"/>
        <v>-</v>
      </c>
      <c r="G116" s="295" t="str">
        <f t="shared" si="68"/>
        <v>-</v>
      </c>
      <c r="H116" s="814" t="str">
        <f t="shared" si="68"/>
        <v>-</v>
      </c>
      <c r="I116" s="815"/>
      <c r="J116" s="787"/>
      <c r="K116" s="1396"/>
      <c r="L116" s="794">
        <v>9</v>
      </c>
      <c r="M116" s="295">
        <f t="shared" ref="M116:R116" si="69">O56</f>
        <v>7000</v>
      </c>
      <c r="N116" s="295" t="str">
        <f t="shared" si="69"/>
        <v>-</v>
      </c>
      <c r="O116" s="295" t="str">
        <f t="shared" si="69"/>
        <v>-</v>
      </c>
      <c r="P116" s="295" t="str">
        <f t="shared" si="69"/>
        <v>-</v>
      </c>
      <c r="Q116" s="295" t="str">
        <f t="shared" si="69"/>
        <v>-</v>
      </c>
      <c r="R116" s="295" t="str">
        <f t="shared" si="69"/>
        <v>-</v>
      </c>
      <c r="S116" s="816"/>
    </row>
    <row r="117" spans="1:19" ht="13.5" thickBot="1" x14ac:dyDescent="0.3">
      <c r="A117" s="1400"/>
      <c r="B117" s="795">
        <v>10</v>
      </c>
      <c r="C117" s="354">
        <f t="shared" ref="C117:H117" si="70">A68</f>
        <v>100</v>
      </c>
      <c r="D117" s="354" t="str">
        <f t="shared" si="70"/>
        <v>-</v>
      </c>
      <c r="E117" s="354" t="str">
        <f t="shared" si="70"/>
        <v>-</v>
      </c>
      <c r="F117" s="354" t="str">
        <f t="shared" si="70"/>
        <v>-</v>
      </c>
      <c r="G117" s="354" t="str">
        <f t="shared" si="70"/>
        <v>-</v>
      </c>
      <c r="H117" s="818" t="str">
        <f t="shared" si="70"/>
        <v>-</v>
      </c>
      <c r="I117" s="819"/>
      <c r="J117" s="787"/>
      <c r="K117" s="1397"/>
      <c r="L117" s="795">
        <v>10</v>
      </c>
      <c r="M117" s="354">
        <f t="shared" ref="M117:R117" si="71">A76</f>
        <v>7000</v>
      </c>
      <c r="N117" s="354" t="str">
        <f t="shared" si="71"/>
        <v>-</v>
      </c>
      <c r="O117" s="354" t="str">
        <f t="shared" si="71"/>
        <v>-</v>
      </c>
      <c r="P117" s="354" t="str">
        <f t="shared" si="71"/>
        <v>-</v>
      </c>
      <c r="Q117" s="354" t="str">
        <f t="shared" si="71"/>
        <v>-</v>
      </c>
      <c r="R117" s="354" t="str">
        <f t="shared" si="71"/>
        <v>-</v>
      </c>
      <c r="S117" s="820"/>
    </row>
    <row r="118" spans="1:19" ht="13" x14ac:dyDescent="0.3">
      <c r="A118" s="1387" t="s">
        <v>98</v>
      </c>
      <c r="B118" s="797">
        <v>1</v>
      </c>
      <c r="C118" s="230">
        <f t="shared" ref="C118:H118" si="72">A9</f>
        <v>200</v>
      </c>
      <c r="D118" s="230">
        <f t="shared" si="72"/>
        <v>0</v>
      </c>
      <c r="E118" s="230">
        <f t="shared" si="72"/>
        <v>0</v>
      </c>
      <c r="F118" s="230">
        <f t="shared" si="72"/>
        <v>9.9999999999999995E-7</v>
      </c>
      <c r="G118" s="230">
        <f t="shared" si="72"/>
        <v>4.9999999999999998E-7</v>
      </c>
      <c r="H118" s="533">
        <f t="shared" si="72"/>
        <v>0.06</v>
      </c>
      <c r="I118" s="534"/>
      <c r="J118" s="787"/>
      <c r="K118" s="1395" t="s">
        <v>313</v>
      </c>
      <c r="L118" s="797">
        <v>1</v>
      </c>
      <c r="M118" s="801">
        <f t="shared" ref="M118:R118" si="73">A17</f>
        <v>8000</v>
      </c>
      <c r="N118" s="801">
        <f t="shared" si="73"/>
        <v>0</v>
      </c>
      <c r="O118" s="801">
        <f t="shared" si="73"/>
        <v>0</v>
      </c>
      <c r="P118" s="801" t="str">
        <f t="shared" si="73"/>
        <v>-</v>
      </c>
      <c r="Q118" s="801">
        <f t="shared" si="73"/>
        <v>0.79999999999999993</v>
      </c>
      <c r="R118" s="801">
        <f t="shared" si="73"/>
        <v>2.4</v>
      </c>
      <c r="S118" s="813"/>
    </row>
    <row r="119" spans="1:19" ht="13" x14ac:dyDescent="0.3">
      <c r="A119" s="1388"/>
      <c r="B119" s="794">
        <v>2</v>
      </c>
      <c r="C119" s="229">
        <f t="shared" ref="C119:H119" si="74">H9</f>
        <v>200</v>
      </c>
      <c r="D119" s="229" t="str">
        <f t="shared" si="74"/>
        <v>-</v>
      </c>
      <c r="E119" s="229">
        <f t="shared" si="74"/>
        <v>9.9999999999999995E-7</v>
      </c>
      <c r="F119" s="229">
        <f t="shared" si="74"/>
        <v>9.9999999999999995E-7</v>
      </c>
      <c r="G119" s="229">
        <f t="shared" si="74"/>
        <v>0</v>
      </c>
      <c r="H119" s="529">
        <f t="shared" si="74"/>
        <v>0.06</v>
      </c>
      <c r="I119" s="530"/>
      <c r="J119" s="787"/>
      <c r="K119" s="1396"/>
      <c r="L119" s="794">
        <v>2</v>
      </c>
      <c r="M119" s="428">
        <f t="shared" ref="M119:R119" si="75">H17</f>
        <v>8000</v>
      </c>
      <c r="N119" s="428" t="str">
        <f t="shared" si="75"/>
        <v>-</v>
      </c>
      <c r="O119" s="428" t="str">
        <f t="shared" si="75"/>
        <v>-</v>
      </c>
      <c r="P119" s="428" t="str">
        <f t="shared" si="75"/>
        <v>-</v>
      </c>
      <c r="Q119" s="428">
        <f t="shared" si="75"/>
        <v>0.79999999999999993</v>
      </c>
      <c r="R119" s="428">
        <f t="shared" si="75"/>
        <v>2.4</v>
      </c>
      <c r="S119" s="816"/>
    </row>
    <row r="120" spans="1:19" ht="13" x14ac:dyDescent="0.3">
      <c r="A120" s="1388"/>
      <c r="B120" s="794">
        <v>3</v>
      </c>
      <c r="C120" s="229">
        <f t="shared" ref="C120:H120" si="76">O9</f>
        <v>200</v>
      </c>
      <c r="D120" s="229">
        <f t="shared" si="76"/>
        <v>0</v>
      </c>
      <c r="E120" s="229">
        <f t="shared" si="76"/>
        <v>9.9999999999999995E-7</v>
      </c>
      <c r="F120" s="229">
        <f t="shared" si="76"/>
        <v>9.9999999999999995E-7</v>
      </c>
      <c r="G120" s="229">
        <f t="shared" si="76"/>
        <v>0</v>
      </c>
      <c r="H120" s="529">
        <f t="shared" si="76"/>
        <v>0.06</v>
      </c>
      <c r="I120" s="530"/>
      <c r="J120" s="787"/>
      <c r="K120" s="1396"/>
      <c r="L120" s="794">
        <v>3</v>
      </c>
      <c r="M120" s="428">
        <f t="shared" ref="M120:R120" si="77">O17</f>
        <v>8000</v>
      </c>
      <c r="N120" s="428">
        <f t="shared" si="77"/>
        <v>0</v>
      </c>
      <c r="O120" s="428">
        <f t="shared" si="77"/>
        <v>9.9999999999999995E-7</v>
      </c>
      <c r="P120" s="428" t="str">
        <f t="shared" si="77"/>
        <v>-</v>
      </c>
      <c r="Q120" s="428">
        <f t="shared" si="77"/>
        <v>0.79999999999999993</v>
      </c>
      <c r="R120" s="428">
        <f t="shared" si="77"/>
        <v>2.4</v>
      </c>
      <c r="S120" s="816"/>
    </row>
    <row r="121" spans="1:19" ht="13" x14ac:dyDescent="0.3">
      <c r="A121" s="1388"/>
      <c r="B121" s="794">
        <v>4</v>
      </c>
      <c r="C121" s="229">
        <f t="shared" ref="C121:H121" si="78">A29</f>
        <v>200</v>
      </c>
      <c r="D121" s="229">
        <f t="shared" si="78"/>
        <v>1</v>
      </c>
      <c r="E121" s="229">
        <f t="shared" si="78"/>
        <v>1</v>
      </c>
      <c r="F121" s="229">
        <f t="shared" si="78"/>
        <v>9.9999999999999995E-7</v>
      </c>
      <c r="G121" s="229">
        <f t="shared" si="78"/>
        <v>0.49999949999999999</v>
      </c>
      <c r="H121" s="529">
        <f t="shared" si="78"/>
        <v>5.9699999999999996E-2</v>
      </c>
      <c r="I121" s="530"/>
      <c r="J121" s="787"/>
      <c r="K121" s="1396"/>
      <c r="L121" s="794">
        <v>4</v>
      </c>
      <c r="M121" s="428">
        <f t="shared" ref="M121:R121" si="79">A37</f>
        <v>8000</v>
      </c>
      <c r="N121" s="428">
        <f t="shared" si="79"/>
        <v>1</v>
      </c>
      <c r="O121" s="428">
        <f t="shared" si="79"/>
        <v>1</v>
      </c>
      <c r="P121" s="428" t="str">
        <f t="shared" si="79"/>
        <v>-</v>
      </c>
      <c r="Q121" s="428">
        <f t="shared" si="79"/>
        <v>0.79989999999999983</v>
      </c>
      <c r="R121" s="428">
        <f t="shared" si="79"/>
        <v>2.3996999999999997</v>
      </c>
      <c r="S121" s="816"/>
    </row>
    <row r="122" spans="1:19" ht="13" x14ac:dyDescent="0.3">
      <c r="A122" s="1388"/>
      <c r="B122" s="794">
        <v>5</v>
      </c>
      <c r="C122" s="229">
        <f t="shared" ref="C122:H122" si="80">H29</f>
        <v>200</v>
      </c>
      <c r="D122" s="229">
        <f t="shared" si="80"/>
        <v>0</v>
      </c>
      <c r="E122" s="229">
        <f t="shared" si="80"/>
        <v>9.9999999999999995E-7</v>
      </c>
      <c r="F122" s="229">
        <f t="shared" si="80"/>
        <v>9.9999999999999995E-7</v>
      </c>
      <c r="G122" s="229">
        <f t="shared" si="80"/>
        <v>0</v>
      </c>
      <c r="H122" s="529">
        <f t="shared" si="80"/>
        <v>0.06</v>
      </c>
      <c r="I122" s="530"/>
      <c r="J122" s="787"/>
      <c r="K122" s="1396"/>
      <c r="L122" s="794">
        <v>5</v>
      </c>
      <c r="M122" s="428">
        <f t="shared" ref="M122:R122" si="81">H37</f>
        <v>8000</v>
      </c>
      <c r="N122" s="428">
        <f t="shared" si="81"/>
        <v>-0.4</v>
      </c>
      <c r="O122" s="428" t="str">
        <f t="shared" si="81"/>
        <v>-</v>
      </c>
      <c r="P122" s="428">
        <f t="shared" si="81"/>
        <v>-0.3</v>
      </c>
      <c r="Q122" s="428">
        <f t="shared" si="81"/>
        <v>0.80003999999999986</v>
      </c>
      <c r="R122" s="428">
        <f t="shared" si="81"/>
        <v>2.4001199999999998</v>
      </c>
      <c r="S122" s="817"/>
    </row>
    <row r="123" spans="1:19" ht="13" x14ac:dyDescent="0.3">
      <c r="A123" s="1388"/>
      <c r="B123" s="794">
        <v>6</v>
      </c>
      <c r="C123" s="229">
        <f>O$29</f>
        <v>200</v>
      </c>
      <c r="D123" s="229">
        <f t="shared" ref="D123:H123" si="82">P$29</f>
        <v>0</v>
      </c>
      <c r="E123" s="229">
        <f t="shared" si="82"/>
        <v>0</v>
      </c>
      <c r="F123" s="229">
        <f t="shared" si="82"/>
        <v>9.9999999999999995E-7</v>
      </c>
      <c r="G123" s="229">
        <f t="shared" si="82"/>
        <v>4.9999999999999998E-7</v>
      </c>
      <c r="H123" s="529">
        <f t="shared" si="82"/>
        <v>0.06</v>
      </c>
      <c r="I123" s="530"/>
      <c r="J123" s="787"/>
      <c r="K123" s="1396"/>
      <c r="L123" s="794">
        <v>6</v>
      </c>
      <c r="M123" s="428">
        <f t="shared" ref="M123:R123" si="83">O$37</f>
        <v>8000</v>
      </c>
      <c r="N123" s="428">
        <f t="shared" si="83"/>
        <v>-0.4</v>
      </c>
      <c r="O123" s="428">
        <f t="shared" si="83"/>
        <v>-0.4</v>
      </c>
      <c r="P123" s="428" t="str">
        <f t="shared" si="83"/>
        <v>-</v>
      </c>
      <c r="Q123" s="428">
        <f t="shared" si="83"/>
        <v>0.80003999999999986</v>
      </c>
      <c r="R123" s="428">
        <f t="shared" si="83"/>
        <v>2.4001199999999998</v>
      </c>
      <c r="S123" s="816"/>
    </row>
    <row r="124" spans="1:19" ht="13" x14ac:dyDescent="0.3">
      <c r="A124" s="1388"/>
      <c r="B124" s="794">
        <v>7</v>
      </c>
      <c r="C124" s="229">
        <f>A$49</f>
        <v>200</v>
      </c>
      <c r="D124" s="229">
        <f t="shared" ref="D124:H124" si="84">B$49</f>
        <v>0</v>
      </c>
      <c r="E124" s="229">
        <f t="shared" si="84"/>
        <v>0</v>
      </c>
      <c r="F124" s="229">
        <f t="shared" si="84"/>
        <v>9.9999999999999995E-7</v>
      </c>
      <c r="G124" s="229">
        <f t="shared" si="84"/>
        <v>4.9999999999999998E-7</v>
      </c>
      <c r="H124" s="529">
        <f t="shared" si="84"/>
        <v>0.06</v>
      </c>
      <c r="I124" s="530"/>
      <c r="J124" s="787"/>
      <c r="K124" s="1396"/>
      <c r="L124" s="794">
        <v>7</v>
      </c>
      <c r="M124" s="428">
        <f t="shared" ref="M124:R124" si="85">A$57</f>
        <v>8000</v>
      </c>
      <c r="N124" s="428">
        <f t="shared" si="85"/>
        <v>-0.4</v>
      </c>
      <c r="O124" s="428">
        <f t="shared" si="85"/>
        <v>-0.6</v>
      </c>
      <c r="P124" s="428" t="str">
        <f t="shared" si="85"/>
        <v>-</v>
      </c>
      <c r="Q124" s="428">
        <f t="shared" si="85"/>
        <v>0.80003999999999986</v>
      </c>
      <c r="R124" s="428">
        <f t="shared" si="85"/>
        <v>2.4001199999999998</v>
      </c>
      <c r="S124" s="816"/>
    </row>
    <row r="125" spans="1:19" ht="13" x14ac:dyDescent="0.3">
      <c r="A125" s="1388"/>
      <c r="B125" s="794">
        <v>8</v>
      </c>
      <c r="C125" s="229">
        <f t="shared" ref="C125:H125" si="86">H49</f>
        <v>200</v>
      </c>
      <c r="D125" s="229" t="str">
        <f t="shared" si="86"/>
        <v>-</v>
      </c>
      <c r="E125" s="229" t="str">
        <f t="shared" si="86"/>
        <v>-</v>
      </c>
      <c r="F125" s="229" t="str">
        <f t="shared" si="86"/>
        <v>-</v>
      </c>
      <c r="G125" s="229" t="str">
        <f t="shared" si="86"/>
        <v>-</v>
      </c>
      <c r="H125" s="529" t="str">
        <f t="shared" si="86"/>
        <v>-</v>
      </c>
      <c r="I125" s="530"/>
      <c r="J125" s="787"/>
      <c r="K125" s="1396"/>
      <c r="L125" s="794">
        <v>8</v>
      </c>
      <c r="M125" s="428">
        <f t="shared" ref="M125:R125" si="87">H57</f>
        <v>8000</v>
      </c>
      <c r="N125" s="428" t="str">
        <f t="shared" si="87"/>
        <v>-</v>
      </c>
      <c r="O125" s="428" t="str">
        <f t="shared" si="87"/>
        <v>-</v>
      </c>
      <c r="P125" s="428" t="str">
        <f t="shared" si="87"/>
        <v>-</v>
      </c>
      <c r="Q125" s="428" t="str">
        <f t="shared" si="87"/>
        <v>-</v>
      </c>
      <c r="R125" s="428" t="str">
        <f t="shared" si="87"/>
        <v>-</v>
      </c>
      <c r="S125" s="816"/>
    </row>
    <row r="126" spans="1:19" ht="13" x14ac:dyDescent="0.3">
      <c r="A126" s="1388"/>
      <c r="B126" s="794">
        <v>9</v>
      </c>
      <c r="C126" s="229">
        <f t="shared" ref="C126:H126" si="88">A69</f>
        <v>200</v>
      </c>
      <c r="D126" s="229" t="str">
        <f t="shared" si="88"/>
        <v>-</v>
      </c>
      <c r="E126" s="229" t="str">
        <f t="shared" si="88"/>
        <v>-</v>
      </c>
      <c r="F126" s="229" t="str">
        <f t="shared" si="88"/>
        <v>-</v>
      </c>
      <c r="G126" s="229" t="str">
        <f t="shared" si="88"/>
        <v>-</v>
      </c>
      <c r="H126" s="529" t="str">
        <f t="shared" si="88"/>
        <v>-</v>
      </c>
      <c r="I126" s="530"/>
      <c r="J126" s="787"/>
      <c r="K126" s="1396"/>
      <c r="L126" s="794">
        <v>9</v>
      </c>
      <c r="M126" s="428">
        <f t="shared" ref="M126:R126" si="89">O57</f>
        <v>8000</v>
      </c>
      <c r="N126" s="428" t="str">
        <f t="shared" si="89"/>
        <v>-</v>
      </c>
      <c r="O126" s="428" t="str">
        <f t="shared" si="89"/>
        <v>-</v>
      </c>
      <c r="P126" s="428" t="str">
        <f t="shared" si="89"/>
        <v>-</v>
      </c>
      <c r="Q126" s="428" t="str">
        <f t="shared" si="89"/>
        <v>-</v>
      </c>
      <c r="R126" s="428" t="str">
        <f t="shared" si="89"/>
        <v>-</v>
      </c>
      <c r="S126" s="816"/>
    </row>
    <row r="127" spans="1:19" ht="13.5" thickBot="1" x14ac:dyDescent="0.35">
      <c r="A127" s="1389"/>
      <c r="B127" s="795">
        <v>10</v>
      </c>
      <c r="C127" s="349">
        <f>H69</f>
        <v>200</v>
      </c>
      <c r="D127" s="349">
        <f t="shared" ref="D127:H127" si="90">AJ69</f>
        <v>0</v>
      </c>
      <c r="E127" s="349">
        <f t="shared" si="90"/>
        <v>0</v>
      </c>
      <c r="F127" s="349">
        <f t="shared" si="90"/>
        <v>0</v>
      </c>
      <c r="G127" s="349">
        <f t="shared" si="90"/>
        <v>0</v>
      </c>
      <c r="H127" s="531">
        <f t="shared" si="90"/>
        <v>0</v>
      </c>
      <c r="I127" s="532"/>
      <c r="J127" s="787"/>
      <c r="K127" s="1397"/>
      <c r="L127" s="795">
        <v>10</v>
      </c>
      <c r="M127" s="808">
        <f t="shared" ref="M127:R127" si="91">A77</f>
        <v>8000</v>
      </c>
      <c r="N127" s="808" t="str">
        <f t="shared" si="91"/>
        <v>-</v>
      </c>
      <c r="O127" s="808" t="str">
        <f t="shared" si="91"/>
        <v>-</v>
      </c>
      <c r="P127" s="808" t="str">
        <f t="shared" si="91"/>
        <v>-</v>
      </c>
      <c r="Q127" s="808" t="str">
        <f t="shared" si="91"/>
        <v>-</v>
      </c>
      <c r="R127" s="808" t="str">
        <f t="shared" si="91"/>
        <v>-</v>
      </c>
      <c r="S127" s="820"/>
    </row>
    <row r="128" spans="1:19" ht="13" x14ac:dyDescent="0.3">
      <c r="A128" s="1387" t="s">
        <v>99</v>
      </c>
      <c r="B128" s="797">
        <v>1</v>
      </c>
      <c r="C128" s="230">
        <f t="shared" ref="C128:H128" si="92">A10</f>
        <v>1000</v>
      </c>
      <c r="D128" s="230">
        <f t="shared" si="92"/>
        <v>0</v>
      </c>
      <c r="E128" s="230">
        <f t="shared" si="92"/>
        <v>0</v>
      </c>
      <c r="F128" s="230">
        <f t="shared" si="92"/>
        <v>9.9999999999999995E-7</v>
      </c>
      <c r="G128" s="230">
        <f t="shared" si="92"/>
        <v>4.9999999999999998E-7</v>
      </c>
      <c r="H128" s="533">
        <f t="shared" si="92"/>
        <v>0.3</v>
      </c>
      <c r="I128" s="534"/>
      <c r="J128" s="787"/>
      <c r="K128" s="1390" t="s">
        <v>314</v>
      </c>
      <c r="L128" s="797">
        <v>1</v>
      </c>
      <c r="M128" s="801">
        <f t="shared" ref="M128:R128" si="93">A18</f>
        <v>9000</v>
      </c>
      <c r="N128" s="801">
        <f t="shared" si="93"/>
        <v>0</v>
      </c>
      <c r="O128" s="801">
        <f t="shared" si="93"/>
        <v>0</v>
      </c>
      <c r="P128" s="801" t="str">
        <f t="shared" si="93"/>
        <v>-</v>
      </c>
      <c r="Q128" s="801">
        <f t="shared" si="93"/>
        <v>0.89999999999999991</v>
      </c>
      <c r="R128" s="801">
        <f t="shared" si="93"/>
        <v>2.6999999999999997</v>
      </c>
      <c r="S128" s="821"/>
    </row>
    <row r="129" spans="1:19" ht="13" x14ac:dyDescent="0.3">
      <c r="A129" s="1388"/>
      <c r="B129" s="794">
        <v>2</v>
      </c>
      <c r="C129" s="229">
        <f t="shared" ref="C129:H129" si="94">H10</f>
        <v>1000</v>
      </c>
      <c r="D129" s="229" t="str">
        <f t="shared" si="94"/>
        <v>-</v>
      </c>
      <c r="E129" s="229">
        <f t="shared" si="94"/>
        <v>9.9999999999999995E-7</v>
      </c>
      <c r="F129" s="229">
        <f t="shared" si="94"/>
        <v>9.9999999999999995E-7</v>
      </c>
      <c r="G129" s="229">
        <f t="shared" si="94"/>
        <v>0</v>
      </c>
      <c r="H129" s="529">
        <f t="shared" si="94"/>
        <v>0.3</v>
      </c>
      <c r="I129" s="530"/>
      <c r="J129" s="787"/>
      <c r="K129" s="1391"/>
      <c r="L129" s="794">
        <v>2</v>
      </c>
      <c r="M129" s="428">
        <f t="shared" ref="M129:R129" si="95">H18</f>
        <v>9000</v>
      </c>
      <c r="N129" s="428" t="str">
        <f t="shared" si="95"/>
        <v>-</v>
      </c>
      <c r="O129" s="428" t="str">
        <f t="shared" si="95"/>
        <v>-</v>
      </c>
      <c r="P129" s="428" t="str">
        <f t="shared" si="95"/>
        <v>-</v>
      </c>
      <c r="Q129" s="428">
        <f t="shared" si="95"/>
        <v>0.89999999999999991</v>
      </c>
      <c r="R129" s="428">
        <f t="shared" si="95"/>
        <v>2.6999999999999997</v>
      </c>
      <c r="S129" s="822"/>
    </row>
    <row r="130" spans="1:19" ht="13" x14ac:dyDescent="0.3">
      <c r="A130" s="1388"/>
      <c r="B130" s="794">
        <v>3</v>
      </c>
      <c r="C130" s="229">
        <f t="shared" ref="C130:H130" si="96">O10</f>
        <v>1000</v>
      </c>
      <c r="D130" s="229">
        <f t="shared" si="96"/>
        <v>0</v>
      </c>
      <c r="E130" s="229">
        <f t="shared" si="96"/>
        <v>9.9999999999999995E-7</v>
      </c>
      <c r="F130" s="229">
        <f t="shared" si="96"/>
        <v>9.9999999999999995E-7</v>
      </c>
      <c r="G130" s="229">
        <f t="shared" si="96"/>
        <v>0</v>
      </c>
      <c r="H130" s="529">
        <f t="shared" si="96"/>
        <v>0.3</v>
      </c>
      <c r="I130" s="530"/>
      <c r="J130" s="787"/>
      <c r="K130" s="1391"/>
      <c r="L130" s="794">
        <v>3</v>
      </c>
      <c r="M130" s="428">
        <f t="shared" ref="M130:R130" si="97">O18</f>
        <v>9000</v>
      </c>
      <c r="N130" s="428">
        <f t="shared" si="97"/>
        <v>0</v>
      </c>
      <c r="O130" s="428">
        <f t="shared" si="97"/>
        <v>9.9999999999999995E-7</v>
      </c>
      <c r="P130" s="428" t="str">
        <f t="shared" si="97"/>
        <v>-</v>
      </c>
      <c r="Q130" s="428">
        <f t="shared" si="97"/>
        <v>0.89999999999999991</v>
      </c>
      <c r="R130" s="428">
        <f t="shared" si="97"/>
        <v>2.6999999999999997</v>
      </c>
      <c r="S130" s="822"/>
    </row>
    <row r="131" spans="1:19" ht="13" x14ac:dyDescent="0.3">
      <c r="A131" s="1388"/>
      <c r="B131" s="794">
        <v>4</v>
      </c>
      <c r="C131" s="229">
        <f t="shared" ref="C131:H131" si="98">A30</f>
        <v>1000</v>
      </c>
      <c r="D131" s="229">
        <f t="shared" si="98"/>
        <v>1</v>
      </c>
      <c r="E131" s="229">
        <f t="shared" si="98"/>
        <v>1</v>
      </c>
      <c r="F131" s="229">
        <f t="shared" si="98"/>
        <v>9.9999999999999995E-7</v>
      </c>
      <c r="G131" s="229">
        <f t="shared" si="98"/>
        <v>0.49999949999999999</v>
      </c>
      <c r="H131" s="529">
        <f t="shared" si="98"/>
        <v>0.29969999999999997</v>
      </c>
      <c r="I131" s="530"/>
      <c r="J131" s="787"/>
      <c r="K131" s="1391"/>
      <c r="L131" s="794">
        <v>4</v>
      </c>
      <c r="M131" s="428">
        <f t="shared" ref="M131:R131" si="99">A38</f>
        <v>9000</v>
      </c>
      <c r="N131" s="428">
        <f t="shared" si="99"/>
        <v>1</v>
      </c>
      <c r="O131" s="428">
        <f t="shared" si="99"/>
        <v>1</v>
      </c>
      <c r="P131" s="428" t="str">
        <f t="shared" si="99"/>
        <v>-</v>
      </c>
      <c r="Q131" s="428">
        <f t="shared" si="99"/>
        <v>0.89989999999999981</v>
      </c>
      <c r="R131" s="428">
        <f t="shared" si="99"/>
        <v>2.6996999999999995</v>
      </c>
      <c r="S131" s="822"/>
    </row>
    <row r="132" spans="1:19" ht="13" x14ac:dyDescent="0.3">
      <c r="A132" s="1388"/>
      <c r="B132" s="794">
        <v>5</v>
      </c>
      <c r="C132" s="229">
        <f t="shared" ref="C132:H132" si="100">H30</f>
        <v>1000</v>
      </c>
      <c r="D132" s="229">
        <f t="shared" si="100"/>
        <v>-0.1</v>
      </c>
      <c r="E132" s="229">
        <f t="shared" si="100"/>
        <v>9.9999999999999995E-7</v>
      </c>
      <c r="F132" s="229">
        <f t="shared" si="100"/>
        <v>-0.1</v>
      </c>
      <c r="G132" s="229">
        <f t="shared" si="100"/>
        <v>5.0000500000000003E-2</v>
      </c>
      <c r="H132" s="529">
        <f t="shared" si="100"/>
        <v>0.30002999999999996</v>
      </c>
      <c r="I132" s="530"/>
      <c r="J132" s="787"/>
      <c r="K132" s="1391"/>
      <c r="L132" s="794">
        <v>5</v>
      </c>
      <c r="M132" s="428">
        <f t="shared" ref="M132:R132" si="101">H38</f>
        <v>9000</v>
      </c>
      <c r="N132" s="428">
        <f t="shared" si="101"/>
        <v>-0.4</v>
      </c>
      <c r="O132" s="428" t="str">
        <f t="shared" si="101"/>
        <v>-</v>
      </c>
      <c r="P132" s="428">
        <f t="shared" si="101"/>
        <v>-0.3</v>
      </c>
      <c r="Q132" s="428">
        <f t="shared" si="101"/>
        <v>0.90003999999999984</v>
      </c>
      <c r="R132" s="428">
        <f t="shared" si="101"/>
        <v>2.7001199999999996</v>
      </c>
      <c r="S132" s="817"/>
    </row>
    <row r="133" spans="1:19" ht="13" x14ac:dyDescent="0.3">
      <c r="A133" s="1388"/>
      <c r="B133" s="794">
        <v>6</v>
      </c>
      <c r="C133" s="229">
        <f>O$30</f>
        <v>1000</v>
      </c>
      <c r="D133" s="229">
        <f t="shared" ref="D133:H133" si="102">P$30</f>
        <v>0</v>
      </c>
      <c r="E133" s="229">
        <f t="shared" si="102"/>
        <v>0</v>
      </c>
      <c r="F133" s="229">
        <f t="shared" si="102"/>
        <v>-0.1</v>
      </c>
      <c r="G133" s="229">
        <f t="shared" si="102"/>
        <v>0.05</v>
      </c>
      <c r="H133" s="529">
        <f t="shared" si="102"/>
        <v>0.3</v>
      </c>
      <c r="I133" s="530"/>
      <c r="J133" s="787"/>
      <c r="K133" s="1391"/>
      <c r="L133" s="794">
        <v>6</v>
      </c>
      <c r="M133" s="428">
        <f t="shared" ref="M133:R133" si="103">O$38</f>
        <v>9000</v>
      </c>
      <c r="N133" s="428">
        <f t="shared" si="103"/>
        <v>-0.4</v>
      </c>
      <c r="O133" s="428">
        <f t="shared" si="103"/>
        <v>-0.5</v>
      </c>
      <c r="P133" s="428" t="str">
        <f t="shared" si="103"/>
        <v>-</v>
      </c>
      <c r="Q133" s="428">
        <f t="shared" si="103"/>
        <v>0.90003999999999984</v>
      </c>
      <c r="R133" s="428">
        <f t="shared" si="103"/>
        <v>2.7001199999999996</v>
      </c>
      <c r="S133" s="822"/>
    </row>
    <row r="134" spans="1:19" ht="13" x14ac:dyDescent="0.3">
      <c r="A134" s="1388"/>
      <c r="B134" s="794">
        <v>7</v>
      </c>
      <c r="C134" s="229">
        <f>A$50</f>
        <v>1000</v>
      </c>
      <c r="D134" s="229">
        <f t="shared" ref="D134:H134" si="104">B$50</f>
        <v>-0.1</v>
      </c>
      <c r="E134" s="229">
        <f t="shared" si="104"/>
        <v>-0.1</v>
      </c>
      <c r="F134" s="229">
        <f t="shared" si="104"/>
        <v>-0.1</v>
      </c>
      <c r="G134" s="229">
        <f t="shared" si="104"/>
        <v>0</v>
      </c>
      <c r="H134" s="529">
        <f t="shared" si="104"/>
        <v>0.30002999999999996</v>
      </c>
      <c r="I134" s="530"/>
      <c r="J134" s="787"/>
      <c r="K134" s="1391"/>
      <c r="L134" s="794">
        <v>7</v>
      </c>
      <c r="M134" s="428">
        <f t="shared" ref="M134:R134" si="105">A$58</f>
        <v>9000</v>
      </c>
      <c r="N134" s="428">
        <f t="shared" si="105"/>
        <v>-0.4</v>
      </c>
      <c r="O134" s="428">
        <f t="shared" si="105"/>
        <v>-0.7</v>
      </c>
      <c r="P134" s="428" t="str">
        <f t="shared" si="105"/>
        <v>-</v>
      </c>
      <c r="Q134" s="428">
        <f t="shared" si="105"/>
        <v>0.90003999999999984</v>
      </c>
      <c r="R134" s="428">
        <f t="shared" si="105"/>
        <v>2.7001199999999996</v>
      </c>
      <c r="S134" s="822"/>
    </row>
    <row r="135" spans="1:19" ht="13" x14ac:dyDescent="0.3">
      <c r="A135" s="1388"/>
      <c r="B135" s="794">
        <v>8</v>
      </c>
      <c r="C135" s="229">
        <f t="shared" ref="C135:H135" si="106">H50</f>
        <v>1000</v>
      </c>
      <c r="D135" s="229" t="str">
        <f t="shared" si="106"/>
        <v>-</v>
      </c>
      <c r="E135" s="229" t="str">
        <f t="shared" si="106"/>
        <v>-</v>
      </c>
      <c r="F135" s="229" t="str">
        <f t="shared" si="106"/>
        <v>-</v>
      </c>
      <c r="G135" s="229" t="str">
        <f t="shared" si="106"/>
        <v>-</v>
      </c>
      <c r="H135" s="529" t="str">
        <f t="shared" si="106"/>
        <v>-</v>
      </c>
      <c r="I135" s="530"/>
      <c r="J135" s="787"/>
      <c r="K135" s="1391"/>
      <c r="L135" s="794">
        <v>8</v>
      </c>
      <c r="M135" s="428">
        <f t="shared" ref="M135:R135" si="107">H58</f>
        <v>9000</v>
      </c>
      <c r="N135" s="428" t="str">
        <f t="shared" si="107"/>
        <v>-</v>
      </c>
      <c r="O135" s="428" t="str">
        <f t="shared" si="107"/>
        <v>-</v>
      </c>
      <c r="P135" s="428" t="str">
        <f t="shared" si="107"/>
        <v>-</v>
      </c>
      <c r="Q135" s="428" t="str">
        <f t="shared" si="107"/>
        <v>-</v>
      </c>
      <c r="R135" s="428" t="str">
        <f t="shared" si="107"/>
        <v>-</v>
      </c>
      <c r="S135" s="822"/>
    </row>
    <row r="136" spans="1:19" ht="13" x14ac:dyDescent="0.3">
      <c r="A136" s="1388"/>
      <c r="B136" s="794">
        <v>9</v>
      </c>
      <c r="C136" s="229">
        <f t="shared" ref="C136:H136" si="108">A70</f>
        <v>1000</v>
      </c>
      <c r="D136" s="229" t="str">
        <f t="shared" si="108"/>
        <v>-</v>
      </c>
      <c r="E136" s="229" t="str">
        <f t="shared" si="108"/>
        <v>-</v>
      </c>
      <c r="F136" s="229" t="str">
        <f t="shared" si="108"/>
        <v>-</v>
      </c>
      <c r="G136" s="229" t="str">
        <f t="shared" si="108"/>
        <v>-</v>
      </c>
      <c r="H136" s="529" t="str">
        <f t="shared" si="108"/>
        <v>-</v>
      </c>
      <c r="I136" s="530"/>
      <c r="J136" s="787"/>
      <c r="K136" s="1391"/>
      <c r="L136" s="794">
        <v>9</v>
      </c>
      <c r="M136" s="428">
        <f t="shared" ref="M136:R136" si="109">O58</f>
        <v>9000</v>
      </c>
      <c r="N136" s="428" t="str">
        <f t="shared" si="109"/>
        <v>-</v>
      </c>
      <c r="O136" s="428" t="str">
        <f t="shared" si="109"/>
        <v>-</v>
      </c>
      <c r="P136" s="428" t="str">
        <f t="shared" si="109"/>
        <v>-</v>
      </c>
      <c r="Q136" s="428" t="str">
        <f t="shared" si="109"/>
        <v>-</v>
      </c>
      <c r="R136" s="428" t="str">
        <f t="shared" si="109"/>
        <v>-</v>
      </c>
      <c r="S136" s="822"/>
    </row>
    <row r="137" spans="1:19" ht="13.5" thickBot="1" x14ac:dyDescent="0.35">
      <c r="A137" s="1389"/>
      <c r="B137" s="795">
        <v>10</v>
      </c>
      <c r="C137" s="349">
        <f t="shared" ref="C137:H137" si="110">H70</f>
        <v>1000</v>
      </c>
      <c r="D137" s="349" t="str">
        <f t="shared" si="110"/>
        <v>-</v>
      </c>
      <c r="E137" s="349" t="str">
        <f t="shared" si="110"/>
        <v>-</v>
      </c>
      <c r="F137" s="349" t="str">
        <f t="shared" si="110"/>
        <v>-</v>
      </c>
      <c r="G137" s="349" t="str">
        <f t="shared" si="110"/>
        <v>-</v>
      </c>
      <c r="H137" s="531" t="str">
        <f t="shared" si="110"/>
        <v>-</v>
      </c>
      <c r="I137" s="532"/>
      <c r="J137" s="787"/>
      <c r="K137" s="1392"/>
      <c r="L137" s="795">
        <v>10</v>
      </c>
      <c r="M137" s="808">
        <f t="shared" ref="M137:R137" si="111">A78</f>
        <v>9000</v>
      </c>
      <c r="N137" s="808" t="str">
        <f t="shared" si="111"/>
        <v>-</v>
      </c>
      <c r="O137" s="808" t="str">
        <f t="shared" si="111"/>
        <v>-</v>
      </c>
      <c r="P137" s="808" t="str">
        <f t="shared" si="111"/>
        <v>-</v>
      </c>
      <c r="Q137" s="808" t="str">
        <f t="shared" si="111"/>
        <v>-</v>
      </c>
      <c r="R137" s="808" t="str">
        <f t="shared" si="111"/>
        <v>-</v>
      </c>
      <c r="S137" s="820"/>
    </row>
    <row r="138" spans="1:19" ht="13" x14ac:dyDescent="0.3">
      <c r="A138" s="1390" t="s">
        <v>100</v>
      </c>
      <c r="B138" s="797">
        <v>1</v>
      </c>
      <c r="C138" s="230">
        <f t="shared" ref="C138:H138" si="112">A11</f>
        <v>2000</v>
      </c>
      <c r="D138" s="230">
        <f t="shared" si="112"/>
        <v>0</v>
      </c>
      <c r="E138" s="230">
        <f t="shared" si="112"/>
        <v>0</v>
      </c>
      <c r="F138" s="230">
        <f t="shared" si="112"/>
        <v>9.9999999999999995E-7</v>
      </c>
      <c r="G138" s="230">
        <f t="shared" si="112"/>
        <v>4.9999999999999998E-7</v>
      </c>
      <c r="H138" s="533">
        <f t="shared" si="112"/>
        <v>0.6</v>
      </c>
      <c r="I138" s="534"/>
      <c r="J138" s="787"/>
      <c r="K138" s="1390" t="s">
        <v>315</v>
      </c>
      <c r="L138" s="797">
        <v>1</v>
      </c>
      <c r="M138" s="294">
        <f t="shared" ref="M138:R138" si="113">A19</f>
        <v>10000</v>
      </c>
      <c r="N138" s="230">
        <f t="shared" si="113"/>
        <v>0</v>
      </c>
      <c r="O138" s="230">
        <f t="shared" si="113"/>
        <v>0</v>
      </c>
      <c r="P138" s="230" t="str">
        <f t="shared" si="113"/>
        <v>-</v>
      </c>
      <c r="Q138" s="230">
        <f t="shared" si="113"/>
        <v>0.99999999999999978</v>
      </c>
      <c r="R138" s="230">
        <f t="shared" si="113"/>
        <v>2.9999999999999996</v>
      </c>
      <c r="S138" s="823"/>
    </row>
    <row r="139" spans="1:19" ht="13" x14ac:dyDescent="0.3">
      <c r="A139" s="1391"/>
      <c r="B139" s="794">
        <v>2</v>
      </c>
      <c r="C139" s="229">
        <f t="shared" ref="C139:H139" si="114">H11</f>
        <v>2000</v>
      </c>
      <c r="D139" s="229" t="str">
        <f t="shared" si="114"/>
        <v>-</v>
      </c>
      <c r="E139" s="229">
        <f t="shared" si="114"/>
        <v>9.9999999999999995E-7</v>
      </c>
      <c r="F139" s="229">
        <f t="shared" si="114"/>
        <v>9.9999999999999995E-7</v>
      </c>
      <c r="G139" s="229">
        <f t="shared" si="114"/>
        <v>0</v>
      </c>
      <c r="H139" s="529">
        <f t="shared" si="114"/>
        <v>0.6</v>
      </c>
      <c r="I139" s="530"/>
      <c r="J139" s="787"/>
      <c r="K139" s="1391"/>
      <c r="L139" s="794">
        <v>2</v>
      </c>
      <c r="M139" s="229">
        <f t="shared" ref="M139:R139" si="115">H19</f>
        <v>10000</v>
      </c>
      <c r="N139" s="229" t="str">
        <f t="shared" si="115"/>
        <v>-</v>
      </c>
      <c r="O139" s="229" t="str">
        <f t="shared" si="115"/>
        <v>-</v>
      </c>
      <c r="P139" s="229">
        <f t="shared" si="115"/>
        <v>9.9999999999999995E-7</v>
      </c>
      <c r="Q139" s="229">
        <f t="shared" si="115"/>
        <v>0.99999999999999978</v>
      </c>
      <c r="R139" s="229">
        <f t="shared" si="115"/>
        <v>2.9999999999999996</v>
      </c>
      <c r="S139" s="824"/>
    </row>
    <row r="140" spans="1:19" ht="13" x14ac:dyDescent="0.3">
      <c r="A140" s="1391"/>
      <c r="B140" s="794">
        <v>3</v>
      </c>
      <c r="C140" s="229">
        <f t="shared" ref="C140:H140" si="116">O11</f>
        <v>2000</v>
      </c>
      <c r="D140" s="229">
        <f t="shared" si="116"/>
        <v>0</v>
      </c>
      <c r="E140" s="229">
        <f t="shared" si="116"/>
        <v>9.9999999999999995E-7</v>
      </c>
      <c r="F140" s="229">
        <f t="shared" si="116"/>
        <v>9.9999999999999995E-7</v>
      </c>
      <c r="G140" s="229">
        <f t="shared" si="116"/>
        <v>0</v>
      </c>
      <c r="H140" s="529">
        <f t="shared" si="116"/>
        <v>0.6</v>
      </c>
      <c r="I140" s="530"/>
      <c r="J140" s="787"/>
      <c r="K140" s="1391"/>
      <c r="L140" s="794">
        <v>3</v>
      </c>
      <c r="M140" s="229">
        <f t="shared" ref="M140:R140" si="117">O19</f>
        <v>10000</v>
      </c>
      <c r="N140" s="229">
        <f t="shared" si="117"/>
        <v>0</v>
      </c>
      <c r="O140" s="229">
        <f t="shared" si="117"/>
        <v>9.9999999999999995E-7</v>
      </c>
      <c r="P140" s="229">
        <f t="shared" si="117"/>
        <v>9.9999999999999995E-7</v>
      </c>
      <c r="Q140" s="229">
        <f t="shared" si="117"/>
        <v>0</v>
      </c>
      <c r="R140" s="229">
        <f t="shared" si="117"/>
        <v>2.9999999999999996</v>
      </c>
      <c r="S140" s="824"/>
    </row>
    <row r="141" spans="1:19" ht="13" x14ac:dyDescent="0.3">
      <c r="A141" s="1391"/>
      <c r="B141" s="794">
        <v>4</v>
      </c>
      <c r="C141" s="229">
        <f t="shared" ref="C141:H141" si="118">A31</f>
        <v>2000</v>
      </c>
      <c r="D141" s="229">
        <f t="shared" si="118"/>
        <v>1</v>
      </c>
      <c r="E141" s="229">
        <f t="shared" si="118"/>
        <v>1</v>
      </c>
      <c r="F141" s="229">
        <f t="shared" si="118"/>
        <v>9.9999999999999995E-7</v>
      </c>
      <c r="G141" s="229">
        <f t="shared" si="118"/>
        <v>0.49999949999999999</v>
      </c>
      <c r="H141" s="529">
        <f t="shared" si="118"/>
        <v>0.5996999999999999</v>
      </c>
      <c r="I141" s="530"/>
      <c r="J141" s="787"/>
      <c r="K141" s="1391"/>
      <c r="L141" s="794">
        <v>4</v>
      </c>
      <c r="M141" s="229">
        <f t="shared" ref="M141:R141" si="119">A39</f>
        <v>10000</v>
      </c>
      <c r="N141" s="229">
        <f t="shared" si="119"/>
        <v>1</v>
      </c>
      <c r="O141" s="229" t="str">
        <f t="shared" si="119"/>
        <v>-</v>
      </c>
      <c r="P141" s="229">
        <f t="shared" si="119"/>
        <v>1</v>
      </c>
      <c r="Q141" s="229">
        <f t="shared" si="119"/>
        <v>0.9998999999999999</v>
      </c>
      <c r="R141" s="229">
        <f t="shared" si="119"/>
        <v>2.9996999999999998</v>
      </c>
      <c r="S141" s="824"/>
    </row>
    <row r="142" spans="1:19" ht="13" x14ac:dyDescent="0.3">
      <c r="A142" s="1391"/>
      <c r="B142" s="794">
        <v>5</v>
      </c>
      <c r="C142" s="229">
        <f t="shared" ref="C142:H142" si="120">H31</f>
        <v>2000</v>
      </c>
      <c r="D142" s="229">
        <f t="shared" si="120"/>
        <v>-0.1</v>
      </c>
      <c r="E142" s="229">
        <f t="shared" si="120"/>
        <v>-0.1</v>
      </c>
      <c r="F142" s="229">
        <f t="shared" si="120"/>
        <v>-0.1</v>
      </c>
      <c r="G142" s="229">
        <f t="shared" si="120"/>
        <v>0</v>
      </c>
      <c r="H142" s="529">
        <f t="shared" si="120"/>
        <v>0.60002999999999995</v>
      </c>
      <c r="I142" s="530"/>
      <c r="J142" s="787"/>
      <c r="K142" s="1391"/>
      <c r="L142" s="794">
        <v>5</v>
      </c>
      <c r="M142" s="229">
        <f t="shared" ref="M142:R142" si="121">H39</f>
        <v>10000</v>
      </c>
      <c r="N142" s="229">
        <f t="shared" si="121"/>
        <v>0</v>
      </c>
      <c r="O142" s="229">
        <f t="shared" si="121"/>
        <v>9.9999999999999995E-7</v>
      </c>
      <c r="P142" s="229">
        <f t="shared" si="121"/>
        <v>9.9999999999999995E-7</v>
      </c>
      <c r="Q142" s="229">
        <f t="shared" si="121"/>
        <v>0</v>
      </c>
      <c r="R142" s="229">
        <f t="shared" si="121"/>
        <v>2.9999999999999996</v>
      </c>
      <c r="S142" s="824"/>
    </row>
    <row r="143" spans="1:19" ht="13" x14ac:dyDescent="0.3">
      <c r="A143" s="1391"/>
      <c r="B143" s="794">
        <v>6</v>
      </c>
      <c r="C143" s="229">
        <f>O$31</f>
        <v>2000</v>
      </c>
      <c r="D143" s="229">
        <f t="shared" ref="D143:G143" si="122">P$31</f>
        <v>-0.1</v>
      </c>
      <c r="E143" s="229">
        <f t="shared" si="122"/>
        <v>-0.1</v>
      </c>
      <c r="F143" s="229">
        <f t="shared" si="122"/>
        <v>-0.1</v>
      </c>
      <c r="G143" s="229">
        <f t="shared" si="122"/>
        <v>0</v>
      </c>
      <c r="H143" s="529">
        <f>T$31</f>
        <v>0.60002999999999995</v>
      </c>
      <c r="I143" s="530"/>
      <c r="J143" s="787"/>
      <c r="K143" s="1391"/>
      <c r="L143" s="794">
        <v>6</v>
      </c>
      <c r="M143" s="229">
        <f t="shared" ref="M143:R143" si="123">O$39</f>
        <v>10000</v>
      </c>
      <c r="N143" s="229">
        <f t="shared" si="123"/>
        <v>0</v>
      </c>
      <c r="O143" s="229">
        <f t="shared" si="123"/>
        <v>0</v>
      </c>
      <c r="P143" s="229">
        <f t="shared" si="123"/>
        <v>9.9999999999999995E-7</v>
      </c>
      <c r="Q143" s="229">
        <f t="shared" si="123"/>
        <v>4.9999999999999998E-7</v>
      </c>
      <c r="R143" s="229">
        <f t="shared" si="123"/>
        <v>2.9999999999999996</v>
      </c>
      <c r="S143" s="824"/>
    </row>
    <row r="144" spans="1:19" ht="13" x14ac:dyDescent="0.3">
      <c r="A144" s="1391"/>
      <c r="B144" s="794">
        <v>7</v>
      </c>
      <c r="C144" s="229">
        <f>A$51</f>
        <v>2000</v>
      </c>
      <c r="D144" s="229">
        <f t="shared" ref="D144:H144" si="124">B$51</f>
        <v>-0.1</v>
      </c>
      <c r="E144" s="229">
        <f t="shared" si="124"/>
        <v>-0.1</v>
      </c>
      <c r="F144" s="229">
        <f t="shared" si="124"/>
        <v>-0.1</v>
      </c>
      <c r="G144" s="229">
        <f t="shared" si="124"/>
        <v>0</v>
      </c>
      <c r="H144" s="529">
        <f t="shared" si="124"/>
        <v>0.60002999999999995</v>
      </c>
      <c r="I144" s="530"/>
      <c r="J144" s="787"/>
      <c r="K144" s="1391"/>
      <c r="L144" s="794">
        <v>7</v>
      </c>
      <c r="M144" s="229">
        <f t="shared" ref="M144:R144" si="125">A$59</f>
        <v>10000</v>
      </c>
      <c r="N144" s="229">
        <f t="shared" si="125"/>
        <v>0</v>
      </c>
      <c r="O144" s="229">
        <f t="shared" si="125"/>
        <v>0</v>
      </c>
      <c r="P144" s="229">
        <f t="shared" si="125"/>
        <v>9.9999999999999995E-7</v>
      </c>
      <c r="Q144" s="229">
        <f t="shared" si="125"/>
        <v>4.9999999999999998E-7</v>
      </c>
      <c r="R144" s="229">
        <f t="shared" si="125"/>
        <v>2.9999999999999996</v>
      </c>
      <c r="S144" s="824"/>
    </row>
    <row r="145" spans="1:19" ht="13" x14ac:dyDescent="0.3">
      <c r="A145" s="1391"/>
      <c r="B145" s="794">
        <v>8</v>
      </c>
      <c r="C145" s="229">
        <f t="shared" ref="C145:H145" si="126">H51</f>
        <v>2000</v>
      </c>
      <c r="D145" s="229" t="str">
        <f t="shared" si="126"/>
        <v>-</v>
      </c>
      <c r="E145" s="229" t="str">
        <f t="shared" si="126"/>
        <v>-</v>
      </c>
      <c r="F145" s="229" t="str">
        <f t="shared" si="126"/>
        <v>-</v>
      </c>
      <c r="G145" s="229" t="str">
        <f t="shared" si="126"/>
        <v>-</v>
      </c>
      <c r="H145" s="529" t="str">
        <f t="shared" si="126"/>
        <v>-</v>
      </c>
      <c r="I145" s="530"/>
      <c r="J145" s="787"/>
      <c r="K145" s="1391"/>
      <c r="L145" s="794">
        <v>8</v>
      </c>
      <c r="M145" s="229">
        <f t="shared" ref="M145:R145" si="127">H59</f>
        <v>10000</v>
      </c>
      <c r="N145" s="229" t="str">
        <f t="shared" si="127"/>
        <v>-</v>
      </c>
      <c r="O145" s="229" t="str">
        <f t="shared" si="127"/>
        <v>-</v>
      </c>
      <c r="P145" s="229" t="str">
        <f t="shared" si="127"/>
        <v>-</v>
      </c>
      <c r="Q145" s="229" t="str">
        <f t="shared" si="127"/>
        <v>-</v>
      </c>
      <c r="R145" s="229" t="str">
        <f t="shared" si="127"/>
        <v>-</v>
      </c>
      <c r="S145" s="824"/>
    </row>
    <row r="146" spans="1:19" ht="13" x14ac:dyDescent="0.3">
      <c r="A146" s="1391"/>
      <c r="B146" s="794">
        <v>9</v>
      </c>
      <c r="C146" s="229">
        <f>A71</f>
        <v>2000</v>
      </c>
      <c r="D146" s="229" t="str">
        <f t="shared" ref="D146:H146" si="128">B71</f>
        <v>-</v>
      </c>
      <c r="E146" s="229" t="str">
        <f t="shared" si="128"/>
        <v>-</v>
      </c>
      <c r="F146" s="229" t="str">
        <f t="shared" si="128"/>
        <v>-</v>
      </c>
      <c r="G146" s="229" t="str">
        <f t="shared" si="128"/>
        <v>-</v>
      </c>
      <c r="H146" s="529" t="str">
        <f t="shared" si="128"/>
        <v>-</v>
      </c>
      <c r="I146" s="530"/>
      <c r="J146" s="787"/>
      <c r="K146" s="1391"/>
      <c r="L146" s="794">
        <v>9</v>
      </c>
      <c r="M146" s="229">
        <f t="shared" ref="M146:R146" si="129">A79</f>
        <v>10000</v>
      </c>
      <c r="N146" s="229" t="str">
        <f t="shared" si="129"/>
        <v>-</v>
      </c>
      <c r="O146" s="229" t="str">
        <f t="shared" si="129"/>
        <v>-</v>
      </c>
      <c r="P146" s="229" t="str">
        <f t="shared" si="129"/>
        <v>-</v>
      </c>
      <c r="Q146" s="229" t="str">
        <f t="shared" si="129"/>
        <v>-</v>
      </c>
      <c r="R146" s="229" t="str">
        <f t="shared" si="129"/>
        <v>-</v>
      </c>
      <c r="S146" s="824"/>
    </row>
    <row r="147" spans="1:19" ht="13.5" thickBot="1" x14ac:dyDescent="0.35">
      <c r="A147" s="1392"/>
      <c r="B147" s="795">
        <v>10</v>
      </c>
      <c r="C147" s="349">
        <f>H71</f>
        <v>2000</v>
      </c>
      <c r="D147" s="349" t="str">
        <f t="shared" ref="D147:H147" si="130">I71</f>
        <v>-</v>
      </c>
      <c r="E147" s="349" t="str">
        <f t="shared" si="130"/>
        <v>-</v>
      </c>
      <c r="F147" s="349" t="str">
        <f t="shared" si="130"/>
        <v>-</v>
      </c>
      <c r="G147" s="349" t="str">
        <f t="shared" si="130"/>
        <v>-</v>
      </c>
      <c r="H147" s="531" t="str">
        <f t="shared" si="130"/>
        <v>-</v>
      </c>
      <c r="I147" s="532"/>
      <c r="J147" s="787"/>
      <c r="K147" s="1392"/>
      <c r="L147" s="795">
        <v>10</v>
      </c>
      <c r="M147" s="349">
        <f t="shared" ref="M147:R147" si="131">H79</f>
        <v>10000</v>
      </c>
      <c r="N147" s="349" t="str">
        <f t="shared" si="131"/>
        <v>-</v>
      </c>
      <c r="O147" s="349" t="str">
        <f t="shared" si="131"/>
        <v>-</v>
      </c>
      <c r="P147" s="349" t="str">
        <f t="shared" si="131"/>
        <v>-</v>
      </c>
      <c r="Q147" s="349" t="str">
        <f t="shared" si="131"/>
        <v>-</v>
      </c>
      <c r="R147" s="349" t="str">
        <f t="shared" si="131"/>
        <v>-</v>
      </c>
      <c r="S147" s="825"/>
    </row>
    <row r="148" spans="1:19" ht="13" x14ac:dyDescent="0.25">
      <c r="A148" s="1390" t="s">
        <v>316</v>
      </c>
      <c r="B148" s="797">
        <v>1</v>
      </c>
      <c r="C148" s="230">
        <f t="shared" ref="C148:H148" si="132">A12</f>
        <v>3000</v>
      </c>
      <c r="D148" s="230" t="str">
        <f t="shared" si="132"/>
        <v>-</v>
      </c>
      <c r="E148" s="230">
        <f t="shared" si="132"/>
        <v>0</v>
      </c>
      <c r="F148" s="230" t="str">
        <f t="shared" si="132"/>
        <v>-</v>
      </c>
      <c r="G148" s="230">
        <f t="shared" si="132"/>
        <v>0.29999999999999993</v>
      </c>
      <c r="H148" s="533">
        <f t="shared" si="132"/>
        <v>0.89999999999999991</v>
      </c>
      <c r="I148" s="534"/>
      <c r="J148" s="787"/>
      <c r="K148" s="1393" t="s">
        <v>317</v>
      </c>
      <c r="L148" s="797">
        <v>1</v>
      </c>
      <c r="M148" s="230">
        <f t="shared" ref="M148:R148" si="133">A20</f>
        <v>50000</v>
      </c>
      <c r="N148" s="230">
        <f t="shared" si="133"/>
        <v>0</v>
      </c>
      <c r="O148" s="230">
        <f t="shared" si="133"/>
        <v>0</v>
      </c>
      <c r="P148" s="230">
        <f t="shared" si="133"/>
        <v>9.9999999999999995E-7</v>
      </c>
      <c r="Q148" s="230">
        <f t="shared" si="133"/>
        <v>4.9999999999999998E-7</v>
      </c>
      <c r="R148" s="230">
        <f t="shared" si="133"/>
        <v>14.999999999999998</v>
      </c>
      <c r="S148" s="821"/>
    </row>
    <row r="149" spans="1:19" ht="13" x14ac:dyDescent="0.25">
      <c r="A149" s="1391"/>
      <c r="B149" s="794">
        <v>2</v>
      </c>
      <c r="C149" s="229">
        <f t="shared" ref="C149:H149" si="134">H12</f>
        <v>3000</v>
      </c>
      <c r="D149" s="229" t="str">
        <f t="shared" si="134"/>
        <v>-</v>
      </c>
      <c r="E149" s="229" t="str">
        <f t="shared" si="134"/>
        <v>-</v>
      </c>
      <c r="F149" s="229">
        <f t="shared" si="134"/>
        <v>9.9999999999999995E-7</v>
      </c>
      <c r="G149" s="229">
        <f t="shared" si="134"/>
        <v>0.29999999999999993</v>
      </c>
      <c r="H149" s="529">
        <f t="shared" si="134"/>
        <v>0.89999999999999991</v>
      </c>
      <c r="I149" s="530"/>
      <c r="J149" s="787"/>
      <c r="K149" s="1394"/>
      <c r="L149" s="794">
        <v>2</v>
      </c>
      <c r="M149" s="229">
        <f t="shared" ref="M149:R149" si="135">H20</f>
        <v>50000</v>
      </c>
      <c r="N149" s="229" t="str">
        <f t="shared" si="135"/>
        <v>-</v>
      </c>
      <c r="O149" s="229">
        <f t="shared" si="135"/>
        <v>9.9999999999999995E-7</v>
      </c>
      <c r="P149" s="229">
        <f t="shared" si="135"/>
        <v>9.9999999999999995E-7</v>
      </c>
      <c r="Q149" s="229">
        <f t="shared" si="135"/>
        <v>0</v>
      </c>
      <c r="R149" s="229">
        <f t="shared" si="135"/>
        <v>14.999999999999998</v>
      </c>
      <c r="S149" s="822"/>
    </row>
    <row r="150" spans="1:19" ht="13" x14ac:dyDescent="0.25">
      <c r="A150" s="1391"/>
      <c r="B150" s="794">
        <v>3</v>
      </c>
      <c r="C150" s="229">
        <f t="shared" ref="C150:H150" si="136">O12</f>
        <v>3000</v>
      </c>
      <c r="D150" s="229">
        <f t="shared" si="136"/>
        <v>0</v>
      </c>
      <c r="E150" s="229">
        <f t="shared" si="136"/>
        <v>9.9999999999999995E-7</v>
      </c>
      <c r="F150" s="229">
        <f t="shared" si="136"/>
        <v>9.9999999999999995E-7</v>
      </c>
      <c r="G150" s="229">
        <f t="shared" si="136"/>
        <v>0</v>
      </c>
      <c r="H150" s="529">
        <f t="shared" si="136"/>
        <v>0.89999999999999991</v>
      </c>
      <c r="I150" s="530"/>
      <c r="J150" s="787"/>
      <c r="K150" s="1394"/>
      <c r="L150" s="794">
        <v>3</v>
      </c>
      <c r="M150" s="229">
        <f t="shared" ref="M150:R150" si="137">O20</f>
        <v>50000</v>
      </c>
      <c r="N150" s="229">
        <f t="shared" si="137"/>
        <v>0</v>
      </c>
      <c r="O150" s="229">
        <f t="shared" si="137"/>
        <v>9.9999999999999995E-7</v>
      </c>
      <c r="P150" s="229">
        <f t="shared" si="137"/>
        <v>9.9999999999999995E-7</v>
      </c>
      <c r="Q150" s="229">
        <f t="shared" si="137"/>
        <v>0</v>
      </c>
      <c r="R150" s="229">
        <f t="shared" si="137"/>
        <v>14.999999999999998</v>
      </c>
      <c r="S150" s="822"/>
    </row>
    <row r="151" spans="1:19" ht="13" x14ac:dyDescent="0.25">
      <c r="A151" s="1391"/>
      <c r="B151" s="794">
        <v>4</v>
      </c>
      <c r="C151" s="229">
        <f t="shared" ref="C151:H151" si="138">A32</f>
        <v>3000</v>
      </c>
      <c r="D151" s="229">
        <f t="shared" si="138"/>
        <v>1</v>
      </c>
      <c r="E151" s="229">
        <f t="shared" si="138"/>
        <v>1</v>
      </c>
      <c r="F151" s="229">
        <f t="shared" si="138"/>
        <v>1</v>
      </c>
      <c r="G151" s="229">
        <f t="shared" si="138"/>
        <v>0</v>
      </c>
      <c r="H151" s="529">
        <f t="shared" si="138"/>
        <v>0.89969999999999994</v>
      </c>
      <c r="I151" s="530"/>
      <c r="J151" s="787"/>
      <c r="K151" s="1394"/>
      <c r="L151" s="794">
        <v>4</v>
      </c>
      <c r="M151" s="229">
        <f t="shared" ref="M151:R151" si="139">A40</f>
        <v>50000</v>
      </c>
      <c r="N151" s="229">
        <f t="shared" si="139"/>
        <v>1</v>
      </c>
      <c r="O151" s="229" t="str">
        <f t="shared" si="139"/>
        <v>-</v>
      </c>
      <c r="P151" s="229">
        <f t="shared" si="139"/>
        <v>1</v>
      </c>
      <c r="Q151" s="229">
        <f t="shared" si="139"/>
        <v>4.9998999999999993</v>
      </c>
      <c r="R151" s="229">
        <f t="shared" si="139"/>
        <v>14.999699999999999</v>
      </c>
      <c r="S151" s="822"/>
    </row>
    <row r="152" spans="1:19" ht="13" x14ac:dyDescent="0.25">
      <c r="A152" s="1391"/>
      <c r="B152" s="794">
        <v>5</v>
      </c>
      <c r="C152" s="229">
        <f t="shared" ref="C152:H152" si="140">H32</f>
        <v>3000</v>
      </c>
      <c r="D152" s="229">
        <f t="shared" si="140"/>
        <v>-0.1</v>
      </c>
      <c r="E152" s="229">
        <f t="shared" si="140"/>
        <v>-0.1</v>
      </c>
      <c r="F152" s="229">
        <f t="shared" si="140"/>
        <v>-0.1</v>
      </c>
      <c r="G152" s="229">
        <f t="shared" si="140"/>
        <v>0</v>
      </c>
      <c r="H152" s="529">
        <f t="shared" si="140"/>
        <v>0.90002999999999989</v>
      </c>
      <c r="I152" s="530"/>
      <c r="J152" s="787"/>
      <c r="K152" s="1394"/>
      <c r="L152" s="794">
        <v>5</v>
      </c>
      <c r="M152" s="229">
        <f t="shared" ref="M152:R152" si="141">H40</f>
        <v>50000</v>
      </c>
      <c r="N152" s="229">
        <f t="shared" si="141"/>
        <v>-2</v>
      </c>
      <c r="O152" s="229">
        <f t="shared" si="141"/>
        <v>-2</v>
      </c>
      <c r="P152" s="229">
        <f t="shared" si="141"/>
        <v>-2</v>
      </c>
      <c r="Q152" s="229">
        <f t="shared" si="141"/>
        <v>0</v>
      </c>
      <c r="R152" s="229">
        <f t="shared" si="141"/>
        <v>15.000599999999999</v>
      </c>
      <c r="S152" s="817"/>
    </row>
    <row r="153" spans="1:19" ht="13" x14ac:dyDescent="0.25">
      <c r="A153" s="1391"/>
      <c r="B153" s="794">
        <v>6</v>
      </c>
      <c r="C153" s="229">
        <f>O$32</f>
        <v>3000</v>
      </c>
      <c r="D153" s="229">
        <f t="shared" ref="D153:H153" si="142">P$32</f>
        <v>-0.3</v>
      </c>
      <c r="E153" s="229">
        <f t="shared" si="142"/>
        <v>-0.1</v>
      </c>
      <c r="F153" s="229">
        <f t="shared" si="142"/>
        <v>-0.1</v>
      </c>
      <c r="G153" s="229">
        <f t="shared" si="142"/>
        <v>0</v>
      </c>
      <c r="H153" s="529">
        <f t="shared" si="142"/>
        <v>0.90008999999999995</v>
      </c>
      <c r="I153" s="530"/>
      <c r="J153" s="787"/>
      <c r="K153" s="1394"/>
      <c r="L153" s="794">
        <v>6</v>
      </c>
      <c r="M153" s="229">
        <f t="shared" ref="M153:R153" si="143">O$40</f>
        <v>50000</v>
      </c>
      <c r="N153" s="229">
        <f t="shared" si="143"/>
        <v>-2</v>
      </c>
      <c r="O153" s="229">
        <f t="shared" si="143"/>
        <v>0</v>
      </c>
      <c r="P153" s="229">
        <f t="shared" si="143"/>
        <v>-2</v>
      </c>
      <c r="Q153" s="229">
        <f t="shared" si="143"/>
        <v>1</v>
      </c>
      <c r="R153" s="229">
        <f t="shared" si="143"/>
        <v>15.000599999999999</v>
      </c>
      <c r="S153" s="822"/>
    </row>
    <row r="154" spans="1:19" ht="13" x14ac:dyDescent="0.25">
      <c r="A154" s="1391"/>
      <c r="B154" s="794">
        <v>7</v>
      </c>
      <c r="C154" s="229">
        <f>A$52</f>
        <v>3000</v>
      </c>
      <c r="D154" s="229">
        <f t="shared" ref="D154:H154" si="144">B$52</f>
        <v>-0.3</v>
      </c>
      <c r="E154" s="229">
        <f t="shared" si="144"/>
        <v>-0.2</v>
      </c>
      <c r="F154" s="229">
        <f t="shared" si="144"/>
        <v>-0.2</v>
      </c>
      <c r="G154" s="229">
        <f t="shared" si="144"/>
        <v>0</v>
      </c>
      <c r="H154" s="529">
        <f t="shared" si="144"/>
        <v>0.90008999999999995</v>
      </c>
      <c r="I154" s="530"/>
      <c r="J154" s="787"/>
      <c r="K154" s="1394"/>
      <c r="L154" s="794">
        <v>7</v>
      </c>
      <c r="M154" s="229">
        <f t="shared" ref="M154:R154" si="145">A$60</f>
        <v>50000</v>
      </c>
      <c r="N154" s="229">
        <f t="shared" si="145"/>
        <v>-3</v>
      </c>
      <c r="O154" s="229">
        <f t="shared" si="145"/>
        <v>-3</v>
      </c>
      <c r="P154" s="229">
        <f t="shared" si="145"/>
        <v>-3</v>
      </c>
      <c r="Q154" s="229">
        <f t="shared" si="145"/>
        <v>0</v>
      </c>
      <c r="R154" s="229">
        <f t="shared" si="145"/>
        <v>15.000899999999998</v>
      </c>
      <c r="S154" s="822"/>
    </row>
    <row r="155" spans="1:19" ht="13" x14ac:dyDescent="0.25">
      <c r="A155" s="1391"/>
      <c r="B155" s="794">
        <v>8</v>
      </c>
      <c r="C155" s="229">
        <f t="shared" ref="C155:H155" si="146">H52</f>
        <v>3000</v>
      </c>
      <c r="D155" s="229" t="str">
        <f t="shared" si="146"/>
        <v>-</v>
      </c>
      <c r="E155" s="229" t="str">
        <f t="shared" si="146"/>
        <v>-</v>
      </c>
      <c r="F155" s="229" t="str">
        <f t="shared" si="146"/>
        <v>-</v>
      </c>
      <c r="G155" s="229" t="str">
        <f t="shared" si="146"/>
        <v>-</v>
      </c>
      <c r="H155" s="529" t="str">
        <f t="shared" si="146"/>
        <v>-</v>
      </c>
      <c r="I155" s="530"/>
      <c r="J155" s="787"/>
      <c r="K155" s="1394"/>
      <c r="L155" s="794">
        <v>8</v>
      </c>
      <c r="M155" s="229">
        <f t="shared" ref="M155:R155" si="147">H60</f>
        <v>50000</v>
      </c>
      <c r="N155" s="229" t="str">
        <f t="shared" si="147"/>
        <v>-</v>
      </c>
      <c r="O155" s="229" t="str">
        <f t="shared" si="147"/>
        <v>-</v>
      </c>
      <c r="P155" s="229" t="str">
        <f t="shared" si="147"/>
        <v>-</v>
      </c>
      <c r="Q155" s="229" t="str">
        <f t="shared" si="147"/>
        <v>-</v>
      </c>
      <c r="R155" s="229" t="str">
        <f t="shared" si="147"/>
        <v>-</v>
      </c>
      <c r="S155" s="822"/>
    </row>
    <row r="156" spans="1:19" ht="13" x14ac:dyDescent="0.25">
      <c r="A156" s="1391"/>
      <c r="B156" s="794">
        <v>9</v>
      </c>
      <c r="C156" s="229">
        <f>A72</f>
        <v>3000</v>
      </c>
      <c r="D156" s="229" t="str">
        <f t="shared" ref="D156:H156" si="148">B72</f>
        <v>-</v>
      </c>
      <c r="E156" s="229" t="str">
        <f t="shared" si="148"/>
        <v>-</v>
      </c>
      <c r="F156" s="229" t="str">
        <f t="shared" si="148"/>
        <v>-</v>
      </c>
      <c r="G156" s="229" t="str">
        <f t="shared" si="148"/>
        <v>-</v>
      </c>
      <c r="H156" s="529" t="str">
        <f t="shared" si="148"/>
        <v>-</v>
      </c>
      <c r="I156" s="530"/>
      <c r="J156" s="787"/>
      <c r="K156" s="1394"/>
      <c r="L156" s="794">
        <v>9</v>
      </c>
      <c r="M156" s="229">
        <f t="shared" ref="M156:R156" si="149">A80</f>
        <v>50000</v>
      </c>
      <c r="N156" s="229" t="str">
        <f t="shared" si="149"/>
        <v>-</v>
      </c>
      <c r="O156" s="229" t="str">
        <f t="shared" si="149"/>
        <v>-</v>
      </c>
      <c r="P156" s="229" t="str">
        <f t="shared" si="149"/>
        <v>-</v>
      </c>
      <c r="Q156" s="229" t="str">
        <f t="shared" si="149"/>
        <v>-</v>
      </c>
      <c r="R156" s="229" t="str">
        <f t="shared" si="149"/>
        <v>-</v>
      </c>
      <c r="S156" s="822"/>
    </row>
    <row r="157" spans="1:19" ht="13.5" thickBot="1" x14ac:dyDescent="0.3">
      <c r="A157" s="1392"/>
      <c r="B157" s="795">
        <v>10</v>
      </c>
      <c r="C157" s="349">
        <f>H72</f>
        <v>3000</v>
      </c>
      <c r="D157" s="349" t="str">
        <f t="shared" ref="D157:H157" si="150">I72</f>
        <v>-</v>
      </c>
      <c r="E157" s="349" t="str">
        <f t="shared" si="150"/>
        <v>-</v>
      </c>
      <c r="F157" s="349" t="str">
        <f t="shared" si="150"/>
        <v>-</v>
      </c>
      <c r="G157" s="349" t="str">
        <f t="shared" si="150"/>
        <v>-</v>
      </c>
      <c r="H157" s="531" t="str">
        <f t="shared" si="150"/>
        <v>-</v>
      </c>
      <c r="I157" s="532"/>
      <c r="J157" s="787"/>
      <c r="K157" s="1394"/>
      <c r="L157" s="826">
        <v>10</v>
      </c>
      <c r="M157" s="427">
        <f t="shared" ref="M157:R157" si="151">H80</f>
        <v>50000</v>
      </c>
      <c r="N157" s="427" t="str">
        <f t="shared" si="151"/>
        <v>-</v>
      </c>
      <c r="O157" s="427" t="str">
        <f t="shared" si="151"/>
        <v>-</v>
      </c>
      <c r="P157" s="427" t="str">
        <f t="shared" si="151"/>
        <v>-</v>
      </c>
      <c r="Q157" s="427" t="str">
        <f t="shared" si="151"/>
        <v>-</v>
      </c>
      <c r="R157" s="427" t="str">
        <f t="shared" si="151"/>
        <v>-</v>
      </c>
      <c r="S157" s="827"/>
    </row>
    <row r="158" spans="1:19" ht="13" x14ac:dyDescent="0.25">
      <c r="A158" s="828"/>
      <c r="B158" s="797">
        <v>1</v>
      </c>
      <c r="C158" s="230">
        <f t="shared" ref="C158:H158" si="152">A13</f>
        <v>4000</v>
      </c>
      <c r="D158" s="230">
        <f t="shared" si="152"/>
        <v>0</v>
      </c>
      <c r="E158" s="230">
        <f t="shared" si="152"/>
        <v>0</v>
      </c>
      <c r="F158" s="230">
        <f t="shared" si="152"/>
        <v>9.9999999999999995E-7</v>
      </c>
      <c r="G158" s="230">
        <f t="shared" si="152"/>
        <v>4.9999999999999998E-7</v>
      </c>
      <c r="H158" s="533">
        <f t="shared" si="152"/>
        <v>1.2</v>
      </c>
      <c r="I158" s="534"/>
      <c r="J158" s="787"/>
      <c r="K158" s="1375" t="s">
        <v>318</v>
      </c>
      <c r="L158" s="797">
        <v>1</v>
      </c>
      <c r="M158" s="230">
        <f t="shared" ref="M158:R158" si="153">A21</f>
        <v>99000</v>
      </c>
      <c r="N158" s="230">
        <f t="shared" si="153"/>
        <v>2</v>
      </c>
      <c r="O158" s="230">
        <f t="shared" si="153"/>
        <v>0</v>
      </c>
      <c r="P158" s="230">
        <f t="shared" si="153"/>
        <v>9.9999999999999995E-7</v>
      </c>
      <c r="Q158" s="230">
        <f t="shared" si="153"/>
        <v>4.9999999999999998E-7</v>
      </c>
      <c r="R158" s="230">
        <f t="shared" si="153"/>
        <v>29.699999999999996</v>
      </c>
      <c r="S158" s="829"/>
    </row>
    <row r="159" spans="1:19" ht="13" x14ac:dyDescent="0.3">
      <c r="A159" s="830"/>
      <c r="B159" s="794">
        <v>2</v>
      </c>
      <c r="C159" s="229">
        <f t="shared" ref="C159:H159" si="154">H13</f>
        <v>4000</v>
      </c>
      <c r="D159" s="229" t="str">
        <f t="shared" si="154"/>
        <v>-</v>
      </c>
      <c r="E159" s="229">
        <f t="shared" si="154"/>
        <v>9.9999999999999995E-7</v>
      </c>
      <c r="F159" s="229">
        <f t="shared" si="154"/>
        <v>9.9999999999999995E-7</v>
      </c>
      <c r="G159" s="229">
        <f t="shared" si="154"/>
        <v>0</v>
      </c>
      <c r="H159" s="529">
        <f t="shared" si="154"/>
        <v>1.2</v>
      </c>
      <c r="I159" s="530"/>
      <c r="J159" s="787"/>
      <c r="K159" s="1376"/>
      <c r="L159" s="794">
        <v>2</v>
      </c>
      <c r="M159" s="428">
        <f t="shared" ref="M159:R159" si="155">H21</f>
        <v>95000</v>
      </c>
      <c r="N159" s="295" t="str">
        <f t="shared" si="155"/>
        <v>-</v>
      </c>
      <c r="O159" s="295">
        <f t="shared" si="155"/>
        <v>9.9999999999999995E-7</v>
      </c>
      <c r="P159" s="295" t="str">
        <f t="shared" si="155"/>
        <v>-</v>
      </c>
      <c r="Q159" s="295">
        <f t="shared" si="155"/>
        <v>9.4999999999999982</v>
      </c>
      <c r="R159" s="229">
        <f t="shared" si="155"/>
        <v>28.499999999999996</v>
      </c>
      <c r="S159" s="831"/>
    </row>
    <row r="160" spans="1:19" ht="13" x14ac:dyDescent="0.3">
      <c r="A160" s="830"/>
      <c r="B160" s="794">
        <v>3</v>
      </c>
      <c r="C160" s="229">
        <f t="shared" ref="C160:H160" si="156">O13</f>
        <v>4000</v>
      </c>
      <c r="D160" s="229">
        <f t="shared" si="156"/>
        <v>0</v>
      </c>
      <c r="E160" s="229">
        <f t="shared" si="156"/>
        <v>9.9999999999999995E-7</v>
      </c>
      <c r="F160" s="229">
        <f t="shared" si="156"/>
        <v>9.9999999999999995E-7</v>
      </c>
      <c r="G160" s="229">
        <f t="shared" si="156"/>
        <v>0</v>
      </c>
      <c r="H160" s="529">
        <f t="shared" si="156"/>
        <v>1.2</v>
      </c>
      <c r="I160" s="530"/>
      <c r="J160" s="787"/>
      <c r="K160" s="1376"/>
      <c r="L160" s="794">
        <v>3</v>
      </c>
      <c r="M160" s="428">
        <f t="shared" ref="M160:R160" si="157">O21</f>
        <v>95000</v>
      </c>
      <c r="N160" s="295">
        <f t="shared" si="157"/>
        <v>0</v>
      </c>
      <c r="O160" s="295">
        <f t="shared" si="157"/>
        <v>9.9999999999999995E-7</v>
      </c>
      <c r="P160" s="295">
        <f t="shared" si="157"/>
        <v>9.9999999999999995E-7</v>
      </c>
      <c r="Q160" s="295">
        <f t="shared" si="157"/>
        <v>0</v>
      </c>
      <c r="R160" s="229">
        <f t="shared" si="157"/>
        <v>28.499999999999996</v>
      </c>
      <c r="S160" s="831"/>
    </row>
    <row r="161" spans="1:27" ht="13" x14ac:dyDescent="0.3">
      <c r="A161" s="830"/>
      <c r="B161" s="794">
        <v>4</v>
      </c>
      <c r="C161" s="229">
        <f t="shared" ref="C161:H161" si="158">A33</f>
        <v>4000</v>
      </c>
      <c r="D161" s="229">
        <f t="shared" si="158"/>
        <v>1</v>
      </c>
      <c r="E161" s="229">
        <f t="shared" si="158"/>
        <v>1</v>
      </c>
      <c r="F161" s="229">
        <f t="shared" si="158"/>
        <v>1</v>
      </c>
      <c r="G161" s="229">
        <f t="shared" si="158"/>
        <v>0</v>
      </c>
      <c r="H161" s="529">
        <f t="shared" si="158"/>
        <v>1.1997</v>
      </c>
      <c r="I161" s="530"/>
      <c r="J161" s="787"/>
      <c r="K161" s="1376"/>
      <c r="L161" s="794">
        <v>4</v>
      </c>
      <c r="M161" s="428">
        <f t="shared" ref="M161:R161" si="159">A41</f>
        <v>99000</v>
      </c>
      <c r="N161" s="295">
        <f t="shared" si="159"/>
        <v>1</v>
      </c>
      <c r="O161" s="295" t="str">
        <f t="shared" si="159"/>
        <v>-</v>
      </c>
      <c r="P161" s="295" t="str">
        <f t="shared" si="159"/>
        <v>-</v>
      </c>
      <c r="Q161" s="295">
        <f t="shared" si="159"/>
        <v>9.8998999999999988</v>
      </c>
      <c r="R161" s="229">
        <f t="shared" si="159"/>
        <v>29.699699999999996</v>
      </c>
      <c r="S161" s="831"/>
    </row>
    <row r="162" spans="1:27" ht="13" x14ac:dyDescent="0.3">
      <c r="A162" s="830" t="s">
        <v>319</v>
      </c>
      <c r="B162" s="794">
        <v>5</v>
      </c>
      <c r="C162" s="229">
        <f t="shared" ref="C162:H162" si="160">H33</f>
        <v>4000</v>
      </c>
      <c r="D162" s="229">
        <f t="shared" si="160"/>
        <v>-0.2</v>
      </c>
      <c r="E162" s="229">
        <f t="shared" si="160"/>
        <v>-0.2</v>
      </c>
      <c r="F162" s="229">
        <f t="shared" si="160"/>
        <v>-0.2</v>
      </c>
      <c r="G162" s="229">
        <f t="shared" si="160"/>
        <v>0</v>
      </c>
      <c r="H162" s="529">
        <f t="shared" si="160"/>
        <v>1.2000599999999999</v>
      </c>
      <c r="I162" s="530"/>
      <c r="J162" s="787"/>
      <c r="K162" s="1376"/>
      <c r="L162" s="794">
        <v>5</v>
      </c>
      <c r="M162" s="428">
        <f t="shared" ref="M162:R162" si="161">H41</f>
        <v>99000</v>
      </c>
      <c r="N162" s="295">
        <f t="shared" si="161"/>
        <v>-5</v>
      </c>
      <c r="O162" s="295">
        <f t="shared" si="161"/>
        <v>-4</v>
      </c>
      <c r="P162" s="295">
        <f t="shared" si="161"/>
        <v>-4</v>
      </c>
      <c r="Q162" s="295">
        <f t="shared" si="161"/>
        <v>0</v>
      </c>
      <c r="R162" s="229">
        <f t="shared" si="161"/>
        <v>29.701499999999996</v>
      </c>
      <c r="S162" s="831"/>
    </row>
    <row r="163" spans="1:27" ht="13" x14ac:dyDescent="0.3">
      <c r="A163" s="830"/>
      <c r="B163" s="794">
        <v>6</v>
      </c>
      <c r="C163" s="229">
        <f>O$33</f>
        <v>4000</v>
      </c>
      <c r="D163" s="229">
        <f t="shared" ref="D163:H163" si="162">P$33</f>
        <v>-0.2</v>
      </c>
      <c r="E163" s="229">
        <f t="shared" si="162"/>
        <v>-0.2</v>
      </c>
      <c r="F163" s="229">
        <f t="shared" si="162"/>
        <v>-0.2</v>
      </c>
      <c r="G163" s="229">
        <f t="shared" si="162"/>
        <v>0</v>
      </c>
      <c r="H163" s="529">
        <f t="shared" si="162"/>
        <v>1.2000599999999999</v>
      </c>
      <c r="I163" s="530"/>
      <c r="J163" s="787"/>
      <c r="K163" s="1376"/>
      <c r="L163" s="794">
        <v>6</v>
      </c>
      <c r="M163" s="428">
        <f t="shared" ref="M163:R163" si="163">O$41</f>
        <v>99000</v>
      </c>
      <c r="N163" s="428">
        <f t="shared" si="163"/>
        <v>-6</v>
      </c>
      <c r="O163" s="428">
        <f t="shared" si="163"/>
        <v>-4</v>
      </c>
      <c r="P163" s="428">
        <f t="shared" si="163"/>
        <v>-3</v>
      </c>
      <c r="Q163" s="428">
        <f t="shared" si="163"/>
        <v>0.5</v>
      </c>
      <c r="R163" s="428">
        <f t="shared" si="163"/>
        <v>29.701799999999999</v>
      </c>
      <c r="S163" s="831"/>
    </row>
    <row r="164" spans="1:27" ht="13" x14ac:dyDescent="0.3">
      <c r="A164" s="830"/>
      <c r="B164" s="794">
        <v>7</v>
      </c>
      <c r="C164" s="229">
        <f>A$53</f>
        <v>4000</v>
      </c>
      <c r="D164" s="229">
        <f t="shared" ref="D164:H164" si="164">B$53</f>
        <v>-0.2</v>
      </c>
      <c r="E164" s="229">
        <f t="shared" si="164"/>
        <v>-0.3</v>
      </c>
      <c r="F164" s="229">
        <f t="shared" si="164"/>
        <v>-0.3</v>
      </c>
      <c r="G164" s="229">
        <f t="shared" si="164"/>
        <v>0</v>
      </c>
      <c r="H164" s="529">
        <f t="shared" si="164"/>
        <v>1.2000599999999999</v>
      </c>
      <c r="I164" s="530"/>
      <c r="J164" s="787"/>
      <c r="K164" s="1376"/>
      <c r="L164" s="794">
        <v>7</v>
      </c>
      <c r="M164" s="428">
        <f t="shared" ref="M164:R164" si="165">A$61</f>
        <v>99000</v>
      </c>
      <c r="N164" s="428">
        <f t="shared" si="165"/>
        <v>-12</v>
      </c>
      <c r="O164" s="428">
        <f t="shared" si="165"/>
        <v>-7</v>
      </c>
      <c r="P164" s="428">
        <f t="shared" si="165"/>
        <v>-6</v>
      </c>
      <c r="Q164" s="428">
        <f t="shared" si="165"/>
        <v>0.5</v>
      </c>
      <c r="R164" s="428">
        <f t="shared" si="165"/>
        <v>29.703599999999998</v>
      </c>
      <c r="S164" s="831"/>
    </row>
    <row r="165" spans="1:27" ht="13" x14ac:dyDescent="0.3">
      <c r="A165" s="830"/>
      <c r="B165" s="794">
        <v>8</v>
      </c>
      <c r="C165" s="229">
        <f t="shared" ref="C165:H165" si="166">H53</f>
        <v>4000</v>
      </c>
      <c r="D165" s="229" t="str">
        <f t="shared" si="166"/>
        <v>-</v>
      </c>
      <c r="E165" s="229" t="str">
        <f t="shared" si="166"/>
        <v>-</v>
      </c>
      <c r="F165" s="229" t="str">
        <f t="shared" si="166"/>
        <v>-</v>
      </c>
      <c r="G165" s="229" t="str">
        <f t="shared" si="166"/>
        <v>-</v>
      </c>
      <c r="H165" s="529" t="str">
        <f t="shared" si="166"/>
        <v>-</v>
      </c>
      <c r="I165" s="530"/>
      <c r="J165" s="787"/>
      <c r="K165" s="1376"/>
      <c r="L165" s="794">
        <v>8</v>
      </c>
      <c r="M165" s="428">
        <f t="shared" ref="M165:R165" si="167">H61</f>
        <v>99000</v>
      </c>
      <c r="N165" s="295" t="str">
        <f t="shared" si="167"/>
        <v>-</v>
      </c>
      <c r="O165" s="295" t="str">
        <f t="shared" si="167"/>
        <v>-</v>
      </c>
      <c r="P165" s="295" t="str">
        <f t="shared" si="167"/>
        <v>-</v>
      </c>
      <c r="Q165" s="295" t="str">
        <f t="shared" si="167"/>
        <v>-</v>
      </c>
      <c r="R165" s="229" t="str">
        <f t="shared" si="167"/>
        <v>-</v>
      </c>
      <c r="S165" s="831"/>
    </row>
    <row r="166" spans="1:27" ht="13" x14ac:dyDescent="0.3">
      <c r="A166" s="830"/>
      <c r="B166" s="794">
        <v>9</v>
      </c>
      <c r="C166" s="229">
        <f t="shared" ref="C166:H166" si="168">A73</f>
        <v>4000</v>
      </c>
      <c r="D166" s="229" t="str">
        <f t="shared" si="168"/>
        <v>-</v>
      </c>
      <c r="E166" s="229" t="str">
        <f t="shared" si="168"/>
        <v>-</v>
      </c>
      <c r="F166" s="229" t="str">
        <f t="shared" si="168"/>
        <v>-</v>
      </c>
      <c r="G166" s="229" t="str">
        <f t="shared" si="168"/>
        <v>-</v>
      </c>
      <c r="H166" s="529" t="str">
        <f t="shared" si="168"/>
        <v>-</v>
      </c>
      <c r="I166" s="530"/>
      <c r="J166" s="787"/>
      <c r="K166" s="1376"/>
      <c r="L166" s="794">
        <v>9</v>
      </c>
      <c r="M166" s="428">
        <f t="shared" ref="M166:R166" si="169">O61</f>
        <v>99000</v>
      </c>
      <c r="N166" s="295" t="str">
        <f t="shared" si="169"/>
        <v>-</v>
      </c>
      <c r="O166" s="295" t="str">
        <f t="shared" si="169"/>
        <v>-</v>
      </c>
      <c r="P166" s="295" t="str">
        <f t="shared" si="169"/>
        <v>-</v>
      </c>
      <c r="Q166" s="295" t="str">
        <f t="shared" si="169"/>
        <v>-</v>
      </c>
      <c r="R166" s="229" t="str">
        <f t="shared" si="169"/>
        <v>-</v>
      </c>
      <c r="S166" s="831"/>
    </row>
    <row r="167" spans="1:27" ht="13.5" thickBot="1" x14ac:dyDescent="0.35">
      <c r="A167" s="832"/>
      <c r="B167" s="795">
        <v>10</v>
      </c>
      <c r="C167" s="349">
        <f t="shared" ref="C167:H167" si="170">H73</f>
        <v>4000</v>
      </c>
      <c r="D167" s="349" t="str">
        <f t="shared" si="170"/>
        <v>-</v>
      </c>
      <c r="E167" s="349" t="str">
        <f t="shared" si="170"/>
        <v>-</v>
      </c>
      <c r="F167" s="349" t="str">
        <f t="shared" si="170"/>
        <v>-</v>
      </c>
      <c r="G167" s="349" t="str">
        <f t="shared" si="170"/>
        <v>-</v>
      </c>
      <c r="H167" s="531" t="str">
        <f t="shared" si="170"/>
        <v>-</v>
      </c>
      <c r="I167" s="532"/>
      <c r="J167" s="833"/>
      <c r="K167" s="1377"/>
      <c r="L167" s="795">
        <v>10</v>
      </c>
      <c r="M167" s="808">
        <f t="shared" ref="M167:R167" si="171">A81</f>
        <v>99000</v>
      </c>
      <c r="N167" s="354" t="str">
        <f t="shared" si="171"/>
        <v>-</v>
      </c>
      <c r="O167" s="354">
        <f t="shared" si="171"/>
        <v>0</v>
      </c>
      <c r="P167" s="354">
        <f t="shared" si="171"/>
        <v>0</v>
      </c>
      <c r="Q167" s="354">
        <f t="shared" si="171"/>
        <v>0</v>
      </c>
      <c r="R167" s="349">
        <f t="shared" si="171"/>
        <v>0</v>
      </c>
      <c r="S167" s="834"/>
    </row>
    <row r="168" spans="1:27" ht="13" x14ac:dyDescent="0.25">
      <c r="A168" s="231"/>
      <c r="B168" s="225"/>
      <c r="C168" s="627"/>
      <c r="D168" s="225"/>
      <c r="E168" s="225"/>
      <c r="F168" s="225"/>
      <c r="G168" s="225"/>
      <c r="H168" s="225"/>
      <c r="I168" s="225"/>
    </row>
    <row r="169" spans="1:27" ht="13" x14ac:dyDescent="0.3">
      <c r="A169" s="779" t="s">
        <v>320</v>
      </c>
      <c r="B169" s="686"/>
      <c r="C169" s="686"/>
      <c r="D169" s="686"/>
      <c r="E169" s="686"/>
      <c r="F169" s="686"/>
      <c r="G169" s="686"/>
      <c r="H169" s="686"/>
      <c r="I169" s="686"/>
      <c r="J169" s="686"/>
      <c r="K169" s="686"/>
      <c r="L169" s="4"/>
      <c r="M169" s="4"/>
      <c r="N169" s="4"/>
      <c r="O169" s="4"/>
      <c r="P169" s="4"/>
      <c r="Q169" s="719"/>
      <c r="R169" s="4"/>
      <c r="S169" s="4"/>
      <c r="T169" s="4"/>
    </row>
    <row r="170" spans="1:27" ht="28.5" customHeight="1" x14ac:dyDescent="0.25">
      <c r="A170" s="760">
        <f>A226</f>
        <v>7</v>
      </c>
      <c r="B170" s="1378" t="str">
        <f>A215</f>
        <v>Digital Tachometer, Merek : Krisbow, Model : KW06-563, SN : 180812206</v>
      </c>
      <c r="C170" s="1378"/>
      <c r="D170" s="1378"/>
      <c r="E170" s="1378"/>
      <c r="F170" s="1378"/>
      <c r="G170" s="1378"/>
      <c r="H170" s="835"/>
      <c r="I170" s="835"/>
      <c r="J170" s="835"/>
      <c r="K170" s="835"/>
      <c r="L170" s="835"/>
      <c r="M170" s="1379"/>
      <c r="N170" s="836"/>
      <c r="O170" s="836"/>
      <c r="P170" s="836"/>
      <c r="Q170" s="836"/>
      <c r="R170" s="4"/>
      <c r="S170" s="4"/>
      <c r="T170" s="4"/>
      <c r="AA170" s="756"/>
    </row>
    <row r="171" spans="1:27" ht="13.5" x14ac:dyDescent="0.25">
      <c r="A171" s="732" t="s">
        <v>191</v>
      </c>
      <c r="B171" s="1380" t="s">
        <v>298</v>
      </c>
      <c r="C171" s="1381"/>
      <c r="D171" s="1382"/>
      <c r="E171" s="1383" t="s">
        <v>321</v>
      </c>
      <c r="F171" s="1385" t="s">
        <v>294</v>
      </c>
      <c r="G171" s="1385"/>
      <c r="H171" s="1386" t="s">
        <v>295</v>
      </c>
      <c r="J171" s="835"/>
      <c r="M171" s="1379"/>
      <c r="N171" s="837"/>
      <c r="O171" s="837"/>
      <c r="P171" s="837"/>
      <c r="Q171" s="350"/>
      <c r="R171" s="4"/>
      <c r="S171" s="4"/>
      <c r="T171" s="4"/>
    </row>
    <row r="172" spans="1:27" ht="15" customHeight="1" x14ac:dyDescent="0.3">
      <c r="A172" s="619" t="s">
        <v>299</v>
      </c>
      <c r="B172" s="732">
        <f>VLOOKUP(B170,A216:M225,10,FALSE)</f>
        <v>2023</v>
      </c>
      <c r="C172" s="732">
        <f>VLOOKUP(B170,A216:M225,11,FALSE)</f>
        <v>2022</v>
      </c>
      <c r="D172" s="732">
        <f>VLOOKUP(B170,A216:M225,12,FALSE)</f>
        <v>2021</v>
      </c>
      <c r="E172" s="1384"/>
      <c r="F172" s="593"/>
      <c r="G172" s="838" t="s">
        <v>322</v>
      </c>
      <c r="H172" s="1386"/>
      <c r="J172" s="835"/>
      <c r="M172" s="839"/>
      <c r="N172" s="836"/>
      <c r="O172" s="836"/>
      <c r="P172" s="836"/>
      <c r="Q172" s="836"/>
      <c r="R172" s="686"/>
      <c r="S172" s="686"/>
      <c r="T172" s="686"/>
    </row>
    <row r="173" spans="1:27" ht="13" x14ac:dyDescent="0.3">
      <c r="A173" s="8">
        <f>VLOOKUP($A$170,$B$88:$H$97,2)</f>
        <v>0</v>
      </c>
      <c r="B173" s="8">
        <f>VLOOKUP($A$170,$B$88:$H$97,3,FALSE)</f>
        <v>0</v>
      </c>
      <c r="C173" s="8">
        <f>VLOOKUP($A$170,$B$88:$H$97,4,FALSE)</f>
        <v>0</v>
      </c>
      <c r="D173" s="8">
        <f>VLOOKUP($A$170,$B$88:$H$97,5,FALSE)</f>
        <v>9.9999999999999995E-7</v>
      </c>
      <c r="E173" s="295">
        <f t="shared" ref="E173:E185" si="172">IF(AND(B173="-",C173="-"),D173,IF(B173="-",C173,B173))</f>
        <v>0</v>
      </c>
      <c r="F173" s="410">
        <f>IFERROR(IF(OR(AND(B173="-",C173="-"),AND(B173="-",D173="-")),G173,0.5*(MAX(B173:D173)-MIN(B173:D173))),0)</f>
        <v>4.9999999999999998E-7</v>
      </c>
      <c r="G173" s="410">
        <f>1/3*H173</f>
        <v>0</v>
      </c>
      <c r="H173" s="8">
        <f>VLOOKUP($A$170,B88:H97,7,FALSE)</f>
        <v>0</v>
      </c>
      <c r="J173" s="835"/>
      <c r="M173" s="839"/>
      <c r="N173" s="836"/>
      <c r="O173" s="836"/>
      <c r="P173" s="836"/>
      <c r="Q173" s="836"/>
      <c r="R173" s="686"/>
      <c r="S173" s="686"/>
      <c r="T173" s="686"/>
    </row>
    <row r="174" spans="1:27" ht="13" x14ac:dyDescent="0.3">
      <c r="A174" s="8">
        <f>VLOOKUP($A$170,$B$98:$H$107,2)</f>
        <v>50</v>
      </c>
      <c r="B174" s="8">
        <f>VLOOKUP($A$170,$B$98:$H$107,3,FALSE)</f>
        <v>0</v>
      </c>
      <c r="C174" s="8">
        <f>VLOOKUP($A$170,$B$98:$H$107,4,FALSE)</f>
        <v>0</v>
      </c>
      <c r="D174" s="8">
        <f>VLOOKUP($A$170,$B$98:$H$107,5,FALSE)</f>
        <v>9.9999999999999995E-7</v>
      </c>
      <c r="E174" s="295">
        <f t="shared" si="172"/>
        <v>0</v>
      </c>
      <c r="F174" s="410">
        <f>IFERROR(IF(OR(AND(B174="-",C174="-"),AND(B174="-",D174="-")),G174,0.5*(MAX(B174:D174)-MIN(B174:D174))),0)</f>
        <v>4.9999999999999998E-7</v>
      </c>
      <c r="G174" s="410">
        <f>1/3*H174</f>
        <v>4.9999999999999992E-3</v>
      </c>
      <c r="H174" s="8">
        <f>VLOOKUP($A$170,$B$98:$H$107,7,FALSE)</f>
        <v>1.4999999999999999E-2</v>
      </c>
      <c r="J174" s="835"/>
      <c r="M174" s="839"/>
      <c r="N174" s="836"/>
      <c r="O174" s="836"/>
      <c r="P174" s="836"/>
      <c r="Q174" s="836"/>
      <c r="R174" s="686"/>
      <c r="S174" s="686"/>
      <c r="T174" s="686"/>
    </row>
    <row r="175" spans="1:27" ht="13" x14ac:dyDescent="0.3">
      <c r="A175" s="8">
        <f>VLOOKUP($A$170,$B$108:$H$117,2)</f>
        <v>100</v>
      </c>
      <c r="B175" s="8">
        <f>VLOOKUP($A$170,$B$108:$H$117,3,FALSE)</f>
        <v>0</v>
      </c>
      <c r="C175" s="8">
        <f>VLOOKUP($A$170,$B$108:$H$117,4,FALSE)</f>
        <v>0</v>
      </c>
      <c r="D175" s="8">
        <f>VLOOKUP($A$170,$B$108:$H$117,5,FALSE)</f>
        <v>9.9999999999999995E-7</v>
      </c>
      <c r="E175" s="295">
        <f t="shared" si="172"/>
        <v>0</v>
      </c>
      <c r="F175" s="410">
        <f t="shared" ref="F175:F188" si="173">IFERROR(IF(OR(AND(B175="-",C175="-"),AND(B175="-",D175="-")),G175,0.5*(MAX(B175:D175)-MIN(B175:D175))),0)</f>
        <v>4.9999999999999998E-7</v>
      </c>
      <c r="G175" s="410">
        <f t="shared" ref="G175:G188" si="174">1/3*H175</f>
        <v>9.9999999999999985E-3</v>
      </c>
      <c r="H175" s="8">
        <f>VLOOKUP($A$170,$B$108:$H$117,7,FALSE)</f>
        <v>0.03</v>
      </c>
      <c r="J175" s="835"/>
      <c r="M175" s="839"/>
      <c r="N175" s="836"/>
      <c r="O175" s="836"/>
      <c r="P175" s="836"/>
      <c r="Q175" s="836"/>
      <c r="R175" s="686"/>
      <c r="S175" s="686"/>
      <c r="T175" s="686"/>
    </row>
    <row r="176" spans="1:27" ht="13" x14ac:dyDescent="0.3">
      <c r="A176" s="8">
        <f>VLOOKUP($A$170,$B$118:$H$127,2)</f>
        <v>200</v>
      </c>
      <c r="B176" s="8">
        <f>VLOOKUP($A$170,$B$118:$H$127,3,FALSE)</f>
        <v>0</v>
      </c>
      <c r="C176" s="8">
        <f>VLOOKUP($A$170,$B$118:$H$127,4,FALSE)</f>
        <v>0</v>
      </c>
      <c r="D176" s="8">
        <f>VLOOKUP($A$170,$B$118:$H$127,5,FALSE)</f>
        <v>9.9999999999999995E-7</v>
      </c>
      <c r="E176" s="295">
        <f t="shared" si="172"/>
        <v>0</v>
      </c>
      <c r="F176" s="410">
        <f t="shared" si="173"/>
        <v>4.9999999999999998E-7</v>
      </c>
      <c r="G176" s="410">
        <f t="shared" si="174"/>
        <v>1.9999999999999997E-2</v>
      </c>
      <c r="H176" s="8">
        <f>VLOOKUP($A$170,$B$118:$H$127,7,FALSE)</f>
        <v>0.06</v>
      </c>
      <c r="J176" s="835"/>
      <c r="M176" s="839"/>
      <c r="N176" s="836"/>
      <c r="O176" s="836"/>
      <c r="P176" s="836"/>
      <c r="Q176" s="836"/>
      <c r="R176" s="686"/>
      <c r="S176" s="686"/>
      <c r="T176" s="686"/>
    </row>
    <row r="177" spans="1:20" ht="13" x14ac:dyDescent="0.3">
      <c r="A177" s="8">
        <f>VLOOKUP($A$170,$B$128:$H$137,2)</f>
        <v>1000</v>
      </c>
      <c r="B177" s="8">
        <f>VLOOKUP($A$170,$B$128:$H$137,3,FALSE)</f>
        <v>-0.1</v>
      </c>
      <c r="C177" s="8">
        <f>VLOOKUP($A$170,$B$128:$H$137,4,FALSE)</f>
        <v>-0.1</v>
      </c>
      <c r="D177" s="8">
        <f>VLOOKUP($A$170,$B$128:$H$137,5,FALSE)</f>
        <v>-0.1</v>
      </c>
      <c r="E177" s="295">
        <f t="shared" si="172"/>
        <v>-0.1</v>
      </c>
      <c r="F177" s="410">
        <f t="shared" si="173"/>
        <v>0</v>
      </c>
      <c r="G177" s="410">
        <f t="shared" si="174"/>
        <v>0.10000999999999999</v>
      </c>
      <c r="H177" s="8">
        <f>VLOOKUP($A$170,$B$128:$H$137,7,FALSE)</f>
        <v>0.30002999999999996</v>
      </c>
      <c r="J177" s="835"/>
      <c r="M177" s="839"/>
      <c r="N177" s="836"/>
      <c r="O177" s="836"/>
      <c r="P177" s="836"/>
      <c r="Q177" s="836"/>
      <c r="R177" s="686"/>
      <c r="S177" s="686"/>
      <c r="T177" s="686"/>
    </row>
    <row r="178" spans="1:20" ht="12.75" customHeight="1" x14ac:dyDescent="0.3">
      <c r="A178" s="8">
        <f>VLOOKUP($A$170,$B$138:$H$147,2)</f>
        <v>2000</v>
      </c>
      <c r="B178" s="8">
        <f>VLOOKUP($A$170,$B$138:$H$147,3,FALSE)</f>
        <v>-0.1</v>
      </c>
      <c r="C178" s="8">
        <f>VLOOKUP($A$170,$B$138:$H$147,4,FALSE)</f>
        <v>-0.1</v>
      </c>
      <c r="D178" s="8">
        <f>VLOOKUP($A$170,$B$138:$H$147,5,FALSE)</f>
        <v>-0.1</v>
      </c>
      <c r="E178" s="295">
        <f t="shared" si="172"/>
        <v>-0.1</v>
      </c>
      <c r="F178" s="410">
        <f t="shared" si="173"/>
        <v>0</v>
      </c>
      <c r="G178" s="410">
        <f t="shared" si="174"/>
        <v>0.20000999999999997</v>
      </c>
      <c r="H178" s="8">
        <f>VLOOKUP($A$170,$B$138:$H$147,7,FALSE)</f>
        <v>0.60002999999999995</v>
      </c>
      <c r="J178" s="835"/>
      <c r="M178" s="839"/>
      <c r="N178" s="836"/>
      <c r="O178" s="1374"/>
      <c r="P178" s="840"/>
      <c r="Q178" s="836"/>
      <c r="R178" s="686"/>
      <c r="S178" s="686"/>
      <c r="T178" s="686"/>
    </row>
    <row r="179" spans="1:20" ht="13" x14ac:dyDescent="0.3">
      <c r="A179" s="8">
        <f>VLOOKUP($A$170,$B$148:$H$157,2)</f>
        <v>3000</v>
      </c>
      <c r="B179" s="8">
        <f>VLOOKUP($A$170,$B$148:$H$157,3,FALSE)</f>
        <v>-0.3</v>
      </c>
      <c r="C179" s="8">
        <f>VLOOKUP($A$170,$B$148:$H$157,4,FALSE)</f>
        <v>-0.2</v>
      </c>
      <c r="D179" s="8">
        <f>VLOOKUP($A$170,$B$148:$H$157,5,FALSE)</f>
        <v>-0.2</v>
      </c>
      <c r="E179" s="295">
        <f t="shared" si="172"/>
        <v>-0.3</v>
      </c>
      <c r="F179" s="410">
        <f t="shared" si="173"/>
        <v>4.9999999999999989E-2</v>
      </c>
      <c r="G179" s="410">
        <f t="shared" si="174"/>
        <v>0.30002999999999996</v>
      </c>
      <c r="H179" s="8">
        <f>VLOOKUP($A$170,$B$148:$H$157,7,FALSE)</f>
        <v>0.90008999999999995</v>
      </c>
      <c r="J179" s="835"/>
      <c r="M179" s="839"/>
      <c r="N179" s="836"/>
      <c r="O179" s="1374"/>
      <c r="P179" s="840"/>
      <c r="Q179" s="350"/>
      <c r="R179" s="686"/>
      <c r="S179" s="686"/>
      <c r="T179" s="686"/>
    </row>
    <row r="180" spans="1:20" ht="13" x14ac:dyDescent="0.3">
      <c r="A180" s="8">
        <f>VLOOKUP($A$170,$B$158:$H$167,2)</f>
        <v>4000</v>
      </c>
      <c r="B180" s="8">
        <f>VLOOKUP($A$170,$B$158:$H$167,3,FALSE)</f>
        <v>-0.2</v>
      </c>
      <c r="C180" s="8">
        <f>VLOOKUP($A$170,$B$158:$H$167,4,FALSE)</f>
        <v>-0.3</v>
      </c>
      <c r="D180" s="8">
        <f>VLOOKUP($A$170,$B$158:$H$167,5,FALSE)</f>
        <v>-0.3</v>
      </c>
      <c r="E180" s="295">
        <f t="shared" si="172"/>
        <v>-0.2</v>
      </c>
      <c r="F180" s="410">
        <f t="shared" si="173"/>
        <v>4.9999999999999989E-2</v>
      </c>
      <c r="G180" s="410">
        <f t="shared" si="174"/>
        <v>0.40001999999999993</v>
      </c>
      <c r="H180" s="8">
        <f>VLOOKUP($A$170,$B$158:$H$167,7,FALSE)</f>
        <v>1.2000599999999999</v>
      </c>
      <c r="J180" s="835"/>
      <c r="M180" s="839"/>
      <c r="N180" s="836"/>
      <c r="O180" s="840"/>
      <c r="P180" s="840"/>
      <c r="Q180" s="350"/>
      <c r="R180" s="686"/>
      <c r="S180" s="686"/>
      <c r="T180" s="686"/>
    </row>
    <row r="181" spans="1:20" ht="13" x14ac:dyDescent="0.3">
      <c r="A181" s="8">
        <f>VLOOKUP($A$170,$L$88:$R$97,2)</f>
        <v>5000</v>
      </c>
      <c r="B181" s="8">
        <f>VLOOKUP($A$170,$L$88:$R$97,3,FALSE)</f>
        <v>-0.3</v>
      </c>
      <c r="C181" s="8">
        <f>VLOOKUP($A$170,$L$88:$R$97,4,FALSE)</f>
        <v>-0.4</v>
      </c>
      <c r="D181" s="8">
        <f>VLOOKUP($A$170,$L$88:$R$97,5,FALSE)</f>
        <v>-0.3</v>
      </c>
      <c r="E181" s="295">
        <f t="shared" si="172"/>
        <v>-0.3</v>
      </c>
      <c r="F181" s="410">
        <f t="shared" si="173"/>
        <v>5.0000000000000017E-2</v>
      </c>
      <c r="G181" s="410">
        <f t="shared" si="174"/>
        <v>0.50002999999999997</v>
      </c>
      <c r="H181" s="8">
        <f>VLOOKUP($A$170,$L$88:$R$97,7,FALSE)</f>
        <v>1.5000899999999999</v>
      </c>
      <c r="J181" s="835"/>
      <c r="M181" s="839"/>
      <c r="N181" s="836"/>
      <c r="O181" s="840"/>
      <c r="P181" s="840"/>
      <c r="Q181" s="350"/>
      <c r="R181" s="686"/>
    </row>
    <row r="182" spans="1:20" ht="13" x14ac:dyDescent="0.3">
      <c r="A182" s="8">
        <f>VLOOKUP($A$170,$L$98:$R$107,2)</f>
        <v>6000</v>
      </c>
      <c r="B182" s="8">
        <f>VLOOKUP($A$170,$L$98:$R$107,3,FALSE)</f>
        <v>-0.3</v>
      </c>
      <c r="C182" s="8">
        <f>VLOOKUP($A$170,$L$98:$R$107,4,FALSE)</f>
        <v>-0.4</v>
      </c>
      <c r="D182" s="8">
        <f>VLOOKUP($A$170,$L$98:$R$107,5,FALSE)</f>
        <v>-0.4</v>
      </c>
      <c r="E182" s="295">
        <f>IF(AND(B182="-",C182="-"),D182,IF(B182="-",C182,B182))</f>
        <v>-0.3</v>
      </c>
      <c r="F182" s="410">
        <f t="shared" si="173"/>
        <v>5.0000000000000017E-2</v>
      </c>
      <c r="G182" s="410">
        <f t="shared" si="174"/>
        <v>0.60002999999999995</v>
      </c>
      <c r="H182" s="8">
        <f>VLOOKUP($A$170,$L$98:$R$107,7,FALSE)</f>
        <v>1.80009</v>
      </c>
      <c r="J182" s="835"/>
      <c r="M182" s="839"/>
      <c r="N182" s="836"/>
      <c r="O182" s="840"/>
      <c r="P182" s="840"/>
      <c r="Q182" s="350"/>
      <c r="R182" s="686"/>
    </row>
    <row r="183" spans="1:20" ht="13" x14ac:dyDescent="0.3">
      <c r="A183" s="8">
        <f>VLOOKUP($A$170,$L$108:$R$117,2)</f>
        <v>7000</v>
      </c>
      <c r="B183" s="8">
        <f>VLOOKUP($A$170,$L$108:$R$117,3,FALSE)</f>
        <v>-0.2</v>
      </c>
      <c r="C183" s="8">
        <f>VLOOKUP($A$170,$L$108:$R$117,4,FALSE)</f>
        <v>-0.5</v>
      </c>
      <c r="D183" s="8">
        <f>VLOOKUP($A$170,$L$108:$R$117,5,FALSE)</f>
        <v>-0.5</v>
      </c>
      <c r="E183" s="295">
        <f t="shared" si="172"/>
        <v>-0.2</v>
      </c>
      <c r="F183" s="410">
        <f t="shared" si="173"/>
        <v>0.15</v>
      </c>
      <c r="G183" s="410">
        <f t="shared" si="174"/>
        <v>0.70001999999999986</v>
      </c>
      <c r="H183" s="8">
        <f>VLOOKUP($A$170,$L$108:$R$117,7,FALSE)</f>
        <v>2.1000599999999996</v>
      </c>
      <c r="J183" s="835"/>
      <c r="M183" s="839"/>
      <c r="N183" s="836"/>
      <c r="O183" s="836"/>
      <c r="P183" s="836"/>
      <c r="Q183" s="836"/>
      <c r="R183" s="686"/>
    </row>
    <row r="184" spans="1:20" ht="13" x14ac:dyDescent="0.3">
      <c r="A184" s="8">
        <f>VLOOKUP($A$170,$L$118:$R$127,2)</f>
        <v>8000</v>
      </c>
      <c r="B184" s="8">
        <f>VLOOKUP($A$170,$L$118:$R$127,3,FALSE)</f>
        <v>-0.4</v>
      </c>
      <c r="C184" s="8">
        <f>VLOOKUP($A$170,$L$118:$R$127,4,FALSE)</f>
        <v>-0.6</v>
      </c>
      <c r="D184" s="8" t="str">
        <f>VLOOKUP($A$170,$L$118:$R$127,5,FALSE)</f>
        <v>-</v>
      </c>
      <c r="E184" s="295">
        <f t="shared" si="172"/>
        <v>-0.4</v>
      </c>
      <c r="F184" s="410">
        <f t="shared" si="173"/>
        <v>9.9999999999999978E-2</v>
      </c>
      <c r="G184" s="410">
        <f t="shared" si="174"/>
        <v>0.80003999999999986</v>
      </c>
      <c r="H184" s="8">
        <f>VLOOKUP($A$170,$L$118:$R$127,7,FALSE)</f>
        <v>2.4001199999999998</v>
      </c>
      <c r="J184" s="835"/>
      <c r="M184" s="839"/>
      <c r="N184" s="836"/>
      <c r="O184" s="836"/>
      <c r="P184" s="836"/>
      <c r="Q184" s="836"/>
      <c r="R184" s="686"/>
    </row>
    <row r="185" spans="1:20" ht="13" x14ac:dyDescent="0.3">
      <c r="A185" s="8">
        <f>VLOOKUP($A$170,$L$128:$R$137,2)</f>
        <v>9000</v>
      </c>
      <c r="B185" s="8">
        <f>VLOOKUP($A$170,$L$128:$R$137,3,FALSE)</f>
        <v>-0.4</v>
      </c>
      <c r="C185" s="8">
        <f>VLOOKUP($A$170,$L$128:$R$137,4,FALSE)</f>
        <v>-0.7</v>
      </c>
      <c r="D185" s="8" t="str">
        <f>VLOOKUP($A$170,$L$128:$R$137,5,FALSE)</f>
        <v>-</v>
      </c>
      <c r="E185" s="295">
        <f t="shared" si="172"/>
        <v>-0.4</v>
      </c>
      <c r="F185" s="410">
        <f t="shared" si="173"/>
        <v>0.14999999999999997</v>
      </c>
      <c r="G185" s="410">
        <f>1/3*H185</f>
        <v>0.90003999999999984</v>
      </c>
      <c r="H185" s="8">
        <f>VLOOKUP($A$170,$L$128:$R$137,7,FALSE)</f>
        <v>2.7001199999999996</v>
      </c>
      <c r="J185" s="835"/>
      <c r="M185" s="839"/>
      <c r="N185" s="836"/>
      <c r="O185" s="836"/>
      <c r="P185" s="836"/>
      <c r="Q185" s="836"/>
      <c r="R185" s="686"/>
    </row>
    <row r="186" spans="1:20" ht="13" x14ac:dyDescent="0.3">
      <c r="A186" s="8">
        <f>VLOOKUP($A$170,$L$138:$R$147,2)</f>
        <v>10000</v>
      </c>
      <c r="B186" s="8">
        <f>VLOOKUP($A$170,$L$138:$R$147,3,FALSE)</f>
        <v>0</v>
      </c>
      <c r="C186" s="8">
        <f>VLOOKUP($A$170,$L$138:$R$147,4,FALSE)</f>
        <v>0</v>
      </c>
      <c r="D186" s="8">
        <f>VLOOKUP($A$170,$L$138:$R$147,5,FALSE)</f>
        <v>9.9999999999999995E-7</v>
      </c>
      <c r="E186" s="295">
        <f>IF(AND(B186="-",C186="-"),D186,IF(B186="-",C186,B186))</f>
        <v>0</v>
      </c>
      <c r="F186" s="410">
        <f t="shared" si="173"/>
        <v>4.9999999999999998E-7</v>
      </c>
      <c r="G186" s="410">
        <f t="shared" si="174"/>
        <v>0.99999999999999978</v>
      </c>
      <c r="H186" s="8">
        <f>VLOOKUP($A$170,$L$138:$R$147,7,FALSE)</f>
        <v>2.9999999999999996</v>
      </c>
      <c r="J186" s="835"/>
      <c r="M186" s="839"/>
      <c r="N186" s="836"/>
      <c r="O186" s="836"/>
      <c r="P186" s="836"/>
      <c r="Q186" s="836"/>
      <c r="R186" s="686"/>
      <c r="S186" s="686"/>
      <c r="T186" s="686"/>
    </row>
    <row r="187" spans="1:20" ht="13" x14ac:dyDescent="0.3">
      <c r="A187" s="8">
        <f>VLOOKUP($A$170,$L$148:$R$157,2)</f>
        <v>50000</v>
      </c>
      <c r="B187" s="8">
        <f>VLOOKUP($A$170,$L$148:$R$157,3,FALSE)</f>
        <v>-3</v>
      </c>
      <c r="C187" s="8">
        <f>VLOOKUP($A$170,$L$148:$R$157,4,FALSE)</f>
        <v>-3</v>
      </c>
      <c r="D187" s="8">
        <f>VLOOKUP($A$170,$L$148:$R$157,5,FALSE)</f>
        <v>-3</v>
      </c>
      <c r="E187" s="295">
        <f t="shared" ref="E187" si="175">IF(AND(B187="-",C187="-"),D187,IF(B187="-",C187,B187))</f>
        <v>-3</v>
      </c>
      <c r="F187" s="410">
        <f t="shared" si="173"/>
        <v>0</v>
      </c>
      <c r="G187" s="410">
        <f t="shared" si="174"/>
        <v>5.0002999999999993</v>
      </c>
      <c r="H187" s="8">
        <f>VLOOKUP($A$170,$L$148:$R$157,7,FALSE)</f>
        <v>15.000899999999998</v>
      </c>
      <c r="J187" s="835"/>
      <c r="M187" s="839"/>
      <c r="N187" s="836"/>
      <c r="O187" s="836"/>
      <c r="P187" s="836"/>
      <c r="Q187" s="836"/>
      <c r="R187" s="686"/>
      <c r="S187" s="686"/>
      <c r="T187" s="686"/>
    </row>
    <row r="188" spans="1:20" ht="13" x14ac:dyDescent="0.3">
      <c r="A188" s="8">
        <f>VLOOKUP($A$170,$L$158:$R$167,2)</f>
        <v>99000</v>
      </c>
      <c r="B188" s="8">
        <f>VLOOKUP($A$170,$L$158:$R$167,3,FALSE)</f>
        <v>-12</v>
      </c>
      <c r="C188" s="8">
        <f>VLOOKUP($A$170,$L$158:$R$167,4,FALSE)</f>
        <v>-7</v>
      </c>
      <c r="D188" s="8">
        <f>VLOOKUP($A$170,$L$158:$R$167,5,FALSE)</f>
        <v>-6</v>
      </c>
      <c r="E188" s="295">
        <f>IF(AND(B188="-",C188="-"),D188,IF(B188="-",C188,B188))</f>
        <v>-12</v>
      </c>
      <c r="F188" s="410">
        <f t="shared" si="173"/>
        <v>3</v>
      </c>
      <c r="G188" s="410">
        <f t="shared" si="174"/>
        <v>9.9011999999999993</v>
      </c>
      <c r="H188" s="8">
        <f>VLOOKUP($A$170,$L$158:$R$167,7,FALSE)</f>
        <v>29.703599999999998</v>
      </c>
      <c r="J188" s="835"/>
      <c r="M188" s="839"/>
      <c r="N188" s="836"/>
      <c r="O188" s="836"/>
      <c r="P188" s="836"/>
      <c r="Q188" s="836"/>
      <c r="R188" s="686"/>
      <c r="S188" s="686"/>
      <c r="T188" s="686"/>
    </row>
    <row r="189" spans="1:20" ht="13.5" thickBot="1" x14ac:dyDescent="0.35">
      <c r="A189" s="231"/>
      <c r="B189" s="225"/>
      <c r="C189" s="225"/>
      <c r="D189" s="225"/>
      <c r="E189" s="225"/>
      <c r="F189" s="225"/>
      <c r="G189" s="836"/>
      <c r="H189" s="351"/>
      <c r="I189" s="351"/>
      <c r="J189" s="351"/>
      <c r="K189" s="351"/>
      <c r="L189" s="351"/>
      <c r="M189" s="836"/>
      <c r="N189" s="836"/>
      <c r="O189" s="836"/>
      <c r="P189" s="836"/>
      <c r="Q189" s="836"/>
      <c r="R189" s="686"/>
      <c r="S189" s="686"/>
      <c r="T189" s="686"/>
    </row>
    <row r="190" spans="1:20" ht="15" x14ac:dyDescent="0.3">
      <c r="A190" s="1364" t="s">
        <v>323</v>
      </c>
      <c r="B190" s="1365"/>
      <c r="C190" s="1366"/>
      <c r="D190" s="1366"/>
      <c r="E190" s="1367"/>
      <c r="F190" s="740"/>
      <c r="G190" s="1368" t="s">
        <v>324</v>
      </c>
      <c r="H190" s="1369"/>
      <c r="I190" s="1369"/>
      <c r="J190" s="1369"/>
      <c r="K190" s="1370"/>
      <c r="L190" s="719"/>
      <c r="M190" s="1371"/>
      <c r="N190" s="1371"/>
      <c r="O190" s="1371"/>
      <c r="P190" s="1371"/>
      <c r="Q190" s="1371"/>
      <c r="S190" s="686"/>
      <c r="T190" s="686"/>
    </row>
    <row r="191" spans="1:20" ht="13" x14ac:dyDescent="0.3">
      <c r="A191" s="3"/>
      <c r="B191" s="535"/>
      <c r="C191" s="747">
        <f>IF(A192&lt;=$A$176,$A$173,IF(A192&lt;=$A$177,$A$176,IF(A192&lt;=$A$178,$A$177,IF(A192&lt;=$A$179,$A$178,IF(A192&lt;=$A$183,$A$179,IF(A192&lt;=$A$184,$A$183,IF(A192&lt;=$A$185,$A$184,IF(A192&lt;=$A$187,$A$185))))))))</f>
        <v>2000</v>
      </c>
      <c r="D191" s="747"/>
      <c r="E191" s="232">
        <f>IF(A192&lt;=$A$176,$C$173,IF(A192&lt;=$A$177,$C$176,IF(A192&lt;=$A$178,$C$177,IF(A192&lt;=$A$179,$C$178,IF(A192&lt;=$A$183,$C$179,IF(A192&lt;=$A$184,$C$183,IF(A192&lt;=$A$185,$C$184,IF(A192&lt;=$A$187,$C$185))))))))</f>
        <v>-0.1</v>
      </c>
      <c r="F191" s="719"/>
      <c r="G191" s="3"/>
      <c r="H191" s="747">
        <f>IF(G192&lt;=$A$176,$A$173,IF(G192&lt;=$A$177,$A$176,IF(G192&lt;=$A$178,$A$177,IF(G192&lt;=$A$179,$A$178,IF(G192&lt;=$A$183,$A$179,IF(G192&lt;=$A$184,$A$183,IF(G192&lt;=$A$185,$A$184,IF(G192&lt;=$A$187,$A$185))))))))</f>
        <v>2000</v>
      </c>
      <c r="I191" s="747"/>
      <c r="J191" s="747"/>
      <c r="K191" s="232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1" s="719"/>
      <c r="M191" s="4"/>
      <c r="N191" s="233"/>
      <c r="O191" s="233"/>
      <c r="P191" s="233"/>
      <c r="Q191" s="233"/>
      <c r="S191" s="686"/>
      <c r="T191" s="686"/>
    </row>
    <row r="192" spans="1:20" ht="13" x14ac:dyDescent="0.3">
      <c r="A192" s="3">
        <f>B209</f>
        <v>2121.65</v>
      </c>
      <c r="B192" s="535"/>
      <c r="C192" s="747"/>
      <c r="D192" s="747">
        <f>((A192-C191)/(C193-C191)*(E193-E191)+E191)</f>
        <v>-0.11216500000000001</v>
      </c>
      <c r="E192" s="232"/>
      <c r="F192" s="719"/>
      <c r="G192" s="3">
        <f>D209</f>
        <v>2121.763711498108</v>
      </c>
      <c r="H192" s="747"/>
      <c r="I192" s="747"/>
      <c r="J192" s="747" t="str">
        <f>IFERROR((G192-H191)/(H193-H191)*(K193-K191)+K191,"-")</f>
        <v>-</v>
      </c>
      <c r="K192" s="232"/>
      <c r="L192" s="719"/>
      <c r="M192" s="4"/>
      <c r="N192" s="233"/>
      <c r="O192" s="233"/>
      <c r="P192" s="233"/>
      <c r="Q192" s="233"/>
      <c r="S192" s="686"/>
      <c r="T192" s="686"/>
    </row>
    <row r="193" spans="1:20" ht="13.5" thickBot="1" x14ac:dyDescent="0.35">
      <c r="A193" s="3"/>
      <c r="B193" s="535"/>
      <c r="C193" s="747">
        <f>IF(A192&lt;=$A$176,$A$176,IF(A192&lt;=$A$177,$A$177,IF(A192&lt;=$A$178,$A$178,IF(A192&lt;=$A$179,$A$179,IF(A192&lt;=$A$183,$A$183,IF(A192&lt;=$A$184,$A$184,IF(A192&lt;=$A$185,$A$185,IF(A192&lt;=$A$187,$A$187))))))))</f>
        <v>3000</v>
      </c>
      <c r="D193" s="747"/>
      <c r="E193" s="232">
        <f>IF(A192&lt;=$A$176,$C$176,IF(A192&lt;=$A$177,$C$177,IF(A192&lt;=$A$178,$C$178,IF(A192&lt;=$A$179,$C$179,IF(A192&lt;=$A$183,$C$183,IF(A192&lt;=$A$184,$C$184,IF(A192&lt;=$A$185,$C$185,IF(A192&lt;=$A$187,$C$187))))))))</f>
        <v>-0.2</v>
      </c>
      <c r="F193" s="719"/>
      <c r="G193" s="3"/>
      <c r="H193" s="747">
        <f>IF(G192&lt;=$A$176,$A$176,IF(G192&lt;=$A$177,$A$177,IF(G192&lt;=$A$178,$A$178,IF(G192&lt;=$A$179,$A$179,IF(G192&lt;=$A$183,$A$183,IF(G192&lt;=$A$184,$A$184,IF(G192&lt;=$A$185,$A$185,IF(G192&lt;=$A$187,$A$187))))))))</f>
        <v>3000</v>
      </c>
      <c r="I193" s="747"/>
      <c r="J193" s="747"/>
      <c r="K193" s="232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3" s="719"/>
      <c r="M193" s="4"/>
      <c r="N193" s="233"/>
      <c r="O193" s="233"/>
      <c r="P193" s="233"/>
      <c r="Q193" s="233"/>
      <c r="S193" s="686"/>
      <c r="T193" s="686"/>
    </row>
    <row r="194" spans="1:20" ht="15" x14ac:dyDescent="0.3">
      <c r="A194" s="1364" t="s">
        <v>323</v>
      </c>
      <c r="B194" s="1365"/>
      <c r="C194" s="1366"/>
      <c r="D194" s="1366"/>
      <c r="E194" s="1367"/>
      <c r="F194" s="719"/>
      <c r="G194" s="1368" t="s">
        <v>324</v>
      </c>
      <c r="H194" s="1369"/>
      <c r="I194" s="1369"/>
      <c r="J194" s="1369"/>
      <c r="K194" s="1370"/>
      <c r="L194" s="719"/>
      <c r="M194" s="1371"/>
      <c r="N194" s="1371"/>
      <c r="O194" s="1371"/>
      <c r="P194" s="1371"/>
      <c r="Q194" s="1371"/>
      <c r="S194" s="686"/>
      <c r="T194" s="686"/>
    </row>
    <row r="195" spans="1:20" ht="13" x14ac:dyDescent="0.3">
      <c r="A195" s="3"/>
      <c r="B195" s="535"/>
      <c r="C195" s="747">
        <f>IF(A196&lt;=$A$176,$A$173,IF(A196&lt;=$A$177,$A$176,IF(A196&lt;=$A$178,$A$177,IF(A196&lt;=$A$179,$A$178,IF(A196&lt;=$A$183,$A$179,IF(A196&lt;=$A$184,$A$183,IF(A196&lt;=$A$185,$A$184,IF(A196&lt;=$A$187,$A$185))))))))</f>
        <v>3000</v>
      </c>
      <c r="D195" s="747"/>
      <c r="E195" s="232">
        <f>IF(A196&lt;=$A$176,$C$173,IF(A196&lt;=$A$177,$C$176,IF(A196&lt;=$A$178,$C$177,IF(A196&lt;=$A$179,$C$178,IF(A196&lt;=$A$183,$C$179,IF(A196&lt;=$A$184,$C$183,IF(A196&lt;=$A$185,$C$184,IF(A196&lt;=$A$187,$C$185))))))))</f>
        <v>-0.2</v>
      </c>
      <c r="F195" s="719"/>
      <c r="G195" s="3"/>
      <c r="H195" s="747">
        <f>IF(G196&lt;=$A$176,$A$173,IF(G196&lt;=$A$177,$A$176,IF(G196&lt;=$A$178,$A$177,IF(G196&lt;=$A$179,$A$178,IF(G196&lt;=$A$183,$A$179,IF(G196&lt;=$A$184,$A$183,IF(G196&lt;=$A$185,$A$184,IF(G196&lt;=$A$187,$A$185))))))))</f>
        <v>3000</v>
      </c>
      <c r="I195" s="747"/>
      <c r="J195" s="747"/>
      <c r="K195" s="232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5" s="719"/>
      <c r="M195" s="4"/>
      <c r="N195" s="233"/>
      <c r="O195" s="233"/>
      <c r="P195" s="233"/>
      <c r="Q195" s="233"/>
      <c r="S195" s="686"/>
      <c r="T195" s="686"/>
    </row>
    <row r="196" spans="1:20" ht="13" x14ac:dyDescent="0.3">
      <c r="A196" s="3">
        <f>B210</f>
        <v>4042.6499999999996</v>
      </c>
      <c r="B196" s="535"/>
      <c r="C196" s="747"/>
      <c r="D196" s="747">
        <f>((A196-C195)/(C197-C195)*(E197-E195)+E195)</f>
        <v>-0.27819874999999999</v>
      </c>
      <c r="E196" s="232"/>
      <c r="F196" s="719"/>
      <c r="G196" s="3">
        <f>D210</f>
        <v>4042.5481741702233</v>
      </c>
      <c r="H196" s="747"/>
      <c r="I196" s="747"/>
      <c r="J196" s="747" t="str">
        <f>IFERROR((G196-H195)/(H197-H195)*(K197-K195)+K195,"-")</f>
        <v>-</v>
      </c>
      <c r="K196" s="232"/>
      <c r="L196" s="719"/>
      <c r="M196" s="4"/>
      <c r="N196" s="233"/>
      <c r="O196" s="233"/>
      <c r="P196" s="233"/>
      <c r="Q196" s="233"/>
      <c r="S196" s="686"/>
      <c r="T196" s="686"/>
    </row>
    <row r="197" spans="1:20" ht="13.5" thickBot="1" x14ac:dyDescent="0.35">
      <c r="A197" s="3"/>
      <c r="B197" s="535"/>
      <c r="C197" s="747">
        <f>IF(A196&lt;=$A$176,$A$176,IF(A196&lt;=$A$177,$A$177,IF(A196&lt;=$A$178,$A$178,IF(A196&lt;=$A$179,$A$179,IF(A196&lt;=$A$183,$A$183,IF(A196&lt;=$A$184,$A$184,IF(A196&lt;=$A$185,$A$185,IF(A196&lt;=$A$187,$A$187))))))))</f>
        <v>7000</v>
      </c>
      <c r="D197" s="747"/>
      <c r="E197" s="232">
        <f>IF(A196&lt;=$A$176,$C$176,IF(A196&lt;=$A$177,$C$177,IF(A196&lt;=$A$178,$C$178,IF(A196&lt;=$A$179,$C$179,IF(A196&lt;=$A$183,$C$183,IF(A196&lt;=$A$184,$C$184,IF(A196&lt;=$A$185,$C$185,IF(A196&lt;=$A$187,$C$187))))))))</f>
        <v>-0.5</v>
      </c>
      <c r="F197" s="719"/>
      <c r="G197" s="3"/>
      <c r="H197" s="747">
        <f>IF(G196&lt;=$A$176,$A$176,IF(G196&lt;=$A$177,$A$177,IF(G196&lt;=$A$178,$A$178,IF(G196&lt;=$A$179,$A$179,IF(G196&lt;=$A$183,$A$183,IF(G196&lt;=$A$184,$A$184,IF(G196&lt;=$A$185,$A$185,IF(G196&lt;=$A$187,$A$187))))))))</f>
        <v>7000</v>
      </c>
      <c r="I197" s="747"/>
      <c r="J197" s="747"/>
      <c r="K197" s="232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7" s="719"/>
      <c r="N197" s="233"/>
      <c r="O197" s="233"/>
      <c r="P197" s="233"/>
      <c r="Q197" s="233"/>
      <c r="S197" s="686"/>
      <c r="T197" s="686"/>
    </row>
    <row r="198" spans="1:20" ht="15" x14ac:dyDescent="0.3">
      <c r="A198" s="1364" t="s">
        <v>323</v>
      </c>
      <c r="B198" s="1365"/>
      <c r="C198" s="1366"/>
      <c r="D198" s="1366"/>
      <c r="E198" s="1367"/>
      <c r="F198" s="719"/>
      <c r="G198" s="1368" t="s">
        <v>324</v>
      </c>
      <c r="H198" s="1369"/>
      <c r="I198" s="1369"/>
      <c r="J198" s="1369"/>
      <c r="K198" s="1370"/>
      <c r="L198" s="719"/>
      <c r="N198" s="763"/>
      <c r="O198" s="763"/>
      <c r="P198" s="763"/>
      <c r="Q198" s="763"/>
      <c r="S198" s="686"/>
      <c r="T198" s="686"/>
    </row>
    <row r="199" spans="1:20" ht="15" x14ac:dyDescent="0.3">
      <c r="A199" s="3"/>
      <c r="B199" s="535"/>
      <c r="C199" s="747">
        <f>IF(A200&lt;=$A$176,$A$173,IF(A200&lt;=$A$177,$A$176,IF(A200&lt;=$A$178,$A$177,IF(A200&lt;=$A$179,$A$178,IF(A200&lt;=$A$183,$A$179,IF(A200&lt;=$A$184,$A$183,IF(A200&lt;=$A$185,$A$184,IF(A200&lt;=$A$187,$A$185))))))))</f>
        <v>7000</v>
      </c>
      <c r="D199" s="747"/>
      <c r="E199" s="232">
        <f>IF(A200&lt;=$A$176,$C$173,IF(A200&lt;=$A$177,$C$176,IF(A200&lt;=$A$178,$C$177,IF(A200&lt;=$A$179,$C$178,IF(A200&lt;=$A$183,$C$179,IF(A200&lt;=$A$184,$C$183,IF(A200&lt;=$A$185,$C$184,IF(A200&lt;=$A$187,$C$185))))))))</f>
        <v>-0.5</v>
      </c>
      <c r="F199" s="719"/>
      <c r="G199" s="3"/>
      <c r="H199" s="747">
        <f>IF(G200&lt;=$A$176,$A$173,IF(G200&lt;=$A$177,$A$176,IF(G200&lt;=$A$178,$A$177,IF(G200&lt;=$A$179,$A$178,IF(G200&lt;=$A$183,$A$179,IF(G200&lt;=$A$184,$A$183,IF(G200&lt;=$A$185,$A$184,IF(G200&lt;=$A$187,$A$185))))))))</f>
        <v>7000</v>
      </c>
      <c r="I199" s="747"/>
      <c r="J199" s="747"/>
      <c r="K199" s="232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199" s="719"/>
      <c r="N199" s="763"/>
      <c r="O199" s="763"/>
      <c r="P199" s="763"/>
      <c r="Q199" s="763"/>
      <c r="S199" s="686"/>
      <c r="T199" s="686"/>
    </row>
    <row r="200" spans="1:20" ht="15" x14ac:dyDescent="0.3">
      <c r="A200" s="3">
        <f>B211</f>
        <v>7214.5999999999995</v>
      </c>
      <c r="B200" s="535"/>
      <c r="C200" s="747"/>
      <c r="D200" s="747">
        <f>((A200-C199)/(C201-C199)*(E201-E199)+E199)</f>
        <v>-0.52145999999999992</v>
      </c>
      <c r="E200" s="232"/>
      <c r="F200" s="719"/>
      <c r="G200" s="3">
        <f>D211</f>
        <v>7214.1422795178642</v>
      </c>
      <c r="H200" s="747"/>
      <c r="I200" s="747"/>
      <c r="J200" s="747" t="str">
        <f>IFERROR((G200-H199)/(H201-H199)*(K201-K199)+K199,"-")</f>
        <v>-</v>
      </c>
      <c r="K200" s="232"/>
      <c r="L200" s="719"/>
      <c r="N200" s="763"/>
      <c r="O200" s="763"/>
      <c r="P200" s="763"/>
      <c r="Q200" s="763"/>
      <c r="S200" s="686"/>
      <c r="T200" s="686"/>
    </row>
    <row r="201" spans="1:20" ht="15.5" thickBot="1" x14ac:dyDescent="0.35">
      <c r="A201" s="3"/>
      <c r="B201" s="535"/>
      <c r="C201" s="747">
        <f>IF(A200&lt;=$A$176,$A$176,IF(A200&lt;=$A$177,$A$177,IF(A200&lt;=$A$178,$A$178,IF(A200&lt;=$A$179,$A$179,IF(A200&lt;=$A$183,$A$183,IF(A200&lt;=$A$184,$A$184,IF(A200&lt;=$A$185,$A$185,IF(A200&lt;=$A$187,$A$187))))))))</f>
        <v>8000</v>
      </c>
      <c r="D201" s="747"/>
      <c r="E201" s="232">
        <f>IF(A200&lt;=$A$176,$C$176,IF(A200&lt;=$A$177,$C$177,IF(A200&lt;=$A$178,$C$178,IF(A200&lt;=$A$179,$C$179,IF(A200&lt;=$A$183,$C$183,IF(A200&lt;=$A$184,$C$184,IF(A200&lt;=$A$185,$C$185,IF(A200&lt;=$A$187,$C$187))))))))</f>
        <v>-0.6</v>
      </c>
      <c r="F201" s="719"/>
      <c r="G201" s="3"/>
      <c r="H201" s="747">
        <f>IF(G200&lt;=$A$176,$A$176,IF(G200&lt;=$A$177,$A$177,IF(G200&lt;=$A$178,$A$178,IF(G200&lt;=$A$179,$A$179,IF(G200&lt;=$A$183,$A$183,IF(G200&lt;=$A$184,$A$184,IF(G200&lt;=$A$185,$A$185,IF(G200&lt;=$A$187,$A$187))))))))</f>
        <v>8000</v>
      </c>
      <c r="I201" s="747"/>
      <c r="J201" s="747"/>
      <c r="K201" s="232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201" s="719"/>
      <c r="M201" s="1371"/>
      <c r="N201" s="1371"/>
      <c r="O201" s="1371"/>
      <c r="P201" s="1371"/>
      <c r="Q201" s="1371"/>
      <c r="S201" s="686"/>
      <c r="T201" s="686"/>
    </row>
    <row r="202" spans="1:20" ht="15" x14ac:dyDescent="0.3">
      <c r="A202" s="1364" t="s">
        <v>323</v>
      </c>
      <c r="B202" s="1365"/>
      <c r="C202" s="1366"/>
      <c r="D202" s="1366"/>
      <c r="E202" s="1367"/>
      <c r="F202" s="740"/>
      <c r="G202" s="1368" t="s">
        <v>324</v>
      </c>
      <c r="H202" s="1369"/>
      <c r="I202" s="1369"/>
      <c r="J202" s="1369"/>
      <c r="K202" s="1370"/>
      <c r="L202" s="719"/>
      <c r="M202" s="4"/>
      <c r="N202" s="233"/>
      <c r="O202" s="233"/>
      <c r="P202" s="233"/>
      <c r="Q202" s="233"/>
      <c r="S202" s="686"/>
      <c r="T202" s="686"/>
    </row>
    <row r="203" spans="1:20" ht="13" x14ac:dyDescent="0.3">
      <c r="A203" s="3"/>
      <c r="B203" s="535"/>
      <c r="C203" s="747">
        <f>IF(A204&lt;=$A$176,$A$173,IF(A204&lt;=$A$177,$A$176,IF(A204&lt;=$A$178,$A$177,IF(A204&lt;=$A$179,$A$178,IF(A204&lt;=$A$183,$A$179,IF(A204&lt;=$A$184,$A$183,IF(A204&lt;=$A$185,$A$184,IF(A204&lt;=$A$187,$A$185))))))))</f>
        <v>9000</v>
      </c>
      <c r="D203" s="747"/>
      <c r="E203" s="232">
        <f>IF(A204&lt;=$A$176,$C$173,IF(A204&lt;=$A$177,$C$176,IF(A204&lt;=$A$178,$C$177,IF(A204&lt;=$A$179,$C$178,IF(A204&lt;=$A$183,$C$179,IF(A204&lt;=$A$184,$C$183,IF(A204&lt;=$A$185,$C$184,IF(A204&lt;=$A$187,$C$185))))))))</f>
        <v>-0.7</v>
      </c>
      <c r="F203" s="719"/>
      <c r="G203" s="3"/>
      <c r="H203" s="747">
        <f>IF(G204&lt;=$A$176,$A$173,IF(G204&lt;=$A$177,$A$176,IF(G204&lt;=$A$178,$A$177,IF(G204&lt;=$A$179,$A$178,IF(G204&lt;=$A$183,$A$179,IF(G204&lt;=$A$184,$A$183,IF(G204&lt;=$A$185,$A$184,IF(G204&lt;=$A$187,$A$185))))))))</f>
        <v>9000</v>
      </c>
      <c r="I203" s="747"/>
      <c r="J203" s="747"/>
      <c r="K203" s="232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3" s="719"/>
      <c r="M203" s="4"/>
      <c r="N203" s="233"/>
      <c r="O203" s="233"/>
      <c r="P203" s="233"/>
      <c r="Q203" s="233"/>
      <c r="S203" s="686"/>
      <c r="T203" s="686"/>
    </row>
    <row r="204" spans="1:20" ht="13" x14ac:dyDescent="0.3">
      <c r="A204" s="3">
        <f>B212</f>
        <v>9363.8333333333339</v>
      </c>
      <c r="B204" s="535"/>
      <c r="C204" s="747"/>
      <c r="D204" s="747">
        <f>((A204-C203)/(C205-C203)*(E205-E203)+E203)</f>
        <v>-0.72041016260162605</v>
      </c>
      <c r="E204" s="232"/>
      <c r="F204" s="719"/>
      <c r="G204" s="3">
        <f>D212</f>
        <v>9363.1344676093104</v>
      </c>
      <c r="H204" s="747"/>
      <c r="I204" s="747"/>
      <c r="J204" s="747" t="str">
        <f>IFERROR((G204-H203)/(H205-H203)*(K205-K203)+K203,"-")</f>
        <v>-</v>
      </c>
      <c r="K204" s="232"/>
      <c r="L204" s="719"/>
      <c r="M204" s="4"/>
      <c r="N204" s="233"/>
      <c r="O204" s="233"/>
      <c r="P204" s="233"/>
      <c r="Q204" s="233"/>
      <c r="S204" s="686"/>
      <c r="T204" s="686"/>
    </row>
    <row r="205" spans="1:20" ht="13.5" thickBot="1" x14ac:dyDescent="0.35">
      <c r="A205" s="841"/>
      <c r="B205" s="842"/>
      <c r="C205" s="843">
        <f>IF(A204&lt;=$A$176,$A$176,IF(A204&lt;=$A$177,$A$177,IF(A204&lt;=$A$178,$A$178,IF(A204&lt;=$A$179,$A$179,IF(A204&lt;=$A$183,$A$183,IF(A204&lt;=$A$184,$A$184,IF(A204&lt;=$A$185,$A$185,IF(A204&lt;=$A$187,$A$187))))))))</f>
        <v>50000</v>
      </c>
      <c r="D205" s="843"/>
      <c r="E205" s="234">
        <f>IF(A204&lt;=$A$176,$C$176,IF(A204&lt;=$A$177,$C$177,IF(A204&lt;=$A$178,$C$178,IF(A204&lt;=$A$179,$C$179,IF(A204&lt;=$A$183,$C$183,IF(A204&lt;=$A$184,$C$184,IF(A204&lt;=$A$185,$C$185,IF(A204&lt;=$A$187,$C$187))))))))</f>
        <v>-3</v>
      </c>
      <c r="F205" s="719"/>
      <c r="G205" s="841"/>
      <c r="H205" s="843">
        <f>IF(G204&lt;=$A$176,$A$176,IF(G204&lt;=$A$177,$A$177,IF(G204&lt;=$A$178,$A$178,IF(G204&lt;=$A$179,$A$179,IF(G204&lt;=$A$183,$A$183,IF(G204&lt;=$A$184,$A$184,IF(G204&lt;=$A$185,$A$185,IF(G204&lt;=$A$187,$A$187))))))))</f>
        <v>50000</v>
      </c>
      <c r="I205" s="843"/>
      <c r="J205" s="843"/>
      <c r="K205" s="234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5" s="719"/>
      <c r="M205" s="4"/>
      <c r="N205" s="233"/>
      <c r="O205" s="233"/>
      <c r="P205" s="233"/>
      <c r="Q205" s="233"/>
      <c r="S205" s="686"/>
      <c r="T205" s="686"/>
    </row>
    <row r="206" spans="1:20" ht="13" x14ac:dyDescent="0.3">
      <c r="A206" s="844"/>
      <c r="B206" s="4"/>
      <c r="C206" s="233"/>
      <c r="D206" s="233"/>
      <c r="E206" s="233"/>
      <c r="F206" s="719"/>
      <c r="G206" s="4"/>
      <c r="H206" s="233"/>
      <c r="I206" s="233"/>
      <c r="J206" s="233"/>
      <c r="K206" s="233"/>
      <c r="L206" s="719"/>
      <c r="M206" s="4"/>
      <c r="N206" s="233"/>
      <c r="O206" s="233"/>
      <c r="P206" s="233"/>
      <c r="Q206" s="233"/>
      <c r="S206" s="686"/>
      <c r="T206" s="686"/>
    </row>
    <row r="207" spans="1:20" ht="13.5" thickBot="1" x14ac:dyDescent="0.35">
      <c r="A207" s="740"/>
      <c r="B207" s="719"/>
      <c r="C207" s="719"/>
      <c r="D207" s="719"/>
      <c r="E207" s="719"/>
      <c r="F207" s="719"/>
      <c r="G207" s="719"/>
      <c r="H207" s="719"/>
      <c r="I207" s="719"/>
      <c r="J207" s="719"/>
      <c r="K207" s="719"/>
      <c r="L207" s="719"/>
      <c r="N207" s="603"/>
      <c r="O207" s="603"/>
      <c r="P207" s="603"/>
      <c r="S207" s="686"/>
      <c r="T207" s="686"/>
    </row>
    <row r="208" spans="1:20" ht="48.75" customHeight="1" thickBot="1" x14ac:dyDescent="0.3">
      <c r="A208" s="845" t="s">
        <v>92</v>
      </c>
      <c r="B208" s="846" t="s">
        <v>325</v>
      </c>
      <c r="C208" s="847" t="s">
        <v>326</v>
      </c>
      <c r="D208" s="848" t="s">
        <v>327</v>
      </c>
      <c r="E208" s="848" t="s">
        <v>328</v>
      </c>
      <c r="F208" s="848" t="s">
        <v>329</v>
      </c>
      <c r="G208" s="846" t="s">
        <v>330</v>
      </c>
      <c r="H208" s="849" t="s">
        <v>154</v>
      </c>
      <c r="I208" s="850" t="s">
        <v>331</v>
      </c>
      <c r="J208" s="848" t="s">
        <v>150</v>
      </c>
      <c r="K208" s="847" t="s">
        <v>332</v>
      </c>
      <c r="L208" s="847" t="s">
        <v>333</v>
      </c>
      <c r="M208" s="851" t="s">
        <v>334</v>
      </c>
      <c r="N208" s="852"/>
    </row>
    <row r="209" spans="1:30" ht="13.5" thickBot="1" x14ac:dyDescent="0.3">
      <c r="A209" s="853">
        <f>ID!D36</f>
        <v>2</v>
      </c>
      <c r="B209" s="854">
        <f>AVERAGE(ID!F36:K36)</f>
        <v>2121.65</v>
      </c>
      <c r="C209" s="355">
        <f>FORECAST(B209,$E$173:$E$188,$A$173:$A$188)</f>
        <v>0.11371149810783274</v>
      </c>
      <c r="D209" s="355">
        <f>B209+C209</f>
        <v>2121.763711498108</v>
      </c>
      <c r="E209" s="1042">
        <f>IFERROR(STDEV(ID!F36:K36),0)</f>
        <v>0.38340579025351668</v>
      </c>
      <c r="F209" s="355">
        <f>A209-D209</f>
        <v>-2119.763711498108</v>
      </c>
      <c r="G209" s="355">
        <f>(F209/A209)*100</f>
        <v>-105988.18557490539</v>
      </c>
      <c r="H209" s="355">
        <f>D209-A209</f>
        <v>2119.763711498108</v>
      </c>
      <c r="I209" s="429">
        <f>(D209-A209)/A209*100</f>
        <v>105988.18557490539</v>
      </c>
      <c r="J209" s="430">
        <f>E209/D209*100</f>
        <v>1.8070145519776395E-2</v>
      </c>
      <c r="K209" s="356">
        <f>FORECAST(D209,$H$173:$H$188,$A$173:$A$188)</f>
        <v>0.63649500382754931</v>
      </c>
      <c r="L209" s="1372" t="s">
        <v>128</v>
      </c>
      <c r="M209" s="449">
        <f>FORECAST(D209,$F$173:$F$188,$A$173:$A$188)</f>
        <v>-4.465418110949991E-2</v>
      </c>
      <c r="N209" s="536"/>
    </row>
    <row r="210" spans="1:30" ht="13.5" thickBot="1" x14ac:dyDescent="0.3">
      <c r="A210" s="853">
        <f>ID!D37</f>
        <v>4</v>
      </c>
      <c r="B210" s="854">
        <f>AVERAGE(ID!F37:K37)</f>
        <v>4042.6499999999996</v>
      </c>
      <c r="C210" s="355">
        <f t="shared" ref="C210:C211" si="176">FORECAST(B210,$E$173:$E$188,$A$173:$A$188)</f>
        <v>-0.1018258297763337</v>
      </c>
      <c r="D210" s="212">
        <f>B210+C210</f>
        <v>4042.5481741702233</v>
      </c>
      <c r="E210" s="1042">
        <f>IFERROR(STDEV(ID!F37:K37),0)</f>
        <v>0.60249481325563292</v>
      </c>
      <c r="F210" s="212">
        <f>A210-D210</f>
        <v>-4038.5481741702233</v>
      </c>
      <c r="G210" s="212">
        <f>(F210/A210)*100</f>
        <v>-100963.70435425558</v>
      </c>
      <c r="H210" s="212">
        <f>D210-A210</f>
        <v>4038.5481741702233</v>
      </c>
      <c r="I210" s="1043">
        <f>(D210-A210)/A210*100</f>
        <v>100963.70435425558</v>
      </c>
      <c r="J210" s="431">
        <f t="shared" ref="J210:J212" si="177">E210/D210*100</f>
        <v>1.490383756228957E-2</v>
      </c>
      <c r="K210" s="356">
        <f t="shared" ref="K210:K211" si="178">FORECAST(D210,$H$173:$H$188,$A$173:$A$188)</f>
        <v>1.2127949965725247</v>
      </c>
      <c r="L210" s="1372"/>
      <c r="M210" s="449">
        <f t="shared" ref="M210:M211" si="179">FORECAST(D210,$F$173:$F$188,$A$173:$A$188)</f>
        <v>3.9789127109807199E-3</v>
      </c>
      <c r="N210" s="536"/>
    </row>
    <row r="211" spans="1:30" ht="13.5" thickBot="1" x14ac:dyDescent="0.3">
      <c r="A211" s="853">
        <f>ID!D38</f>
        <v>7</v>
      </c>
      <c r="B211" s="854">
        <f>AVERAGE(ID!F38:K38)</f>
        <v>7214.5999999999995</v>
      </c>
      <c r="C211" s="355">
        <f t="shared" si="176"/>
        <v>-0.45772048213561622</v>
      </c>
      <c r="D211" s="212">
        <f>B211+C211</f>
        <v>7214.1422795178642</v>
      </c>
      <c r="E211" s="1042">
        <f>IFERROR(STDEV(ID!F38:K38),0)</f>
        <v>0.65726706900609977</v>
      </c>
      <c r="F211" s="212">
        <f>A211-D211</f>
        <v>-7207.1422795178642</v>
      </c>
      <c r="G211" s="212">
        <f>(F211/A211)*100</f>
        <v>-102959.17542168377</v>
      </c>
      <c r="H211" s="212">
        <f>D211-A211</f>
        <v>7207.1422795178642</v>
      </c>
      <c r="I211" s="1043">
        <f>(D211-A211)/A211*100</f>
        <v>102959.17542168377</v>
      </c>
      <c r="J211" s="431">
        <f t="shared" si="177"/>
        <v>9.1108137813165815E-3</v>
      </c>
      <c r="K211" s="356">
        <f t="shared" si="178"/>
        <v>2.1643799845930478</v>
      </c>
      <c r="L211" s="1372"/>
      <c r="M211" s="449">
        <f t="shared" si="179"/>
        <v>8.428174558129492E-2</v>
      </c>
      <c r="N211" s="536"/>
    </row>
    <row r="212" spans="1:30" ht="13.5" thickBot="1" x14ac:dyDescent="0.3">
      <c r="A212" s="853">
        <f>ID!D39</f>
        <v>9</v>
      </c>
      <c r="B212" s="854">
        <f>AVERAGE(ID!F39:K39)</f>
        <v>9363.8333333333339</v>
      </c>
      <c r="C212" s="355">
        <f>FORECAST(B212,$E$173:$E$188,$A$173:$A$188)</f>
        <v>-0.69886572402330338</v>
      </c>
      <c r="D212" s="235">
        <f>B212+C212</f>
        <v>9363.1344676093104</v>
      </c>
      <c r="E212" s="1042">
        <f>IFERROR(STDEV(ID!F39:K39),0)</f>
        <v>1.6020819787597222</v>
      </c>
      <c r="F212" s="235">
        <f>A212-D212</f>
        <v>-9354.1344676093104</v>
      </c>
      <c r="G212" s="235">
        <f>(F212/A212)*100</f>
        <v>-103934.82741788123</v>
      </c>
      <c r="H212" s="235">
        <f>D212-A212</f>
        <v>9354.1344676093104</v>
      </c>
      <c r="I212" s="1044">
        <f>(D212-A212)/A212*100</f>
        <v>103934.82741788123</v>
      </c>
      <c r="J212" s="432">
        <f t="shared" si="177"/>
        <v>1.7110530499182094E-2</v>
      </c>
      <c r="K212" s="356">
        <f>FORECAST(D212,$H$173:$H$188,$A$173:$A$188)</f>
        <v>2.8091499764760566</v>
      </c>
      <c r="L212" s="1373"/>
      <c r="M212" s="449">
        <f>FORECAST(D212,$F$173:$F$188,$A$173:$A$188)</f>
        <v>0.13869292014772094</v>
      </c>
      <c r="N212" s="536"/>
    </row>
    <row r="213" spans="1:30" x14ac:dyDescent="0.25">
      <c r="M213" s="574"/>
      <c r="N213" s="574"/>
      <c r="O213" s="574"/>
      <c r="P213" s="574"/>
      <c r="Q213" s="574"/>
    </row>
    <row r="214" spans="1:30" ht="13" thickBot="1" x14ac:dyDescent="0.3"/>
    <row r="215" spans="1:30" ht="15" thickBot="1" x14ac:dyDescent="0.4">
      <c r="A215" s="855" t="str">
        <f>ID!B55</f>
        <v>Digital Tachometer, Merek : Krisbow, Model : KW06-563, SN : 180812206</v>
      </c>
      <c r="B215" s="856"/>
      <c r="C215" s="856"/>
      <c r="D215" s="856"/>
      <c r="E215" s="856"/>
      <c r="F215" s="856"/>
      <c r="G215" s="856"/>
      <c r="H215" s="856"/>
      <c r="I215" s="856"/>
      <c r="J215" s="1354" t="s">
        <v>335</v>
      </c>
      <c r="K215" s="1355"/>
      <c r="L215" s="1356"/>
      <c r="M215" s="857"/>
      <c r="N215" s="1357" t="s">
        <v>336</v>
      </c>
      <c r="O215" s="1358"/>
      <c r="P215" s="858"/>
      <c r="Q215" s="670"/>
      <c r="R215" s="670"/>
      <c r="S215" s="1359">
        <f>A226</f>
        <v>7</v>
      </c>
      <c r="T215" s="1360"/>
      <c r="U215" s="1360"/>
      <c r="V215" s="1360"/>
      <c r="W215" s="1360"/>
      <c r="X215" s="1360"/>
      <c r="Y215" s="1360"/>
      <c r="Z215" s="1360"/>
      <c r="AA215" s="1360"/>
      <c r="AB215" s="1360"/>
      <c r="AC215" s="1360"/>
      <c r="AD215" s="1361"/>
    </row>
    <row r="216" spans="1:30" ht="14" x14ac:dyDescent="0.3">
      <c r="A216" s="859" t="s">
        <v>337</v>
      </c>
      <c r="B216" s="860"/>
      <c r="C216" s="861"/>
      <c r="D216" s="861"/>
      <c r="E216" s="861"/>
      <c r="F216" s="861"/>
      <c r="G216" s="861"/>
      <c r="H216" s="861"/>
      <c r="I216" s="861"/>
      <c r="J216" s="862">
        <f>B5</f>
        <v>2023</v>
      </c>
      <c r="K216" s="863">
        <f>C5</f>
        <v>2022</v>
      </c>
      <c r="L216" s="864">
        <f>D5</f>
        <v>2021</v>
      </c>
      <c r="M216" s="537">
        <v>1</v>
      </c>
      <c r="N216" s="1362">
        <f>0.5*1</f>
        <v>0.5</v>
      </c>
      <c r="O216" s="1363"/>
      <c r="P216" s="289"/>
      <c r="Q216" s="670"/>
      <c r="R216" s="670"/>
      <c r="S216" s="865">
        <v>1</v>
      </c>
      <c r="T216" s="866" t="s">
        <v>338</v>
      </c>
      <c r="U216" s="667"/>
      <c r="V216" s="667"/>
      <c r="W216" s="667"/>
      <c r="X216" s="667"/>
      <c r="Y216" s="667"/>
      <c r="Z216" s="667"/>
      <c r="AA216" s="667"/>
      <c r="AB216" s="667"/>
      <c r="AC216" s="667"/>
      <c r="AD216" s="668"/>
    </row>
    <row r="217" spans="1:30" ht="14" x14ac:dyDescent="0.3">
      <c r="A217" s="859" t="s">
        <v>339</v>
      </c>
      <c r="B217" s="867"/>
      <c r="C217" s="868"/>
      <c r="D217" s="868"/>
      <c r="E217" s="868"/>
      <c r="F217" s="868"/>
      <c r="G217" s="868"/>
      <c r="H217" s="868"/>
      <c r="I217" s="868"/>
      <c r="J217" s="869">
        <f>I5</f>
        <v>2022</v>
      </c>
      <c r="K217" s="547">
        <f>J5</f>
        <v>2019</v>
      </c>
      <c r="L217" s="870">
        <f>K5</f>
        <v>2018</v>
      </c>
      <c r="M217" s="538">
        <v>2</v>
      </c>
      <c r="N217" s="1352">
        <f>0.5*1</f>
        <v>0.5</v>
      </c>
      <c r="O217" s="1353"/>
      <c r="P217" s="289"/>
      <c r="Q217" s="670"/>
      <c r="R217" s="670"/>
      <c r="S217" s="865">
        <v>2</v>
      </c>
      <c r="T217" s="866" t="s">
        <v>338</v>
      </c>
      <c r="U217" s="667"/>
      <c r="V217" s="667"/>
      <c r="W217" s="667"/>
      <c r="X217" s="667"/>
      <c r="Y217" s="667"/>
      <c r="Z217" s="667"/>
      <c r="AA217" s="667"/>
      <c r="AB217" s="667"/>
      <c r="AC217" s="667"/>
      <c r="AD217" s="668"/>
    </row>
    <row r="218" spans="1:30" ht="14" x14ac:dyDescent="0.3">
      <c r="A218" s="859" t="s">
        <v>340</v>
      </c>
      <c r="B218" s="871"/>
      <c r="C218" s="872"/>
      <c r="D218" s="872"/>
      <c r="E218" s="872"/>
      <c r="F218" s="872"/>
      <c r="G218" s="872"/>
      <c r="H218" s="872"/>
      <c r="I218" s="872"/>
      <c r="J218" s="869">
        <f>P5</f>
        <v>2022</v>
      </c>
      <c r="K218" s="547">
        <f>Q5</f>
        <v>2021</v>
      </c>
      <c r="L218" s="870">
        <f>R5</f>
        <v>2019</v>
      </c>
      <c r="M218" s="537">
        <v>3</v>
      </c>
      <c r="N218" s="1352">
        <f>0.5*1</f>
        <v>0.5</v>
      </c>
      <c r="O218" s="1353"/>
      <c r="P218" s="289"/>
      <c r="Q218" s="670"/>
      <c r="R218" s="670"/>
      <c r="S218" s="865">
        <v>3</v>
      </c>
      <c r="T218" s="866" t="s">
        <v>338</v>
      </c>
      <c r="U218" s="667"/>
      <c r="V218" s="667"/>
      <c r="W218" s="667"/>
      <c r="X218" s="667"/>
      <c r="Y218" s="667"/>
      <c r="Z218" s="667"/>
      <c r="AA218" s="667"/>
      <c r="AB218" s="667"/>
      <c r="AC218" s="667"/>
      <c r="AD218" s="668"/>
    </row>
    <row r="219" spans="1:30" ht="14" x14ac:dyDescent="0.3">
      <c r="A219" s="859" t="s">
        <v>158</v>
      </c>
      <c r="B219" s="871"/>
      <c r="C219" s="872"/>
      <c r="D219" s="872"/>
      <c r="E219" s="872"/>
      <c r="F219" s="872"/>
      <c r="G219" s="872"/>
      <c r="H219" s="872"/>
      <c r="I219" s="872"/>
      <c r="J219" s="869">
        <f>B25</f>
        <v>2022</v>
      </c>
      <c r="K219" s="547">
        <f>C25</f>
        <v>2020</v>
      </c>
      <c r="L219" s="870">
        <f>D25</f>
        <v>2018</v>
      </c>
      <c r="M219" s="538">
        <v>4</v>
      </c>
      <c r="N219" s="1352">
        <f>0.5*1</f>
        <v>0.5</v>
      </c>
      <c r="O219" s="1353"/>
      <c r="P219" s="289"/>
      <c r="Q219" s="670"/>
      <c r="R219" s="670"/>
      <c r="S219" s="865">
        <v>4</v>
      </c>
      <c r="T219" s="866" t="s">
        <v>338</v>
      </c>
      <c r="U219" s="667"/>
      <c r="V219" s="667"/>
      <c r="W219" s="667"/>
      <c r="X219" s="667"/>
      <c r="Y219" s="667"/>
      <c r="Z219" s="667"/>
      <c r="AA219" s="667"/>
      <c r="AB219" s="667"/>
      <c r="AC219" s="667"/>
      <c r="AD219" s="668"/>
    </row>
    <row r="220" spans="1:30" ht="14" x14ac:dyDescent="0.3">
      <c r="A220" s="873" t="s">
        <v>341</v>
      </c>
      <c r="B220" s="874"/>
      <c r="C220" s="872"/>
      <c r="D220" s="872"/>
      <c r="E220" s="872"/>
      <c r="F220" s="872"/>
      <c r="G220" s="872"/>
      <c r="H220" s="872"/>
      <c r="I220" s="872"/>
      <c r="J220" s="869">
        <f>I25</f>
        <v>2022</v>
      </c>
      <c r="K220" s="547">
        <f>J25</f>
        <v>2021</v>
      </c>
      <c r="L220" s="870">
        <f>K25</f>
        <v>2019</v>
      </c>
      <c r="M220" s="537">
        <v>5</v>
      </c>
      <c r="N220" s="1352">
        <f>0.5*0.1</f>
        <v>0.05</v>
      </c>
      <c r="O220" s="1353"/>
      <c r="P220" s="289"/>
      <c r="Q220" s="670"/>
      <c r="R220" s="670"/>
      <c r="S220" s="865">
        <v>5</v>
      </c>
      <c r="T220" s="866" t="s">
        <v>338</v>
      </c>
      <c r="U220" s="667"/>
      <c r="V220" s="667"/>
      <c r="W220" s="667"/>
      <c r="X220" s="667"/>
      <c r="Y220" s="667"/>
      <c r="Z220" s="667"/>
      <c r="AA220" s="667"/>
      <c r="AB220" s="667"/>
      <c r="AC220" s="667"/>
      <c r="AD220" s="668"/>
    </row>
    <row r="221" spans="1:30" ht="14" x14ac:dyDescent="0.3">
      <c r="A221" s="873" t="s">
        <v>342</v>
      </c>
      <c r="B221" s="874"/>
      <c r="C221" s="872"/>
      <c r="D221" s="872"/>
      <c r="E221" s="872"/>
      <c r="F221" s="872"/>
      <c r="G221" s="872"/>
      <c r="H221" s="872"/>
      <c r="I221" s="872"/>
      <c r="J221" s="869">
        <f>P25</f>
        <v>2023</v>
      </c>
      <c r="K221" s="547">
        <f>Q25</f>
        <v>2022</v>
      </c>
      <c r="L221" s="870">
        <f>R25</f>
        <v>2021</v>
      </c>
      <c r="M221" s="538">
        <v>6</v>
      </c>
      <c r="N221" s="1352">
        <f>0.5*0.1</f>
        <v>0.05</v>
      </c>
      <c r="O221" s="1353"/>
      <c r="P221" s="289"/>
      <c r="Q221" s="670"/>
      <c r="R221" s="670"/>
      <c r="S221" s="865">
        <v>6</v>
      </c>
      <c r="T221" s="866" t="s">
        <v>338</v>
      </c>
      <c r="U221" s="667"/>
      <c r="V221" s="667"/>
      <c r="W221" s="667"/>
      <c r="X221" s="667"/>
      <c r="Y221" s="667"/>
      <c r="Z221" s="667"/>
      <c r="AA221" s="667"/>
      <c r="AB221" s="667"/>
      <c r="AC221" s="667"/>
      <c r="AD221" s="668"/>
    </row>
    <row r="222" spans="1:30" ht="14" x14ac:dyDescent="0.3">
      <c r="A222" s="873" t="s">
        <v>343</v>
      </c>
      <c r="B222" s="874"/>
      <c r="C222" s="872"/>
      <c r="D222" s="872"/>
      <c r="E222" s="872"/>
      <c r="F222" s="872"/>
      <c r="G222" s="872"/>
      <c r="H222" s="872"/>
      <c r="I222" s="872"/>
      <c r="J222" s="869">
        <f>B45</f>
        <v>2023</v>
      </c>
      <c r="K222" s="547">
        <f>C45</f>
        <v>2022</v>
      </c>
      <c r="L222" s="870">
        <f>D45</f>
        <v>2021</v>
      </c>
      <c r="M222" s="537">
        <v>7</v>
      </c>
      <c r="N222" s="1352">
        <f>0.5*0.1</f>
        <v>0.05</v>
      </c>
      <c r="O222" s="1353"/>
      <c r="P222" s="289"/>
      <c r="Q222" s="670"/>
      <c r="R222" s="670"/>
      <c r="S222" s="865">
        <v>7</v>
      </c>
      <c r="T222" s="866" t="s">
        <v>338</v>
      </c>
      <c r="U222" s="667"/>
      <c r="V222" s="667"/>
      <c r="W222" s="667"/>
      <c r="X222" s="667"/>
      <c r="Y222" s="667"/>
      <c r="Z222" s="667"/>
      <c r="AA222" s="667"/>
      <c r="AB222" s="667"/>
      <c r="AC222" s="667"/>
      <c r="AD222" s="668"/>
    </row>
    <row r="223" spans="1:30" ht="14" x14ac:dyDescent="0.3">
      <c r="A223" s="873" t="s">
        <v>344</v>
      </c>
      <c r="B223" s="874"/>
      <c r="C223" s="872"/>
      <c r="D223" s="872"/>
      <c r="E223" s="872"/>
      <c r="F223" s="872"/>
      <c r="G223" s="872"/>
      <c r="H223" s="872"/>
      <c r="I223" s="872"/>
      <c r="J223" s="869">
        <f>I45</f>
        <v>8</v>
      </c>
      <c r="K223" s="547">
        <f>J45</f>
        <v>8</v>
      </c>
      <c r="L223" s="870">
        <f>K45</f>
        <v>8</v>
      </c>
      <c r="M223" s="538">
        <v>8</v>
      </c>
      <c r="N223" s="1352">
        <v>0</v>
      </c>
      <c r="O223" s="1353"/>
      <c r="P223" s="289"/>
      <c r="Q223" s="670"/>
      <c r="R223" s="670"/>
      <c r="S223" s="865">
        <v>8</v>
      </c>
      <c r="T223" s="866" t="s">
        <v>345</v>
      </c>
      <c r="U223" s="667"/>
      <c r="V223" s="667"/>
      <c r="W223" s="667"/>
      <c r="X223" s="667"/>
      <c r="Y223" s="667"/>
      <c r="Z223" s="667"/>
      <c r="AA223" s="667"/>
      <c r="AB223" s="667"/>
      <c r="AC223" s="667"/>
      <c r="AD223" s="668"/>
    </row>
    <row r="224" spans="1:30" ht="14" x14ac:dyDescent="0.3">
      <c r="A224" s="873" t="s">
        <v>344</v>
      </c>
      <c r="B224" s="874"/>
      <c r="C224" s="872"/>
      <c r="D224" s="872"/>
      <c r="E224" s="872"/>
      <c r="F224" s="872"/>
      <c r="G224" s="872"/>
      <c r="H224" s="872"/>
      <c r="I224" s="872"/>
      <c r="J224" s="869">
        <f>B65</f>
        <v>10</v>
      </c>
      <c r="K224" s="547">
        <f>C65</f>
        <v>10</v>
      </c>
      <c r="L224" s="870">
        <f>D65</f>
        <v>10</v>
      </c>
      <c r="M224" s="537">
        <v>9</v>
      </c>
      <c r="N224" s="1352">
        <v>0</v>
      </c>
      <c r="O224" s="1353"/>
      <c r="P224" s="289"/>
      <c r="Q224" s="670"/>
      <c r="R224" s="670"/>
      <c r="S224" s="865">
        <v>9</v>
      </c>
      <c r="T224" s="866" t="s">
        <v>345</v>
      </c>
      <c r="U224" s="667"/>
      <c r="V224" s="667"/>
      <c r="W224" s="667"/>
      <c r="X224" s="667"/>
      <c r="Y224" s="667"/>
      <c r="Z224" s="667"/>
      <c r="AA224" s="667"/>
      <c r="AB224" s="667"/>
      <c r="AC224" s="667"/>
      <c r="AD224" s="668"/>
    </row>
    <row r="225" spans="1:30" ht="14.5" thickBot="1" x14ac:dyDescent="0.35">
      <c r="A225" s="873" t="s">
        <v>344</v>
      </c>
      <c r="B225" s="874"/>
      <c r="C225" s="872"/>
      <c r="D225" s="872"/>
      <c r="E225" s="872"/>
      <c r="F225" s="872"/>
      <c r="G225" s="872"/>
      <c r="H225" s="872"/>
      <c r="I225" s="872"/>
      <c r="J225" s="875">
        <f>I65</f>
        <v>11</v>
      </c>
      <c r="K225" s="876">
        <f>J65</f>
        <v>11</v>
      </c>
      <c r="L225" s="877">
        <f>K65</f>
        <v>11</v>
      </c>
      <c r="M225" s="538">
        <v>10</v>
      </c>
      <c r="N225" s="1341">
        <v>0</v>
      </c>
      <c r="O225" s="1342"/>
      <c r="P225" s="289"/>
      <c r="Q225" s="670"/>
      <c r="R225" s="670"/>
      <c r="S225" s="865">
        <v>10</v>
      </c>
      <c r="T225" s="866" t="s">
        <v>345</v>
      </c>
      <c r="U225" s="667"/>
      <c r="V225" s="667"/>
      <c r="W225" s="667"/>
      <c r="X225" s="667"/>
      <c r="Y225" s="667"/>
      <c r="Z225" s="667"/>
      <c r="AA225" s="667"/>
      <c r="AB225" s="667"/>
      <c r="AC225" s="667"/>
      <c r="AD225" s="668"/>
    </row>
    <row r="226" spans="1:30" ht="13.5" thickBot="1" x14ac:dyDescent="0.3">
      <c r="A226" s="1343">
        <f>VLOOKUP(A215,A216:M225,13,(FALSE))</f>
        <v>7</v>
      </c>
      <c r="B226" s="1344"/>
      <c r="C226" s="1344"/>
      <c r="D226" s="1344"/>
      <c r="E226" s="1344"/>
      <c r="F226" s="1344"/>
      <c r="G226" s="1344"/>
      <c r="H226" s="1344"/>
      <c r="I226" s="1344"/>
      <c r="J226" s="1345"/>
      <c r="K226" s="1345"/>
      <c r="L226" s="1345"/>
      <c r="M226" s="1346"/>
      <c r="N226" s="1347">
        <f>VLOOKUP(A226,M216:O225,2,FALSE)</f>
        <v>0.05</v>
      </c>
      <c r="O226" s="1348"/>
      <c r="P226" s="878"/>
      <c r="Q226" s="879"/>
      <c r="R226" s="879"/>
      <c r="S226" s="1349" t="str">
        <f>VLOOKUP(S215,S216:AD226,2,FALSE)</f>
        <v>Hasil kalibrasi kecepatan tertelusur ke Satuan Internasional ( SI ) melalui PT KALIMAN</v>
      </c>
      <c r="T226" s="1350"/>
      <c r="U226" s="1350"/>
      <c r="V226" s="1350"/>
      <c r="W226" s="1350"/>
      <c r="X226" s="1350"/>
      <c r="Y226" s="1350"/>
      <c r="Z226" s="1350"/>
      <c r="AA226" s="1350"/>
      <c r="AB226" s="1350"/>
      <c r="AC226" s="1350"/>
      <c r="AD226" s="1351"/>
    </row>
    <row r="227" spans="1:30" ht="14.5" x14ac:dyDescent="0.35">
      <c r="A227" s="228"/>
      <c r="B227" s="228"/>
      <c r="C227" s="880"/>
      <c r="D227" s="719"/>
      <c r="E227" s="719"/>
      <c r="F227" s="719"/>
      <c r="G227" s="719"/>
      <c r="H227" s="574"/>
      <c r="I227" s="574"/>
      <c r="J227" s="574"/>
      <c r="K227" s="574"/>
      <c r="L227" s="574"/>
      <c r="M227" s="228"/>
    </row>
    <row r="229" spans="1:30" ht="14.5" x14ac:dyDescent="0.35">
      <c r="A229" s="881"/>
      <c r="B229" s="881"/>
    </row>
    <row r="230" spans="1:30" ht="13" x14ac:dyDescent="0.3">
      <c r="A230" s="882"/>
      <c r="B230" s="882"/>
      <c r="AB230" s="883"/>
    </row>
    <row r="231" spans="1:30" ht="13" x14ac:dyDescent="0.3">
      <c r="A231" s="603"/>
      <c r="B231" s="603"/>
      <c r="AB231" s="883"/>
    </row>
    <row r="232" spans="1:30" ht="13" x14ac:dyDescent="0.3">
      <c r="A232" s="686"/>
      <c r="B232" s="686"/>
    </row>
    <row r="233" spans="1:30" ht="13" x14ac:dyDescent="0.3">
      <c r="A233" s="779"/>
      <c r="B233" s="686"/>
    </row>
    <row r="234" spans="1:30" ht="13" x14ac:dyDescent="0.3">
      <c r="A234" s="779"/>
      <c r="B234" s="686"/>
    </row>
    <row r="235" spans="1:30" ht="13" x14ac:dyDescent="0.3">
      <c r="A235" s="779"/>
      <c r="B235" s="686"/>
    </row>
    <row r="236" spans="1:30" ht="13" x14ac:dyDescent="0.3">
      <c r="A236" s="779"/>
      <c r="B236" s="686"/>
    </row>
    <row r="237" spans="1:30" ht="13" x14ac:dyDescent="0.3">
      <c r="A237" s="779"/>
      <c r="B237" s="686"/>
    </row>
    <row r="238" spans="1:30" ht="13" x14ac:dyDescent="0.3">
      <c r="A238" s="779"/>
      <c r="B238" s="686"/>
    </row>
    <row r="239" spans="1:30" ht="13" x14ac:dyDescent="0.3">
      <c r="A239" s="779"/>
      <c r="B239" s="686"/>
    </row>
    <row r="240" spans="1:30" ht="13" x14ac:dyDescent="0.3">
      <c r="A240" s="779"/>
      <c r="B240" s="686"/>
      <c r="Q240" s="884"/>
      <c r="R240" s="883"/>
      <c r="S240" s="883"/>
      <c r="T240" s="883"/>
      <c r="U240" s="883"/>
      <c r="V240" s="883"/>
      <c r="W240" s="883"/>
      <c r="X240" s="883"/>
      <c r="Y240" s="883"/>
      <c r="Z240" s="883"/>
    </row>
    <row r="241" spans="1:28" ht="13" x14ac:dyDescent="0.3">
      <c r="A241" s="686"/>
      <c r="B241" s="686"/>
      <c r="Q241" s="884"/>
      <c r="R241" s="883"/>
      <c r="S241" s="574"/>
      <c r="T241" s="574"/>
      <c r="U241" s="574"/>
      <c r="V241" s="574"/>
      <c r="W241" s="574"/>
      <c r="X241" s="574"/>
      <c r="Y241" s="574"/>
      <c r="Z241" s="574"/>
    </row>
    <row r="242" spans="1:28" x14ac:dyDescent="0.25">
      <c r="V242" s="574"/>
      <c r="W242" s="574"/>
      <c r="X242" s="574"/>
      <c r="Y242" s="574"/>
      <c r="Z242" s="574"/>
    </row>
    <row r="243" spans="1:28" x14ac:dyDescent="0.25">
      <c r="V243" s="574"/>
      <c r="W243" s="574"/>
      <c r="X243" s="574"/>
      <c r="Y243" s="574"/>
      <c r="Z243" s="574"/>
    </row>
    <row r="244" spans="1:28" x14ac:dyDescent="0.25">
      <c r="V244" s="574"/>
      <c r="W244" s="574"/>
      <c r="X244" s="574"/>
      <c r="Y244" s="574"/>
      <c r="Z244" s="574"/>
      <c r="AA244" s="574"/>
      <c r="AB244" s="574"/>
    </row>
  </sheetData>
  <mergeCells count="115">
    <mergeCell ref="C4:D4"/>
    <mergeCell ref="J4:K4"/>
    <mergeCell ref="P4:R4"/>
    <mergeCell ref="A22:F22"/>
    <mergeCell ref="H22:M22"/>
    <mergeCell ref="O22:T22"/>
    <mergeCell ref="A2:T2"/>
    <mergeCell ref="A3:D3"/>
    <mergeCell ref="E3:E5"/>
    <mergeCell ref="F3:F5"/>
    <mergeCell ref="H3:K3"/>
    <mergeCell ref="L3:L5"/>
    <mergeCell ref="M3:M5"/>
    <mergeCell ref="O3:R3"/>
    <mergeCell ref="S3:S5"/>
    <mergeCell ref="T3:T5"/>
    <mergeCell ref="O23:R23"/>
    <mergeCell ref="S23:S25"/>
    <mergeCell ref="T23:T25"/>
    <mergeCell ref="C24:D24"/>
    <mergeCell ref="J24:K24"/>
    <mergeCell ref="Q24:R24"/>
    <mergeCell ref="A23:D23"/>
    <mergeCell ref="E23:E25"/>
    <mergeCell ref="F23:F25"/>
    <mergeCell ref="H23:K23"/>
    <mergeCell ref="L23:L25"/>
    <mergeCell ref="M23:M25"/>
    <mergeCell ref="O43:R43"/>
    <mergeCell ref="S43:S45"/>
    <mergeCell ref="T43:T45"/>
    <mergeCell ref="C44:D44"/>
    <mergeCell ref="J44:K44"/>
    <mergeCell ref="Q44:R44"/>
    <mergeCell ref="A43:D43"/>
    <mergeCell ref="E43:E45"/>
    <mergeCell ref="F43:F45"/>
    <mergeCell ref="H43:K43"/>
    <mergeCell ref="L43:L45"/>
    <mergeCell ref="M43:M45"/>
    <mergeCell ref="A62:F62"/>
    <mergeCell ref="H62:M62"/>
    <mergeCell ref="A63:D63"/>
    <mergeCell ref="E63:E65"/>
    <mergeCell ref="F63:F65"/>
    <mergeCell ref="H63:K63"/>
    <mergeCell ref="L63:L65"/>
    <mergeCell ref="M63:M65"/>
    <mergeCell ref="C64:D64"/>
    <mergeCell ref="J64:K64"/>
    <mergeCell ref="M85:M86"/>
    <mergeCell ref="N85:P86"/>
    <mergeCell ref="Q85:Q87"/>
    <mergeCell ref="R85:R87"/>
    <mergeCell ref="S85:S87"/>
    <mergeCell ref="A88:A97"/>
    <mergeCell ref="K88:K97"/>
    <mergeCell ref="A82:T82"/>
    <mergeCell ref="A85:A87"/>
    <mergeCell ref="B85:B87"/>
    <mergeCell ref="C85:C86"/>
    <mergeCell ref="D85:F86"/>
    <mergeCell ref="G85:G87"/>
    <mergeCell ref="H85:H87"/>
    <mergeCell ref="I85:I87"/>
    <mergeCell ref="K85:K87"/>
    <mergeCell ref="L85:L87"/>
    <mergeCell ref="A128:A137"/>
    <mergeCell ref="K128:K137"/>
    <mergeCell ref="A138:A147"/>
    <mergeCell ref="K138:K147"/>
    <mergeCell ref="A148:A157"/>
    <mergeCell ref="K148:K157"/>
    <mergeCell ref="A98:A107"/>
    <mergeCell ref="K98:K107"/>
    <mergeCell ref="A108:A117"/>
    <mergeCell ref="K108:K117"/>
    <mergeCell ref="A118:A127"/>
    <mergeCell ref="K118:K127"/>
    <mergeCell ref="O178:O179"/>
    <mergeCell ref="A190:E190"/>
    <mergeCell ref="G190:K190"/>
    <mergeCell ref="M190:Q190"/>
    <mergeCell ref="A194:E194"/>
    <mergeCell ref="G194:K194"/>
    <mergeCell ref="M194:Q194"/>
    <mergeCell ref="K158:K167"/>
    <mergeCell ref="B170:G170"/>
    <mergeCell ref="M170:M171"/>
    <mergeCell ref="B171:D171"/>
    <mergeCell ref="E171:E172"/>
    <mergeCell ref="F171:G171"/>
    <mergeCell ref="H171:H172"/>
    <mergeCell ref="J215:L215"/>
    <mergeCell ref="N215:O215"/>
    <mergeCell ref="S215:AD215"/>
    <mergeCell ref="N216:O216"/>
    <mergeCell ref="N217:O217"/>
    <mergeCell ref="N218:O218"/>
    <mergeCell ref="A198:E198"/>
    <mergeCell ref="G198:K198"/>
    <mergeCell ref="M201:Q201"/>
    <mergeCell ref="A202:E202"/>
    <mergeCell ref="G202:K202"/>
    <mergeCell ref="L209:L212"/>
    <mergeCell ref="N225:O225"/>
    <mergeCell ref="A226:M226"/>
    <mergeCell ref="N226:O226"/>
    <mergeCell ref="S226:AD226"/>
    <mergeCell ref="N219:O219"/>
    <mergeCell ref="N220:O220"/>
    <mergeCell ref="N221:O221"/>
    <mergeCell ref="N222:O222"/>
    <mergeCell ref="N223:O223"/>
    <mergeCell ref="N224:O2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81DBE-8C60-4B1D-87DD-4AA7D1CEF4C2}">
  <dimension ref="A1:AF250"/>
  <sheetViews>
    <sheetView topLeftCell="A213" workbookViewId="0">
      <selection activeCell="K224" sqref="K224"/>
    </sheetView>
  </sheetViews>
  <sheetFormatPr defaultColWidth="9.1796875" defaultRowHeight="12.5" x14ac:dyDescent="0.25"/>
  <cols>
    <col min="1" max="1" width="11.7265625" style="569" customWidth="1"/>
    <col min="2" max="2" width="9.26953125" style="569" customWidth="1"/>
    <col min="3" max="3" width="9.1796875" style="569"/>
    <col min="4" max="4" width="11" style="569" customWidth="1"/>
    <col min="5" max="5" width="10.26953125" style="569" customWidth="1"/>
    <col min="6" max="6" width="9.1796875" style="569"/>
    <col min="7" max="7" width="10.26953125" style="569" customWidth="1"/>
    <col min="8" max="8" width="11.26953125" style="569" customWidth="1"/>
    <col min="9" max="9" width="9.26953125" style="569" customWidth="1"/>
    <col min="10" max="10" width="9.1796875" style="569"/>
    <col min="11" max="11" width="10.54296875" style="569" customWidth="1"/>
    <col min="12" max="13" width="10.1796875" style="569" customWidth="1"/>
    <col min="14" max="14" width="10.54296875" style="569" customWidth="1"/>
    <col min="15" max="15" width="12.26953125" style="569" customWidth="1"/>
    <col min="16" max="16" width="9.26953125" style="569" customWidth="1"/>
    <col min="17" max="16384" width="9.1796875" style="569"/>
  </cols>
  <sheetData>
    <row r="1" spans="1:32" ht="15" x14ac:dyDescent="0.25">
      <c r="A1" s="1461" t="s">
        <v>346</v>
      </c>
      <c r="B1" s="1462"/>
      <c r="C1" s="1462"/>
      <c r="D1" s="1462"/>
      <c r="E1" s="1462"/>
      <c r="F1" s="1462"/>
      <c r="G1" s="1462"/>
      <c r="H1" s="1462"/>
      <c r="I1" s="1462"/>
      <c r="J1" s="1462"/>
      <c r="K1" s="1462"/>
      <c r="L1" s="1462"/>
      <c r="M1" s="1462"/>
      <c r="N1" s="1462"/>
      <c r="O1" s="1462"/>
      <c r="P1" s="1462"/>
      <c r="Q1" s="1462"/>
      <c r="R1" s="1462"/>
      <c r="S1" s="1462"/>
      <c r="T1" s="1463"/>
      <c r="U1" s="691"/>
      <c r="V1" s="763"/>
      <c r="W1" s="763"/>
      <c r="X1" s="763"/>
      <c r="Y1" s="763"/>
      <c r="Z1" s="763"/>
      <c r="AA1" s="763"/>
      <c r="AB1" s="763"/>
      <c r="AC1" s="763"/>
      <c r="AD1" s="763"/>
      <c r="AE1" s="763"/>
      <c r="AF1" s="763"/>
    </row>
    <row r="2" spans="1:32" ht="15.75" customHeight="1" x14ac:dyDescent="0.3">
      <c r="A2" s="1491" t="s">
        <v>347</v>
      </c>
      <c r="B2" s="1492"/>
      <c r="C2" s="1464"/>
      <c r="D2" s="1464"/>
      <c r="E2" s="1446" t="s">
        <v>294</v>
      </c>
      <c r="F2" s="1447" t="s">
        <v>295</v>
      </c>
      <c r="G2" s="764"/>
      <c r="H2" s="1464" t="s">
        <v>348</v>
      </c>
      <c r="I2" s="1464"/>
      <c r="J2" s="1464"/>
      <c r="K2" s="1464"/>
      <c r="L2" s="1446" t="s">
        <v>294</v>
      </c>
      <c r="M2" s="1447" t="str">
        <f>F2</f>
        <v>U95 STD</v>
      </c>
      <c r="N2" s="574"/>
      <c r="O2" s="1464" t="s">
        <v>349</v>
      </c>
      <c r="P2" s="1464"/>
      <c r="Q2" s="1464"/>
      <c r="R2" s="1464"/>
      <c r="S2" s="1446" t="s">
        <v>294</v>
      </c>
      <c r="T2" s="1448" t="str">
        <f>M2</f>
        <v>U95 STD</v>
      </c>
      <c r="V2" s="765"/>
      <c r="W2" s="765"/>
      <c r="X2" s="765"/>
      <c r="Y2" s="766"/>
      <c r="Z2" s="767"/>
      <c r="AA2" s="768"/>
      <c r="AB2" s="769"/>
      <c r="AC2" s="769"/>
      <c r="AD2" s="769"/>
      <c r="AE2" s="766"/>
      <c r="AF2" s="767"/>
    </row>
    <row r="3" spans="1:32" ht="12.75" customHeight="1" x14ac:dyDescent="0.25">
      <c r="A3" s="770" t="s">
        <v>350</v>
      </c>
      <c r="B3" s="1450" t="s">
        <v>298</v>
      </c>
      <c r="C3" s="1451"/>
      <c r="D3" s="1452"/>
      <c r="E3" s="1446"/>
      <c r="F3" s="1447"/>
      <c r="G3" s="772"/>
      <c r="H3" s="649" t="str">
        <f>A3</f>
        <v>Timer</v>
      </c>
      <c r="I3" s="1450" t="s">
        <v>298</v>
      </c>
      <c r="J3" s="1451"/>
      <c r="K3" s="1452"/>
      <c r="L3" s="1446"/>
      <c r="M3" s="1447"/>
      <c r="N3" s="574"/>
      <c r="O3" s="649" t="str">
        <f>H3</f>
        <v>Timer</v>
      </c>
      <c r="P3" s="1450" t="s">
        <v>298</v>
      </c>
      <c r="Q3" s="1451"/>
      <c r="R3" s="1452"/>
      <c r="S3" s="1446"/>
      <c r="T3" s="1448"/>
      <c r="V3" s="573"/>
      <c r="W3" s="766"/>
      <c r="X3" s="766"/>
      <c r="Y3" s="766"/>
      <c r="Z3" s="767"/>
      <c r="AA3" s="768"/>
      <c r="AB3" s="573"/>
      <c r="AC3" s="766"/>
      <c r="AD3" s="766"/>
      <c r="AE3" s="766"/>
      <c r="AF3" s="767"/>
    </row>
    <row r="4" spans="1:32" ht="12.75" customHeight="1" x14ac:dyDescent="0.25">
      <c r="A4" s="773" t="s">
        <v>227</v>
      </c>
      <c r="B4" s="564">
        <v>2023</v>
      </c>
      <c r="C4" s="564">
        <v>2022</v>
      </c>
      <c r="D4" s="565">
        <v>2021</v>
      </c>
      <c r="E4" s="1446"/>
      <c r="F4" s="1447"/>
      <c r="G4" s="885" t="s">
        <v>0</v>
      </c>
      <c r="H4" s="619" t="str">
        <f>A4</f>
        <v>s</v>
      </c>
      <c r="I4" s="564">
        <v>2023</v>
      </c>
      <c r="J4" s="564">
        <v>2022</v>
      </c>
      <c r="K4" s="565">
        <v>2021</v>
      </c>
      <c r="L4" s="1446"/>
      <c r="M4" s="1447"/>
      <c r="N4" s="885" t="s">
        <v>0</v>
      </c>
      <c r="O4" s="619" t="str">
        <f>H4</f>
        <v>s</v>
      </c>
      <c r="P4" s="564">
        <v>2023</v>
      </c>
      <c r="Q4" s="564">
        <v>2022</v>
      </c>
      <c r="R4" s="565">
        <v>2019</v>
      </c>
      <c r="S4" s="1446"/>
      <c r="T4" s="1448"/>
      <c r="V4" s="774"/>
      <c r="W4" s="573"/>
      <c r="X4" s="775"/>
      <c r="Y4" s="766"/>
      <c r="Z4" s="767"/>
      <c r="AA4" s="768"/>
      <c r="AB4" s="774"/>
      <c r="AC4" s="573"/>
      <c r="AD4" s="573"/>
      <c r="AE4" s="766"/>
      <c r="AF4" s="767"/>
    </row>
    <row r="5" spans="1:32" ht="13.5" customHeight="1" x14ac:dyDescent="0.25">
      <c r="A5" s="757">
        <v>0</v>
      </c>
      <c r="B5" s="526">
        <v>0</v>
      </c>
      <c r="C5" s="526">
        <v>0</v>
      </c>
      <c r="D5" s="210">
        <v>9.9999999999999995E-7</v>
      </c>
      <c r="E5" s="211">
        <f>IFERROR(IF(OR(C5="-",D5="-"),1/3*F5,0.5*(MAX(C5:D5)-MIN(C5:D5))),0)</f>
        <v>4.9999999999999998E-7</v>
      </c>
      <c r="F5" s="213">
        <v>0.12</v>
      </c>
      <c r="G5" s="885">
        <v>1</v>
      </c>
      <c r="H5" s="757">
        <v>0</v>
      </c>
      <c r="I5" s="567">
        <v>0</v>
      </c>
      <c r="J5" s="567">
        <v>0</v>
      </c>
      <c r="K5" s="886">
        <v>9.9999999999999995E-7</v>
      </c>
      <c r="L5" s="211">
        <f>IFERROR(IF(OR(J5="-",K5="-"),1/3*M5,0.5*(MAX(J5:K5)-MIN(J5:K5))),0)</f>
        <v>4.9999999999999998E-7</v>
      </c>
      <c r="M5" s="213">
        <v>0.121</v>
      </c>
      <c r="N5" s="885">
        <v>1</v>
      </c>
      <c r="O5" s="209">
        <v>0</v>
      </c>
      <c r="P5" s="567">
        <v>0</v>
      </c>
      <c r="Q5" s="567">
        <v>0</v>
      </c>
      <c r="R5" s="567">
        <v>0</v>
      </c>
      <c r="S5" s="211">
        <f>IFERROR(IF(OR(Q5="-",R5="-"),1/3*T5,0.5*(MAX(Q5:R5)-MIN(Q5:R5))),0)</f>
        <v>0</v>
      </c>
      <c r="T5" s="7">
        <v>0</v>
      </c>
      <c r="V5" s="228"/>
      <c r="W5" s="228"/>
      <c r="X5" s="288"/>
      <c r="Y5" s="289"/>
      <c r="Z5" s="290"/>
      <c r="AA5" s="768"/>
      <c r="AB5" s="228"/>
      <c r="AC5" s="228"/>
      <c r="AD5" s="290"/>
      <c r="AE5" s="289"/>
      <c r="AF5" s="290"/>
    </row>
    <row r="6" spans="1:32" ht="13.5" customHeight="1" x14ac:dyDescent="0.25">
      <c r="A6" s="757">
        <v>10</v>
      </c>
      <c r="B6" s="526">
        <v>0.04</v>
      </c>
      <c r="C6" s="526">
        <v>0.01</v>
      </c>
      <c r="D6" s="210">
        <v>-1E-3</v>
      </c>
      <c r="E6" s="211">
        <f t="shared" ref="E6:E14" si="0">IFERROR(IF(OR(C6="-",D6="-"),1/3*F6,0.5*(MAX(C6:D6)-MIN(C6:D6))),0)</f>
        <v>5.4999999999999997E-3</v>
      </c>
      <c r="F6" s="213">
        <v>0.12</v>
      </c>
      <c r="G6" s="885">
        <v>2</v>
      </c>
      <c r="H6" s="757">
        <v>10</v>
      </c>
      <c r="I6" s="567">
        <v>2E-3</v>
      </c>
      <c r="J6" s="567">
        <v>0</v>
      </c>
      <c r="K6" s="887">
        <v>1E-3</v>
      </c>
      <c r="L6" s="211">
        <f t="shared" ref="L6:L15" si="1">IFERROR(IF(OR(J6="-",K6="-"),1/3*M6,0.5*(MAX(J6:K6)-MIN(J6:K6))),0)</f>
        <v>5.0000000000000001E-4</v>
      </c>
      <c r="M6" s="213">
        <v>0.121</v>
      </c>
      <c r="N6" s="885">
        <v>2</v>
      </c>
      <c r="O6" s="757">
        <v>10</v>
      </c>
      <c r="P6" s="567">
        <v>-2E-3</v>
      </c>
      <c r="Q6" s="567">
        <v>0</v>
      </c>
      <c r="R6" s="567" t="s">
        <v>128</v>
      </c>
      <c r="S6" s="211">
        <f t="shared" ref="S6:S15" si="2">IFERROR(IF(OR(Q6="-",R6="-"),1/3*T6,0.5*(MAX(Q6:R6)-MIN(Q6:R6))),0)</f>
        <v>3.9999999999999994E-2</v>
      </c>
      <c r="T6" s="7">
        <v>0.12</v>
      </c>
      <c r="V6" s="228"/>
      <c r="W6" s="228"/>
      <c r="X6" s="288"/>
      <c r="Y6" s="289"/>
      <c r="Z6" s="290"/>
      <c r="AA6" s="768"/>
      <c r="AB6" s="228"/>
      <c r="AC6" s="228"/>
      <c r="AD6" s="290"/>
      <c r="AE6" s="289"/>
      <c r="AF6" s="290"/>
    </row>
    <row r="7" spans="1:32" ht="13.5" customHeight="1" x14ac:dyDescent="0.25">
      <c r="A7" s="757">
        <v>20</v>
      </c>
      <c r="B7" s="526" t="s">
        <v>128</v>
      </c>
      <c r="C7" s="526" t="s">
        <v>128</v>
      </c>
      <c r="D7" s="210">
        <v>-1E-3</v>
      </c>
      <c r="E7" s="211">
        <f t="shared" si="0"/>
        <v>3.9999999999999994E-2</v>
      </c>
      <c r="F7" s="213">
        <v>0.12</v>
      </c>
      <c r="G7" s="885">
        <v>3</v>
      </c>
      <c r="H7" s="757">
        <v>20</v>
      </c>
      <c r="I7" s="567" t="s">
        <v>128</v>
      </c>
      <c r="J7" s="567" t="s">
        <v>128</v>
      </c>
      <c r="K7" s="887">
        <v>1E-3</v>
      </c>
      <c r="L7" s="211">
        <f>IFERROR(IF(OR(J7="-",K7="-"),1/3*M7,0.5*(MAX(J7:K7)-MIN(J7:K7))),0)</f>
        <v>4.0333333333333332E-2</v>
      </c>
      <c r="M7" s="213">
        <v>0.121</v>
      </c>
      <c r="N7" s="885">
        <v>3</v>
      </c>
      <c r="O7" s="757">
        <v>20</v>
      </c>
      <c r="P7" s="567" t="s">
        <v>128</v>
      </c>
      <c r="Q7" s="567" t="s">
        <v>128</v>
      </c>
      <c r="R7" s="567" t="s">
        <v>128</v>
      </c>
      <c r="S7" s="211">
        <f t="shared" si="2"/>
        <v>3.9999999999999994E-2</v>
      </c>
      <c r="T7" s="7">
        <v>0.12</v>
      </c>
      <c r="V7" s="228"/>
      <c r="W7" s="228"/>
      <c r="X7" s="288"/>
      <c r="Y7" s="289"/>
      <c r="Z7" s="290"/>
      <c r="AA7" s="768"/>
      <c r="AB7" s="228"/>
      <c r="AC7" s="228"/>
      <c r="AD7" s="290"/>
      <c r="AE7" s="289"/>
      <c r="AF7" s="290"/>
    </row>
    <row r="8" spans="1:32" ht="13.5" customHeight="1" x14ac:dyDescent="0.25">
      <c r="A8" s="757">
        <v>30</v>
      </c>
      <c r="B8" s="526">
        <v>0.03</v>
      </c>
      <c r="C8" s="526">
        <v>0</v>
      </c>
      <c r="D8" s="210">
        <v>-1E-3</v>
      </c>
      <c r="E8" s="211">
        <f t="shared" si="0"/>
        <v>5.0000000000000001E-4</v>
      </c>
      <c r="F8" s="213">
        <v>0.12</v>
      </c>
      <c r="G8" s="885">
        <v>4</v>
      </c>
      <c r="H8" s="757">
        <v>30</v>
      </c>
      <c r="I8" s="567">
        <v>2E-3</v>
      </c>
      <c r="J8" s="567">
        <v>0</v>
      </c>
      <c r="K8" s="887">
        <v>1E-3</v>
      </c>
      <c r="L8" s="211">
        <f t="shared" si="1"/>
        <v>5.0000000000000001E-4</v>
      </c>
      <c r="M8" s="213">
        <v>0.121</v>
      </c>
      <c r="N8" s="885">
        <v>4</v>
      </c>
      <c r="O8" s="757">
        <v>30</v>
      </c>
      <c r="P8" s="567">
        <v>-3.0000000000000001E-3</v>
      </c>
      <c r="Q8" s="567">
        <v>1E-3</v>
      </c>
      <c r="R8" s="567">
        <v>-5.0000000000000001E-3</v>
      </c>
      <c r="S8" s="211">
        <f>IFERROR(IF(OR(Q8="-",R8="-"),1/3*T8,0.5*(MAX(Q8:R8)-MIN(Q8:R8))),0)</f>
        <v>3.0000000000000001E-3</v>
      </c>
      <c r="T8" s="7">
        <v>0.12</v>
      </c>
      <c r="V8" s="228"/>
      <c r="W8" s="228"/>
      <c r="X8" s="288"/>
      <c r="Y8" s="289"/>
      <c r="Z8" s="290"/>
      <c r="AA8" s="768"/>
      <c r="AB8" s="228"/>
      <c r="AC8" s="228"/>
      <c r="AD8" s="290"/>
      <c r="AE8" s="289"/>
      <c r="AF8" s="290"/>
    </row>
    <row r="9" spans="1:32" ht="13.5" customHeight="1" x14ac:dyDescent="0.25">
      <c r="A9" s="757">
        <v>40</v>
      </c>
      <c r="B9" s="526" t="s">
        <v>128</v>
      </c>
      <c r="C9" s="526" t="s">
        <v>128</v>
      </c>
      <c r="D9" s="210">
        <v>-1E-3</v>
      </c>
      <c r="E9" s="211">
        <f t="shared" si="0"/>
        <v>3.9999999999999994E-2</v>
      </c>
      <c r="F9" s="213">
        <v>0.12</v>
      </c>
      <c r="G9" s="885">
        <v>5</v>
      </c>
      <c r="H9" s="757">
        <v>40</v>
      </c>
      <c r="I9" s="567" t="s">
        <v>128</v>
      </c>
      <c r="J9" s="567" t="s">
        <v>128</v>
      </c>
      <c r="K9" s="887">
        <v>1E-3</v>
      </c>
      <c r="L9" s="211">
        <f t="shared" si="1"/>
        <v>4.0333333333333332E-2</v>
      </c>
      <c r="M9" s="213">
        <v>0.121</v>
      </c>
      <c r="N9" s="885">
        <v>5</v>
      </c>
      <c r="O9" s="757">
        <v>40</v>
      </c>
      <c r="P9" s="567" t="s">
        <v>128</v>
      </c>
      <c r="Q9" s="567" t="s">
        <v>128</v>
      </c>
      <c r="R9" s="567" t="s">
        <v>128</v>
      </c>
      <c r="S9" s="211">
        <f t="shared" si="2"/>
        <v>3.9999999999999994E-2</v>
      </c>
      <c r="T9" s="7">
        <v>0.12</v>
      </c>
      <c r="V9" s="228"/>
      <c r="W9" s="228"/>
      <c r="X9" s="288"/>
      <c r="Y9" s="289"/>
      <c r="Z9" s="290"/>
      <c r="AA9" s="768"/>
      <c r="AB9" s="228"/>
      <c r="AC9" s="228"/>
      <c r="AD9" s="290"/>
      <c r="AE9" s="289"/>
      <c r="AF9" s="290"/>
    </row>
    <row r="10" spans="1:32" ht="13.5" customHeight="1" x14ac:dyDescent="0.25">
      <c r="A10" s="757">
        <v>50</v>
      </c>
      <c r="B10" s="526" t="s">
        <v>128</v>
      </c>
      <c r="C10" s="526" t="s">
        <v>128</v>
      </c>
      <c r="D10" s="210">
        <v>-1E-3</v>
      </c>
      <c r="E10" s="211">
        <f t="shared" si="0"/>
        <v>3.9999999999999994E-2</v>
      </c>
      <c r="F10" s="213">
        <v>0.12</v>
      </c>
      <c r="G10" s="885">
        <v>6</v>
      </c>
      <c r="H10" s="757">
        <v>50</v>
      </c>
      <c r="I10" s="567" t="s">
        <v>128</v>
      </c>
      <c r="J10" s="567" t="s">
        <v>128</v>
      </c>
      <c r="K10" s="887">
        <v>1E-3</v>
      </c>
      <c r="L10" s="211">
        <f t="shared" si="1"/>
        <v>4.0333333333333332E-2</v>
      </c>
      <c r="M10" s="213">
        <v>0.121</v>
      </c>
      <c r="N10" s="885">
        <v>6</v>
      </c>
      <c r="O10" s="757">
        <v>50</v>
      </c>
      <c r="P10" s="567" t="s">
        <v>128</v>
      </c>
      <c r="Q10" s="567" t="s">
        <v>128</v>
      </c>
      <c r="R10" s="567" t="s">
        <v>128</v>
      </c>
      <c r="S10" s="211">
        <f t="shared" si="2"/>
        <v>3.9999999999999994E-2</v>
      </c>
      <c r="T10" s="7">
        <v>0.12</v>
      </c>
      <c r="V10" s="228"/>
      <c r="W10" s="228"/>
      <c r="X10" s="288"/>
      <c r="Y10" s="289"/>
      <c r="Z10" s="290"/>
      <c r="AA10" s="768"/>
      <c r="AB10" s="228"/>
      <c r="AC10" s="228"/>
      <c r="AD10" s="290"/>
      <c r="AE10" s="289"/>
      <c r="AF10" s="290"/>
    </row>
    <row r="11" spans="1:32" ht="12.75" customHeight="1" x14ac:dyDescent="0.25">
      <c r="A11" s="757">
        <v>60</v>
      </c>
      <c r="B11" s="526">
        <v>0.02</v>
      </c>
      <c r="C11" s="526">
        <v>0.01</v>
      </c>
      <c r="D11" s="209">
        <v>-6.0000000000000001E-3</v>
      </c>
      <c r="E11" s="211">
        <f>IFERROR(IF(OR(C11="-",D11="-"),1/3*F11,0.5*(MAX(C11:D11)-MIN(C11:D11))),0)</f>
        <v>8.0000000000000002E-3</v>
      </c>
      <c r="F11" s="213">
        <v>0.12</v>
      </c>
      <c r="G11" s="885">
        <v>7</v>
      </c>
      <c r="H11" s="757">
        <v>60</v>
      </c>
      <c r="I11" s="567">
        <v>0</v>
      </c>
      <c r="J11" s="567">
        <v>0</v>
      </c>
      <c r="K11" s="887">
        <v>3.0000000000000001E-3</v>
      </c>
      <c r="L11" s="211">
        <f t="shared" si="1"/>
        <v>1.5E-3</v>
      </c>
      <c r="M11" s="213">
        <v>0.121</v>
      </c>
      <c r="N11" s="885">
        <v>7</v>
      </c>
      <c r="O11" s="209">
        <v>60</v>
      </c>
      <c r="P11" s="567">
        <v>-2E-3</v>
      </c>
      <c r="Q11" s="567">
        <v>1E-3</v>
      </c>
      <c r="R11" s="567">
        <v>-2E-3</v>
      </c>
      <c r="S11" s="211">
        <f t="shared" si="2"/>
        <v>1.5E-3</v>
      </c>
      <c r="T11" s="7">
        <v>0.12</v>
      </c>
      <c r="V11" s="228"/>
      <c r="W11" s="228"/>
      <c r="X11" s="290"/>
      <c r="Y11" s="289"/>
      <c r="Z11" s="290"/>
      <c r="AA11" s="768"/>
      <c r="AB11" s="228"/>
      <c r="AC11" s="228"/>
      <c r="AD11" s="290"/>
      <c r="AE11" s="289"/>
      <c r="AF11" s="290"/>
    </row>
    <row r="12" spans="1:32" ht="12.75" customHeight="1" x14ac:dyDescent="0.25">
      <c r="A12" s="757">
        <v>300</v>
      </c>
      <c r="B12" s="526">
        <v>0.02</v>
      </c>
      <c r="C12" s="526">
        <v>0.01</v>
      </c>
      <c r="D12" s="209">
        <v>-2E-3</v>
      </c>
      <c r="E12" s="211">
        <f t="shared" si="0"/>
        <v>6.0000000000000001E-3</v>
      </c>
      <c r="F12" s="213">
        <v>0.12</v>
      </c>
      <c r="G12" s="885">
        <v>8</v>
      </c>
      <c r="H12" s="757">
        <v>300</v>
      </c>
      <c r="I12" s="567">
        <v>4.0000000000000001E-3</v>
      </c>
      <c r="J12" s="567">
        <v>1E-3</v>
      </c>
      <c r="K12" s="887">
        <v>3.0000000000000001E-3</v>
      </c>
      <c r="L12" s="211">
        <f t="shared" si="1"/>
        <v>1E-3</v>
      </c>
      <c r="M12" s="213">
        <v>0.121</v>
      </c>
      <c r="N12" s="885">
        <v>8</v>
      </c>
      <c r="O12" s="209">
        <v>300</v>
      </c>
      <c r="P12" s="567">
        <v>-1E-3</v>
      </c>
      <c r="Q12" s="567">
        <v>1E-3</v>
      </c>
      <c r="R12" s="567">
        <v>1E-3</v>
      </c>
      <c r="S12" s="211">
        <f t="shared" si="2"/>
        <v>0</v>
      </c>
      <c r="T12" s="7">
        <v>0.12</v>
      </c>
      <c r="V12" s="228"/>
      <c r="W12" s="228"/>
      <c r="X12" s="290"/>
      <c r="Y12" s="289"/>
      <c r="Z12" s="290"/>
      <c r="AA12" s="768"/>
      <c r="AB12" s="228"/>
      <c r="AC12" s="228"/>
      <c r="AD12" s="290"/>
      <c r="AE12" s="289"/>
      <c r="AF12" s="290"/>
    </row>
    <row r="13" spans="1:32" ht="12.75" customHeight="1" x14ac:dyDescent="0.25">
      <c r="A13" s="757">
        <v>600</v>
      </c>
      <c r="B13" s="526">
        <v>0.03</v>
      </c>
      <c r="C13" s="526">
        <v>0.01</v>
      </c>
      <c r="D13" s="210">
        <v>-8.0000000000000002E-3</v>
      </c>
      <c r="E13" s="211">
        <f t="shared" si="0"/>
        <v>9.0000000000000011E-3</v>
      </c>
      <c r="F13" s="213">
        <v>0.12</v>
      </c>
      <c r="G13" s="885">
        <v>9</v>
      </c>
      <c r="H13" s="757">
        <v>600</v>
      </c>
      <c r="I13" s="567">
        <v>2E-3</v>
      </c>
      <c r="J13" s="567">
        <v>1E-3</v>
      </c>
      <c r="K13" s="886">
        <v>4.0000000000000001E-3</v>
      </c>
      <c r="L13" s="211">
        <f t="shared" si="1"/>
        <v>1.5E-3</v>
      </c>
      <c r="M13" s="213">
        <v>0.121</v>
      </c>
      <c r="N13" s="885">
        <v>9</v>
      </c>
      <c r="O13" s="209">
        <v>600</v>
      </c>
      <c r="P13" s="567">
        <v>-1E-3</v>
      </c>
      <c r="Q13" s="567">
        <v>1E-3</v>
      </c>
      <c r="R13" s="567">
        <v>0</v>
      </c>
      <c r="S13" s="211">
        <f t="shared" si="2"/>
        <v>5.0000000000000001E-4</v>
      </c>
      <c r="T13" s="7">
        <v>0.12</v>
      </c>
      <c r="V13" s="228"/>
      <c r="W13" s="228"/>
      <c r="X13" s="288"/>
      <c r="Y13" s="289"/>
      <c r="Z13" s="290"/>
      <c r="AA13" s="768"/>
      <c r="AB13" s="228"/>
      <c r="AC13" s="228"/>
      <c r="AD13" s="288"/>
      <c r="AE13" s="289"/>
      <c r="AF13" s="290"/>
    </row>
    <row r="14" spans="1:32" ht="12.75" customHeight="1" x14ac:dyDescent="0.25">
      <c r="A14" s="757">
        <v>900</v>
      </c>
      <c r="B14" s="526">
        <v>0.02</v>
      </c>
      <c r="C14" s="526">
        <v>0.01</v>
      </c>
      <c r="D14" s="210">
        <v>-8.0000000000000002E-3</v>
      </c>
      <c r="E14" s="211">
        <f t="shared" si="0"/>
        <v>9.0000000000000011E-3</v>
      </c>
      <c r="F14" s="213">
        <v>0.12</v>
      </c>
      <c r="G14" s="885">
        <v>10</v>
      </c>
      <c r="H14" s="757">
        <v>900</v>
      </c>
      <c r="I14" s="567">
        <v>1E-3</v>
      </c>
      <c r="J14" s="567">
        <v>0</v>
      </c>
      <c r="K14" s="887">
        <v>2E-3</v>
      </c>
      <c r="L14" s="211">
        <f t="shared" si="1"/>
        <v>1E-3</v>
      </c>
      <c r="M14" s="213">
        <v>0.121</v>
      </c>
      <c r="N14" s="885">
        <v>10</v>
      </c>
      <c r="O14" s="209">
        <v>900</v>
      </c>
      <c r="P14" s="567">
        <v>0</v>
      </c>
      <c r="Q14" s="567">
        <v>2E-3</v>
      </c>
      <c r="R14" s="567">
        <v>3.0000000000000001E-3</v>
      </c>
      <c r="S14" s="211">
        <f t="shared" si="2"/>
        <v>5.0000000000000001E-4</v>
      </c>
      <c r="T14" s="7">
        <v>0.12</v>
      </c>
      <c r="V14" s="228"/>
      <c r="W14" s="228"/>
      <c r="X14" s="288"/>
      <c r="Y14" s="289"/>
      <c r="Z14" s="290"/>
      <c r="AA14" s="768"/>
      <c r="AB14" s="228"/>
      <c r="AC14" s="228"/>
      <c r="AD14" s="288"/>
      <c r="AE14" s="289"/>
      <c r="AF14" s="290"/>
    </row>
    <row r="15" spans="1:32" ht="12.75" customHeight="1" x14ac:dyDescent="0.25">
      <c r="A15" s="757">
        <v>1200</v>
      </c>
      <c r="B15" s="526" t="s">
        <v>128</v>
      </c>
      <c r="C15" s="526" t="s">
        <v>128</v>
      </c>
      <c r="D15" s="210">
        <v>-1.2999999999999999E-2</v>
      </c>
      <c r="E15" s="211">
        <f>IFERROR(IF(OR(C15="-",D15="-"),1/3*F15,0.5*(MAX(C15:D15)-MIN(C15:D15))),0)</f>
        <v>3.9999999999999994E-2</v>
      </c>
      <c r="F15" s="213">
        <v>0.12</v>
      </c>
      <c r="G15" s="885">
        <v>11</v>
      </c>
      <c r="H15" s="757">
        <v>1200</v>
      </c>
      <c r="I15" s="567" t="s">
        <v>128</v>
      </c>
      <c r="J15" s="567" t="s">
        <v>128</v>
      </c>
      <c r="K15" s="886">
        <v>9.9999999999999995E-7</v>
      </c>
      <c r="L15" s="211">
        <f t="shared" si="1"/>
        <v>4.0333333333333332E-2</v>
      </c>
      <c r="M15" s="213">
        <v>0.121</v>
      </c>
      <c r="N15" s="885">
        <v>11</v>
      </c>
      <c r="O15" s="209">
        <v>1200</v>
      </c>
      <c r="P15" s="567" t="s">
        <v>128</v>
      </c>
      <c r="Q15" s="567" t="s">
        <v>128</v>
      </c>
      <c r="R15" s="567">
        <v>4.0000000000000001E-3</v>
      </c>
      <c r="S15" s="211">
        <f t="shared" si="2"/>
        <v>3.9999999999999994E-2</v>
      </c>
      <c r="T15" s="7">
        <v>0.12</v>
      </c>
      <c r="V15" s="228"/>
      <c r="W15" s="228"/>
      <c r="X15" s="288"/>
      <c r="Y15" s="289"/>
      <c r="Z15" s="290"/>
      <c r="AA15" s="768"/>
      <c r="AB15" s="228"/>
      <c r="AC15" s="228"/>
      <c r="AD15" s="288"/>
      <c r="AE15" s="289"/>
      <c r="AF15" s="290"/>
    </row>
    <row r="16" spans="1:32" ht="12.75" customHeight="1" x14ac:dyDescent="0.3">
      <c r="A16" s="1453"/>
      <c r="B16" s="1454"/>
      <c r="C16" s="1454"/>
      <c r="D16" s="1454"/>
      <c r="E16" s="1454"/>
      <c r="F16" s="1455"/>
      <c r="G16" s="772"/>
      <c r="H16" s="1456"/>
      <c r="I16" s="1457"/>
      <c r="J16" s="1457"/>
      <c r="K16" s="1457"/>
      <c r="L16" s="1457"/>
      <c r="M16" s="1458"/>
      <c r="N16" s="719"/>
      <c r="O16" s="1459"/>
      <c r="P16" s="1454"/>
      <c r="Q16" s="1454"/>
      <c r="R16" s="1454"/>
      <c r="S16" s="1454"/>
      <c r="T16" s="1460"/>
      <c r="V16" s="574"/>
      <c r="W16" s="574"/>
      <c r="X16" s="574"/>
      <c r="Y16" s="574"/>
      <c r="Z16" s="574"/>
      <c r="AA16" s="768"/>
      <c r="AB16" s="719"/>
      <c r="AC16" s="719"/>
      <c r="AD16" s="719"/>
      <c r="AE16" s="719"/>
      <c r="AF16" s="719"/>
    </row>
    <row r="17" spans="1:32" ht="15.75" customHeight="1" x14ac:dyDescent="0.3">
      <c r="A17" s="1489" t="s">
        <v>351</v>
      </c>
      <c r="B17" s="1490"/>
      <c r="C17" s="1449"/>
      <c r="D17" s="1449"/>
      <c r="E17" s="1446" t="s">
        <v>294</v>
      </c>
      <c r="F17" s="1447" t="str">
        <f>F2</f>
        <v>U95 STD</v>
      </c>
      <c r="G17" s="772"/>
      <c r="H17" s="1443" t="s">
        <v>352</v>
      </c>
      <c r="I17" s="1444"/>
      <c r="J17" s="1444"/>
      <c r="K17" s="1445"/>
      <c r="L17" s="1446" t="s">
        <v>294</v>
      </c>
      <c r="M17" s="1447" t="str">
        <f>F17</f>
        <v>U95 STD</v>
      </c>
      <c r="N17" s="719"/>
      <c r="O17" s="1443" t="s">
        <v>353</v>
      </c>
      <c r="P17" s="1444"/>
      <c r="Q17" s="1444"/>
      <c r="R17" s="1445"/>
      <c r="S17" s="1446" t="s">
        <v>294</v>
      </c>
      <c r="T17" s="1448" t="str">
        <f>M17</f>
        <v>U95 STD</v>
      </c>
      <c r="V17" s="765"/>
      <c r="W17" s="765"/>
      <c r="X17" s="765"/>
      <c r="Y17" s="766"/>
      <c r="Z17" s="767"/>
      <c r="AA17" s="768"/>
      <c r="AB17" s="765"/>
      <c r="AC17" s="765"/>
      <c r="AD17" s="765"/>
      <c r="AE17" s="766"/>
      <c r="AF17" s="767"/>
    </row>
    <row r="18" spans="1:32" ht="12.75" customHeight="1" x14ac:dyDescent="0.3">
      <c r="A18" s="770" t="str">
        <f>A3</f>
        <v>Timer</v>
      </c>
      <c r="B18" s="1450" t="s">
        <v>298</v>
      </c>
      <c r="C18" s="1451"/>
      <c r="D18" s="1452"/>
      <c r="E18" s="1446"/>
      <c r="F18" s="1447"/>
      <c r="G18" s="772"/>
      <c r="H18" s="649" t="str">
        <f>A18</f>
        <v>Timer</v>
      </c>
      <c r="I18" s="1450" t="s">
        <v>298</v>
      </c>
      <c r="J18" s="1451"/>
      <c r="K18" s="1452"/>
      <c r="L18" s="1446"/>
      <c r="M18" s="1447"/>
      <c r="N18" s="719"/>
      <c r="O18" s="649" t="str">
        <f>H18</f>
        <v>Timer</v>
      </c>
      <c r="P18" s="1450" t="s">
        <v>298</v>
      </c>
      <c r="Q18" s="1451"/>
      <c r="R18" s="1452"/>
      <c r="S18" s="1446"/>
      <c r="T18" s="1448"/>
      <c r="V18" s="573"/>
      <c r="W18" s="766"/>
      <c r="X18" s="766"/>
      <c r="Y18" s="766"/>
      <c r="Z18" s="767"/>
      <c r="AA18" s="768"/>
      <c r="AB18" s="573"/>
      <c r="AC18" s="766"/>
      <c r="AD18" s="766"/>
      <c r="AE18" s="766"/>
      <c r="AF18" s="767"/>
    </row>
    <row r="19" spans="1:32" ht="15" customHeight="1" x14ac:dyDescent="0.25">
      <c r="A19" s="773" t="str">
        <f>A4</f>
        <v>s</v>
      </c>
      <c r="B19" s="564">
        <v>2022</v>
      </c>
      <c r="C19" s="565">
        <v>2021</v>
      </c>
      <c r="D19" s="565">
        <v>2019</v>
      </c>
      <c r="E19" s="1446"/>
      <c r="F19" s="1447"/>
      <c r="G19" s="885" t="s">
        <v>0</v>
      </c>
      <c r="H19" s="619" t="str">
        <f>A19</f>
        <v>s</v>
      </c>
      <c r="I19" s="564">
        <v>2023</v>
      </c>
      <c r="J19" s="564">
        <v>2022</v>
      </c>
      <c r="K19" s="565">
        <v>2021</v>
      </c>
      <c r="L19" s="1446"/>
      <c r="M19" s="1447"/>
      <c r="N19" s="885" t="s">
        <v>0</v>
      </c>
      <c r="O19" s="619" t="str">
        <f>H19</f>
        <v>s</v>
      </c>
      <c r="P19" s="564">
        <v>2023</v>
      </c>
      <c r="Q19" s="564">
        <v>2022</v>
      </c>
      <c r="R19" s="565">
        <v>2021</v>
      </c>
      <c r="S19" s="1446"/>
      <c r="T19" s="1448"/>
      <c r="V19" s="774"/>
      <c r="W19" s="573"/>
      <c r="X19" s="573"/>
      <c r="Y19" s="766"/>
      <c r="Z19" s="767"/>
      <c r="AA19" s="768"/>
      <c r="AB19" s="774"/>
      <c r="AC19" s="573"/>
      <c r="AD19" s="573"/>
      <c r="AE19" s="766"/>
      <c r="AF19" s="767"/>
    </row>
    <row r="20" spans="1:32" ht="12.75" customHeight="1" x14ac:dyDescent="0.25">
      <c r="A20" s="757">
        <v>0</v>
      </c>
      <c r="B20" s="526" t="s">
        <v>128</v>
      </c>
      <c r="C20" s="210">
        <v>9.9999999999999995E-7</v>
      </c>
      <c r="D20" s="210">
        <v>9.9999999999999995E-7</v>
      </c>
      <c r="E20" s="211">
        <f>IFERROR(IF(OR(C20="-",D20="-"),1/3*F20,0.5*(MAX(C20:D20)-MIN(C20:D20))),0)</f>
        <v>0</v>
      </c>
      <c r="F20" s="213">
        <v>0.12</v>
      </c>
      <c r="G20" s="885">
        <v>1</v>
      </c>
      <c r="H20" s="757">
        <v>0</v>
      </c>
      <c r="I20" s="526">
        <v>0</v>
      </c>
      <c r="J20" s="526">
        <v>0</v>
      </c>
      <c r="K20" s="210">
        <v>9.9999999999999995E-7</v>
      </c>
      <c r="L20" s="211">
        <f>IFERROR(IF(OR(J20="-",K20="-"),1/3*M20,0.5*(MAX(J20:K20)-MIN(J20:K20))),0)</f>
        <v>4.9999999999999998E-7</v>
      </c>
      <c r="M20" s="213">
        <v>0</v>
      </c>
      <c r="N20" s="885">
        <v>1</v>
      </c>
      <c r="O20" s="757">
        <v>0</v>
      </c>
      <c r="P20" s="526">
        <v>0</v>
      </c>
      <c r="Q20" s="526">
        <v>0</v>
      </c>
      <c r="R20" s="210">
        <v>9.9999999999999995E-7</v>
      </c>
      <c r="S20" s="213">
        <f>IFERROR(IF(OR(Q20="-",R20="-"),1/3*T20,0.5*(MAX(Q20:R20)-MIN(Q20:R20))),0)</f>
        <v>4.9999999999999998E-7</v>
      </c>
      <c r="T20" s="7">
        <v>0</v>
      </c>
      <c r="V20" s="228"/>
      <c r="W20" s="228"/>
      <c r="X20" s="290"/>
      <c r="Y20" s="289"/>
      <c r="Z20" s="290"/>
      <c r="AA20" s="768"/>
      <c r="AB20" s="228"/>
      <c r="AC20" s="228"/>
      <c r="AD20" s="290"/>
      <c r="AE20" s="289"/>
      <c r="AF20" s="290"/>
    </row>
    <row r="21" spans="1:32" ht="12.75" customHeight="1" x14ac:dyDescent="0.25">
      <c r="A21" s="757">
        <v>60</v>
      </c>
      <c r="B21" s="526" t="s">
        <v>128</v>
      </c>
      <c r="C21" s="209">
        <v>-0.01</v>
      </c>
      <c r="D21" s="209">
        <v>2E-3</v>
      </c>
      <c r="E21" s="211">
        <f t="shared" ref="E21:E29" si="3">IFERROR(IF(OR(C21="-",D21="-"),1/3*F21,0.5*(MAX(C21:D21)-MIN(C21:D21))),0)</f>
        <v>6.0000000000000001E-3</v>
      </c>
      <c r="F21" s="213">
        <v>0.12</v>
      </c>
      <c r="G21" s="885">
        <v>2</v>
      </c>
      <c r="H21" s="209">
        <v>10</v>
      </c>
      <c r="I21" s="526">
        <v>0</v>
      </c>
      <c r="J21" s="526">
        <v>0.01</v>
      </c>
      <c r="K21" s="209">
        <v>-0.02</v>
      </c>
      <c r="L21" s="211">
        <f t="shared" ref="L21:L29" si="4">IFERROR(IF(OR(J21="-",K21="-"),1/3*M21,0.5*(MAX(J21:K21)-MIN(J21:K21))),0)</f>
        <v>1.4999999999999999E-2</v>
      </c>
      <c r="M21" s="213">
        <v>0.12</v>
      </c>
      <c r="N21" s="885">
        <v>2</v>
      </c>
      <c r="O21" s="209">
        <v>10</v>
      </c>
      <c r="P21" s="526">
        <v>-0.01</v>
      </c>
      <c r="Q21" s="526">
        <v>0</v>
      </c>
      <c r="R21" s="209" t="s">
        <v>128</v>
      </c>
      <c r="S21" s="213">
        <f t="shared" ref="S21:S30" si="5">IFERROR(IF(OR(Q21="-",R21="-"),1/3*T21,0.5*(MAX(Q21:R21)-MIN(Q21:R21))),0)</f>
        <v>3.9999999999999994E-2</v>
      </c>
      <c r="T21" s="213">
        <v>0.12</v>
      </c>
      <c r="V21" s="228"/>
      <c r="W21" s="228"/>
      <c r="X21" s="290"/>
      <c r="Y21" s="289"/>
      <c r="Z21" s="290"/>
      <c r="AA21" s="768"/>
      <c r="AB21" s="228"/>
      <c r="AC21" s="228"/>
      <c r="AD21" s="290"/>
      <c r="AE21" s="289"/>
      <c r="AF21" s="290"/>
    </row>
    <row r="22" spans="1:32" ht="12.75" customHeight="1" x14ac:dyDescent="0.25">
      <c r="A22" s="757">
        <v>60</v>
      </c>
      <c r="B22" s="526" t="s">
        <v>128</v>
      </c>
      <c r="C22" s="209">
        <v>-0.01</v>
      </c>
      <c r="D22" s="209">
        <v>2E-3</v>
      </c>
      <c r="E22" s="211">
        <f t="shared" si="3"/>
        <v>6.0000000000000001E-3</v>
      </c>
      <c r="F22" s="213">
        <v>0.12</v>
      </c>
      <c r="G22" s="885">
        <v>3</v>
      </c>
      <c r="H22" s="209">
        <v>20</v>
      </c>
      <c r="I22" s="526" t="s">
        <v>128</v>
      </c>
      <c r="J22" s="526" t="s">
        <v>128</v>
      </c>
      <c r="K22" s="209">
        <v>-0.02</v>
      </c>
      <c r="L22" s="211">
        <f t="shared" si="4"/>
        <v>3.9999999999999994E-2</v>
      </c>
      <c r="M22" s="213">
        <v>0.12</v>
      </c>
      <c r="N22" s="885">
        <v>3</v>
      </c>
      <c r="O22" s="209">
        <v>30</v>
      </c>
      <c r="P22" s="526">
        <v>0</v>
      </c>
      <c r="Q22" s="526">
        <v>0</v>
      </c>
      <c r="R22" s="209" t="s">
        <v>128</v>
      </c>
      <c r="S22" s="213">
        <f t="shared" si="5"/>
        <v>3.9999999999999994E-2</v>
      </c>
      <c r="T22" s="213">
        <v>0.12</v>
      </c>
      <c r="V22" s="228"/>
      <c r="W22" s="228"/>
      <c r="X22" s="290"/>
      <c r="Y22" s="289"/>
      <c r="Z22" s="290"/>
      <c r="AA22" s="768"/>
      <c r="AB22" s="228"/>
      <c r="AC22" s="228"/>
      <c r="AD22" s="290"/>
      <c r="AE22" s="289"/>
      <c r="AF22" s="290"/>
    </row>
    <row r="23" spans="1:32" ht="12.75" customHeight="1" x14ac:dyDescent="0.25">
      <c r="A23" s="757">
        <v>60</v>
      </c>
      <c r="B23" s="526" t="s">
        <v>128</v>
      </c>
      <c r="C23" s="209">
        <v>-0.01</v>
      </c>
      <c r="D23" s="209">
        <v>2E-3</v>
      </c>
      <c r="E23" s="211">
        <f t="shared" si="3"/>
        <v>6.0000000000000001E-3</v>
      </c>
      <c r="F23" s="213">
        <v>0.12</v>
      </c>
      <c r="G23" s="885">
        <v>4</v>
      </c>
      <c r="H23" s="209">
        <v>30</v>
      </c>
      <c r="I23" s="526">
        <v>-0.01</v>
      </c>
      <c r="J23" s="526">
        <v>0.01</v>
      </c>
      <c r="K23" s="209">
        <v>-0.02</v>
      </c>
      <c r="L23" s="211">
        <f t="shared" si="4"/>
        <v>1.4999999999999999E-2</v>
      </c>
      <c r="M23" s="213">
        <v>0.12</v>
      </c>
      <c r="N23" s="885">
        <v>4</v>
      </c>
      <c r="O23" s="209">
        <v>60</v>
      </c>
      <c r="P23" s="526">
        <v>-0.01</v>
      </c>
      <c r="Q23" s="526">
        <v>0</v>
      </c>
      <c r="R23" s="209">
        <v>0.01</v>
      </c>
      <c r="S23" s="213">
        <f t="shared" si="5"/>
        <v>5.0000000000000001E-3</v>
      </c>
      <c r="T23" s="213">
        <v>0.12</v>
      </c>
      <c r="V23" s="228"/>
      <c r="W23" s="228"/>
      <c r="X23" s="288"/>
      <c r="Y23" s="289"/>
      <c r="Z23" s="290"/>
      <c r="AA23" s="768"/>
      <c r="AB23" s="228"/>
      <c r="AC23" s="228"/>
      <c r="AD23" s="288"/>
      <c r="AE23" s="289"/>
      <c r="AF23" s="290"/>
    </row>
    <row r="24" spans="1:32" ht="12.75" customHeight="1" x14ac:dyDescent="0.25">
      <c r="A24" s="757">
        <v>60</v>
      </c>
      <c r="B24" s="526" t="s">
        <v>128</v>
      </c>
      <c r="C24" s="209">
        <v>-0.01</v>
      </c>
      <c r="D24" s="209">
        <v>2E-3</v>
      </c>
      <c r="E24" s="211">
        <f t="shared" si="3"/>
        <v>6.0000000000000001E-3</v>
      </c>
      <c r="F24" s="213">
        <v>0.12</v>
      </c>
      <c r="G24" s="885">
        <v>5</v>
      </c>
      <c r="H24" s="209">
        <v>40</v>
      </c>
      <c r="I24" s="526" t="s">
        <v>128</v>
      </c>
      <c r="J24" s="526" t="s">
        <v>128</v>
      </c>
      <c r="K24" s="209">
        <v>-0.02</v>
      </c>
      <c r="L24" s="211">
        <f t="shared" si="4"/>
        <v>3.9999999999999994E-2</v>
      </c>
      <c r="M24" s="213">
        <v>0.12</v>
      </c>
      <c r="N24" s="885">
        <v>5</v>
      </c>
      <c r="O24" s="209">
        <v>60</v>
      </c>
      <c r="P24" s="526">
        <v>-0.01</v>
      </c>
      <c r="Q24" s="526">
        <v>0</v>
      </c>
      <c r="R24" s="209">
        <v>0.01</v>
      </c>
      <c r="S24" s="213">
        <f t="shared" si="5"/>
        <v>5.0000000000000001E-3</v>
      </c>
      <c r="T24" s="213">
        <v>0.12</v>
      </c>
      <c r="V24" s="228"/>
      <c r="W24" s="228"/>
      <c r="X24" s="288"/>
      <c r="Y24" s="289"/>
      <c r="Z24" s="290"/>
      <c r="AA24" s="768"/>
      <c r="AB24" s="228"/>
      <c r="AC24" s="228"/>
      <c r="AD24" s="288"/>
      <c r="AE24" s="289"/>
      <c r="AF24" s="290"/>
    </row>
    <row r="25" spans="1:32" ht="12.75" customHeight="1" x14ac:dyDescent="0.25">
      <c r="A25" s="757">
        <v>60</v>
      </c>
      <c r="B25" s="526" t="s">
        <v>128</v>
      </c>
      <c r="C25" s="209">
        <v>-0.01</v>
      </c>
      <c r="D25" s="209">
        <v>2E-3</v>
      </c>
      <c r="E25" s="211">
        <f t="shared" si="3"/>
        <v>6.0000000000000001E-3</v>
      </c>
      <c r="F25" s="213">
        <v>0.12</v>
      </c>
      <c r="G25" s="885">
        <v>6</v>
      </c>
      <c r="H25" s="209">
        <v>50</v>
      </c>
      <c r="I25" s="526" t="s">
        <v>128</v>
      </c>
      <c r="J25" s="526" t="s">
        <v>128</v>
      </c>
      <c r="K25" s="209">
        <v>-0.02</v>
      </c>
      <c r="L25" s="211">
        <f t="shared" si="4"/>
        <v>3.9999999999999994E-2</v>
      </c>
      <c r="M25" s="213">
        <v>0.12</v>
      </c>
      <c r="N25" s="885">
        <v>6</v>
      </c>
      <c r="O25" s="209">
        <v>60</v>
      </c>
      <c r="P25" s="526">
        <v>-0.01</v>
      </c>
      <c r="Q25" s="526">
        <v>0</v>
      </c>
      <c r="R25" s="209">
        <v>0.01</v>
      </c>
      <c r="S25" s="213">
        <f t="shared" si="5"/>
        <v>5.0000000000000001E-3</v>
      </c>
      <c r="T25" s="213">
        <v>0.12</v>
      </c>
      <c r="V25" s="228"/>
      <c r="W25" s="228"/>
      <c r="X25" s="288"/>
      <c r="Y25" s="289"/>
      <c r="Z25" s="290"/>
      <c r="AA25" s="768"/>
      <c r="AB25" s="228"/>
      <c r="AC25" s="228"/>
      <c r="AD25" s="288"/>
      <c r="AE25" s="289"/>
      <c r="AF25" s="290"/>
    </row>
    <row r="26" spans="1:32" ht="12.75" customHeight="1" x14ac:dyDescent="0.25">
      <c r="A26" s="757">
        <v>60</v>
      </c>
      <c r="B26" s="526" t="s">
        <v>128</v>
      </c>
      <c r="C26" s="209">
        <v>-0.01</v>
      </c>
      <c r="D26" s="209">
        <v>2E-3</v>
      </c>
      <c r="E26" s="211">
        <f t="shared" si="3"/>
        <v>6.0000000000000001E-3</v>
      </c>
      <c r="F26" s="213">
        <v>0.12</v>
      </c>
      <c r="G26" s="885">
        <v>7</v>
      </c>
      <c r="H26" s="209">
        <v>60</v>
      </c>
      <c r="I26" s="526">
        <v>-0.01</v>
      </c>
      <c r="J26" s="526">
        <v>0.01</v>
      </c>
      <c r="K26" s="209">
        <v>-0.03</v>
      </c>
      <c r="L26" s="211">
        <f t="shared" si="4"/>
        <v>0.02</v>
      </c>
      <c r="M26" s="213">
        <v>0.12</v>
      </c>
      <c r="N26" s="885">
        <v>7</v>
      </c>
      <c r="O26" s="209">
        <v>60</v>
      </c>
      <c r="P26" s="526">
        <v>-0.01</v>
      </c>
      <c r="Q26" s="526">
        <v>0</v>
      </c>
      <c r="R26" s="209">
        <v>0.01</v>
      </c>
      <c r="S26" s="213">
        <f t="shared" si="5"/>
        <v>5.0000000000000001E-3</v>
      </c>
      <c r="T26" s="213">
        <v>0.12</v>
      </c>
      <c r="V26" s="228"/>
      <c r="W26" s="228"/>
      <c r="X26" s="288"/>
      <c r="Y26" s="289"/>
      <c r="Z26" s="290"/>
      <c r="AA26" s="768"/>
      <c r="AB26" s="228"/>
      <c r="AC26" s="228"/>
      <c r="AD26" s="288"/>
      <c r="AE26" s="289"/>
      <c r="AF26" s="290"/>
    </row>
    <row r="27" spans="1:32" ht="12.75" customHeight="1" x14ac:dyDescent="0.25">
      <c r="A27" s="757">
        <v>300</v>
      </c>
      <c r="B27" s="526" t="s">
        <v>128</v>
      </c>
      <c r="C27" s="209">
        <v>-0.01</v>
      </c>
      <c r="D27" s="209">
        <v>1E-3</v>
      </c>
      <c r="E27" s="211">
        <f t="shared" si="3"/>
        <v>5.4999999999999997E-3</v>
      </c>
      <c r="F27" s="213">
        <v>0.12</v>
      </c>
      <c r="G27" s="885">
        <v>8</v>
      </c>
      <c r="H27" s="209">
        <v>300</v>
      </c>
      <c r="I27" s="526">
        <v>0</v>
      </c>
      <c r="J27" s="526">
        <v>0.01</v>
      </c>
      <c r="K27" s="209">
        <v>-0.02</v>
      </c>
      <c r="L27" s="211">
        <f>IFERROR(IF(OR(J27="-",K27="-"),1/3*M27,0.5*(MAX(J27:K27)-MIN(J27:K27))),0)</f>
        <v>1.4999999999999999E-2</v>
      </c>
      <c r="M27" s="213">
        <v>0.12</v>
      </c>
      <c r="N27" s="885">
        <v>8</v>
      </c>
      <c r="O27" s="209">
        <v>300</v>
      </c>
      <c r="P27" s="526">
        <v>-0.01</v>
      </c>
      <c r="Q27" s="526">
        <v>0</v>
      </c>
      <c r="R27" s="209">
        <v>0.01</v>
      </c>
      <c r="S27" s="213">
        <f t="shared" si="5"/>
        <v>5.0000000000000001E-3</v>
      </c>
      <c r="T27" s="213">
        <v>0.12</v>
      </c>
      <c r="V27" s="228"/>
      <c r="W27" s="228"/>
      <c r="X27" s="288"/>
      <c r="Y27" s="228"/>
      <c r="Z27" s="228"/>
      <c r="AA27" s="768"/>
      <c r="AB27" s="228"/>
      <c r="AC27" s="228"/>
      <c r="AD27" s="288"/>
      <c r="AE27" s="228"/>
      <c r="AF27" s="228"/>
    </row>
    <row r="28" spans="1:32" ht="12.75" customHeight="1" x14ac:dyDescent="0.25">
      <c r="A28" s="757">
        <v>600</v>
      </c>
      <c r="B28" s="526" t="s">
        <v>128</v>
      </c>
      <c r="C28" s="209">
        <v>0.03</v>
      </c>
      <c r="D28" s="209">
        <v>6.0000000000000001E-3</v>
      </c>
      <c r="E28" s="211">
        <f t="shared" si="3"/>
        <v>1.2E-2</v>
      </c>
      <c r="F28" s="213">
        <v>0.12</v>
      </c>
      <c r="G28" s="885">
        <v>9</v>
      </c>
      <c r="H28" s="209">
        <v>600</v>
      </c>
      <c r="I28" s="526">
        <v>-0.01</v>
      </c>
      <c r="J28" s="526">
        <v>0.01</v>
      </c>
      <c r="K28" s="209">
        <v>-0.03</v>
      </c>
      <c r="L28" s="211">
        <f t="shared" si="4"/>
        <v>0.02</v>
      </c>
      <c r="M28" s="213">
        <v>0.12</v>
      </c>
      <c r="N28" s="885">
        <v>9</v>
      </c>
      <c r="O28" s="209">
        <v>600</v>
      </c>
      <c r="P28" s="526">
        <v>0</v>
      </c>
      <c r="Q28" s="526">
        <v>0</v>
      </c>
      <c r="R28" s="209">
        <v>0.01</v>
      </c>
      <c r="S28" s="213">
        <f t="shared" si="5"/>
        <v>5.0000000000000001E-3</v>
      </c>
      <c r="T28" s="213">
        <v>0.12</v>
      </c>
      <c r="V28" s="228"/>
      <c r="W28" s="228"/>
      <c r="X28" s="288"/>
      <c r="Y28" s="228"/>
      <c r="Z28" s="228"/>
      <c r="AA28" s="778"/>
      <c r="AB28" s="228"/>
      <c r="AC28" s="228"/>
      <c r="AD28" s="288"/>
      <c r="AE28" s="228"/>
      <c r="AF28" s="228"/>
    </row>
    <row r="29" spans="1:32" ht="12.75" customHeight="1" x14ac:dyDescent="0.25">
      <c r="A29" s="757">
        <v>900</v>
      </c>
      <c r="B29" s="526" t="s">
        <v>128</v>
      </c>
      <c r="C29" s="209">
        <v>0.03</v>
      </c>
      <c r="D29" s="209">
        <v>6.0000000000000001E-3</v>
      </c>
      <c r="E29" s="211">
        <f t="shared" si="3"/>
        <v>1.2E-2</v>
      </c>
      <c r="F29" s="213">
        <v>0.12</v>
      </c>
      <c r="G29" s="885">
        <v>10</v>
      </c>
      <c r="H29" s="209">
        <v>900</v>
      </c>
      <c r="I29" s="526">
        <v>0</v>
      </c>
      <c r="J29" s="526">
        <v>-0.02</v>
      </c>
      <c r="K29" s="209" t="s">
        <v>128</v>
      </c>
      <c r="L29" s="211">
        <f t="shared" si="4"/>
        <v>3.9999999999999994E-2</v>
      </c>
      <c r="M29" s="213">
        <v>0.12</v>
      </c>
      <c r="N29" s="885">
        <v>10</v>
      </c>
      <c r="O29" s="209">
        <v>900</v>
      </c>
      <c r="P29" s="526">
        <v>0</v>
      </c>
      <c r="Q29" s="526">
        <v>0</v>
      </c>
      <c r="R29" s="210">
        <v>0.02</v>
      </c>
      <c r="S29" s="213">
        <f t="shared" si="5"/>
        <v>0.01</v>
      </c>
      <c r="T29" s="213">
        <v>0.12</v>
      </c>
      <c r="V29" s="228"/>
      <c r="W29" s="228"/>
      <c r="X29" s="288"/>
      <c r="Y29" s="228"/>
      <c r="Z29" s="228"/>
      <c r="AA29" s="778"/>
      <c r="AB29" s="228"/>
      <c r="AC29" s="228"/>
      <c r="AD29" s="288"/>
      <c r="AE29" s="228"/>
      <c r="AF29" s="228"/>
    </row>
    <row r="30" spans="1:32" ht="12.75" customHeight="1" x14ac:dyDescent="0.25">
      <c r="A30" s="757">
        <v>1200</v>
      </c>
      <c r="B30" s="526" t="s">
        <v>128</v>
      </c>
      <c r="C30" s="209">
        <v>0.05</v>
      </c>
      <c r="D30" s="209" t="s">
        <v>128</v>
      </c>
      <c r="E30" s="211">
        <f>IFERROR(IF(OR(C30="-",D30="-"),1/3*F30,0.5*(MAX(C30:D30)-MIN(C30:D30))),0)</f>
        <v>3.9999999999999994E-2</v>
      </c>
      <c r="F30" s="213">
        <v>0.12</v>
      </c>
      <c r="G30" s="885">
        <v>11</v>
      </c>
      <c r="H30" s="209">
        <v>1200</v>
      </c>
      <c r="I30" s="526" t="s">
        <v>128</v>
      </c>
      <c r="J30" s="526" t="s">
        <v>128</v>
      </c>
      <c r="K30" s="209" t="s">
        <v>128</v>
      </c>
      <c r="L30" s="211">
        <f>IFERROR(IF(OR(J30="-",K30="-"),1/3*M30,0.5*(MAX(J30:K30)-MIN(J30:K30))),0)</f>
        <v>3.9999999999999994E-2</v>
      </c>
      <c r="M30" s="213">
        <v>0.12</v>
      </c>
      <c r="N30" s="885">
        <v>11</v>
      </c>
      <c r="O30" s="209">
        <v>1200</v>
      </c>
      <c r="P30" s="526" t="s">
        <v>128</v>
      </c>
      <c r="Q30" s="526" t="s">
        <v>128</v>
      </c>
      <c r="R30" s="210">
        <v>0.02</v>
      </c>
      <c r="S30" s="213">
        <f t="shared" si="5"/>
        <v>3.9999999999999994E-2</v>
      </c>
      <c r="T30" s="213">
        <v>0.12</v>
      </c>
      <c r="V30" s="228"/>
      <c r="W30" s="228"/>
      <c r="X30" s="288"/>
      <c r="Y30" s="228"/>
      <c r="Z30" s="228"/>
      <c r="AA30" s="778"/>
      <c r="AB30" s="228"/>
      <c r="AC30" s="228"/>
      <c r="AD30" s="288"/>
      <c r="AE30" s="228"/>
      <c r="AF30" s="228"/>
    </row>
    <row r="31" spans="1:32" ht="12.75" customHeight="1" x14ac:dyDescent="0.25">
      <c r="A31" s="227"/>
      <c r="B31" s="228"/>
      <c r="C31" s="228"/>
      <c r="D31" s="228"/>
      <c r="E31" s="228"/>
      <c r="F31" s="228"/>
      <c r="G31" s="228"/>
      <c r="H31" s="228"/>
      <c r="I31" s="228"/>
      <c r="J31" s="228"/>
      <c r="K31" s="228"/>
      <c r="L31" s="228"/>
      <c r="M31" s="228"/>
      <c r="N31" s="291"/>
      <c r="O31" s="888"/>
      <c r="P31" s="574"/>
      <c r="Q31" s="574"/>
      <c r="R31" s="574"/>
      <c r="S31" s="574"/>
      <c r="T31" s="653"/>
      <c r="V31" s="228"/>
      <c r="W31" s="228"/>
      <c r="X31" s="228"/>
      <c r="Y31" s="228"/>
      <c r="Z31" s="228"/>
      <c r="AA31" s="228"/>
      <c r="AB31" s="228"/>
      <c r="AC31" s="228"/>
      <c r="AD31" s="228"/>
      <c r="AE31" s="228"/>
      <c r="AF31" s="228"/>
    </row>
    <row r="32" spans="1:32" ht="13" x14ac:dyDescent="0.3">
      <c r="A32" s="779"/>
      <c r="B32" s="686"/>
      <c r="C32" s="686"/>
      <c r="D32" s="686"/>
      <c r="E32" s="686"/>
      <c r="F32" s="686"/>
      <c r="G32" s="686"/>
      <c r="H32" s="686"/>
      <c r="I32" s="686"/>
      <c r="J32" s="686"/>
      <c r="K32" s="686"/>
      <c r="L32" s="686"/>
      <c r="M32" s="686"/>
      <c r="N32" s="686"/>
      <c r="O32" s="686"/>
      <c r="P32" s="686"/>
      <c r="Q32" s="686"/>
      <c r="R32" s="686"/>
      <c r="S32" s="686"/>
      <c r="T32" s="780"/>
      <c r="V32" s="574"/>
      <c r="W32" s="574"/>
      <c r="X32" s="574"/>
      <c r="Y32" s="574"/>
      <c r="Z32" s="574"/>
      <c r="AA32" s="574"/>
      <c r="AB32" s="574"/>
      <c r="AC32" s="574"/>
      <c r="AD32" s="574"/>
      <c r="AE32" s="574"/>
      <c r="AF32" s="574"/>
    </row>
    <row r="33" spans="1:32" ht="15.75" customHeight="1" x14ac:dyDescent="0.3">
      <c r="A33" s="1488" t="s">
        <v>354</v>
      </c>
      <c r="B33" s="1444"/>
      <c r="C33" s="1444"/>
      <c r="D33" s="1445"/>
      <c r="E33" s="1446" t="s">
        <v>294</v>
      </c>
      <c r="F33" s="1447" t="str">
        <f>F17</f>
        <v>U95 STD</v>
      </c>
      <c r="G33" s="764"/>
      <c r="H33" s="1443" t="s">
        <v>355</v>
      </c>
      <c r="I33" s="1444"/>
      <c r="J33" s="1444"/>
      <c r="K33" s="1445"/>
      <c r="L33" s="1446" t="s">
        <v>294</v>
      </c>
      <c r="M33" s="1447" t="str">
        <f>F33</f>
        <v>U95 STD</v>
      </c>
      <c r="N33" s="686"/>
      <c r="O33" s="1488" t="s">
        <v>356</v>
      </c>
      <c r="P33" s="1444"/>
      <c r="Q33" s="1444"/>
      <c r="R33" s="1445"/>
      <c r="S33" s="1446" t="s">
        <v>294</v>
      </c>
      <c r="T33" s="1447" t="str">
        <f>F33</f>
        <v>U95 STD</v>
      </c>
      <c r="V33" s="765"/>
      <c r="W33" s="765"/>
      <c r="X33" s="765"/>
      <c r="Y33" s="766"/>
      <c r="Z33" s="767"/>
      <c r="AA33" s="768"/>
      <c r="AB33" s="769"/>
      <c r="AC33" s="769"/>
      <c r="AD33" s="769"/>
      <c r="AE33" s="766"/>
      <c r="AF33" s="767"/>
    </row>
    <row r="34" spans="1:32" ht="12.75" customHeight="1" x14ac:dyDescent="0.3">
      <c r="A34" s="770" t="str">
        <f>A18</f>
        <v>Timer</v>
      </c>
      <c r="B34" s="1450" t="s">
        <v>298</v>
      </c>
      <c r="C34" s="1451"/>
      <c r="D34" s="1452"/>
      <c r="E34" s="1446"/>
      <c r="F34" s="1447"/>
      <c r="G34" s="772"/>
      <c r="H34" s="649" t="str">
        <f>A34</f>
        <v>Timer</v>
      </c>
      <c r="I34" s="1450" t="s">
        <v>298</v>
      </c>
      <c r="J34" s="1451"/>
      <c r="K34" s="1452"/>
      <c r="L34" s="1446"/>
      <c r="M34" s="1447"/>
      <c r="N34" s="686"/>
      <c r="O34" s="770" t="str">
        <f>A34</f>
        <v>Timer</v>
      </c>
      <c r="P34" s="1450" t="s">
        <v>298</v>
      </c>
      <c r="Q34" s="1451"/>
      <c r="R34" s="1452"/>
      <c r="S34" s="1446"/>
      <c r="T34" s="1447"/>
      <c r="V34" s="573"/>
      <c r="W34" s="766"/>
      <c r="X34" s="766"/>
      <c r="Y34" s="766"/>
      <c r="Z34" s="767"/>
      <c r="AA34" s="768"/>
      <c r="AB34" s="573"/>
      <c r="AC34" s="766"/>
      <c r="AD34" s="766"/>
      <c r="AE34" s="766"/>
      <c r="AF34" s="767"/>
    </row>
    <row r="35" spans="1:32" ht="15" customHeight="1" x14ac:dyDescent="0.25">
      <c r="A35" s="773" t="str">
        <f>A19</f>
        <v>s</v>
      </c>
      <c r="B35" s="564">
        <v>2023</v>
      </c>
      <c r="C35" s="564">
        <v>2022</v>
      </c>
      <c r="D35" s="565">
        <v>2021</v>
      </c>
      <c r="E35" s="1446"/>
      <c r="F35" s="1447"/>
      <c r="G35" s="885" t="s">
        <v>0</v>
      </c>
      <c r="H35" s="619" t="str">
        <f>A35</f>
        <v>s</v>
      </c>
      <c r="I35" s="564">
        <v>2023</v>
      </c>
      <c r="J35" s="564">
        <v>2022</v>
      </c>
      <c r="K35" s="565">
        <v>2020</v>
      </c>
      <c r="L35" s="1446"/>
      <c r="M35" s="1447"/>
      <c r="N35" s="885" t="s">
        <v>0</v>
      </c>
      <c r="O35" s="773" t="str">
        <f>A35</f>
        <v>s</v>
      </c>
      <c r="P35" s="564">
        <v>2022</v>
      </c>
      <c r="Q35" s="565">
        <v>2021</v>
      </c>
      <c r="R35" s="565">
        <v>2020</v>
      </c>
      <c r="S35" s="1446"/>
      <c r="T35" s="1447"/>
      <c r="V35" s="774"/>
      <c r="W35" s="573"/>
      <c r="X35" s="775"/>
      <c r="Y35" s="766"/>
      <c r="Z35" s="767"/>
      <c r="AA35" s="768"/>
      <c r="AB35" s="774"/>
      <c r="AC35" s="573"/>
      <c r="AD35" s="573"/>
      <c r="AE35" s="766"/>
      <c r="AF35" s="767"/>
    </row>
    <row r="36" spans="1:32" ht="12.75" customHeight="1" x14ac:dyDescent="0.25">
      <c r="A36" s="757">
        <v>0</v>
      </c>
      <c r="B36" s="526">
        <v>0</v>
      </c>
      <c r="C36" s="526">
        <v>0</v>
      </c>
      <c r="D36" s="210">
        <v>9.9999999999999995E-7</v>
      </c>
      <c r="E36" s="211">
        <f>IFERROR(IF(OR(C36="-",D36="-"),1/3*F36,0.5*(MAX(C36:D36)-MIN(C36:D36))),0)</f>
        <v>4.9999999999999998E-7</v>
      </c>
      <c r="F36" s="213">
        <v>0</v>
      </c>
      <c r="G36" s="885">
        <v>1</v>
      </c>
      <c r="H36" s="757">
        <v>0</v>
      </c>
      <c r="I36" s="526">
        <v>0</v>
      </c>
      <c r="J36" s="526">
        <v>0</v>
      </c>
      <c r="K36" s="210">
        <v>9.9999999999999995E-7</v>
      </c>
      <c r="L36" s="211">
        <f>IFERROR(IF(OR(J36="-",K36="-"),1/3*M36,0.5*(MAX(J36:K36)-MIN(J36:K36))),0)</f>
        <v>4.9999999999999998E-7</v>
      </c>
      <c r="M36" s="213">
        <v>0</v>
      </c>
      <c r="N36" s="885">
        <v>1</v>
      </c>
      <c r="O36" s="757">
        <v>0</v>
      </c>
      <c r="P36" s="526">
        <v>0</v>
      </c>
      <c r="Q36" s="210">
        <v>9.9999999999999995E-7</v>
      </c>
      <c r="R36" s="210">
        <v>9.9999999999999995E-7</v>
      </c>
      <c r="S36" s="211">
        <f>IFERROR(IF(OR(Q36="-",R36="-"),1/3*T36,0.5*(MAX(Q36:R36)-MIN(Q36:R36))),0)</f>
        <v>0</v>
      </c>
      <c r="T36" s="213">
        <v>0</v>
      </c>
      <c r="V36" s="228"/>
      <c r="W36" s="228"/>
      <c r="X36" s="288"/>
      <c r="Y36" s="289"/>
      <c r="Z36" s="290"/>
      <c r="AA36" s="768"/>
      <c r="AB36" s="228"/>
      <c r="AC36" s="228"/>
      <c r="AD36" s="290"/>
      <c r="AE36" s="289"/>
      <c r="AF36" s="290"/>
    </row>
    <row r="37" spans="1:32" ht="12.75" customHeight="1" x14ac:dyDescent="0.25">
      <c r="A37" s="209">
        <v>10</v>
      </c>
      <c r="B37" s="526">
        <v>-0.05</v>
      </c>
      <c r="C37" s="526">
        <v>-0.01</v>
      </c>
      <c r="D37" s="209" t="s">
        <v>128</v>
      </c>
      <c r="E37" s="211">
        <f>IFERROR(IF(OR(C37="-",D37="-"),1/3*F37,0.5*(MAX(C37:D37)-MIN(C37:D37))),0)</f>
        <v>3.9999999999999994E-2</v>
      </c>
      <c r="F37" s="213">
        <v>0.12</v>
      </c>
      <c r="G37" s="885">
        <v>2</v>
      </c>
      <c r="H37" s="209">
        <v>10</v>
      </c>
      <c r="I37" s="526">
        <v>-0.01</v>
      </c>
      <c r="J37" s="526">
        <v>0.01</v>
      </c>
      <c r="K37" s="209" t="s">
        <v>128</v>
      </c>
      <c r="L37" s="211">
        <f t="shared" ref="L37:L45" si="6">IFERROR(IF(OR(J37="-",K37="-"),1/3*M37,0.5*(MAX(J37:K37)-MIN(J37:K37))),0)</f>
        <v>3.9999999999999994E-2</v>
      </c>
      <c r="M37" s="213">
        <v>0.12</v>
      </c>
      <c r="N37" s="885">
        <v>2</v>
      </c>
      <c r="O37" s="209">
        <v>10</v>
      </c>
      <c r="P37" s="526">
        <v>0</v>
      </c>
      <c r="Q37" s="209" t="s">
        <v>128</v>
      </c>
      <c r="R37" s="209" t="s">
        <v>128</v>
      </c>
      <c r="S37" s="211">
        <f t="shared" ref="S37:S45" si="7">IFERROR(IF(OR(Q37="-",R37="-"),1/3*T37,0.5*(MAX(Q37:R37)-MIN(Q37:R37))),0)</f>
        <v>3.9999999999999994E-2</v>
      </c>
      <c r="T37" s="213">
        <v>0.12</v>
      </c>
      <c r="V37" s="228"/>
      <c r="W37" s="228"/>
      <c r="X37" s="290"/>
      <c r="Y37" s="289"/>
      <c r="Z37" s="290"/>
      <c r="AA37" s="768"/>
      <c r="AB37" s="228"/>
      <c r="AC37" s="228"/>
      <c r="AD37" s="290"/>
      <c r="AE37" s="289"/>
      <c r="AF37" s="290"/>
    </row>
    <row r="38" spans="1:32" ht="12.75" customHeight="1" x14ac:dyDescent="0.25">
      <c r="A38" s="209">
        <v>30</v>
      </c>
      <c r="B38" s="526">
        <v>-0.04</v>
      </c>
      <c r="C38" s="526">
        <v>0.01</v>
      </c>
      <c r="D38" s="209" t="s">
        <v>128</v>
      </c>
      <c r="E38" s="211">
        <f t="shared" ref="E38:E45" si="8">IFERROR(IF(OR(C38="-",D38="-"),1/3*F38,0.5*(MAX(C38:D38)-MIN(C38:D38))),0)</f>
        <v>3.9999999999999994E-2</v>
      </c>
      <c r="F38" s="213">
        <v>0.12</v>
      </c>
      <c r="G38" s="885">
        <v>3</v>
      </c>
      <c r="H38" s="209">
        <v>30</v>
      </c>
      <c r="I38" s="526">
        <v>0</v>
      </c>
      <c r="J38" s="526">
        <v>0.01</v>
      </c>
      <c r="K38" s="209" t="s">
        <v>128</v>
      </c>
      <c r="L38" s="211">
        <f t="shared" si="6"/>
        <v>3.9999999999999994E-2</v>
      </c>
      <c r="M38" s="213">
        <v>0.12</v>
      </c>
      <c r="N38" s="885">
        <v>3</v>
      </c>
      <c r="O38" s="209">
        <v>30</v>
      </c>
      <c r="P38" s="526">
        <v>0.01</v>
      </c>
      <c r="Q38" s="209" t="s">
        <v>128</v>
      </c>
      <c r="R38" s="209" t="s">
        <v>128</v>
      </c>
      <c r="S38" s="211">
        <f t="shared" si="7"/>
        <v>3.9999999999999994E-2</v>
      </c>
      <c r="T38" s="213">
        <v>0.12</v>
      </c>
      <c r="V38" s="228"/>
      <c r="W38" s="228"/>
      <c r="X38" s="290"/>
      <c r="Y38" s="289"/>
      <c r="Z38" s="290"/>
      <c r="AA38" s="768"/>
      <c r="AB38" s="228"/>
      <c r="AC38" s="228"/>
      <c r="AD38" s="290"/>
      <c r="AE38" s="289"/>
      <c r="AF38" s="290"/>
    </row>
    <row r="39" spans="1:32" ht="12.75" customHeight="1" x14ac:dyDescent="0.25">
      <c r="A39" s="209">
        <v>60</v>
      </c>
      <c r="B39" s="526">
        <v>-0.05</v>
      </c>
      <c r="C39" s="526">
        <v>-0.02</v>
      </c>
      <c r="D39" s="226">
        <v>0.03</v>
      </c>
      <c r="E39" s="211">
        <f t="shared" si="8"/>
        <v>2.5000000000000001E-2</v>
      </c>
      <c r="F39" s="213">
        <v>0.12</v>
      </c>
      <c r="G39" s="885">
        <v>4</v>
      </c>
      <c r="H39" s="209">
        <v>60</v>
      </c>
      <c r="I39" s="526">
        <v>-0.02</v>
      </c>
      <c r="J39" s="526">
        <v>0</v>
      </c>
      <c r="K39" s="226">
        <v>0.01</v>
      </c>
      <c r="L39" s="211">
        <f t="shared" si="6"/>
        <v>5.0000000000000001E-3</v>
      </c>
      <c r="M39" s="213">
        <v>0.12</v>
      </c>
      <c r="N39" s="885">
        <v>4</v>
      </c>
      <c r="O39" s="209">
        <v>60</v>
      </c>
      <c r="P39" s="526">
        <v>0.01</v>
      </c>
      <c r="Q39" s="226">
        <v>0.02</v>
      </c>
      <c r="R39" s="226">
        <v>-0.01</v>
      </c>
      <c r="S39" s="211">
        <f t="shared" si="7"/>
        <v>1.4999999999999999E-2</v>
      </c>
      <c r="T39" s="213">
        <v>0.12</v>
      </c>
      <c r="V39" s="228"/>
      <c r="W39" s="228"/>
      <c r="X39" s="288"/>
      <c r="Y39" s="289"/>
      <c r="Z39" s="290"/>
      <c r="AA39" s="768"/>
      <c r="AB39" s="228"/>
      <c r="AC39" s="228"/>
      <c r="AD39" s="288"/>
      <c r="AE39" s="289"/>
      <c r="AF39" s="290"/>
    </row>
    <row r="40" spans="1:32" ht="12.75" customHeight="1" x14ac:dyDescent="0.25">
      <c r="A40" s="209">
        <v>60</v>
      </c>
      <c r="B40" s="526">
        <v>-0.05</v>
      </c>
      <c r="C40" s="526">
        <v>-0.02</v>
      </c>
      <c r="D40" s="226">
        <v>0.03</v>
      </c>
      <c r="E40" s="211">
        <f t="shared" si="8"/>
        <v>2.5000000000000001E-2</v>
      </c>
      <c r="F40" s="213">
        <v>0.12</v>
      </c>
      <c r="G40" s="885">
        <v>5</v>
      </c>
      <c r="H40" s="209">
        <v>60</v>
      </c>
      <c r="I40" s="526">
        <v>-0.02</v>
      </c>
      <c r="J40" s="526">
        <v>0</v>
      </c>
      <c r="K40" s="226">
        <v>0.01</v>
      </c>
      <c r="L40" s="211">
        <f t="shared" si="6"/>
        <v>5.0000000000000001E-3</v>
      </c>
      <c r="M40" s="213">
        <v>0.12</v>
      </c>
      <c r="N40" s="885">
        <v>5</v>
      </c>
      <c r="O40" s="209">
        <v>60</v>
      </c>
      <c r="P40" s="526">
        <v>0.01</v>
      </c>
      <c r="Q40" s="226">
        <v>0.02</v>
      </c>
      <c r="R40" s="226">
        <v>-0.01</v>
      </c>
      <c r="S40" s="211">
        <f t="shared" si="7"/>
        <v>1.4999999999999999E-2</v>
      </c>
      <c r="T40" s="213">
        <v>0.12</v>
      </c>
      <c r="V40" s="228"/>
      <c r="W40" s="228"/>
      <c r="X40" s="288"/>
      <c r="Y40" s="289"/>
      <c r="Z40" s="290"/>
      <c r="AA40" s="768"/>
      <c r="AB40" s="228"/>
      <c r="AC40" s="228"/>
      <c r="AD40" s="288"/>
      <c r="AE40" s="289"/>
      <c r="AF40" s="290"/>
    </row>
    <row r="41" spans="1:32" ht="12.75" customHeight="1" x14ac:dyDescent="0.25">
      <c r="A41" s="209">
        <v>60</v>
      </c>
      <c r="B41" s="526">
        <v>-0.05</v>
      </c>
      <c r="C41" s="526">
        <v>-0.02</v>
      </c>
      <c r="D41" s="226">
        <v>0.03</v>
      </c>
      <c r="E41" s="211">
        <f t="shared" si="8"/>
        <v>2.5000000000000001E-2</v>
      </c>
      <c r="F41" s="213">
        <v>0.12</v>
      </c>
      <c r="G41" s="885">
        <v>6</v>
      </c>
      <c r="H41" s="209">
        <v>60</v>
      </c>
      <c r="I41" s="526">
        <v>-0.02</v>
      </c>
      <c r="J41" s="526">
        <v>0</v>
      </c>
      <c r="K41" s="226">
        <v>0.01</v>
      </c>
      <c r="L41" s="211">
        <f t="shared" si="6"/>
        <v>5.0000000000000001E-3</v>
      </c>
      <c r="M41" s="213">
        <v>0.12</v>
      </c>
      <c r="N41" s="885">
        <v>6</v>
      </c>
      <c r="O41" s="209">
        <v>60</v>
      </c>
      <c r="P41" s="526">
        <v>0.01</v>
      </c>
      <c r="Q41" s="226">
        <v>0.02</v>
      </c>
      <c r="R41" s="226">
        <v>-0.01</v>
      </c>
      <c r="S41" s="211">
        <f t="shared" si="7"/>
        <v>1.4999999999999999E-2</v>
      </c>
      <c r="T41" s="213">
        <v>0.12</v>
      </c>
      <c r="V41" s="228"/>
      <c r="W41" s="228"/>
      <c r="X41" s="288"/>
      <c r="Y41" s="289"/>
      <c r="Z41" s="290"/>
      <c r="AA41" s="768"/>
      <c r="AB41" s="228"/>
      <c r="AC41" s="228"/>
      <c r="AD41" s="288"/>
      <c r="AE41" s="289"/>
      <c r="AF41" s="290"/>
    </row>
    <row r="42" spans="1:32" ht="12.75" customHeight="1" x14ac:dyDescent="0.25">
      <c r="A42" s="209">
        <v>60</v>
      </c>
      <c r="B42" s="526">
        <v>-0.05</v>
      </c>
      <c r="C42" s="526">
        <v>-0.02</v>
      </c>
      <c r="D42" s="226">
        <v>0.03</v>
      </c>
      <c r="E42" s="211">
        <f t="shared" si="8"/>
        <v>2.5000000000000001E-2</v>
      </c>
      <c r="F42" s="213">
        <v>0.12</v>
      </c>
      <c r="G42" s="885">
        <v>7</v>
      </c>
      <c r="H42" s="209">
        <v>60</v>
      </c>
      <c r="I42" s="526">
        <v>-0.02</v>
      </c>
      <c r="J42" s="526">
        <v>0</v>
      </c>
      <c r="K42" s="226">
        <v>0.01</v>
      </c>
      <c r="L42" s="211">
        <f t="shared" si="6"/>
        <v>5.0000000000000001E-3</v>
      </c>
      <c r="M42" s="213">
        <v>0.12</v>
      </c>
      <c r="N42" s="885">
        <v>7</v>
      </c>
      <c r="O42" s="209">
        <v>60</v>
      </c>
      <c r="P42" s="526">
        <v>0.01</v>
      </c>
      <c r="Q42" s="226">
        <v>0.02</v>
      </c>
      <c r="R42" s="226">
        <v>-0.01</v>
      </c>
      <c r="S42" s="211">
        <f t="shared" si="7"/>
        <v>1.4999999999999999E-2</v>
      </c>
      <c r="T42" s="213">
        <v>0.12</v>
      </c>
      <c r="V42" s="228"/>
      <c r="W42" s="228"/>
      <c r="X42" s="288"/>
      <c r="Y42" s="289"/>
      <c r="Z42" s="290"/>
      <c r="AA42" s="768"/>
      <c r="AB42" s="228"/>
      <c r="AC42" s="228"/>
      <c r="AD42" s="288"/>
      <c r="AE42" s="289"/>
      <c r="AF42" s="290"/>
    </row>
    <row r="43" spans="1:32" ht="13.5" customHeight="1" x14ac:dyDescent="0.25">
      <c r="A43" s="209">
        <v>300</v>
      </c>
      <c r="B43" s="526">
        <v>-0.06</v>
      </c>
      <c r="C43" s="526">
        <v>-0.01</v>
      </c>
      <c r="D43" s="226">
        <v>0.02</v>
      </c>
      <c r="E43" s="211">
        <f t="shared" si="8"/>
        <v>1.4999999999999999E-2</v>
      </c>
      <c r="F43" s="213">
        <v>0.12</v>
      </c>
      <c r="G43" s="885">
        <v>8</v>
      </c>
      <c r="H43" s="209">
        <v>300</v>
      </c>
      <c r="I43" s="526">
        <v>-0.02</v>
      </c>
      <c r="J43" s="526">
        <v>0.01</v>
      </c>
      <c r="K43" s="226">
        <v>0.02</v>
      </c>
      <c r="L43" s="211">
        <f t="shared" si="6"/>
        <v>5.0000000000000001E-3</v>
      </c>
      <c r="M43" s="213">
        <v>0.12</v>
      </c>
      <c r="N43" s="885">
        <v>8</v>
      </c>
      <c r="O43" s="209">
        <v>300</v>
      </c>
      <c r="P43" s="526">
        <v>0.01</v>
      </c>
      <c r="Q43" s="226">
        <v>0.01</v>
      </c>
      <c r="R43" s="226">
        <v>-0.02</v>
      </c>
      <c r="S43" s="211">
        <f t="shared" si="7"/>
        <v>1.4999999999999999E-2</v>
      </c>
      <c r="T43" s="213">
        <v>0.12</v>
      </c>
      <c r="V43" s="228"/>
      <c r="W43" s="228"/>
      <c r="X43" s="288"/>
      <c r="Y43" s="289"/>
      <c r="Z43" s="290"/>
      <c r="AA43" s="768"/>
      <c r="AB43" s="228"/>
      <c r="AC43" s="228"/>
      <c r="AD43" s="288"/>
      <c r="AE43" s="289"/>
      <c r="AF43" s="290"/>
    </row>
    <row r="44" spans="1:32" ht="13.5" customHeight="1" x14ac:dyDescent="0.25">
      <c r="A44" s="209">
        <v>600</v>
      </c>
      <c r="B44" s="526">
        <v>-0.05</v>
      </c>
      <c r="C44" s="526">
        <v>-0.03</v>
      </c>
      <c r="D44" s="226">
        <v>0.04</v>
      </c>
      <c r="E44" s="211">
        <f t="shared" si="8"/>
        <v>3.5000000000000003E-2</v>
      </c>
      <c r="F44" s="213">
        <v>0.12</v>
      </c>
      <c r="G44" s="885">
        <v>9</v>
      </c>
      <c r="H44" s="209">
        <v>600</v>
      </c>
      <c r="I44" s="526">
        <v>-0.02</v>
      </c>
      <c r="J44" s="526">
        <v>0.01</v>
      </c>
      <c r="K44" s="226">
        <v>0.02</v>
      </c>
      <c r="L44" s="211">
        <f t="shared" si="6"/>
        <v>5.0000000000000001E-3</v>
      </c>
      <c r="M44" s="213">
        <v>0.12</v>
      </c>
      <c r="N44" s="885">
        <v>9</v>
      </c>
      <c r="O44" s="209">
        <v>600</v>
      </c>
      <c r="P44" s="526">
        <v>0.01</v>
      </c>
      <c r="Q44" s="226">
        <v>0.01</v>
      </c>
      <c r="R44" s="226">
        <v>-0.02</v>
      </c>
      <c r="S44" s="211">
        <f t="shared" si="7"/>
        <v>1.4999999999999999E-2</v>
      </c>
      <c r="T44" s="213">
        <v>0.12</v>
      </c>
      <c r="V44" s="228"/>
      <c r="W44" s="228"/>
      <c r="X44" s="288"/>
      <c r="Y44" s="289"/>
      <c r="Z44" s="290"/>
      <c r="AA44" s="768"/>
      <c r="AB44" s="228"/>
      <c r="AC44" s="228"/>
      <c r="AD44" s="288"/>
      <c r="AE44" s="289"/>
      <c r="AF44" s="290"/>
    </row>
    <row r="45" spans="1:32" ht="13.5" customHeight="1" x14ac:dyDescent="0.25">
      <c r="A45" s="209">
        <v>900</v>
      </c>
      <c r="B45" s="526">
        <v>-0.05</v>
      </c>
      <c r="C45" s="526">
        <v>-0.02</v>
      </c>
      <c r="D45" s="226">
        <v>0.02</v>
      </c>
      <c r="E45" s="211">
        <f t="shared" si="8"/>
        <v>0.02</v>
      </c>
      <c r="F45" s="213">
        <v>0.12</v>
      </c>
      <c r="G45" s="885">
        <v>10</v>
      </c>
      <c r="H45" s="209">
        <v>900</v>
      </c>
      <c r="I45" s="526">
        <v>-0.02</v>
      </c>
      <c r="J45" s="526">
        <v>-0.01</v>
      </c>
      <c r="K45" s="226">
        <v>0.02</v>
      </c>
      <c r="L45" s="211">
        <f t="shared" si="6"/>
        <v>1.4999999999999999E-2</v>
      </c>
      <c r="M45" s="213">
        <v>0.12</v>
      </c>
      <c r="N45" s="885">
        <v>10</v>
      </c>
      <c r="O45" s="209">
        <v>900</v>
      </c>
      <c r="P45" s="526">
        <v>0.01</v>
      </c>
      <c r="Q45" s="226">
        <v>0.02</v>
      </c>
      <c r="R45" s="226">
        <v>-0.02</v>
      </c>
      <c r="S45" s="211">
        <f t="shared" si="7"/>
        <v>0.02</v>
      </c>
      <c r="T45" s="213">
        <v>0.12</v>
      </c>
      <c r="V45" s="228"/>
      <c r="W45" s="228"/>
      <c r="X45" s="288"/>
      <c r="Y45" s="289"/>
      <c r="Z45" s="290"/>
      <c r="AA45" s="768"/>
      <c r="AB45" s="228"/>
      <c r="AC45" s="228"/>
      <c r="AD45" s="288"/>
      <c r="AE45" s="289"/>
      <c r="AF45" s="290"/>
    </row>
    <row r="46" spans="1:32" ht="13.5" customHeight="1" x14ac:dyDescent="0.25">
      <c r="A46" s="209">
        <v>1200</v>
      </c>
      <c r="B46" s="526" t="s">
        <v>128</v>
      </c>
      <c r="C46" s="526" t="s">
        <v>128</v>
      </c>
      <c r="D46" s="226">
        <v>0.03</v>
      </c>
      <c r="E46" s="211">
        <f>IFERROR(IF(OR(C46="-",D46="-"),1/3*F46,0.5*(MAX(C46:D46)-MIN(C46:D46))),0)</f>
        <v>3.9999999999999994E-2</v>
      </c>
      <c r="F46" s="213">
        <v>0.12</v>
      </c>
      <c r="G46" s="885">
        <v>11</v>
      </c>
      <c r="H46" s="209">
        <v>1200</v>
      </c>
      <c r="I46" s="526" t="s">
        <v>128</v>
      </c>
      <c r="J46" s="526" t="s">
        <v>128</v>
      </c>
      <c r="K46" s="226">
        <v>0.02</v>
      </c>
      <c r="L46" s="211">
        <f>IFERROR(IF(OR(J46="-",K46="-"),1/3*M46,0.5*(MAX(J46:K46)-MIN(J46:K46))),0)</f>
        <v>3.9999999999999994E-2</v>
      </c>
      <c r="M46" s="213">
        <v>0.12</v>
      </c>
      <c r="N46" s="885">
        <v>11</v>
      </c>
      <c r="O46" s="209">
        <v>1200</v>
      </c>
      <c r="P46" s="526" t="s">
        <v>128</v>
      </c>
      <c r="Q46" s="226">
        <v>0.02</v>
      </c>
      <c r="R46" s="226">
        <v>-0.03</v>
      </c>
      <c r="S46" s="211">
        <f>IFERROR(IF(OR(Q46="-",R46="-"),1/3*T46,0.5*(MAX(Q46:R46)-MIN(Q46:R46))),0)</f>
        <v>2.5000000000000001E-2</v>
      </c>
      <c r="T46" s="213">
        <v>0.12</v>
      </c>
      <c r="V46" s="228"/>
      <c r="W46" s="228"/>
      <c r="X46" s="288"/>
      <c r="Y46" s="289"/>
      <c r="Z46" s="290"/>
      <c r="AA46" s="768"/>
      <c r="AB46" s="228"/>
      <c r="AC46" s="228"/>
      <c r="AD46" s="288"/>
      <c r="AE46" s="289"/>
      <c r="AF46" s="290"/>
    </row>
    <row r="47" spans="1:32" ht="13.5" customHeight="1" x14ac:dyDescent="0.3">
      <c r="A47" s="1437"/>
      <c r="B47" s="1438"/>
      <c r="C47" s="1438"/>
      <c r="D47" s="1438"/>
      <c r="E47" s="1438"/>
      <c r="F47" s="1439"/>
      <c r="G47" s="772"/>
      <c r="H47" s="1440"/>
      <c r="I47" s="1441"/>
      <c r="J47" s="1441"/>
      <c r="K47" s="1441"/>
      <c r="L47" s="1441"/>
      <c r="M47" s="1442"/>
      <c r="N47" s="686"/>
      <c r="T47" s="584"/>
      <c r="V47" s="574"/>
      <c r="W47" s="574"/>
      <c r="X47" s="574"/>
      <c r="Y47" s="574"/>
      <c r="Z47" s="574"/>
      <c r="AA47" s="768"/>
      <c r="AB47" s="719"/>
      <c r="AC47" s="719"/>
      <c r="AD47" s="719"/>
      <c r="AE47" s="719"/>
      <c r="AF47" s="719"/>
    </row>
    <row r="48" spans="1:32" ht="15.75" customHeight="1" x14ac:dyDescent="0.3">
      <c r="A48" s="1488" t="s">
        <v>357</v>
      </c>
      <c r="B48" s="1444"/>
      <c r="C48" s="1444"/>
      <c r="D48" s="1445"/>
      <c r="E48" s="1446" t="s">
        <v>294</v>
      </c>
      <c r="F48" s="1447" t="str">
        <f>F33</f>
        <v>U95 STD</v>
      </c>
      <c r="G48" s="772"/>
      <c r="H48" s="1443" t="s">
        <v>358</v>
      </c>
      <c r="I48" s="1444"/>
      <c r="J48" s="1444"/>
      <c r="K48" s="1445"/>
      <c r="L48" s="1446" t="s">
        <v>294</v>
      </c>
      <c r="M48" s="1447" t="str">
        <f>M33</f>
        <v>U95 STD</v>
      </c>
      <c r="N48" s="686"/>
      <c r="O48" s="1443" t="s">
        <v>359</v>
      </c>
      <c r="P48" s="1444"/>
      <c r="Q48" s="1444"/>
      <c r="R48" s="1445"/>
      <c r="S48" s="1446" t="s">
        <v>294</v>
      </c>
      <c r="T48" s="1447" t="str">
        <f>T33</f>
        <v>U95 STD</v>
      </c>
      <c r="V48" s="765"/>
      <c r="W48" s="765"/>
      <c r="X48" s="765"/>
      <c r="Y48" s="766"/>
      <c r="Z48" s="767"/>
      <c r="AA48" s="768"/>
      <c r="AB48" s="765"/>
      <c r="AC48" s="765"/>
      <c r="AD48" s="765"/>
      <c r="AE48" s="766"/>
      <c r="AF48" s="767"/>
    </row>
    <row r="49" spans="1:32" ht="12.75" customHeight="1" x14ac:dyDescent="0.3">
      <c r="A49" s="770" t="str">
        <f>A34</f>
        <v>Timer</v>
      </c>
      <c r="B49" s="1450" t="s">
        <v>298</v>
      </c>
      <c r="C49" s="1451"/>
      <c r="D49" s="1452"/>
      <c r="E49" s="1446"/>
      <c r="F49" s="1447"/>
      <c r="G49" s="772"/>
      <c r="H49" s="649" t="str">
        <f>H34</f>
        <v>Timer</v>
      </c>
      <c r="I49" s="1450" t="s">
        <v>298</v>
      </c>
      <c r="J49" s="1451"/>
      <c r="K49" s="1452"/>
      <c r="L49" s="1446"/>
      <c r="M49" s="1447"/>
      <c r="N49" s="686"/>
      <c r="O49" s="649" t="str">
        <f>O34</f>
        <v>Timer</v>
      </c>
      <c r="P49" s="1450" t="s">
        <v>298</v>
      </c>
      <c r="Q49" s="1451"/>
      <c r="R49" s="1452"/>
      <c r="S49" s="1446"/>
      <c r="T49" s="1447"/>
      <c r="V49" s="573"/>
      <c r="W49" s="766"/>
      <c r="X49" s="766"/>
      <c r="Y49" s="766"/>
      <c r="Z49" s="767"/>
      <c r="AA49" s="768"/>
      <c r="AB49" s="573"/>
      <c r="AC49" s="766"/>
      <c r="AD49" s="766"/>
      <c r="AE49" s="766"/>
      <c r="AF49" s="767"/>
    </row>
    <row r="50" spans="1:32" ht="15" customHeight="1" x14ac:dyDescent="0.25">
      <c r="A50" s="773" t="str">
        <f>A35</f>
        <v>s</v>
      </c>
      <c r="B50" s="564">
        <v>2023</v>
      </c>
      <c r="C50" s="564">
        <v>2022</v>
      </c>
      <c r="D50" s="565">
        <v>2021</v>
      </c>
      <c r="E50" s="1446"/>
      <c r="F50" s="1447"/>
      <c r="G50" s="885" t="s">
        <v>0</v>
      </c>
      <c r="H50" s="619" t="str">
        <f>H35</f>
        <v>s</v>
      </c>
      <c r="I50" s="564">
        <v>2023</v>
      </c>
      <c r="J50" s="564">
        <v>2022</v>
      </c>
      <c r="K50" s="565">
        <v>2021</v>
      </c>
      <c r="L50" s="1446"/>
      <c r="M50" s="1447"/>
      <c r="N50" s="885" t="s">
        <v>0</v>
      </c>
      <c r="O50" s="619" t="str">
        <f>O35</f>
        <v>s</v>
      </c>
      <c r="P50" s="564">
        <v>2023</v>
      </c>
      <c r="Q50" s="564">
        <v>2022</v>
      </c>
      <c r="R50" s="565">
        <v>2021</v>
      </c>
      <c r="S50" s="1446"/>
      <c r="T50" s="1447"/>
      <c r="V50" s="774"/>
      <c r="W50" s="573"/>
      <c r="X50" s="573"/>
      <c r="Y50" s="766"/>
      <c r="Z50" s="767"/>
      <c r="AA50" s="768"/>
      <c r="AB50" s="774"/>
      <c r="AC50" s="573"/>
      <c r="AD50" s="573"/>
      <c r="AE50" s="766"/>
      <c r="AF50" s="767"/>
    </row>
    <row r="51" spans="1:32" ht="12.75" customHeight="1" x14ac:dyDescent="0.25">
      <c r="A51" s="757">
        <v>0</v>
      </c>
      <c r="B51" s="526">
        <v>0</v>
      </c>
      <c r="C51" s="526">
        <v>0</v>
      </c>
      <c r="D51" s="210">
        <v>9.9999999999999995E-7</v>
      </c>
      <c r="E51" s="211">
        <f>IFERROR(IF(OR(C51="-",D51="-"),1/3*F51,0.5*(MAX(C51:D51)-MIN(C51:D51))),0)</f>
        <v>4.9999999999999998E-7</v>
      </c>
      <c r="F51" s="213">
        <v>0</v>
      </c>
      <c r="G51" s="885">
        <v>1</v>
      </c>
      <c r="H51" s="757">
        <v>0</v>
      </c>
      <c r="I51" s="526">
        <v>0</v>
      </c>
      <c r="J51" s="526">
        <v>0</v>
      </c>
      <c r="K51" s="210">
        <v>9.9999999999999995E-7</v>
      </c>
      <c r="L51" s="211">
        <f>IFERROR(IF(OR(J51="-",K51="-"),1/3*M51,0.5*(MAX(J51:K51)-MIN(J51:K51))),0)</f>
        <v>4.9999999999999998E-7</v>
      </c>
      <c r="M51" s="213">
        <v>0</v>
      </c>
      <c r="N51" s="885">
        <v>1</v>
      </c>
      <c r="O51" s="757">
        <v>0</v>
      </c>
      <c r="P51" s="526">
        <v>0</v>
      </c>
      <c r="Q51" s="526">
        <v>0</v>
      </c>
      <c r="R51" s="210">
        <v>9.9999999999999995E-7</v>
      </c>
      <c r="S51" s="211">
        <f>IFERROR(IF(OR(Q51="-",R51="-"),1/3*T51,0.5*(MAX(Q51:R51)-MIN(Q51:R51))),0)</f>
        <v>4.9999999999999998E-7</v>
      </c>
      <c r="T51" s="213">
        <v>0</v>
      </c>
      <c r="V51" s="228"/>
      <c r="W51" s="228"/>
      <c r="X51" s="290"/>
      <c r="Y51" s="289"/>
      <c r="Z51" s="290"/>
      <c r="AA51" s="768"/>
      <c r="AB51" s="228"/>
      <c r="AC51" s="228"/>
      <c r="AD51" s="290"/>
      <c r="AE51" s="289"/>
      <c r="AF51" s="290"/>
    </row>
    <row r="52" spans="1:32" ht="12.75" customHeight="1" x14ac:dyDescent="0.25">
      <c r="A52" s="209">
        <v>10</v>
      </c>
      <c r="B52" s="526">
        <v>-0.03</v>
      </c>
      <c r="C52" s="526">
        <v>0.01</v>
      </c>
      <c r="D52" s="226">
        <v>-7.0000000000000007E-2</v>
      </c>
      <c r="E52" s="211">
        <f t="shared" ref="E52:E60" si="9">IFERROR(IF(OR(C52="-",D52="-"),1/3*F52,0.5*(MAX(C52:D52)-MIN(C52:D52))),0)</f>
        <v>0.04</v>
      </c>
      <c r="F52" s="213">
        <v>0.12</v>
      </c>
      <c r="G52" s="885">
        <v>2</v>
      </c>
      <c r="H52" s="209">
        <v>10</v>
      </c>
      <c r="I52" s="526">
        <v>-0.03</v>
      </c>
      <c r="J52" s="526">
        <v>0</v>
      </c>
      <c r="K52" s="226">
        <v>-0.03</v>
      </c>
      <c r="L52" s="211">
        <f t="shared" ref="L52:L60" si="10">IFERROR(IF(OR(J52="-",K52="-"),1/3*M52,0.5*(MAX(J52:K52)-MIN(J52:K52))),0)</f>
        <v>1.4999999999999999E-2</v>
      </c>
      <c r="M52" s="213">
        <v>0.12</v>
      </c>
      <c r="N52" s="885">
        <v>2</v>
      </c>
      <c r="O52" s="209">
        <v>10</v>
      </c>
      <c r="P52" s="526">
        <v>0.03</v>
      </c>
      <c r="Q52" s="526">
        <v>0.01</v>
      </c>
      <c r="R52" s="226">
        <v>0.02</v>
      </c>
      <c r="S52" s="211">
        <f t="shared" ref="S52:S60" si="11">IFERROR(IF(OR(Q52="-",R52="-"),1/3*T52,0.5*(MAX(Q52:R52)-MIN(Q52:R52))),0)</f>
        <v>5.0000000000000001E-3</v>
      </c>
      <c r="T52" s="213">
        <v>0.12</v>
      </c>
      <c r="V52" s="228"/>
      <c r="W52" s="228"/>
      <c r="X52" s="290"/>
      <c r="Y52" s="289"/>
      <c r="Z52" s="290"/>
      <c r="AA52" s="768"/>
      <c r="AB52" s="228"/>
      <c r="AC52" s="228"/>
      <c r="AD52" s="290"/>
      <c r="AE52" s="289"/>
      <c r="AF52" s="290"/>
    </row>
    <row r="53" spans="1:32" ht="12.75" customHeight="1" x14ac:dyDescent="0.25">
      <c r="A53" s="209">
        <v>30</v>
      </c>
      <c r="B53" s="526">
        <v>-0.03</v>
      </c>
      <c r="C53" s="526">
        <v>0.01</v>
      </c>
      <c r="D53" s="226">
        <v>-0.06</v>
      </c>
      <c r="E53" s="211">
        <f t="shared" si="9"/>
        <v>3.4999999999999996E-2</v>
      </c>
      <c r="F53" s="213">
        <v>0.12</v>
      </c>
      <c r="G53" s="885">
        <v>3</v>
      </c>
      <c r="H53" s="209">
        <v>30</v>
      </c>
      <c r="I53" s="526">
        <v>-0.03</v>
      </c>
      <c r="J53" s="526">
        <v>0</v>
      </c>
      <c r="K53" s="226">
        <v>-0.04</v>
      </c>
      <c r="L53" s="211">
        <f t="shared" si="10"/>
        <v>0.02</v>
      </c>
      <c r="M53" s="213">
        <v>0.12</v>
      </c>
      <c r="N53" s="885">
        <v>3</v>
      </c>
      <c r="O53" s="209">
        <v>20</v>
      </c>
      <c r="P53" s="526" t="s">
        <v>128</v>
      </c>
      <c r="Q53" s="526" t="s">
        <v>128</v>
      </c>
      <c r="R53" s="226">
        <v>0.01</v>
      </c>
      <c r="S53" s="211">
        <f t="shared" si="11"/>
        <v>3.9999999999999994E-2</v>
      </c>
      <c r="T53" s="213">
        <v>0.12</v>
      </c>
      <c r="V53" s="228"/>
      <c r="W53" s="228"/>
      <c r="X53" s="290"/>
      <c r="Y53" s="289"/>
      <c r="Z53" s="290"/>
      <c r="AA53" s="768"/>
      <c r="AB53" s="228"/>
      <c r="AC53" s="228"/>
      <c r="AD53" s="290"/>
      <c r="AE53" s="289"/>
      <c r="AF53" s="290"/>
    </row>
    <row r="54" spans="1:32" ht="12.75" customHeight="1" x14ac:dyDescent="0.25">
      <c r="A54" s="209">
        <v>60</v>
      </c>
      <c r="B54" s="526">
        <v>-0.03</v>
      </c>
      <c r="C54" s="526">
        <v>0</v>
      </c>
      <c r="D54" s="226">
        <v>-0.06</v>
      </c>
      <c r="E54" s="211">
        <f t="shared" si="9"/>
        <v>0.03</v>
      </c>
      <c r="F54" s="213">
        <v>0.12</v>
      </c>
      <c r="G54" s="885">
        <v>4</v>
      </c>
      <c r="H54" s="209">
        <v>60</v>
      </c>
      <c r="I54" s="526">
        <v>-0.04</v>
      </c>
      <c r="J54" s="526">
        <v>0</v>
      </c>
      <c r="K54" s="226">
        <v>-0.03</v>
      </c>
      <c r="L54" s="211">
        <f t="shared" si="10"/>
        <v>1.4999999999999999E-2</v>
      </c>
      <c r="M54" s="213">
        <v>0.12</v>
      </c>
      <c r="N54" s="885">
        <v>4</v>
      </c>
      <c r="O54" s="209">
        <v>30</v>
      </c>
      <c r="P54" s="526">
        <v>0.02</v>
      </c>
      <c r="Q54" s="526">
        <v>0</v>
      </c>
      <c r="R54" s="226">
        <v>0.01</v>
      </c>
      <c r="S54" s="211">
        <f t="shared" si="11"/>
        <v>5.0000000000000001E-3</v>
      </c>
      <c r="T54" s="213">
        <v>0.12</v>
      </c>
      <c r="V54" s="228"/>
      <c r="W54" s="228"/>
      <c r="X54" s="288"/>
      <c r="Y54" s="289"/>
      <c r="Z54" s="290"/>
      <c r="AA54" s="768"/>
      <c r="AB54" s="228"/>
      <c r="AC54" s="228"/>
      <c r="AD54" s="288"/>
      <c r="AE54" s="289"/>
      <c r="AF54" s="290"/>
    </row>
    <row r="55" spans="1:32" ht="12.75" customHeight="1" x14ac:dyDescent="0.25">
      <c r="A55" s="209">
        <v>60</v>
      </c>
      <c r="B55" s="526">
        <v>-0.03</v>
      </c>
      <c r="C55" s="526">
        <v>0</v>
      </c>
      <c r="D55" s="226">
        <v>-0.06</v>
      </c>
      <c r="E55" s="211">
        <f t="shared" si="9"/>
        <v>0.03</v>
      </c>
      <c r="F55" s="213">
        <v>0.12</v>
      </c>
      <c r="G55" s="885">
        <v>5</v>
      </c>
      <c r="H55" s="209">
        <v>60</v>
      </c>
      <c r="I55" s="526">
        <v>-0.04</v>
      </c>
      <c r="J55" s="526">
        <v>0</v>
      </c>
      <c r="K55" s="226">
        <v>-0.03</v>
      </c>
      <c r="L55" s="211">
        <f t="shared" si="10"/>
        <v>1.4999999999999999E-2</v>
      </c>
      <c r="M55" s="213">
        <v>0.12</v>
      </c>
      <c r="N55" s="885">
        <v>5</v>
      </c>
      <c r="O55" s="209">
        <v>40</v>
      </c>
      <c r="P55" s="526" t="s">
        <v>128</v>
      </c>
      <c r="Q55" s="526" t="s">
        <v>128</v>
      </c>
      <c r="R55" s="226">
        <v>0.02</v>
      </c>
      <c r="S55" s="211">
        <f t="shared" si="11"/>
        <v>3.9999999999999994E-2</v>
      </c>
      <c r="T55" s="213">
        <v>0.12</v>
      </c>
      <c r="V55" s="228"/>
      <c r="W55" s="228"/>
      <c r="X55" s="288"/>
      <c r="Y55" s="289"/>
      <c r="Z55" s="290"/>
      <c r="AA55" s="768"/>
      <c r="AB55" s="228"/>
      <c r="AC55" s="228"/>
      <c r="AD55" s="288"/>
      <c r="AE55" s="289"/>
      <c r="AF55" s="290"/>
    </row>
    <row r="56" spans="1:32" ht="12.75" customHeight="1" x14ac:dyDescent="0.25">
      <c r="A56" s="209">
        <v>60</v>
      </c>
      <c r="B56" s="526">
        <v>-0.03</v>
      </c>
      <c r="C56" s="526">
        <v>0</v>
      </c>
      <c r="D56" s="226">
        <v>-0.06</v>
      </c>
      <c r="E56" s="211">
        <f t="shared" si="9"/>
        <v>0.03</v>
      </c>
      <c r="F56" s="213">
        <v>0.12</v>
      </c>
      <c r="G56" s="885">
        <v>6</v>
      </c>
      <c r="H56" s="209">
        <v>60</v>
      </c>
      <c r="I56" s="526">
        <v>-0.04</v>
      </c>
      <c r="J56" s="526">
        <v>0</v>
      </c>
      <c r="K56" s="226">
        <v>-0.03</v>
      </c>
      <c r="L56" s="211">
        <f t="shared" si="10"/>
        <v>1.4999999999999999E-2</v>
      </c>
      <c r="M56" s="213">
        <v>0.12</v>
      </c>
      <c r="N56" s="885">
        <v>6</v>
      </c>
      <c r="O56" s="209">
        <v>50</v>
      </c>
      <c r="P56" s="526" t="s">
        <v>128</v>
      </c>
      <c r="Q56" s="526" t="s">
        <v>128</v>
      </c>
      <c r="R56" s="226">
        <v>0.02</v>
      </c>
      <c r="S56" s="211">
        <f t="shared" si="11"/>
        <v>3.9999999999999994E-2</v>
      </c>
      <c r="T56" s="213">
        <v>0.12</v>
      </c>
      <c r="V56" s="228"/>
      <c r="W56" s="228"/>
      <c r="X56" s="288"/>
      <c r="Y56" s="289"/>
      <c r="Z56" s="290"/>
      <c r="AA56" s="768"/>
      <c r="AB56" s="228"/>
      <c r="AC56" s="228"/>
      <c r="AD56" s="288"/>
      <c r="AE56" s="289"/>
      <c r="AF56" s="290"/>
    </row>
    <row r="57" spans="1:32" ht="12.75" customHeight="1" x14ac:dyDescent="0.25">
      <c r="A57" s="209">
        <v>60</v>
      </c>
      <c r="B57" s="526">
        <v>-0.03</v>
      </c>
      <c r="C57" s="526">
        <v>0</v>
      </c>
      <c r="D57" s="226">
        <v>-0.06</v>
      </c>
      <c r="E57" s="211">
        <f t="shared" si="9"/>
        <v>0.03</v>
      </c>
      <c r="F57" s="213">
        <v>0.12</v>
      </c>
      <c r="G57" s="885">
        <v>7</v>
      </c>
      <c r="H57" s="209">
        <v>60</v>
      </c>
      <c r="I57" s="526">
        <v>-0.04</v>
      </c>
      <c r="J57" s="526">
        <v>0</v>
      </c>
      <c r="K57" s="226">
        <v>-0.03</v>
      </c>
      <c r="L57" s="211">
        <f t="shared" si="10"/>
        <v>1.4999999999999999E-2</v>
      </c>
      <c r="M57" s="213">
        <v>0.12</v>
      </c>
      <c r="N57" s="885">
        <v>7</v>
      </c>
      <c r="O57" s="209">
        <v>60</v>
      </c>
      <c r="P57" s="526">
        <v>0.03</v>
      </c>
      <c r="Q57" s="526">
        <v>0.01</v>
      </c>
      <c r="R57" s="226">
        <v>0.02</v>
      </c>
      <c r="S57" s="211">
        <f t="shared" si="11"/>
        <v>5.0000000000000001E-3</v>
      </c>
      <c r="T57" s="213">
        <v>0.12</v>
      </c>
      <c r="V57" s="228"/>
      <c r="W57" s="228"/>
      <c r="X57" s="288"/>
      <c r="Y57" s="289"/>
      <c r="Z57" s="290"/>
      <c r="AA57" s="768"/>
      <c r="AB57" s="228"/>
      <c r="AC57" s="228"/>
      <c r="AD57" s="288"/>
      <c r="AE57" s="289"/>
      <c r="AF57" s="290"/>
    </row>
    <row r="58" spans="1:32" ht="12.75" customHeight="1" x14ac:dyDescent="0.25">
      <c r="A58" s="209">
        <v>300</v>
      </c>
      <c r="B58" s="526">
        <v>-0.03</v>
      </c>
      <c r="C58" s="526">
        <v>0.01</v>
      </c>
      <c r="D58" s="226">
        <v>-0.05</v>
      </c>
      <c r="E58" s="211">
        <f t="shared" si="9"/>
        <v>3.0000000000000002E-2</v>
      </c>
      <c r="F58" s="213">
        <v>0.12</v>
      </c>
      <c r="G58" s="885">
        <v>8</v>
      </c>
      <c r="H58" s="209">
        <v>300</v>
      </c>
      <c r="I58" s="526">
        <v>-0.03</v>
      </c>
      <c r="J58" s="526">
        <v>0</v>
      </c>
      <c r="K58" s="226">
        <v>-0.03</v>
      </c>
      <c r="L58" s="211">
        <f t="shared" si="10"/>
        <v>1.4999999999999999E-2</v>
      </c>
      <c r="M58" s="213">
        <v>0.12</v>
      </c>
      <c r="N58" s="885">
        <v>8</v>
      </c>
      <c r="O58" s="209">
        <v>300</v>
      </c>
      <c r="P58" s="526">
        <v>0.03</v>
      </c>
      <c r="Q58" s="526">
        <v>-0.01</v>
      </c>
      <c r="R58" s="226">
        <v>0.02</v>
      </c>
      <c r="S58" s="211">
        <f t="shared" si="11"/>
        <v>1.4999999999999999E-2</v>
      </c>
      <c r="T58" s="213">
        <v>0.12</v>
      </c>
      <c r="V58" s="228"/>
      <c r="W58" s="228"/>
      <c r="X58" s="288"/>
      <c r="Y58" s="289"/>
      <c r="Z58" s="290"/>
      <c r="AA58" s="768"/>
      <c r="AB58" s="228"/>
      <c r="AC58" s="228"/>
      <c r="AD58" s="288"/>
      <c r="AE58" s="289"/>
      <c r="AF58" s="290"/>
    </row>
    <row r="59" spans="1:32" ht="12.75" customHeight="1" x14ac:dyDescent="0.25">
      <c r="A59" s="209">
        <v>600</v>
      </c>
      <c r="B59" s="526">
        <v>-0.03</v>
      </c>
      <c r="C59" s="526">
        <v>0.01</v>
      </c>
      <c r="D59" s="226">
        <v>-0.06</v>
      </c>
      <c r="E59" s="211">
        <f>IFERROR(IF(OR(C59="-",D59="-"),1/3*F59,0.5*(MAX(C59:D59)-MIN(C59:D59))),0)</f>
        <v>3.4999999999999996E-2</v>
      </c>
      <c r="F59" s="213">
        <v>0.12</v>
      </c>
      <c r="G59" s="885">
        <v>9</v>
      </c>
      <c r="H59" s="209">
        <v>600</v>
      </c>
      <c r="I59" s="526">
        <v>-0.04</v>
      </c>
      <c r="J59" s="526">
        <v>0.01</v>
      </c>
      <c r="K59" s="226">
        <v>-0.04</v>
      </c>
      <c r="L59" s="211">
        <f>IFERROR(IF(OR(J59="-",K59="-"),1/3*M59,0.5*(MAX(J59:K59)-MIN(J59:K59))),0)</f>
        <v>2.5000000000000001E-2</v>
      </c>
      <c r="M59" s="213">
        <v>0.12</v>
      </c>
      <c r="N59" s="885">
        <v>9</v>
      </c>
      <c r="O59" s="209">
        <v>600</v>
      </c>
      <c r="P59" s="526">
        <v>0.03</v>
      </c>
      <c r="Q59" s="526">
        <v>-0.01</v>
      </c>
      <c r="R59" s="226">
        <v>0.01</v>
      </c>
      <c r="S59" s="211">
        <f t="shared" si="11"/>
        <v>0.01</v>
      </c>
      <c r="T59" s="213">
        <v>0.12</v>
      </c>
      <c r="V59" s="228"/>
      <c r="W59" s="228"/>
      <c r="X59" s="288"/>
      <c r="Y59" s="289"/>
      <c r="Z59" s="290"/>
      <c r="AA59" s="768"/>
      <c r="AB59" s="228"/>
      <c r="AC59" s="228"/>
      <c r="AD59" s="288"/>
      <c r="AE59" s="289"/>
      <c r="AF59" s="290"/>
    </row>
    <row r="60" spans="1:32" ht="13.5" customHeight="1" x14ac:dyDescent="0.25">
      <c r="A60" s="209">
        <v>900</v>
      </c>
      <c r="B60" s="526">
        <v>-0.02</v>
      </c>
      <c r="C60" s="526">
        <v>0.01</v>
      </c>
      <c r="D60" s="226">
        <v>-0.06</v>
      </c>
      <c r="E60" s="211">
        <f t="shared" si="9"/>
        <v>3.4999999999999996E-2</v>
      </c>
      <c r="F60" s="213">
        <v>0.12</v>
      </c>
      <c r="G60" s="885">
        <v>10</v>
      </c>
      <c r="H60" s="209">
        <v>900</v>
      </c>
      <c r="I60" s="526">
        <v>-0.04</v>
      </c>
      <c r="J60" s="526">
        <v>0.01</v>
      </c>
      <c r="K60" s="226">
        <v>-0.03</v>
      </c>
      <c r="L60" s="211">
        <f t="shared" si="10"/>
        <v>0.02</v>
      </c>
      <c r="M60" s="213">
        <v>0.12</v>
      </c>
      <c r="N60" s="885">
        <v>10</v>
      </c>
      <c r="O60" s="209">
        <v>900</v>
      </c>
      <c r="P60" s="526">
        <v>0.02</v>
      </c>
      <c r="Q60" s="526">
        <v>0</v>
      </c>
      <c r="R60" s="209" t="s">
        <v>128</v>
      </c>
      <c r="S60" s="211">
        <f t="shared" si="11"/>
        <v>3.9999999999999994E-2</v>
      </c>
      <c r="T60" s="213">
        <v>0.12</v>
      </c>
      <c r="V60" s="228"/>
      <c r="W60" s="228"/>
      <c r="X60" s="288"/>
      <c r="Y60" s="289"/>
      <c r="Z60" s="290"/>
      <c r="AA60" s="768"/>
      <c r="AB60" s="228"/>
      <c r="AC60" s="228"/>
      <c r="AD60" s="288"/>
      <c r="AE60" s="289"/>
      <c r="AF60" s="290"/>
    </row>
    <row r="61" spans="1:32" ht="13.5" customHeight="1" x14ac:dyDescent="0.25">
      <c r="A61" s="209">
        <v>1200</v>
      </c>
      <c r="B61" s="526" t="s">
        <v>128</v>
      </c>
      <c r="C61" s="526" t="s">
        <v>128</v>
      </c>
      <c r="D61" s="226">
        <v>-0.05</v>
      </c>
      <c r="E61" s="211">
        <f>IFERROR(IF(OR(C61="-",D61="-"),1/3*F61,0.5*(MAX(C61:D61)-MIN(C61:D61))),0)</f>
        <v>3.9999999999999994E-2</v>
      </c>
      <c r="F61" s="213">
        <v>0.12</v>
      </c>
      <c r="G61" s="885">
        <v>11</v>
      </c>
      <c r="H61" s="209">
        <v>1200</v>
      </c>
      <c r="I61" s="526" t="s">
        <v>128</v>
      </c>
      <c r="J61" s="526" t="s">
        <v>128</v>
      </c>
      <c r="K61" s="226">
        <v>-0.02</v>
      </c>
      <c r="L61" s="211">
        <f>IFERROR(IF(OR(J61="-",K61="-"),1/3*M61,0.5*(MAX(J61:K61)-MIN(J61:K61))),0)</f>
        <v>3.9999999999999994E-2</v>
      </c>
      <c r="M61" s="213">
        <v>0.12</v>
      </c>
      <c r="N61" s="885">
        <v>11</v>
      </c>
      <c r="O61" s="209">
        <v>1200</v>
      </c>
      <c r="P61" s="526" t="s">
        <v>128</v>
      </c>
      <c r="Q61" s="526" t="s">
        <v>128</v>
      </c>
      <c r="R61" s="209" t="s">
        <v>128</v>
      </c>
      <c r="S61" s="211">
        <f>IFERROR(IF(OR(Q61="-",R61="-"),1/3*T61,0.5*(MAX(Q61:R61)-MIN(Q61:R61))),0)</f>
        <v>3.9999999999999994E-2</v>
      </c>
      <c r="T61" s="213">
        <v>0.12</v>
      </c>
      <c r="V61" s="228"/>
      <c r="W61" s="228"/>
      <c r="X61" s="288"/>
      <c r="Y61" s="289"/>
      <c r="Z61" s="290"/>
      <c r="AA61" s="778"/>
      <c r="AB61" s="228"/>
      <c r="AC61" s="228"/>
      <c r="AD61" s="288"/>
      <c r="AE61" s="289"/>
      <c r="AF61" s="290"/>
    </row>
    <row r="62" spans="1:32" ht="13.5" customHeight="1" x14ac:dyDescent="0.3">
      <c r="A62" s="889"/>
      <c r="B62" s="890"/>
      <c r="C62" s="292"/>
      <c r="D62" s="293"/>
      <c r="E62" s="289"/>
      <c r="F62" s="290"/>
      <c r="G62" s="778"/>
      <c r="H62" s="890"/>
      <c r="I62" s="890"/>
      <c r="J62" s="292"/>
      <c r="K62" s="293"/>
      <c r="L62" s="289"/>
      <c r="M62" s="290"/>
      <c r="N62" s="686"/>
      <c r="O62" s="890"/>
      <c r="P62" s="890"/>
      <c r="Q62" s="292"/>
      <c r="R62" s="293"/>
      <c r="S62" s="289"/>
      <c r="T62" s="290"/>
      <c r="V62" s="228"/>
      <c r="W62" s="228"/>
      <c r="X62" s="288"/>
      <c r="Y62" s="289"/>
      <c r="Z62" s="290"/>
      <c r="AA62" s="778"/>
      <c r="AB62" s="228"/>
      <c r="AC62" s="228"/>
      <c r="AD62" s="288"/>
      <c r="AE62" s="289"/>
      <c r="AF62" s="290"/>
    </row>
    <row r="63" spans="1:32" ht="13.5" customHeight="1" x14ac:dyDescent="0.3">
      <c r="A63" s="1488" t="s">
        <v>360</v>
      </c>
      <c r="B63" s="1444"/>
      <c r="C63" s="1444"/>
      <c r="D63" s="1445"/>
      <c r="E63" s="1446" t="s">
        <v>294</v>
      </c>
      <c r="F63" s="1447" t="str">
        <f>F48</f>
        <v>U95 STD</v>
      </c>
      <c r="G63" s="778"/>
      <c r="H63" s="1488" t="s">
        <v>361</v>
      </c>
      <c r="I63" s="1444"/>
      <c r="J63" s="1444"/>
      <c r="K63" s="1445"/>
      <c r="L63" s="1446" t="s">
        <v>294</v>
      </c>
      <c r="M63" s="1447" t="str">
        <f>M48</f>
        <v>U95 STD</v>
      </c>
      <c r="N63" s="686"/>
      <c r="O63" s="1488" t="s">
        <v>362</v>
      </c>
      <c r="P63" s="1444"/>
      <c r="Q63" s="1444"/>
      <c r="R63" s="1445"/>
      <c r="S63" s="1446" t="s">
        <v>294</v>
      </c>
      <c r="T63" s="1447" t="str">
        <f>T48</f>
        <v>U95 STD</v>
      </c>
      <c r="V63" s="228"/>
      <c r="W63" s="228"/>
      <c r="X63" s="288"/>
      <c r="Y63" s="289"/>
      <c r="Z63" s="290"/>
      <c r="AA63" s="778"/>
      <c r="AB63" s="228"/>
      <c r="AC63" s="228"/>
      <c r="AD63" s="288"/>
      <c r="AE63" s="289"/>
      <c r="AF63" s="290"/>
    </row>
    <row r="64" spans="1:32" ht="13.5" customHeight="1" x14ac:dyDescent="0.3">
      <c r="A64" s="770" t="str">
        <f>A49</f>
        <v>Timer</v>
      </c>
      <c r="B64" s="1450" t="s">
        <v>298</v>
      </c>
      <c r="C64" s="1451"/>
      <c r="D64" s="1452"/>
      <c r="E64" s="1446"/>
      <c r="F64" s="1447"/>
      <c r="G64" s="778"/>
      <c r="H64" s="770" t="str">
        <f>H49</f>
        <v>Timer</v>
      </c>
      <c r="I64" s="1450" t="s">
        <v>298</v>
      </c>
      <c r="J64" s="1451"/>
      <c r="K64" s="1452"/>
      <c r="L64" s="1446"/>
      <c r="M64" s="1447"/>
      <c r="N64" s="686"/>
      <c r="O64" s="770" t="str">
        <f>O49</f>
        <v>Timer</v>
      </c>
      <c r="P64" s="1450" t="s">
        <v>298</v>
      </c>
      <c r="Q64" s="1451"/>
      <c r="R64" s="1452"/>
      <c r="S64" s="1446"/>
      <c r="T64" s="1447"/>
      <c r="V64" s="228"/>
      <c r="W64" s="228"/>
      <c r="X64" s="288"/>
      <c r="Y64" s="289"/>
      <c r="Z64" s="290"/>
      <c r="AA64" s="778"/>
      <c r="AB64" s="228"/>
      <c r="AC64" s="228"/>
      <c r="AD64" s="288"/>
      <c r="AE64" s="289"/>
      <c r="AF64" s="290"/>
    </row>
    <row r="65" spans="1:32" ht="13.5" customHeight="1" x14ac:dyDescent="0.25">
      <c r="A65" s="773" t="str">
        <f>A50</f>
        <v>s</v>
      </c>
      <c r="B65" s="564">
        <v>2023</v>
      </c>
      <c r="C65" s="564">
        <v>2022</v>
      </c>
      <c r="D65" s="565">
        <v>2021</v>
      </c>
      <c r="E65" s="1446"/>
      <c r="F65" s="1447"/>
      <c r="G65" s="885" t="s">
        <v>0</v>
      </c>
      <c r="H65" s="773" t="str">
        <f>H50</f>
        <v>s</v>
      </c>
      <c r="I65" s="564">
        <v>2023</v>
      </c>
      <c r="J65" s="564">
        <v>2022</v>
      </c>
      <c r="K65" s="565">
        <v>2021</v>
      </c>
      <c r="L65" s="1446"/>
      <c r="M65" s="1447"/>
      <c r="N65" s="885" t="s">
        <v>0</v>
      </c>
      <c r="O65" s="773" t="str">
        <f>O50</f>
        <v>s</v>
      </c>
      <c r="P65" s="564">
        <v>2022</v>
      </c>
      <c r="Q65" s="565">
        <v>2021</v>
      </c>
      <c r="R65" s="566">
        <v>2020</v>
      </c>
      <c r="S65" s="1446"/>
      <c r="T65" s="1447"/>
      <c r="V65" s="228"/>
      <c r="W65" s="228"/>
      <c r="X65" s="288"/>
      <c r="Y65" s="289"/>
      <c r="Z65" s="290"/>
      <c r="AA65" s="778"/>
      <c r="AB65" s="228"/>
      <c r="AC65" s="228"/>
      <c r="AD65" s="288"/>
      <c r="AE65" s="289"/>
      <c r="AF65" s="290"/>
    </row>
    <row r="66" spans="1:32" ht="13.5" customHeight="1" x14ac:dyDescent="0.25">
      <c r="A66" s="757">
        <v>0</v>
      </c>
      <c r="B66" s="526">
        <v>0</v>
      </c>
      <c r="C66" s="526">
        <v>0</v>
      </c>
      <c r="D66" s="210">
        <v>9.9999999999999995E-7</v>
      </c>
      <c r="E66" s="211">
        <f>IFERROR(IF(OR(C66="-",D66="-"),1/3*F66,0.5*(MAX(C66:D66)-MIN(C66:D66))),0)</f>
        <v>4.9999999999999998E-7</v>
      </c>
      <c r="F66" s="213">
        <v>0</v>
      </c>
      <c r="G66" s="885">
        <v>1</v>
      </c>
      <c r="H66" s="757">
        <v>0</v>
      </c>
      <c r="I66" s="526">
        <v>0</v>
      </c>
      <c r="J66" s="526">
        <v>0</v>
      </c>
      <c r="K66" s="210">
        <v>9.9999999999999995E-7</v>
      </c>
      <c r="L66" s="211">
        <f>IFERROR(IF(OR(J66="-",K66="-"),1/3*M66,0.5*(MAX(J66:K66)-MIN(J66:K66))),0)</f>
        <v>4.9999999999999998E-7</v>
      </c>
      <c r="M66" s="213">
        <v>0</v>
      </c>
      <c r="N66" s="885">
        <v>1</v>
      </c>
      <c r="O66" s="757">
        <v>0</v>
      </c>
      <c r="P66" s="526">
        <v>0</v>
      </c>
      <c r="Q66" s="210">
        <v>9.9999999999999995E-7</v>
      </c>
      <c r="R66" s="210">
        <v>9.9999999999999995E-7</v>
      </c>
      <c r="S66" s="211">
        <f>IFERROR(IF(OR(Q66="-",R66="-"),1/3*T66,0.5*(MAX(Q66:R66)-MIN(Q66:R66))),0)</f>
        <v>0</v>
      </c>
      <c r="T66" s="213">
        <v>0</v>
      </c>
      <c r="V66" s="228"/>
      <c r="W66" s="228"/>
      <c r="X66" s="288"/>
      <c r="Y66" s="289"/>
      <c r="Z66" s="290"/>
      <c r="AA66" s="778"/>
      <c r="AB66" s="228"/>
      <c r="AC66" s="228"/>
      <c r="AD66" s="288"/>
      <c r="AE66" s="289"/>
      <c r="AF66" s="290"/>
    </row>
    <row r="67" spans="1:32" ht="13.5" customHeight="1" x14ac:dyDescent="0.25">
      <c r="A67" s="209">
        <v>10</v>
      </c>
      <c r="B67" s="526">
        <v>-0.01</v>
      </c>
      <c r="C67" s="526">
        <v>0</v>
      </c>
      <c r="D67" s="226">
        <v>0.02</v>
      </c>
      <c r="E67" s="211">
        <f t="shared" ref="E67:E75" si="12">IFERROR(IF(OR(C67="-",D67="-"),1/3*F67,0.5*(MAX(C67:D67)-MIN(C67:D67))),0)</f>
        <v>0.01</v>
      </c>
      <c r="F67" s="213">
        <v>0.12</v>
      </c>
      <c r="G67" s="885">
        <v>2</v>
      </c>
      <c r="H67" s="209">
        <v>10</v>
      </c>
      <c r="I67" s="526">
        <v>-0.04</v>
      </c>
      <c r="J67" s="526">
        <v>0</v>
      </c>
      <c r="K67" s="226">
        <v>0.02</v>
      </c>
      <c r="L67" s="211">
        <f t="shared" ref="L67:L75" si="13">IFERROR(IF(OR(J67="-",K67="-"),1/3*M67,0.5*(MAX(J67:K67)-MIN(J67:K67))),0)</f>
        <v>0.01</v>
      </c>
      <c r="M67" s="213">
        <v>0.12</v>
      </c>
      <c r="N67" s="885">
        <v>2</v>
      </c>
      <c r="O67" s="209">
        <v>10</v>
      </c>
      <c r="P67" s="526">
        <v>0.01</v>
      </c>
      <c r="Q67" s="226">
        <v>0.03</v>
      </c>
      <c r="R67" s="209" t="s">
        <v>128</v>
      </c>
      <c r="S67" s="211">
        <f t="shared" ref="S67:S75" si="14">IFERROR(IF(OR(Q67="-",R67="-"),1/3*T67,0.5*(MAX(Q67:R67)-MIN(Q67:R67))),0)</f>
        <v>3.9999999999999994E-2</v>
      </c>
      <c r="T67" s="213">
        <v>0.12</v>
      </c>
      <c r="V67" s="228"/>
      <c r="W67" s="228"/>
      <c r="X67" s="288"/>
      <c r="Y67" s="289"/>
      <c r="Z67" s="290"/>
      <c r="AA67" s="778"/>
      <c r="AB67" s="228"/>
      <c r="AC67" s="228"/>
      <c r="AD67" s="288"/>
      <c r="AE67" s="289"/>
      <c r="AF67" s="290"/>
    </row>
    <row r="68" spans="1:32" ht="13.5" customHeight="1" x14ac:dyDescent="0.25">
      <c r="A68" s="209">
        <v>20</v>
      </c>
      <c r="B68" s="526" t="s">
        <v>128</v>
      </c>
      <c r="C68" s="526" t="s">
        <v>128</v>
      </c>
      <c r="D68" s="226">
        <v>0.03</v>
      </c>
      <c r="E68" s="211">
        <f t="shared" si="12"/>
        <v>3.9999999999999994E-2</v>
      </c>
      <c r="F68" s="213">
        <v>0.12</v>
      </c>
      <c r="G68" s="885">
        <v>3</v>
      </c>
      <c r="H68" s="209">
        <v>20</v>
      </c>
      <c r="I68" s="526" t="s">
        <v>128</v>
      </c>
      <c r="J68" s="526" t="s">
        <v>128</v>
      </c>
      <c r="K68" s="226">
        <v>0.02</v>
      </c>
      <c r="L68" s="211">
        <f t="shared" si="13"/>
        <v>3.9999999999999994E-2</v>
      </c>
      <c r="M68" s="213">
        <v>0.12</v>
      </c>
      <c r="N68" s="885">
        <v>3</v>
      </c>
      <c r="O68" s="209">
        <v>30</v>
      </c>
      <c r="P68" s="526">
        <v>0.01</v>
      </c>
      <c r="Q68" s="226">
        <v>0.03</v>
      </c>
      <c r="R68" s="209" t="s">
        <v>128</v>
      </c>
      <c r="S68" s="211">
        <f t="shared" si="14"/>
        <v>3.9999999999999994E-2</v>
      </c>
      <c r="T68" s="213">
        <v>0.12</v>
      </c>
      <c r="V68" s="228"/>
      <c r="W68" s="228"/>
      <c r="X68" s="288"/>
      <c r="Y68" s="289"/>
      <c r="Z68" s="290"/>
      <c r="AA68" s="778"/>
      <c r="AB68" s="228"/>
      <c r="AC68" s="228"/>
      <c r="AD68" s="288"/>
      <c r="AE68" s="289"/>
      <c r="AF68" s="290"/>
    </row>
    <row r="69" spans="1:32" ht="13.5" customHeight="1" x14ac:dyDescent="0.25">
      <c r="A69" s="209">
        <v>30</v>
      </c>
      <c r="B69" s="526">
        <v>-0.02</v>
      </c>
      <c r="C69" s="526">
        <v>0.01</v>
      </c>
      <c r="D69" s="226">
        <v>0.02</v>
      </c>
      <c r="E69" s="211">
        <f t="shared" si="12"/>
        <v>5.0000000000000001E-3</v>
      </c>
      <c r="F69" s="213">
        <v>0.12</v>
      </c>
      <c r="G69" s="885">
        <v>4</v>
      </c>
      <c r="H69" s="209">
        <v>30</v>
      </c>
      <c r="I69" s="526">
        <v>-0.05</v>
      </c>
      <c r="J69" s="526">
        <v>0.01</v>
      </c>
      <c r="K69" s="226">
        <v>0.02</v>
      </c>
      <c r="L69" s="211">
        <f t="shared" si="13"/>
        <v>5.0000000000000001E-3</v>
      </c>
      <c r="M69" s="213">
        <v>0.12</v>
      </c>
      <c r="N69" s="885">
        <v>4</v>
      </c>
      <c r="O69" s="209">
        <v>60</v>
      </c>
      <c r="P69" s="526">
        <v>0.01</v>
      </c>
      <c r="Q69" s="226">
        <v>0.04</v>
      </c>
      <c r="R69" s="210">
        <v>9.9999999999999995E-7</v>
      </c>
      <c r="S69" s="211">
        <f t="shared" si="14"/>
        <v>1.99995E-2</v>
      </c>
      <c r="T69" s="213">
        <v>0.12</v>
      </c>
      <c r="V69" s="228"/>
      <c r="W69" s="228"/>
      <c r="X69" s="288"/>
      <c r="Y69" s="289"/>
      <c r="Z69" s="290"/>
      <c r="AA69" s="778"/>
      <c r="AB69" s="228"/>
      <c r="AC69" s="228"/>
      <c r="AD69" s="288"/>
      <c r="AE69" s="289"/>
      <c r="AF69" s="290"/>
    </row>
    <row r="70" spans="1:32" ht="13.5" customHeight="1" x14ac:dyDescent="0.25">
      <c r="A70" s="209">
        <v>40</v>
      </c>
      <c r="B70" s="526" t="s">
        <v>128</v>
      </c>
      <c r="C70" s="526" t="s">
        <v>128</v>
      </c>
      <c r="D70" s="226">
        <v>0.01</v>
      </c>
      <c r="E70" s="211">
        <f t="shared" si="12"/>
        <v>3.9999999999999994E-2</v>
      </c>
      <c r="F70" s="213">
        <v>0.12</v>
      </c>
      <c r="G70" s="885">
        <v>5</v>
      </c>
      <c r="H70" s="209">
        <v>40</v>
      </c>
      <c r="I70" s="526" t="s">
        <v>128</v>
      </c>
      <c r="J70" s="526" t="s">
        <v>128</v>
      </c>
      <c r="K70" s="226">
        <v>0.03</v>
      </c>
      <c r="L70" s="211">
        <f t="shared" si="13"/>
        <v>3.9999999999999994E-2</v>
      </c>
      <c r="M70" s="213">
        <v>0.12</v>
      </c>
      <c r="N70" s="885">
        <v>5</v>
      </c>
      <c r="O70" s="209">
        <v>60</v>
      </c>
      <c r="P70" s="526">
        <v>0.01</v>
      </c>
      <c r="Q70" s="226">
        <v>0.04</v>
      </c>
      <c r="R70" s="210">
        <v>9.9999999999999995E-7</v>
      </c>
      <c r="S70" s="211">
        <f t="shared" si="14"/>
        <v>1.99995E-2</v>
      </c>
      <c r="T70" s="213">
        <v>0.12</v>
      </c>
      <c r="V70" s="228"/>
      <c r="W70" s="228"/>
      <c r="X70" s="288"/>
      <c r="Y70" s="289"/>
      <c r="Z70" s="290"/>
      <c r="AA70" s="778"/>
      <c r="AB70" s="228"/>
      <c r="AC70" s="228"/>
      <c r="AD70" s="288"/>
      <c r="AE70" s="289"/>
      <c r="AF70" s="290"/>
    </row>
    <row r="71" spans="1:32" ht="13.5" customHeight="1" x14ac:dyDescent="0.25">
      <c r="A71" s="209">
        <v>50</v>
      </c>
      <c r="B71" s="526" t="s">
        <v>128</v>
      </c>
      <c r="C71" s="526" t="s">
        <v>128</v>
      </c>
      <c r="D71" s="226">
        <v>0.02</v>
      </c>
      <c r="E71" s="211">
        <f t="shared" si="12"/>
        <v>3.9999999999999994E-2</v>
      </c>
      <c r="F71" s="213">
        <v>0.12</v>
      </c>
      <c r="G71" s="885">
        <v>6</v>
      </c>
      <c r="H71" s="209">
        <v>50</v>
      </c>
      <c r="I71" s="526" t="s">
        <v>128</v>
      </c>
      <c r="J71" s="526" t="s">
        <v>128</v>
      </c>
      <c r="K71" s="226">
        <v>0.03</v>
      </c>
      <c r="L71" s="211">
        <f t="shared" si="13"/>
        <v>3.9999999999999994E-2</v>
      </c>
      <c r="M71" s="213">
        <v>0.12</v>
      </c>
      <c r="N71" s="885">
        <v>6</v>
      </c>
      <c r="O71" s="209">
        <v>60</v>
      </c>
      <c r="P71" s="526">
        <v>0.01</v>
      </c>
      <c r="Q71" s="226">
        <v>0.04</v>
      </c>
      <c r="R71" s="210">
        <v>9.9999999999999995E-7</v>
      </c>
      <c r="S71" s="211">
        <f t="shared" si="14"/>
        <v>1.99995E-2</v>
      </c>
      <c r="T71" s="213">
        <v>0.12</v>
      </c>
      <c r="V71" s="228"/>
      <c r="W71" s="228"/>
      <c r="X71" s="288"/>
      <c r="Y71" s="289"/>
      <c r="Z71" s="290"/>
      <c r="AA71" s="778"/>
      <c r="AB71" s="228"/>
      <c r="AC71" s="228"/>
      <c r="AD71" s="288"/>
      <c r="AE71" s="289"/>
      <c r="AF71" s="290"/>
    </row>
    <row r="72" spans="1:32" ht="13.5" customHeight="1" x14ac:dyDescent="0.25">
      <c r="A72" s="209">
        <v>60</v>
      </c>
      <c r="B72" s="526">
        <v>-0.01</v>
      </c>
      <c r="C72" s="526">
        <v>0</v>
      </c>
      <c r="D72" s="226">
        <v>0.02</v>
      </c>
      <c r="E72" s="211">
        <f t="shared" si="12"/>
        <v>0.01</v>
      </c>
      <c r="F72" s="213">
        <v>0.12</v>
      </c>
      <c r="G72" s="885">
        <v>7</v>
      </c>
      <c r="H72" s="209">
        <v>60</v>
      </c>
      <c r="I72" s="526">
        <v>-0.05</v>
      </c>
      <c r="J72" s="526">
        <v>0.01</v>
      </c>
      <c r="K72" s="226">
        <v>0.03</v>
      </c>
      <c r="L72" s="211">
        <f t="shared" si="13"/>
        <v>9.9999999999999985E-3</v>
      </c>
      <c r="M72" s="213">
        <v>0.12</v>
      </c>
      <c r="N72" s="885">
        <v>7</v>
      </c>
      <c r="O72" s="209">
        <v>60</v>
      </c>
      <c r="P72" s="526">
        <v>0.01</v>
      </c>
      <c r="Q72" s="226">
        <v>0.04</v>
      </c>
      <c r="R72" s="210">
        <v>9.9999999999999995E-7</v>
      </c>
      <c r="S72" s="211">
        <f t="shared" si="14"/>
        <v>1.99995E-2</v>
      </c>
      <c r="T72" s="213">
        <v>0.12</v>
      </c>
      <c r="V72" s="228"/>
      <c r="W72" s="228"/>
      <c r="X72" s="288"/>
      <c r="Y72" s="289"/>
      <c r="Z72" s="290"/>
      <c r="AA72" s="778"/>
      <c r="AB72" s="228"/>
      <c r="AC72" s="228"/>
      <c r="AD72" s="288"/>
      <c r="AE72" s="289"/>
      <c r="AF72" s="290"/>
    </row>
    <row r="73" spans="1:32" ht="13.5" customHeight="1" x14ac:dyDescent="0.25">
      <c r="A73" s="209">
        <v>300</v>
      </c>
      <c r="B73" s="526">
        <v>-0.01</v>
      </c>
      <c r="C73" s="526">
        <v>0</v>
      </c>
      <c r="D73" s="226">
        <v>0.01</v>
      </c>
      <c r="E73" s="211">
        <f t="shared" si="12"/>
        <v>5.0000000000000001E-3</v>
      </c>
      <c r="F73" s="213">
        <v>0.12</v>
      </c>
      <c r="G73" s="885">
        <v>8</v>
      </c>
      <c r="H73" s="209">
        <v>300</v>
      </c>
      <c r="I73" s="526">
        <v>-0.04</v>
      </c>
      <c r="J73" s="526">
        <v>0.01</v>
      </c>
      <c r="K73" s="226">
        <v>0.03</v>
      </c>
      <c r="L73" s="211">
        <f t="shared" si="13"/>
        <v>9.9999999999999985E-3</v>
      </c>
      <c r="M73" s="213">
        <v>0.12</v>
      </c>
      <c r="N73" s="885">
        <v>8</v>
      </c>
      <c r="O73" s="209">
        <v>300</v>
      </c>
      <c r="P73" s="526">
        <v>0.01</v>
      </c>
      <c r="Q73" s="226">
        <v>0.04</v>
      </c>
      <c r="R73" s="226">
        <v>-0.01</v>
      </c>
      <c r="S73" s="211">
        <f t="shared" si="14"/>
        <v>2.5000000000000001E-2</v>
      </c>
      <c r="T73" s="213">
        <v>0.12</v>
      </c>
      <c r="V73" s="228"/>
      <c r="W73" s="228"/>
      <c r="X73" s="288"/>
      <c r="Y73" s="289"/>
      <c r="Z73" s="290"/>
      <c r="AA73" s="778"/>
      <c r="AB73" s="228"/>
      <c r="AC73" s="228"/>
      <c r="AD73" s="288"/>
      <c r="AE73" s="289"/>
      <c r="AF73" s="290"/>
    </row>
    <row r="74" spans="1:32" ht="13.5" customHeight="1" x14ac:dyDescent="0.25">
      <c r="A74" s="209">
        <v>600</v>
      </c>
      <c r="B74" s="526">
        <v>-0.02</v>
      </c>
      <c r="C74" s="526">
        <v>-0.01</v>
      </c>
      <c r="D74" s="226">
        <v>0.01</v>
      </c>
      <c r="E74" s="211">
        <f t="shared" si="12"/>
        <v>0.01</v>
      </c>
      <c r="F74" s="213">
        <v>0.12</v>
      </c>
      <c r="G74" s="885">
        <v>9</v>
      </c>
      <c r="H74" s="209">
        <v>600</v>
      </c>
      <c r="I74" s="526">
        <v>-0.04</v>
      </c>
      <c r="J74" s="526">
        <v>0.01</v>
      </c>
      <c r="K74" s="226">
        <v>0.04</v>
      </c>
      <c r="L74" s="211">
        <f t="shared" si="13"/>
        <v>1.4999999999999999E-2</v>
      </c>
      <c r="M74" s="213">
        <v>0.12</v>
      </c>
      <c r="N74" s="885">
        <v>9</v>
      </c>
      <c r="O74" s="209">
        <v>600</v>
      </c>
      <c r="P74" s="526">
        <v>0.02</v>
      </c>
      <c r="Q74" s="226">
        <v>0.04</v>
      </c>
      <c r="R74" s="226">
        <v>-0.02</v>
      </c>
      <c r="S74" s="211">
        <f t="shared" si="14"/>
        <v>0.03</v>
      </c>
      <c r="T74" s="213">
        <v>0.12</v>
      </c>
      <c r="V74" s="228"/>
      <c r="W74" s="228"/>
      <c r="X74" s="288"/>
      <c r="Y74" s="289"/>
      <c r="Z74" s="290"/>
      <c r="AA74" s="778"/>
      <c r="AB74" s="228"/>
      <c r="AC74" s="228"/>
      <c r="AD74" s="288"/>
      <c r="AE74" s="289"/>
      <c r="AF74" s="290"/>
    </row>
    <row r="75" spans="1:32" ht="13.5" customHeight="1" x14ac:dyDescent="0.25">
      <c r="A75" s="209">
        <v>900</v>
      </c>
      <c r="B75" s="526">
        <v>-0.03</v>
      </c>
      <c r="C75" s="526">
        <v>-0.05</v>
      </c>
      <c r="D75" s="209" t="s">
        <v>128</v>
      </c>
      <c r="E75" s="211">
        <f t="shared" si="12"/>
        <v>3.9999999999999994E-2</v>
      </c>
      <c r="F75" s="213">
        <v>0.12</v>
      </c>
      <c r="G75" s="885">
        <v>10</v>
      </c>
      <c r="H75" s="209">
        <v>900</v>
      </c>
      <c r="I75" s="526">
        <v>-0.04</v>
      </c>
      <c r="J75" s="526">
        <v>0.01</v>
      </c>
      <c r="K75" s="209" t="s">
        <v>128</v>
      </c>
      <c r="L75" s="211">
        <f t="shared" si="13"/>
        <v>3.9999999999999994E-2</v>
      </c>
      <c r="M75" s="213">
        <v>0.12</v>
      </c>
      <c r="N75" s="885">
        <v>10</v>
      </c>
      <c r="O75" s="209">
        <v>900</v>
      </c>
      <c r="P75" s="526">
        <v>0.01</v>
      </c>
      <c r="Q75" s="226">
        <v>0.04</v>
      </c>
      <c r="R75" s="226">
        <v>-0.03</v>
      </c>
      <c r="S75" s="211">
        <f t="shared" si="14"/>
        <v>3.5000000000000003E-2</v>
      </c>
      <c r="T75" s="213">
        <v>0.12</v>
      </c>
      <c r="V75" s="228"/>
      <c r="W75" s="228"/>
      <c r="X75" s="288"/>
      <c r="Y75" s="289"/>
      <c r="Z75" s="290"/>
      <c r="AA75" s="778"/>
      <c r="AB75" s="228"/>
      <c r="AC75" s="228"/>
      <c r="AD75" s="288"/>
      <c r="AE75" s="289"/>
      <c r="AF75" s="290"/>
    </row>
    <row r="76" spans="1:32" ht="13.5" customHeight="1" x14ac:dyDescent="0.25">
      <c r="A76" s="209">
        <v>1200</v>
      </c>
      <c r="B76" s="348"/>
      <c r="C76" s="348" t="s">
        <v>128</v>
      </c>
      <c r="D76" s="209" t="s">
        <v>128</v>
      </c>
      <c r="E76" s="211">
        <f>IFERROR(IF(OR(C76="-",D76="-"),1/3*F76,0.5*(MAX(C76:D76)-MIN(C76:D76))),0)</f>
        <v>3.9999999999999994E-2</v>
      </c>
      <c r="F76" s="213">
        <v>0.12</v>
      </c>
      <c r="G76" s="885">
        <v>11</v>
      </c>
      <c r="H76" s="209">
        <v>1200</v>
      </c>
      <c r="I76" s="348" t="s">
        <v>128</v>
      </c>
      <c r="J76" s="348" t="s">
        <v>128</v>
      </c>
      <c r="K76" s="209" t="s">
        <v>128</v>
      </c>
      <c r="L76" s="211">
        <f>IFERROR(IF(OR(J76="-",K76="-"),1/3*M76,0.5*(MAX(J76:K76)-MIN(J76:K76))),0)</f>
        <v>3.9999999999999994E-2</v>
      </c>
      <c r="M76" s="213">
        <v>0.12</v>
      </c>
      <c r="N76" s="885">
        <v>11</v>
      </c>
      <c r="O76" s="209">
        <v>1200</v>
      </c>
      <c r="P76" s="526" t="s">
        <v>128</v>
      </c>
      <c r="Q76" s="226">
        <v>0.04</v>
      </c>
      <c r="R76" s="226">
        <v>-0.04</v>
      </c>
      <c r="S76" s="211">
        <f>IFERROR(IF(OR(Q76="-",R76="-"),1/3*T76,0.5*(MAX(Q76:R76)-MIN(Q76:R76))),0)</f>
        <v>0.04</v>
      </c>
      <c r="T76" s="213">
        <v>0.12</v>
      </c>
      <c r="V76" s="228"/>
      <c r="W76" s="228"/>
      <c r="X76" s="288"/>
      <c r="Y76" s="289"/>
      <c r="Z76" s="290"/>
      <c r="AA76" s="778"/>
      <c r="AB76" s="228"/>
      <c r="AC76" s="228"/>
      <c r="AD76" s="288"/>
      <c r="AE76" s="289"/>
      <c r="AF76" s="290"/>
    </row>
    <row r="77" spans="1:32" ht="13.5" customHeight="1" x14ac:dyDescent="0.3">
      <c r="A77" s="889"/>
      <c r="B77" s="890"/>
      <c r="C77" s="292"/>
      <c r="D77" s="293"/>
      <c r="E77" s="289"/>
      <c r="F77" s="290"/>
      <c r="G77" s="778"/>
      <c r="H77" s="890"/>
      <c r="I77" s="890"/>
      <c r="J77" s="292"/>
      <c r="K77" s="293"/>
      <c r="L77" s="289"/>
      <c r="M77" s="290"/>
      <c r="N77" s="686"/>
      <c r="O77" s="890"/>
      <c r="P77" s="890"/>
      <c r="Q77" s="292"/>
      <c r="R77" s="293"/>
      <c r="S77" s="289"/>
      <c r="T77" s="290"/>
      <c r="V77" s="228"/>
      <c r="W77" s="228"/>
      <c r="X77" s="288"/>
      <c r="Y77" s="289"/>
      <c r="Z77" s="290"/>
      <c r="AA77" s="778"/>
      <c r="AB77" s="228"/>
      <c r="AC77" s="228"/>
      <c r="AD77" s="288"/>
      <c r="AE77" s="289"/>
      <c r="AF77" s="290"/>
    </row>
    <row r="78" spans="1:32" ht="13.5" customHeight="1" x14ac:dyDescent="0.3">
      <c r="A78" s="1488" t="s">
        <v>363</v>
      </c>
      <c r="B78" s="1444"/>
      <c r="C78" s="1444"/>
      <c r="D78" s="1445"/>
      <c r="E78" s="1446" t="s">
        <v>294</v>
      </c>
      <c r="F78" s="1447" t="str">
        <f>F63</f>
        <v>U95 STD</v>
      </c>
      <c r="G78" s="778"/>
      <c r="H78" s="1488" t="s">
        <v>484</v>
      </c>
      <c r="I78" s="1444"/>
      <c r="J78" s="1444"/>
      <c r="K78" s="1445"/>
      <c r="L78" s="1446" t="s">
        <v>294</v>
      </c>
      <c r="M78" s="1447" t="str">
        <f>M63</f>
        <v>U95 STD</v>
      </c>
      <c r="N78" s="686"/>
      <c r="O78" s="890"/>
      <c r="P78" s="890"/>
      <c r="Q78" s="292"/>
      <c r="R78" s="293"/>
      <c r="S78" s="289"/>
      <c r="T78" s="290"/>
      <c r="V78" s="228"/>
      <c r="W78" s="228"/>
      <c r="X78" s="288"/>
      <c r="Y78" s="289"/>
      <c r="Z78" s="290"/>
      <c r="AA78" s="778"/>
      <c r="AB78" s="228"/>
      <c r="AC78" s="228"/>
      <c r="AD78" s="288"/>
      <c r="AE78" s="289"/>
      <c r="AF78" s="290"/>
    </row>
    <row r="79" spans="1:32" ht="13.5" customHeight="1" x14ac:dyDescent="0.3">
      <c r="A79" s="770" t="str">
        <f>A64</f>
        <v>Timer</v>
      </c>
      <c r="B79" s="1450" t="s">
        <v>298</v>
      </c>
      <c r="C79" s="1451"/>
      <c r="D79" s="1452"/>
      <c r="E79" s="1446"/>
      <c r="F79" s="1447"/>
      <c r="G79" s="778"/>
      <c r="H79" s="770" t="str">
        <f>H64</f>
        <v>Timer</v>
      </c>
      <c r="I79" s="1450" t="s">
        <v>298</v>
      </c>
      <c r="J79" s="1451"/>
      <c r="K79" s="1452"/>
      <c r="L79" s="1446"/>
      <c r="M79" s="1447"/>
      <c r="N79" s="686"/>
      <c r="O79" s="890"/>
      <c r="P79" s="890"/>
      <c r="Q79" s="292"/>
      <c r="R79" s="293"/>
      <c r="S79" s="289"/>
      <c r="T79" s="290"/>
      <c r="V79" s="228"/>
      <c r="W79" s="228"/>
      <c r="X79" s="288"/>
      <c r="Y79" s="289"/>
      <c r="Z79" s="290"/>
      <c r="AA79" s="778"/>
      <c r="AB79" s="228"/>
      <c r="AC79" s="228"/>
      <c r="AD79" s="288"/>
      <c r="AE79" s="289"/>
      <c r="AF79" s="290"/>
    </row>
    <row r="80" spans="1:32" ht="13.5" customHeight="1" x14ac:dyDescent="0.3">
      <c r="A80" s="773" t="str">
        <f>A65</f>
        <v>s</v>
      </c>
      <c r="B80" s="564">
        <v>2023</v>
      </c>
      <c r="C80" s="564">
        <v>2022</v>
      </c>
      <c r="D80" s="565">
        <v>2021</v>
      </c>
      <c r="E80" s="1446"/>
      <c r="F80" s="1447"/>
      <c r="G80" s="885" t="s">
        <v>0</v>
      </c>
      <c r="H80" s="773" t="str">
        <f>H65</f>
        <v>s</v>
      </c>
      <c r="I80" s="564">
        <v>2018</v>
      </c>
      <c r="J80" s="565">
        <v>2017</v>
      </c>
      <c r="K80" s="565" t="s">
        <v>128</v>
      </c>
      <c r="L80" s="1446"/>
      <c r="M80" s="1447"/>
      <c r="N80" s="686"/>
      <c r="O80" s="890"/>
      <c r="P80" s="890"/>
      <c r="Q80" s="292"/>
      <c r="R80" s="293"/>
      <c r="S80" s="289"/>
      <c r="T80" s="290"/>
      <c r="V80" s="228"/>
      <c r="W80" s="228"/>
      <c r="X80" s="288"/>
      <c r="Y80" s="289"/>
      <c r="Z80" s="290"/>
      <c r="AA80" s="778"/>
      <c r="AB80" s="228"/>
      <c r="AC80" s="228"/>
      <c r="AD80" s="288"/>
      <c r="AE80" s="289"/>
      <c r="AF80" s="290"/>
    </row>
    <row r="81" spans="1:32" ht="13.5" customHeight="1" x14ac:dyDescent="0.3">
      <c r="A81" s="757">
        <v>0</v>
      </c>
      <c r="B81" s="526">
        <v>0</v>
      </c>
      <c r="C81" s="526">
        <v>0</v>
      </c>
      <c r="D81" s="210">
        <v>9.9999999999999995E-7</v>
      </c>
      <c r="E81" s="211">
        <f>IFERROR(IF(OR(C81="-",D81="-"),1/3*F81,0.5*(MAX(C81:D81)-MIN(C81:D81))),0)</f>
        <v>4.9999999999999998E-7</v>
      </c>
      <c r="F81" s="213">
        <v>0</v>
      </c>
      <c r="G81" s="885">
        <v>1</v>
      </c>
      <c r="H81" s="757">
        <v>0</v>
      </c>
      <c r="I81" s="526">
        <v>0</v>
      </c>
      <c r="J81" s="210">
        <v>0</v>
      </c>
      <c r="K81" s="210" t="s">
        <v>128</v>
      </c>
      <c r="L81" s="211">
        <f>IFERROR(IF(OR(J81="-",K81="-"),1/3*M81,0.5*(MAX(J81:K81)-MIN(J81:K81))),0)</f>
        <v>0</v>
      </c>
      <c r="M81" s="213">
        <v>0</v>
      </c>
      <c r="N81" s="686"/>
      <c r="O81" s="890"/>
      <c r="P81" s="890"/>
      <c r="Q81" s="292"/>
      <c r="R81" s="293"/>
      <c r="S81" s="289"/>
      <c r="T81" s="290"/>
      <c r="V81" s="228"/>
      <c r="W81" s="228"/>
      <c r="X81" s="288"/>
      <c r="Y81" s="289"/>
      <c r="Z81" s="290"/>
      <c r="AA81" s="778"/>
      <c r="AB81" s="228"/>
      <c r="AC81" s="228"/>
      <c r="AD81" s="288"/>
      <c r="AE81" s="289"/>
      <c r="AF81" s="290"/>
    </row>
    <row r="82" spans="1:32" ht="13.5" customHeight="1" x14ac:dyDescent="0.3">
      <c r="A82" s="209">
        <v>10</v>
      </c>
      <c r="B82" s="526">
        <v>0</v>
      </c>
      <c r="C82" s="526">
        <v>0</v>
      </c>
      <c r="D82" s="209" t="s">
        <v>128</v>
      </c>
      <c r="E82" s="211">
        <f t="shared" ref="E82:E90" si="15">IFERROR(IF(OR(C82="-",D82="-"),1/3*F82,0.5*(MAX(C82:D82)-MIN(C82:D82))),0)</f>
        <v>3.9999999999999994E-2</v>
      </c>
      <c r="F82" s="213">
        <v>0.12</v>
      </c>
      <c r="G82" s="885">
        <v>2</v>
      </c>
      <c r="H82" s="209">
        <v>10</v>
      </c>
      <c r="I82" s="526">
        <v>0</v>
      </c>
      <c r="J82" s="209" t="s">
        <v>128</v>
      </c>
      <c r="K82" s="210" t="s">
        <v>128</v>
      </c>
      <c r="L82" s="211">
        <f t="shared" ref="L82:L90" si="16">IFERROR(IF(OR(J82="-",K82="-"),1/3*M82,0.5*(MAX(J82:K82)-MIN(J82:K82))),0)</f>
        <v>3.9999999999999994E-2</v>
      </c>
      <c r="M82" s="213">
        <v>0.12</v>
      </c>
      <c r="N82" s="686"/>
      <c r="O82" s="890"/>
      <c r="P82" s="890"/>
      <c r="Q82" s="292"/>
      <c r="R82" s="293"/>
      <c r="S82" s="289"/>
      <c r="T82" s="290"/>
      <c r="V82" s="228"/>
      <c r="W82" s="228"/>
      <c r="X82" s="288"/>
      <c r="Y82" s="289"/>
      <c r="Z82" s="290"/>
      <c r="AA82" s="778"/>
      <c r="AB82" s="228"/>
      <c r="AC82" s="228"/>
      <c r="AD82" s="288"/>
      <c r="AE82" s="289"/>
      <c r="AF82" s="290"/>
    </row>
    <row r="83" spans="1:32" ht="13.5" customHeight="1" x14ac:dyDescent="0.3">
      <c r="A83" s="209">
        <v>30</v>
      </c>
      <c r="B83" s="526">
        <v>0</v>
      </c>
      <c r="C83" s="526">
        <v>0.01</v>
      </c>
      <c r="D83" s="209" t="s">
        <v>128</v>
      </c>
      <c r="E83" s="211">
        <f t="shared" si="15"/>
        <v>3.9999999999999994E-2</v>
      </c>
      <c r="F83" s="213">
        <v>0.12</v>
      </c>
      <c r="G83" s="885">
        <v>3</v>
      </c>
      <c r="H83" s="209">
        <v>20</v>
      </c>
      <c r="I83" s="526">
        <v>0</v>
      </c>
      <c r="J83" s="209" t="s">
        <v>128</v>
      </c>
      <c r="K83" s="210" t="s">
        <v>128</v>
      </c>
      <c r="L83" s="211">
        <f t="shared" si="16"/>
        <v>3.9999999999999994E-2</v>
      </c>
      <c r="M83" s="213">
        <v>0.12</v>
      </c>
      <c r="N83" s="686"/>
      <c r="O83" s="890"/>
      <c r="P83" s="890"/>
      <c r="Q83" s="292"/>
      <c r="R83" s="293"/>
      <c r="S83" s="289"/>
      <c r="T83" s="290"/>
      <c r="V83" s="228"/>
      <c r="W83" s="228"/>
      <c r="X83" s="288"/>
      <c r="Y83" s="289"/>
      <c r="Z83" s="290"/>
      <c r="AA83" s="778"/>
      <c r="AB83" s="228"/>
      <c r="AC83" s="228"/>
      <c r="AD83" s="288"/>
      <c r="AE83" s="289"/>
      <c r="AF83" s="290"/>
    </row>
    <row r="84" spans="1:32" ht="13.5" customHeight="1" x14ac:dyDescent="0.3">
      <c r="A84" s="209">
        <v>60</v>
      </c>
      <c r="B84" s="526">
        <v>0</v>
      </c>
      <c r="C84" s="526">
        <v>0</v>
      </c>
      <c r="D84" s="226">
        <v>-0.01</v>
      </c>
      <c r="E84" s="211">
        <f t="shared" si="15"/>
        <v>5.0000000000000001E-3</v>
      </c>
      <c r="F84" s="213">
        <v>0.12</v>
      </c>
      <c r="G84" s="885">
        <v>4</v>
      </c>
      <c r="H84" s="209">
        <v>30</v>
      </c>
      <c r="I84" s="526">
        <v>0</v>
      </c>
      <c r="J84" s="226" t="s">
        <v>128</v>
      </c>
      <c r="K84" s="210" t="s">
        <v>128</v>
      </c>
      <c r="L84" s="211">
        <f t="shared" si="16"/>
        <v>3.9999999999999994E-2</v>
      </c>
      <c r="M84" s="213">
        <v>0.12</v>
      </c>
      <c r="N84" s="686"/>
      <c r="O84" s="890"/>
      <c r="P84" s="890"/>
      <c r="Q84" s="292"/>
      <c r="R84" s="293"/>
      <c r="S84" s="289"/>
      <c r="T84" s="290"/>
      <c r="V84" s="228"/>
      <c r="W84" s="228"/>
      <c r="X84" s="288"/>
      <c r="Y84" s="289"/>
      <c r="Z84" s="290"/>
      <c r="AA84" s="778"/>
      <c r="AB84" s="228"/>
      <c r="AC84" s="228"/>
      <c r="AD84" s="288"/>
      <c r="AE84" s="289"/>
      <c r="AF84" s="290"/>
    </row>
    <row r="85" spans="1:32" ht="13.5" customHeight="1" x14ac:dyDescent="0.3">
      <c r="A85" s="209">
        <v>60</v>
      </c>
      <c r="B85" s="526">
        <v>0</v>
      </c>
      <c r="C85" s="526">
        <v>0</v>
      </c>
      <c r="D85" s="226">
        <v>-0.01</v>
      </c>
      <c r="E85" s="211">
        <f t="shared" si="15"/>
        <v>5.0000000000000001E-3</v>
      </c>
      <c r="F85" s="213">
        <v>0.12</v>
      </c>
      <c r="G85" s="885">
        <v>5</v>
      </c>
      <c r="H85" s="209">
        <v>40</v>
      </c>
      <c r="I85" s="526">
        <v>0</v>
      </c>
      <c r="J85" s="226" t="s">
        <v>128</v>
      </c>
      <c r="K85" s="210" t="s">
        <v>128</v>
      </c>
      <c r="L85" s="211">
        <f t="shared" si="16"/>
        <v>3.9999999999999994E-2</v>
      </c>
      <c r="M85" s="213">
        <v>0.12</v>
      </c>
      <c r="N85" s="686"/>
      <c r="O85" s="890"/>
      <c r="P85" s="890"/>
      <c r="Q85" s="292"/>
      <c r="R85" s="293"/>
      <c r="S85" s="289"/>
      <c r="T85" s="290"/>
      <c r="V85" s="228"/>
      <c r="W85" s="228"/>
      <c r="X85" s="288"/>
      <c r="Y85" s="289"/>
      <c r="Z85" s="290"/>
      <c r="AA85" s="778"/>
      <c r="AB85" s="228"/>
      <c r="AC85" s="228"/>
      <c r="AD85" s="288"/>
      <c r="AE85" s="289"/>
      <c r="AF85" s="290"/>
    </row>
    <row r="86" spans="1:32" ht="13.5" customHeight="1" x14ac:dyDescent="0.3">
      <c r="A86" s="209">
        <v>60</v>
      </c>
      <c r="B86" s="526">
        <v>0</v>
      </c>
      <c r="C86" s="526">
        <v>0</v>
      </c>
      <c r="D86" s="226">
        <v>-0.01</v>
      </c>
      <c r="E86" s="211">
        <f t="shared" si="15"/>
        <v>5.0000000000000001E-3</v>
      </c>
      <c r="F86" s="213">
        <v>0.12</v>
      </c>
      <c r="G86" s="885">
        <v>6</v>
      </c>
      <c r="H86" s="209">
        <v>50</v>
      </c>
      <c r="I86" s="526">
        <v>0</v>
      </c>
      <c r="J86" s="226" t="s">
        <v>128</v>
      </c>
      <c r="K86" s="210" t="s">
        <v>128</v>
      </c>
      <c r="L86" s="211">
        <f t="shared" si="16"/>
        <v>3.9999999999999994E-2</v>
      </c>
      <c r="M86" s="213">
        <v>0.12</v>
      </c>
      <c r="N86" s="686"/>
      <c r="O86" s="890"/>
      <c r="P86" s="890"/>
      <c r="Q86" s="292"/>
      <c r="R86" s="293"/>
      <c r="S86" s="289"/>
      <c r="T86" s="290"/>
      <c r="V86" s="228"/>
      <c r="W86" s="228"/>
      <c r="X86" s="288"/>
      <c r="Y86" s="289"/>
      <c r="Z86" s="290"/>
      <c r="AA86" s="778"/>
      <c r="AB86" s="228"/>
      <c r="AC86" s="228"/>
      <c r="AD86" s="288"/>
      <c r="AE86" s="289"/>
      <c r="AF86" s="290"/>
    </row>
    <row r="87" spans="1:32" ht="13.5" customHeight="1" x14ac:dyDescent="0.3">
      <c r="A87" s="209">
        <v>60</v>
      </c>
      <c r="B87" s="526">
        <v>0</v>
      </c>
      <c r="C87" s="526">
        <v>0</v>
      </c>
      <c r="D87" s="226">
        <v>-0.01</v>
      </c>
      <c r="E87" s="211">
        <f t="shared" si="15"/>
        <v>5.0000000000000001E-3</v>
      </c>
      <c r="F87" s="213">
        <v>0.12</v>
      </c>
      <c r="G87" s="885">
        <v>7</v>
      </c>
      <c r="H87" s="209">
        <v>60</v>
      </c>
      <c r="I87" s="526">
        <v>0.01</v>
      </c>
      <c r="J87" s="226">
        <v>0</v>
      </c>
      <c r="K87" s="210" t="s">
        <v>128</v>
      </c>
      <c r="L87" s="211">
        <f t="shared" si="16"/>
        <v>3.9999999999999994E-2</v>
      </c>
      <c r="M87" s="213">
        <v>0.12</v>
      </c>
      <c r="N87" s="686"/>
      <c r="O87" s="890"/>
      <c r="P87" s="890"/>
      <c r="Q87" s="292"/>
      <c r="R87" s="293"/>
      <c r="S87" s="289"/>
      <c r="T87" s="290"/>
      <c r="V87" s="228"/>
      <c r="W87" s="228"/>
      <c r="X87" s="288"/>
      <c r="Y87" s="289"/>
      <c r="Z87" s="290"/>
      <c r="AA87" s="778"/>
      <c r="AB87" s="228"/>
      <c r="AC87" s="228"/>
      <c r="AD87" s="288"/>
      <c r="AE87" s="289"/>
      <c r="AF87" s="290"/>
    </row>
    <row r="88" spans="1:32" ht="13.5" customHeight="1" x14ac:dyDescent="0.3">
      <c r="A88" s="209">
        <v>300</v>
      </c>
      <c r="B88" s="526">
        <v>0</v>
      </c>
      <c r="C88" s="526">
        <v>0</v>
      </c>
      <c r="D88" s="226">
        <v>-0.01</v>
      </c>
      <c r="E88" s="211">
        <f t="shared" si="15"/>
        <v>5.0000000000000001E-3</v>
      </c>
      <c r="F88" s="213">
        <v>0.12</v>
      </c>
      <c r="G88" s="885">
        <v>8</v>
      </c>
      <c r="H88" s="209">
        <v>300</v>
      </c>
      <c r="I88" s="526">
        <v>0.01</v>
      </c>
      <c r="J88" s="226">
        <v>-2E-3</v>
      </c>
      <c r="K88" s="210" t="s">
        <v>128</v>
      </c>
      <c r="L88" s="211">
        <f t="shared" si="16"/>
        <v>3.9999999999999994E-2</v>
      </c>
      <c r="M88" s="213">
        <v>0.12</v>
      </c>
      <c r="N88" s="686"/>
      <c r="O88" s="890"/>
      <c r="P88" s="890"/>
      <c r="Q88" s="292"/>
      <c r="R88" s="293"/>
      <c r="S88" s="289"/>
      <c r="T88" s="290"/>
      <c r="V88" s="228"/>
      <c r="W88" s="228"/>
      <c r="X88" s="288"/>
      <c r="Y88" s="289"/>
      <c r="Z88" s="290"/>
      <c r="AA88" s="778"/>
      <c r="AB88" s="228"/>
      <c r="AC88" s="228"/>
      <c r="AD88" s="288"/>
      <c r="AE88" s="289"/>
      <c r="AF88" s="290"/>
    </row>
    <row r="89" spans="1:32" ht="13.5" customHeight="1" x14ac:dyDescent="0.3">
      <c r="A89" s="209">
        <v>600</v>
      </c>
      <c r="B89" s="526">
        <v>0</v>
      </c>
      <c r="C89" s="526">
        <v>0</v>
      </c>
      <c r="D89" s="226">
        <v>-0.01</v>
      </c>
      <c r="E89" s="211">
        <f t="shared" si="15"/>
        <v>5.0000000000000001E-3</v>
      </c>
      <c r="F89" s="213">
        <v>0.12</v>
      </c>
      <c r="G89" s="885">
        <v>9</v>
      </c>
      <c r="H89" s="209">
        <v>600</v>
      </c>
      <c r="I89" s="526">
        <v>0.02</v>
      </c>
      <c r="J89" s="226">
        <v>-3.0000000000000001E-3</v>
      </c>
      <c r="K89" s="210" t="s">
        <v>128</v>
      </c>
      <c r="L89" s="211">
        <f t="shared" si="16"/>
        <v>3.9999999999999994E-2</v>
      </c>
      <c r="M89" s="213">
        <v>0.12</v>
      </c>
      <c r="N89" s="686"/>
      <c r="O89" s="890"/>
      <c r="P89" s="890"/>
      <c r="Q89" s="292"/>
      <c r="R89" s="293"/>
      <c r="S89" s="289"/>
      <c r="T89" s="290"/>
      <c r="V89" s="228"/>
      <c r="W89" s="228"/>
      <c r="X89" s="288"/>
      <c r="Y89" s="289"/>
      <c r="Z89" s="290"/>
      <c r="AA89" s="778"/>
      <c r="AB89" s="228"/>
      <c r="AC89" s="228"/>
      <c r="AD89" s="288"/>
      <c r="AE89" s="289"/>
      <c r="AF89" s="290"/>
    </row>
    <row r="90" spans="1:32" ht="13.5" customHeight="1" x14ac:dyDescent="0.3">
      <c r="A90" s="209">
        <v>900</v>
      </c>
      <c r="B90" s="526">
        <v>0</v>
      </c>
      <c r="C90" s="526">
        <v>0</v>
      </c>
      <c r="D90" s="226">
        <v>-0.01</v>
      </c>
      <c r="E90" s="211">
        <f t="shared" si="15"/>
        <v>5.0000000000000001E-3</v>
      </c>
      <c r="F90" s="213">
        <v>0.12</v>
      </c>
      <c r="G90" s="885">
        <v>10</v>
      </c>
      <c r="H90" s="209">
        <v>900</v>
      </c>
      <c r="I90" s="526" t="s">
        <v>128</v>
      </c>
      <c r="J90" s="226" t="s">
        <v>128</v>
      </c>
      <c r="K90" s="210" t="s">
        <v>128</v>
      </c>
      <c r="L90" s="211">
        <f t="shared" si="16"/>
        <v>3.9999999999999994E-2</v>
      </c>
      <c r="M90" s="213">
        <v>0.12</v>
      </c>
      <c r="N90" s="686"/>
      <c r="O90" s="890"/>
      <c r="P90" s="890"/>
      <c r="Q90" s="292"/>
      <c r="R90" s="293"/>
      <c r="S90" s="289"/>
      <c r="T90" s="290"/>
      <c r="V90" s="228"/>
      <c r="W90" s="228"/>
      <c r="X90" s="288"/>
      <c r="Y90" s="289"/>
      <c r="Z90" s="290"/>
      <c r="AA90" s="778"/>
      <c r="AB90" s="228"/>
      <c r="AC90" s="228"/>
      <c r="AD90" s="288"/>
      <c r="AE90" s="289"/>
      <c r="AF90" s="290"/>
    </row>
    <row r="91" spans="1:32" ht="13.5" customHeight="1" x14ac:dyDescent="0.3">
      <c r="A91" s="209">
        <v>1200</v>
      </c>
      <c r="B91" s="526" t="s">
        <v>128</v>
      </c>
      <c r="C91" s="526" t="s">
        <v>128</v>
      </c>
      <c r="D91" s="226">
        <v>0.02</v>
      </c>
      <c r="E91" s="211">
        <f>IFERROR(IF(OR(C91="-",D91="-"),1/3*F91,0.5*(MAX(C91:D91)-MIN(C91:D91))),0)</f>
        <v>3.9999999999999994E-2</v>
      </c>
      <c r="F91" s="213">
        <v>0.12</v>
      </c>
      <c r="G91" s="885">
        <v>11</v>
      </c>
      <c r="H91" s="209">
        <v>1200</v>
      </c>
      <c r="I91" s="526" t="s">
        <v>128</v>
      </c>
      <c r="J91" s="226" t="s">
        <v>128</v>
      </c>
      <c r="K91" s="210" t="s">
        <v>128</v>
      </c>
      <c r="L91" s="211">
        <f>IFERROR(IF(OR(J91="-",K91="-"),1/3*M91,0.5*(MAX(J91:K91)-MIN(J91:K91))),0)</f>
        <v>3.9999999999999994E-2</v>
      </c>
      <c r="M91" s="213">
        <v>0.12</v>
      </c>
      <c r="N91" s="686"/>
      <c r="O91" s="890"/>
      <c r="P91" s="890"/>
      <c r="Q91" s="292"/>
      <c r="R91" s="293"/>
      <c r="S91" s="289"/>
      <c r="T91" s="290"/>
      <c r="V91" s="228"/>
      <c r="W91" s="228"/>
      <c r="X91" s="288"/>
      <c r="Y91" s="289"/>
      <c r="Z91" s="290"/>
      <c r="AA91" s="778"/>
      <c r="AB91" s="228"/>
      <c r="AC91" s="228"/>
      <c r="AD91" s="288"/>
      <c r="AE91" s="289"/>
      <c r="AF91" s="290"/>
    </row>
    <row r="92" spans="1:32" ht="13.5" customHeight="1" x14ac:dyDescent="0.3">
      <c r="A92" s="889"/>
      <c r="B92" s="890"/>
      <c r="C92" s="292"/>
      <c r="D92" s="293"/>
      <c r="E92" s="289"/>
      <c r="F92" s="290"/>
      <c r="G92" s="778"/>
      <c r="H92" s="890"/>
      <c r="I92" s="890"/>
      <c r="J92" s="292"/>
      <c r="K92" s="293"/>
      <c r="L92" s="289"/>
      <c r="M92" s="290"/>
      <c r="N92" s="686"/>
      <c r="O92" s="890"/>
      <c r="P92" s="890"/>
      <c r="Q92" s="292"/>
      <c r="R92" s="293"/>
      <c r="S92" s="289"/>
      <c r="T92" s="290"/>
      <c r="V92" s="228"/>
      <c r="W92" s="228"/>
      <c r="X92" s="288"/>
      <c r="Y92" s="289"/>
      <c r="Z92" s="290"/>
      <c r="AA92" s="778"/>
      <c r="AB92" s="228"/>
      <c r="AC92" s="228"/>
      <c r="AD92" s="288"/>
      <c r="AE92" s="289"/>
      <c r="AF92" s="290"/>
    </row>
    <row r="93" spans="1:32" ht="13.5" customHeight="1" x14ac:dyDescent="0.3">
      <c r="A93" s="889"/>
      <c r="B93" s="890"/>
      <c r="C93" s="292"/>
      <c r="D93" s="293"/>
      <c r="E93" s="289"/>
      <c r="F93" s="290"/>
      <c r="G93" s="778"/>
      <c r="H93" s="890"/>
      <c r="I93" s="890"/>
      <c r="J93" s="292"/>
      <c r="K93" s="293"/>
      <c r="L93" s="289"/>
      <c r="M93" s="290"/>
      <c r="N93" s="686"/>
      <c r="O93" s="890"/>
      <c r="P93" s="890"/>
      <c r="Q93" s="292"/>
      <c r="R93" s="293"/>
      <c r="S93" s="289"/>
      <c r="T93" s="290"/>
      <c r="V93" s="228"/>
      <c r="W93" s="228"/>
      <c r="X93" s="288"/>
      <c r="Y93" s="289"/>
      <c r="Z93" s="290"/>
      <c r="AA93" s="778"/>
      <c r="AB93" s="228"/>
      <c r="AC93" s="228"/>
      <c r="AD93" s="288"/>
      <c r="AE93" s="289"/>
      <c r="AF93" s="290"/>
    </row>
    <row r="94" spans="1:32" ht="13.5" customHeight="1" x14ac:dyDescent="0.3">
      <c r="A94" s="889"/>
      <c r="B94" s="890"/>
      <c r="C94" s="292"/>
      <c r="D94" s="293"/>
      <c r="E94" s="289"/>
      <c r="F94" s="290"/>
      <c r="G94" s="778"/>
      <c r="H94" s="890"/>
      <c r="I94" s="890"/>
      <c r="J94" s="292"/>
      <c r="K94" s="293"/>
      <c r="L94" s="289"/>
      <c r="M94" s="290"/>
      <c r="N94" s="686"/>
      <c r="O94" s="890"/>
      <c r="P94" s="890"/>
      <c r="Q94" s="292"/>
      <c r="R94" s="293"/>
      <c r="S94" s="289"/>
      <c r="T94" s="290"/>
      <c r="V94" s="228"/>
      <c r="W94" s="228"/>
      <c r="X94" s="288"/>
      <c r="Y94" s="289"/>
      <c r="Z94" s="290"/>
      <c r="AA94" s="778"/>
      <c r="AB94" s="228"/>
      <c r="AC94" s="228"/>
      <c r="AD94" s="288"/>
      <c r="AE94" s="289"/>
      <c r="AF94" s="290"/>
    </row>
    <row r="95" spans="1:32" ht="13" thickBot="1" x14ac:dyDescent="0.3">
      <c r="A95" s="1413"/>
      <c r="B95" s="1414"/>
      <c r="C95" s="1414"/>
      <c r="D95" s="1414"/>
      <c r="E95" s="1414"/>
      <c r="F95" s="1414"/>
      <c r="G95" s="1414"/>
      <c r="H95" s="1414"/>
      <c r="I95" s="1414"/>
      <c r="J95" s="1414"/>
      <c r="K95" s="1414"/>
      <c r="L95" s="1414"/>
      <c r="M95" s="1414"/>
      <c r="N95" s="1414"/>
      <c r="O95" s="1414"/>
      <c r="P95" s="1414"/>
      <c r="Q95" s="1414"/>
      <c r="R95" s="1414"/>
      <c r="S95" s="1414"/>
      <c r="T95" s="1415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91"/>
    </row>
    <row r="96" spans="1:32" ht="12.75" customHeight="1" x14ac:dyDescent="0.3">
      <c r="A96" s="227"/>
      <c r="B96" s="228"/>
      <c r="C96" s="228"/>
      <c r="D96" s="228"/>
      <c r="E96" s="228"/>
      <c r="F96" s="228"/>
      <c r="G96" s="228"/>
      <c r="H96" s="228"/>
      <c r="I96" s="228"/>
      <c r="J96" s="228"/>
      <c r="K96" s="228"/>
      <c r="L96" s="228"/>
      <c r="M96" s="228"/>
      <c r="N96" s="686"/>
      <c r="O96" s="784"/>
      <c r="P96" s="784"/>
      <c r="Q96" s="784"/>
      <c r="R96" s="784"/>
      <c r="S96" s="784"/>
      <c r="T96" s="784"/>
      <c r="V96" s="228"/>
      <c r="W96" s="228"/>
      <c r="X96" s="228"/>
      <c r="Y96" s="228"/>
      <c r="Z96" s="228"/>
      <c r="AA96" s="228"/>
      <c r="AB96" s="228"/>
      <c r="AC96" s="228"/>
      <c r="AD96" s="228"/>
      <c r="AE96" s="228"/>
      <c r="AF96" s="228"/>
    </row>
    <row r="97" spans="1:20" ht="13.5" thickBot="1" x14ac:dyDescent="0.35">
      <c r="A97" s="779"/>
      <c r="B97" s="686"/>
      <c r="C97" s="686"/>
      <c r="D97" s="686"/>
      <c r="E97" s="686"/>
      <c r="F97" s="686"/>
      <c r="G97" s="686"/>
      <c r="H97" s="686"/>
      <c r="I97" s="686"/>
      <c r="J97" s="686"/>
      <c r="K97" s="686"/>
      <c r="L97" s="686"/>
      <c r="M97" s="686"/>
      <c r="N97" s="686"/>
      <c r="O97" s="686"/>
      <c r="P97" s="686"/>
      <c r="Q97" s="686"/>
      <c r="R97" s="686"/>
      <c r="S97" s="686"/>
      <c r="T97" s="686"/>
    </row>
    <row r="98" spans="1:20" ht="12.75" customHeight="1" x14ac:dyDescent="0.25">
      <c r="A98" s="1390" t="s">
        <v>308</v>
      </c>
      <c r="B98" s="1416"/>
      <c r="C98" s="1401" t="s">
        <v>364</v>
      </c>
      <c r="D98" s="1403" t="s">
        <v>298</v>
      </c>
      <c r="E98" s="1403"/>
      <c r="F98" s="1403"/>
      <c r="G98" s="1405" t="s">
        <v>294</v>
      </c>
      <c r="H98" s="1401" t="s">
        <v>309</v>
      </c>
      <c r="I98" s="891"/>
      <c r="J98" s="691"/>
      <c r="K98" s="1390" t="str">
        <f>A98</f>
        <v>No Urut Titik Ukur</v>
      </c>
      <c r="L98" s="1434"/>
      <c r="M98" s="1401" t="s">
        <v>364</v>
      </c>
      <c r="N98" s="1403" t="s">
        <v>298</v>
      </c>
      <c r="O98" s="1403"/>
      <c r="P98" s="1403"/>
      <c r="Q98" s="1405" t="s">
        <v>294</v>
      </c>
      <c r="R98" s="1401" t="s">
        <v>309</v>
      </c>
      <c r="S98" s="1409"/>
    </row>
    <row r="99" spans="1:20" ht="12.75" customHeight="1" x14ac:dyDescent="0.25">
      <c r="A99" s="1391"/>
      <c r="B99" s="1417"/>
      <c r="C99" s="1402"/>
      <c r="D99" s="1404"/>
      <c r="E99" s="1404"/>
      <c r="F99" s="1404"/>
      <c r="G99" s="1406"/>
      <c r="H99" s="1402"/>
      <c r="I99" s="892"/>
      <c r="K99" s="1391"/>
      <c r="L99" s="1435"/>
      <c r="M99" s="1402"/>
      <c r="N99" s="1404"/>
      <c r="O99" s="1404"/>
      <c r="P99" s="1404"/>
      <c r="Q99" s="1406"/>
      <c r="R99" s="1402"/>
      <c r="S99" s="1410"/>
    </row>
    <row r="100" spans="1:20" ht="14.5" thickBot="1" x14ac:dyDescent="0.3">
      <c r="A100" s="1486"/>
      <c r="B100" s="1418"/>
      <c r="C100" s="893" t="s">
        <v>227</v>
      </c>
      <c r="E100" s="894"/>
      <c r="F100" s="894"/>
      <c r="G100" s="1407"/>
      <c r="H100" s="1487"/>
      <c r="I100" s="895"/>
      <c r="K100" s="1391"/>
      <c r="L100" s="1435"/>
      <c r="M100" s="896" t="s">
        <v>227</v>
      </c>
      <c r="N100" s="789"/>
      <c r="O100" s="789"/>
      <c r="P100" s="789"/>
      <c r="Q100" s="1485"/>
      <c r="R100" s="1402"/>
      <c r="S100" s="1410"/>
    </row>
    <row r="101" spans="1:20" ht="13" x14ac:dyDescent="0.25">
      <c r="A101" s="1480" t="s">
        <v>95</v>
      </c>
      <c r="B101" s="797">
        <v>1</v>
      </c>
      <c r="C101" s="230">
        <f t="shared" ref="C101:H101" si="17">A5</f>
        <v>0</v>
      </c>
      <c r="D101" s="230">
        <f t="shared" si="17"/>
        <v>0</v>
      </c>
      <c r="E101" s="230">
        <f t="shared" si="17"/>
        <v>0</v>
      </c>
      <c r="F101" s="230">
        <f t="shared" si="17"/>
        <v>9.9999999999999995E-7</v>
      </c>
      <c r="G101" s="230">
        <f t="shared" si="17"/>
        <v>4.9999999999999998E-7</v>
      </c>
      <c r="H101" s="230">
        <f t="shared" si="17"/>
        <v>0.12</v>
      </c>
      <c r="I101" s="539"/>
      <c r="K101" s="1473" t="s">
        <v>316</v>
      </c>
      <c r="L101" s="797">
        <v>1</v>
      </c>
      <c r="M101" s="294">
        <f t="shared" ref="M101:R101" si="18">A$11</f>
        <v>60</v>
      </c>
      <c r="N101" s="294">
        <f t="shared" si="18"/>
        <v>0.02</v>
      </c>
      <c r="O101" s="294">
        <f t="shared" si="18"/>
        <v>0.01</v>
      </c>
      <c r="P101" s="294">
        <f t="shared" si="18"/>
        <v>-6.0000000000000001E-3</v>
      </c>
      <c r="Q101" s="294">
        <f t="shared" si="18"/>
        <v>8.0000000000000002E-3</v>
      </c>
      <c r="R101" s="294">
        <f t="shared" si="18"/>
        <v>0.12</v>
      </c>
      <c r="S101" s="897"/>
    </row>
    <row r="102" spans="1:20" ht="13" x14ac:dyDescent="0.25">
      <c r="A102" s="1481"/>
      <c r="B102" s="794">
        <v>2</v>
      </c>
      <c r="C102" s="229">
        <f t="shared" ref="C102:H102" si="19">H5</f>
        <v>0</v>
      </c>
      <c r="D102" s="229">
        <f t="shared" si="19"/>
        <v>0</v>
      </c>
      <c r="E102" s="229">
        <f t="shared" si="19"/>
        <v>0</v>
      </c>
      <c r="F102" s="229">
        <f t="shared" si="19"/>
        <v>9.9999999999999995E-7</v>
      </c>
      <c r="G102" s="229">
        <f t="shared" si="19"/>
        <v>4.9999999999999998E-7</v>
      </c>
      <c r="H102" s="229">
        <f t="shared" si="19"/>
        <v>0.121</v>
      </c>
      <c r="I102" s="540"/>
      <c r="K102" s="1473"/>
      <c r="L102" s="794">
        <v>2</v>
      </c>
      <c r="M102" s="229">
        <f t="shared" ref="M102:R102" si="20">H$11</f>
        <v>60</v>
      </c>
      <c r="N102" s="229">
        <f t="shared" si="20"/>
        <v>0</v>
      </c>
      <c r="O102" s="229">
        <f t="shared" si="20"/>
        <v>0</v>
      </c>
      <c r="P102" s="229">
        <f t="shared" si="20"/>
        <v>3.0000000000000001E-3</v>
      </c>
      <c r="Q102" s="229">
        <f t="shared" si="20"/>
        <v>1.5E-3</v>
      </c>
      <c r="R102" s="229">
        <f t="shared" si="20"/>
        <v>0.121</v>
      </c>
      <c r="S102" s="831"/>
    </row>
    <row r="103" spans="1:20" ht="13" x14ac:dyDescent="0.25">
      <c r="A103" s="1481"/>
      <c r="B103" s="794">
        <v>3</v>
      </c>
      <c r="C103" s="229">
        <f t="shared" ref="C103:H103" si="21">O5</f>
        <v>0</v>
      </c>
      <c r="D103" s="229">
        <f t="shared" si="21"/>
        <v>0</v>
      </c>
      <c r="E103" s="229">
        <f t="shared" si="21"/>
        <v>0</v>
      </c>
      <c r="F103" s="229">
        <f t="shared" si="21"/>
        <v>0</v>
      </c>
      <c r="G103" s="229">
        <f t="shared" si="21"/>
        <v>0</v>
      </c>
      <c r="H103" s="229">
        <f t="shared" si="21"/>
        <v>0</v>
      </c>
      <c r="I103" s="540"/>
      <c r="K103" s="1473"/>
      <c r="L103" s="794">
        <v>3</v>
      </c>
      <c r="M103" s="229">
        <f t="shared" ref="M103:R103" si="22">O$11</f>
        <v>60</v>
      </c>
      <c r="N103" s="229">
        <f t="shared" si="22"/>
        <v>-2E-3</v>
      </c>
      <c r="O103" s="229">
        <f t="shared" si="22"/>
        <v>1E-3</v>
      </c>
      <c r="P103" s="229">
        <f t="shared" si="22"/>
        <v>-2E-3</v>
      </c>
      <c r="Q103" s="229">
        <f t="shared" si="22"/>
        <v>1.5E-3</v>
      </c>
      <c r="R103" s="229">
        <f t="shared" si="22"/>
        <v>0.12</v>
      </c>
      <c r="S103" s="831"/>
    </row>
    <row r="104" spans="1:20" ht="13" x14ac:dyDescent="0.25">
      <c r="A104" s="1481"/>
      <c r="B104" s="794">
        <v>4</v>
      </c>
      <c r="C104" s="229">
        <f t="shared" ref="C104:H104" si="23">A20</f>
        <v>0</v>
      </c>
      <c r="D104" s="229" t="str">
        <f t="shared" si="23"/>
        <v>-</v>
      </c>
      <c r="E104" s="229">
        <f t="shared" si="23"/>
        <v>9.9999999999999995E-7</v>
      </c>
      <c r="F104" s="229">
        <f t="shared" si="23"/>
        <v>9.9999999999999995E-7</v>
      </c>
      <c r="G104" s="229">
        <f t="shared" si="23"/>
        <v>0</v>
      </c>
      <c r="H104" s="229">
        <f t="shared" si="23"/>
        <v>0.12</v>
      </c>
      <c r="I104" s="540"/>
      <c r="K104" s="1473"/>
      <c r="L104" s="794">
        <v>4</v>
      </c>
      <c r="M104" s="229">
        <f t="shared" ref="M104:R104" si="24">A$26</f>
        <v>60</v>
      </c>
      <c r="N104" s="229" t="str">
        <f t="shared" si="24"/>
        <v>-</v>
      </c>
      <c r="O104" s="229">
        <f t="shared" si="24"/>
        <v>-0.01</v>
      </c>
      <c r="P104" s="229">
        <f t="shared" si="24"/>
        <v>2E-3</v>
      </c>
      <c r="Q104" s="229">
        <f t="shared" si="24"/>
        <v>6.0000000000000001E-3</v>
      </c>
      <c r="R104" s="229">
        <f t="shared" si="24"/>
        <v>0.12</v>
      </c>
      <c r="S104" s="831"/>
    </row>
    <row r="105" spans="1:20" ht="13" x14ac:dyDescent="0.25">
      <c r="A105" s="1481"/>
      <c r="B105" s="794">
        <v>5</v>
      </c>
      <c r="C105" s="229">
        <f t="shared" ref="C105:H105" si="25">H20</f>
        <v>0</v>
      </c>
      <c r="D105" s="229">
        <f t="shared" si="25"/>
        <v>0</v>
      </c>
      <c r="E105" s="229">
        <f t="shared" si="25"/>
        <v>0</v>
      </c>
      <c r="F105" s="229">
        <f t="shared" si="25"/>
        <v>9.9999999999999995E-7</v>
      </c>
      <c r="G105" s="229">
        <f t="shared" si="25"/>
        <v>4.9999999999999998E-7</v>
      </c>
      <c r="H105" s="229">
        <f t="shared" si="25"/>
        <v>0</v>
      </c>
      <c r="I105" s="540"/>
      <c r="K105" s="1473"/>
      <c r="L105" s="794">
        <v>5</v>
      </c>
      <c r="M105" s="229">
        <f t="shared" ref="M105:R105" si="26">H$26</f>
        <v>60</v>
      </c>
      <c r="N105" s="229">
        <f t="shared" si="26"/>
        <v>-0.01</v>
      </c>
      <c r="O105" s="229">
        <f t="shared" si="26"/>
        <v>0.01</v>
      </c>
      <c r="P105" s="229">
        <f t="shared" si="26"/>
        <v>-0.03</v>
      </c>
      <c r="Q105" s="229">
        <f t="shared" si="26"/>
        <v>0.02</v>
      </c>
      <c r="R105" s="229">
        <f t="shared" si="26"/>
        <v>0.12</v>
      </c>
      <c r="S105" s="898"/>
    </row>
    <row r="106" spans="1:20" ht="13" x14ac:dyDescent="0.25">
      <c r="A106" s="1481"/>
      <c r="B106" s="794">
        <v>6</v>
      </c>
      <c r="C106" s="229">
        <f t="shared" ref="C106:H106" si="27">O20</f>
        <v>0</v>
      </c>
      <c r="D106" s="229">
        <f t="shared" si="27"/>
        <v>0</v>
      </c>
      <c r="E106" s="229">
        <f t="shared" si="27"/>
        <v>0</v>
      </c>
      <c r="F106" s="229">
        <f t="shared" si="27"/>
        <v>9.9999999999999995E-7</v>
      </c>
      <c r="G106" s="229">
        <f t="shared" si="27"/>
        <v>4.9999999999999998E-7</v>
      </c>
      <c r="H106" s="229">
        <f t="shared" si="27"/>
        <v>0</v>
      </c>
      <c r="I106" s="540"/>
      <c r="K106" s="1473"/>
      <c r="L106" s="794">
        <v>6</v>
      </c>
      <c r="M106" s="229">
        <f t="shared" ref="M106:R106" si="28">O$26</f>
        <v>60</v>
      </c>
      <c r="N106" s="229">
        <f t="shared" si="28"/>
        <v>-0.01</v>
      </c>
      <c r="O106" s="229">
        <f t="shared" si="28"/>
        <v>0</v>
      </c>
      <c r="P106" s="229">
        <f t="shared" si="28"/>
        <v>0.01</v>
      </c>
      <c r="Q106" s="229">
        <f t="shared" si="28"/>
        <v>5.0000000000000001E-3</v>
      </c>
      <c r="R106" s="229">
        <f t="shared" si="28"/>
        <v>0.12</v>
      </c>
      <c r="S106" s="831"/>
    </row>
    <row r="107" spans="1:20" ht="13" x14ac:dyDescent="0.25">
      <c r="A107" s="1481"/>
      <c r="B107" s="794">
        <v>7</v>
      </c>
      <c r="C107" s="229">
        <f t="shared" ref="C107:H107" si="29">A36</f>
        <v>0</v>
      </c>
      <c r="D107" s="229">
        <f t="shared" si="29"/>
        <v>0</v>
      </c>
      <c r="E107" s="229">
        <f t="shared" si="29"/>
        <v>0</v>
      </c>
      <c r="F107" s="229">
        <f t="shared" si="29"/>
        <v>9.9999999999999995E-7</v>
      </c>
      <c r="G107" s="229">
        <f t="shared" si="29"/>
        <v>4.9999999999999998E-7</v>
      </c>
      <c r="H107" s="229">
        <f t="shared" si="29"/>
        <v>0</v>
      </c>
      <c r="I107" s="540"/>
      <c r="K107" s="1473"/>
      <c r="L107" s="794">
        <v>7</v>
      </c>
      <c r="M107" s="229">
        <f t="shared" ref="M107:R107" si="30">A$42</f>
        <v>60</v>
      </c>
      <c r="N107" s="229">
        <f t="shared" si="30"/>
        <v>-0.05</v>
      </c>
      <c r="O107" s="229">
        <f t="shared" si="30"/>
        <v>-0.02</v>
      </c>
      <c r="P107" s="229">
        <f t="shared" si="30"/>
        <v>0.03</v>
      </c>
      <c r="Q107" s="229">
        <f t="shared" si="30"/>
        <v>2.5000000000000001E-2</v>
      </c>
      <c r="R107" s="229">
        <f t="shared" si="30"/>
        <v>0.12</v>
      </c>
      <c r="S107" s="831"/>
    </row>
    <row r="108" spans="1:20" ht="13" x14ac:dyDescent="0.25">
      <c r="A108" s="1481"/>
      <c r="B108" s="794">
        <v>8</v>
      </c>
      <c r="C108" s="229">
        <f t="shared" ref="C108:H108" si="31">H36</f>
        <v>0</v>
      </c>
      <c r="D108" s="229">
        <f t="shared" si="31"/>
        <v>0</v>
      </c>
      <c r="E108" s="229">
        <f t="shared" si="31"/>
        <v>0</v>
      </c>
      <c r="F108" s="229">
        <f t="shared" si="31"/>
        <v>9.9999999999999995E-7</v>
      </c>
      <c r="G108" s="229">
        <f t="shared" si="31"/>
        <v>4.9999999999999998E-7</v>
      </c>
      <c r="H108" s="229">
        <f t="shared" si="31"/>
        <v>0</v>
      </c>
      <c r="I108" s="540"/>
      <c r="K108" s="1473"/>
      <c r="L108" s="794">
        <v>8</v>
      </c>
      <c r="M108" s="229">
        <f t="shared" ref="M108:R108" si="32">H$42</f>
        <v>60</v>
      </c>
      <c r="N108" s="229">
        <f t="shared" si="32"/>
        <v>-0.02</v>
      </c>
      <c r="O108" s="229">
        <f t="shared" si="32"/>
        <v>0</v>
      </c>
      <c r="P108" s="229">
        <f t="shared" si="32"/>
        <v>0.01</v>
      </c>
      <c r="Q108" s="229">
        <f t="shared" si="32"/>
        <v>5.0000000000000001E-3</v>
      </c>
      <c r="R108" s="229">
        <f t="shared" si="32"/>
        <v>0.12</v>
      </c>
      <c r="S108" s="831"/>
    </row>
    <row r="109" spans="1:20" ht="13" x14ac:dyDescent="0.25">
      <c r="A109" s="1481"/>
      <c r="B109" s="794">
        <v>9</v>
      </c>
      <c r="C109" s="229">
        <f t="shared" ref="C109:H109" si="33">O36</f>
        <v>0</v>
      </c>
      <c r="D109" s="229">
        <f t="shared" si="33"/>
        <v>0</v>
      </c>
      <c r="E109" s="229">
        <f t="shared" si="33"/>
        <v>9.9999999999999995E-7</v>
      </c>
      <c r="F109" s="229">
        <f t="shared" si="33"/>
        <v>9.9999999999999995E-7</v>
      </c>
      <c r="G109" s="229">
        <f t="shared" si="33"/>
        <v>0</v>
      </c>
      <c r="H109" s="229">
        <f t="shared" si="33"/>
        <v>0</v>
      </c>
      <c r="I109" s="540"/>
      <c r="K109" s="1473"/>
      <c r="L109" s="794">
        <v>9</v>
      </c>
      <c r="M109" s="229">
        <f t="shared" ref="M109:R109" si="34">O$42</f>
        <v>60</v>
      </c>
      <c r="N109" s="229">
        <f t="shared" si="34"/>
        <v>0.01</v>
      </c>
      <c r="O109" s="229">
        <f t="shared" si="34"/>
        <v>0.02</v>
      </c>
      <c r="P109" s="229">
        <f t="shared" si="34"/>
        <v>-0.01</v>
      </c>
      <c r="Q109" s="229">
        <f t="shared" si="34"/>
        <v>1.4999999999999999E-2</v>
      </c>
      <c r="R109" s="229">
        <f t="shared" si="34"/>
        <v>0.12</v>
      </c>
      <c r="S109" s="831"/>
    </row>
    <row r="110" spans="1:20" ht="13" x14ac:dyDescent="0.25">
      <c r="A110" s="1481"/>
      <c r="B110" s="794">
        <v>10</v>
      </c>
      <c r="C110" s="229">
        <f t="shared" ref="C110:H110" si="35">A51</f>
        <v>0</v>
      </c>
      <c r="D110" s="229">
        <f t="shared" si="35"/>
        <v>0</v>
      </c>
      <c r="E110" s="229">
        <f t="shared" si="35"/>
        <v>0</v>
      </c>
      <c r="F110" s="229">
        <f t="shared" si="35"/>
        <v>9.9999999999999995E-7</v>
      </c>
      <c r="G110" s="229">
        <f t="shared" si="35"/>
        <v>4.9999999999999998E-7</v>
      </c>
      <c r="H110" s="229">
        <f t="shared" si="35"/>
        <v>0</v>
      </c>
      <c r="I110" s="540"/>
      <c r="K110" s="1473"/>
      <c r="L110" s="794">
        <v>10</v>
      </c>
      <c r="M110" s="229">
        <f t="shared" ref="M110:R110" si="36">A$57</f>
        <v>60</v>
      </c>
      <c r="N110" s="229">
        <f t="shared" si="36"/>
        <v>-0.03</v>
      </c>
      <c r="O110" s="229">
        <f t="shared" si="36"/>
        <v>0</v>
      </c>
      <c r="P110" s="229">
        <f t="shared" si="36"/>
        <v>-0.06</v>
      </c>
      <c r="Q110" s="229">
        <f t="shared" si="36"/>
        <v>0.03</v>
      </c>
      <c r="R110" s="229">
        <f t="shared" si="36"/>
        <v>0.12</v>
      </c>
      <c r="S110" s="831"/>
    </row>
    <row r="111" spans="1:20" ht="13" x14ac:dyDescent="0.25">
      <c r="A111" s="1481"/>
      <c r="B111" s="794">
        <v>11</v>
      </c>
      <c r="C111" s="294">
        <f t="shared" ref="C111:H111" si="37">H51</f>
        <v>0</v>
      </c>
      <c r="D111" s="294">
        <f t="shared" si="37"/>
        <v>0</v>
      </c>
      <c r="E111" s="294">
        <f t="shared" si="37"/>
        <v>0</v>
      </c>
      <c r="F111" s="294">
        <f t="shared" si="37"/>
        <v>9.9999999999999995E-7</v>
      </c>
      <c r="G111" s="294">
        <f t="shared" si="37"/>
        <v>4.9999999999999998E-7</v>
      </c>
      <c r="H111" s="294">
        <f t="shared" si="37"/>
        <v>0</v>
      </c>
      <c r="I111" s="541"/>
      <c r="K111" s="899"/>
      <c r="L111" s="792">
        <v>11</v>
      </c>
      <c r="M111" s="294">
        <f t="shared" ref="M111:R111" si="38">H$57</f>
        <v>60</v>
      </c>
      <c r="N111" s="294">
        <f t="shared" si="38"/>
        <v>-0.04</v>
      </c>
      <c r="O111" s="294">
        <f t="shared" si="38"/>
        <v>0</v>
      </c>
      <c r="P111" s="294">
        <f t="shared" si="38"/>
        <v>-0.03</v>
      </c>
      <c r="Q111" s="294">
        <f t="shared" si="38"/>
        <v>1.4999999999999999E-2</v>
      </c>
      <c r="R111" s="294">
        <f t="shared" si="38"/>
        <v>0.12</v>
      </c>
      <c r="S111" s="897"/>
    </row>
    <row r="112" spans="1:20" ht="13" x14ac:dyDescent="0.25">
      <c r="A112" s="1481"/>
      <c r="B112" s="794">
        <v>12</v>
      </c>
      <c r="C112" s="294">
        <f>O51</f>
        <v>0</v>
      </c>
      <c r="D112" s="294">
        <f t="shared" ref="D112:H112" si="39">P51</f>
        <v>0</v>
      </c>
      <c r="E112" s="294">
        <f t="shared" si="39"/>
        <v>0</v>
      </c>
      <c r="F112" s="294">
        <f t="shared" si="39"/>
        <v>9.9999999999999995E-7</v>
      </c>
      <c r="G112" s="294">
        <f t="shared" si="39"/>
        <v>4.9999999999999998E-7</v>
      </c>
      <c r="H112" s="294">
        <f t="shared" si="39"/>
        <v>0</v>
      </c>
      <c r="I112" s="541"/>
      <c r="K112" s="899"/>
      <c r="L112" s="794">
        <v>12</v>
      </c>
      <c r="M112" s="294">
        <f t="shared" ref="M112:R112" si="40">O$57</f>
        <v>60</v>
      </c>
      <c r="N112" s="294">
        <f t="shared" si="40"/>
        <v>0.03</v>
      </c>
      <c r="O112" s="294">
        <f t="shared" si="40"/>
        <v>0.01</v>
      </c>
      <c r="P112" s="294">
        <f t="shared" si="40"/>
        <v>0.02</v>
      </c>
      <c r="Q112" s="294">
        <f t="shared" si="40"/>
        <v>5.0000000000000001E-3</v>
      </c>
      <c r="R112" s="294">
        <f t="shared" si="40"/>
        <v>0.12</v>
      </c>
      <c r="S112" s="897"/>
    </row>
    <row r="113" spans="1:19" ht="13" x14ac:dyDescent="0.25">
      <c r="A113" s="1481"/>
      <c r="B113" s="794">
        <v>13</v>
      </c>
      <c r="C113" s="294">
        <f>A66</f>
        <v>0</v>
      </c>
      <c r="D113" s="294">
        <f t="shared" ref="D113:H113" si="41">B66</f>
        <v>0</v>
      </c>
      <c r="E113" s="294">
        <f t="shared" si="41"/>
        <v>0</v>
      </c>
      <c r="F113" s="294">
        <f t="shared" si="41"/>
        <v>9.9999999999999995E-7</v>
      </c>
      <c r="G113" s="294">
        <f t="shared" si="41"/>
        <v>4.9999999999999998E-7</v>
      </c>
      <c r="H113" s="294">
        <f t="shared" si="41"/>
        <v>0</v>
      </c>
      <c r="I113" s="541"/>
      <c r="K113" s="899"/>
      <c r="L113" s="794">
        <v>13</v>
      </c>
      <c r="M113" s="294">
        <f t="shared" ref="M113:R113" si="42">A$72</f>
        <v>60</v>
      </c>
      <c r="N113" s="294">
        <f t="shared" si="42"/>
        <v>-0.01</v>
      </c>
      <c r="O113" s="294">
        <f t="shared" si="42"/>
        <v>0</v>
      </c>
      <c r="P113" s="294">
        <f t="shared" si="42"/>
        <v>0.02</v>
      </c>
      <c r="Q113" s="294">
        <f t="shared" si="42"/>
        <v>0.01</v>
      </c>
      <c r="R113" s="294">
        <f t="shared" si="42"/>
        <v>0.12</v>
      </c>
      <c r="S113" s="897"/>
    </row>
    <row r="114" spans="1:19" ht="13" x14ac:dyDescent="0.25">
      <c r="A114" s="1481"/>
      <c r="B114" s="794">
        <v>14</v>
      </c>
      <c r="C114" s="294">
        <f t="shared" ref="C114:H114" si="43">H66</f>
        <v>0</v>
      </c>
      <c r="D114" s="294">
        <f t="shared" si="43"/>
        <v>0</v>
      </c>
      <c r="E114" s="294">
        <f t="shared" si="43"/>
        <v>0</v>
      </c>
      <c r="F114" s="294">
        <f t="shared" si="43"/>
        <v>9.9999999999999995E-7</v>
      </c>
      <c r="G114" s="294">
        <f t="shared" si="43"/>
        <v>4.9999999999999998E-7</v>
      </c>
      <c r="H114" s="294">
        <f t="shared" si="43"/>
        <v>0</v>
      </c>
      <c r="I114" s="541"/>
      <c r="K114" s="899"/>
      <c r="L114" s="794">
        <v>14</v>
      </c>
      <c r="M114" s="294">
        <f t="shared" ref="M114:R114" si="44">H$72</f>
        <v>60</v>
      </c>
      <c r="N114" s="294">
        <f t="shared" si="44"/>
        <v>-0.05</v>
      </c>
      <c r="O114" s="294">
        <f t="shared" si="44"/>
        <v>0.01</v>
      </c>
      <c r="P114" s="294">
        <f t="shared" si="44"/>
        <v>0.03</v>
      </c>
      <c r="Q114" s="294">
        <f t="shared" si="44"/>
        <v>9.9999999999999985E-3</v>
      </c>
      <c r="R114" s="294">
        <f t="shared" si="44"/>
        <v>0.12</v>
      </c>
      <c r="S114" s="897"/>
    </row>
    <row r="115" spans="1:19" ht="13" x14ac:dyDescent="0.25">
      <c r="A115" s="1481"/>
      <c r="B115" s="794">
        <v>15</v>
      </c>
      <c r="C115" s="294">
        <f t="shared" ref="C115:H115" si="45">O66</f>
        <v>0</v>
      </c>
      <c r="D115" s="294">
        <f t="shared" si="45"/>
        <v>0</v>
      </c>
      <c r="E115" s="294">
        <f t="shared" si="45"/>
        <v>9.9999999999999995E-7</v>
      </c>
      <c r="F115" s="294">
        <f t="shared" si="45"/>
        <v>9.9999999999999995E-7</v>
      </c>
      <c r="G115" s="294">
        <f t="shared" si="45"/>
        <v>0</v>
      </c>
      <c r="H115" s="294">
        <f t="shared" si="45"/>
        <v>0</v>
      </c>
      <c r="I115" s="541"/>
      <c r="K115" s="899"/>
      <c r="L115" s="794">
        <v>15</v>
      </c>
      <c r="M115" s="294">
        <f t="shared" ref="M115:R115" si="46">O$72</f>
        <v>60</v>
      </c>
      <c r="N115" s="294">
        <f t="shared" si="46"/>
        <v>0.01</v>
      </c>
      <c r="O115" s="294">
        <f t="shared" si="46"/>
        <v>0.04</v>
      </c>
      <c r="P115" s="294">
        <f t="shared" si="46"/>
        <v>9.9999999999999995E-7</v>
      </c>
      <c r="Q115" s="294">
        <f t="shared" si="46"/>
        <v>1.99995E-2</v>
      </c>
      <c r="R115" s="294">
        <f t="shared" si="46"/>
        <v>0.12</v>
      </c>
      <c r="S115" s="897"/>
    </row>
    <row r="116" spans="1:19" ht="13.5" thickBot="1" x14ac:dyDescent="0.3">
      <c r="A116" s="1481"/>
      <c r="B116" s="794">
        <v>16</v>
      </c>
      <c r="C116" s="545">
        <f>A81</f>
        <v>0</v>
      </c>
      <c r="D116" s="545">
        <f t="shared" ref="D116:H116" si="47">B81</f>
        <v>0</v>
      </c>
      <c r="E116" s="545">
        <f>C81</f>
        <v>0</v>
      </c>
      <c r="F116" s="545">
        <f t="shared" si="47"/>
        <v>9.9999999999999995E-7</v>
      </c>
      <c r="G116" s="545">
        <f t="shared" si="47"/>
        <v>4.9999999999999998E-7</v>
      </c>
      <c r="H116" s="545">
        <f t="shared" si="47"/>
        <v>0</v>
      </c>
      <c r="I116" s="900"/>
      <c r="K116" s="899"/>
      <c r="L116" s="795">
        <v>16</v>
      </c>
      <c r="M116" s="294">
        <f t="shared" ref="M116:R116" si="48">A$87</f>
        <v>60</v>
      </c>
      <c r="N116" s="294">
        <f t="shared" si="48"/>
        <v>0</v>
      </c>
      <c r="O116" s="294">
        <f t="shared" si="48"/>
        <v>0</v>
      </c>
      <c r="P116" s="294">
        <f t="shared" si="48"/>
        <v>-0.01</v>
      </c>
      <c r="Q116" s="294">
        <f t="shared" si="48"/>
        <v>5.0000000000000001E-3</v>
      </c>
      <c r="R116" s="294">
        <f t="shared" si="48"/>
        <v>0.12</v>
      </c>
      <c r="S116" s="897"/>
    </row>
    <row r="117" spans="1:19" ht="13.5" thickBot="1" x14ac:dyDescent="0.3">
      <c r="A117" s="901"/>
      <c r="B117" s="792">
        <v>17</v>
      </c>
      <c r="C117" s="902">
        <f>H81</f>
        <v>0</v>
      </c>
      <c r="D117" s="902">
        <f t="shared" ref="D117:H117" si="49">I81</f>
        <v>0</v>
      </c>
      <c r="E117" s="902">
        <f t="shared" si="49"/>
        <v>0</v>
      </c>
      <c r="F117" s="902" t="str">
        <f t="shared" si="49"/>
        <v>-</v>
      </c>
      <c r="G117" s="902">
        <f t="shared" si="49"/>
        <v>0</v>
      </c>
      <c r="H117" s="902">
        <f t="shared" si="49"/>
        <v>0</v>
      </c>
      <c r="I117" s="903"/>
      <c r="K117" s="899"/>
      <c r="L117" s="794">
        <v>17</v>
      </c>
      <c r="M117" s="294">
        <f>H87</f>
        <v>60</v>
      </c>
      <c r="N117" s="294">
        <f t="shared" ref="N117:R117" si="50">I87</f>
        <v>0.01</v>
      </c>
      <c r="O117" s="294">
        <f t="shared" si="50"/>
        <v>0</v>
      </c>
      <c r="P117" s="294" t="str">
        <f t="shared" si="50"/>
        <v>-</v>
      </c>
      <c r="Q117" s="294">
        <f t="shared" si="50"/>
        <v>3.9999999999999994E-2</v>
      </c>
      <c r="R117" s="294">
        <f t="shared" si="50"/>
        <v>0.12</v>
      </c>
      <c r="S117" s="897"/>
    </row>
    <row r="118" spans="1:19" ht="13" x14ac:dyDescent="0.25">
      <c r="A118" s="1480" t="s">
        <v>96</v>
      </c>
      <c r="B118" s="797">
        <v>1</v>
      </c>
      <c r="C118" s="230">
        <f>A$6</f>
        <v>10</v>
      </c>
      <c r="D118" s="230">
        <f t="shared" ref="D118:H118" si="51">B$6</f>
        <v>0.04</v>
      </c>
      <c r="E118" s="230">
        <f t="shared" si="51"/>
        <v>0.01</v>
      </c>
      <c r="F118" s="230">
        <f t="shared" si="51"/>
        <v>-1E-3</v>
      </c>
      <c r="G118" s="230">
        <f t="shared" si="51"/>
        <v>5.4999999999999997E-3</v>
      </c>
      <c r="H118" s="230">
        <f t="shared" si="51"/>
        <v>0.12</v>
      </c>
      <c r="I118" s="539"/>
      <c r="K118" s="1472" t="s">
        <v>319</v>
      </c>
      <c r="L118" s="797">
        <v>1</v>
      </c>
      <c r="M118" s="230">
        <f t="shared" ref="M118:R118" si="52">A$12</f>
        <v>300</v>
      </c>
      <c r="N118" s="230">
        <f t="shared" si="52"/>
        <v>0.02</v>
      </c>
      <c r="O118" s="230">
        <f t="shared" si="52"/>
        <v>0.01</v>
      </c>
      <c r="P118" s="230">
        <f t="shared" si="52"/>
        <v>-2E-3</v>
      </c>
      <c r="Q118" s="230">
        <f t="shared" si="52"/>
        <v>6.0000000000000001E-3</v>
      </c>
      <c r="R118" s="230">
        <f t="shared" si="52"/>
        <v>0.12</v>
      </c>
      <c r="S118" s="904"/>
    </row>
    <row r="119" spans="1:19" ht="13" x14ac:dyDescent="0.25">
      <c r="A119" s="1481"/>
      <c r="B119" s="794">
        <v>2</v>
      </c>
      <c r="C119" s="229">
        <f>H$6</f>
        <v>10</v>
      </c>
      <c r="D119" s="229">
        <f t="shared" ref="D119:H119" si="53">I$6</f>
        <v>2E-3</v>
      </c>
      <c r="E119" s="229">
        <f t="shared" si="53"/>
        <v>0</v>
      </c>
      <c r="F119" s="229">
        <f t="shared" si="53"/>
        <v>1E-3</v>
      </c>
      <c r="G119" s="229">
        <f t="shared" si="53"/>
        <v>5.0000000000000001E-4</v>
      </c>
      <c r="H119" s="229">
        <f t="shared" si="53"/>
        <v>0.121</v>
      </c>
      <c r="I119" s="540"/>
      <c r="K119" s="1473"/>
      <c r="L119" s="794">
        <v>2</v>
      </c>
      <c r="M119" s="229">
        <f t="shared" ref="M119:R119" si="54">H$12</f>
        <v>300</v>
      </c>
      <c r="N119" s="229">
        <f t="shared" si="54"/>
        <v>4.0000000000000001E-3</v>
      </c>
      <c r="O119" s="229">
        <f t="shared" si="54"/>
        <v>1E-3</v>
      </c>
      <c r="P119" s="229">
        <f t="shared" si="54"/>
        <v>3.0000000000000001E-3</v>
      </c>
      <c r="Q119" s="229">
        <f t="shared" si="54"/>
        <v>1E-3</v>
      </c>
      <c r="R119" s="229">
        <f t="shared" si="54"/>
        <v>0.121</v>
      </c>
      <c r="S119" s="905"/>
    </row>
    <row r="120" spans="1:19" ht="13" x14ac:dyDescent="0.25">
      <c r="A120" s="1481"/>
      <c r="B120" s="794">
        <v>3</v>
      </c>
      <c r="C120" s="229">
        <f>O$6</f>
        <v>10</v>
      </c>
      <c r="D120" s="229">
        <f t="shared" ref="D120:H120" si="55">P$6</f>
        <v>-2E-3</v>
      </c>
      <c r="E120" s="229">
        <f t="shared" si="55"/>
        <v>0</v>
      </c>
      <c r="F120" s="229" t="str">
        <f t="shared" si="55"/>
        <v>-</v>
      </c>
      <c r="G120" s="229">
        <f t="shared" si="55"/>
        <v>3.9999999999999994E-2</v>
      </c>
      <c r="H120" s="229">
        <f t="shared" si="55"/>
        <v>0.12</v>
      </c>
      <c r="I120" s="540"/>
      <c r="K120" s="1473"/>
      <c r="L120" s="794">
        <v>3</v>
      </c>
      <c r="M120" s="229">
        <f t="shared" ref="M120:R120" si="56">O$12</f>
        <v>300</v>
      </c>
      <c r="N120" s="229">
        <f t="shared" si="56"/>
        <v>-1E-3</v>
      </c>
      <c r="O120" s="229">
        <f t="shared" si="56"/>
        <v>1E-3</v>
      </c>
      <c r="P120" s="229">
        <f t="shared" si="56"/>
        <v>1E-3</v>
      </c>
      <c r="Q120" s="229">
        <f t="shared" si="56"/>
        <v>0</v>
      </c>
      <c r="R120" s="229">
        <f t="shared" si="56"/>
        <v>0.12</v>
      </c>
      <c r="S120" s="905"/>
    </row>
    <row r="121" spans="1:19" ht="13" x14ac:dyDescent="0.25">
      <c r="A121" s="1481"/>
      <c r="B121" s="794">
        <v>4</v>
      </c>
      <c r="C121" s="229">
        <f>A$21</f>
        <v>60</v>
      </c>
      <c r="D121" s="229" t="str">
        <f t="shared" ref="D121:H121" si="57">B$21</f>
        <v>-</v>
      </c>
      <c r="E121" s="229">
        <f t="shared" si="57"/>
        <v>-0.01</v>
      </c>
      <c r="F121" s="229">
        <f t="shared" si="57"/>
        <v>2E-3</v>
      </c>
      <c r="G121" s="229">
        <f t="shared" si="57"/>
        <v>6.0000000000000001E-3</v>
      </c>
      <c r="H121" s="229">
        <f t="shared" si="57"/>
        <v>0.12</v>
      </c>
      <c r="I121" s="540"/>
      <c r="K121" s="1473"/>
      <c r="L121" s="794">
        <v>4</v>
      </c>
      <c r="M121" s="229">
        <f t="shared" ref="M121:R121" si="58">A$27</f>
        <v>300</v>
      </c>
      <c r="N121" s="229" t="str">
        <f t="shared" si="58"/>
        <v>-</v>
      </c>
      <c r="O121" s="229">
        <f t="shared" si="58"/>
        <v>-0.01</v>
      </c>
      <c r="P121" s="229">
        <f t="shared" si="58"/>
        <v>1E-3</v>
      </c>
      <c r="Q121" s="229">
        <f t="shared" si="58"/>
        <v>5.4999999999999997E-3</v>
      </c>
      <c r="R121" s="229">
        <f t="shared" si="58"/>
        <v>0.12</v>
      </c>
      <c r="S121" s="905"/>
    </row>
    <row r="122" spans="1:19" ht="13" x14ac:dyDescent="0.25">
      <c r="A122" s="1481"/>
      <c r="B122" s="794">
        <v>5</v>
      </c>
      <c r="C122" s="229">
        <f>H$21</f>
        <v>10</v>
      </c>
      <c r="D122" s="229">
        <f t="shared" ref="D122:H122" si="59">I$21</f>
        <v>0</v>
      </c>
      <c r="E122" s="229">
        <f t="shared" si="59"/>
        <v>0.01</v>
      </c>
      <c r="F122" s="229">
        <f t="shared" si="59"/>
        <v>-0.02</v>
      </c>
      <c r="G122" s="229">
        <f t="shared" si="59"/>
        <v>1.4999999999999999E-2</v>
      </c>
      <c r="H122" s="229">
        <f t="shared" si="59"/>
        <v>0.12</v>
      </c>
      <c r="I122" s="540"/>
      <c r="K122" s="1473"/>
      <c r="L122" s="794">
        <v>5</v>
      </c>
      <c r="M122" s="229">
        <f t="shared" ref="M122:R122" si="60">H$27</f>
        <v>300</v>
      </c>
      <c r="N122" s="229">
        <f t="shared" si="60"/>
        <v>0</v>
      </c>
      <c r="O122" s="229">
        <f t="shared" si="60"/>
        <v>0.01</v>
      </c>
      <c r="P122" s="229">
        <f t="shared" si="60"/>
        <v>-0.02</v>
      </c>
      <c r="Q122" s="229">
        <f t="shared" si="60"/>
        <v>1.4999999999999999E-2</v>
      </c>
      <c r="R122" s="229">
        <f t="shared" si="60"/>
        <v>0.12</v>
      </c>
      <c r="S122" s="898"/>
    </row>
    <row r="123" spans="1:19" ht="13" x14ac:dyDescent="0.25">
      <c r="A123" s="1481"/>
      <c r="B123" s="794">
        <v>6</v>
      </c>
      <c r="C123" s="229">
        <f>O$21</f>
        <v>10</v>
      </c>
      <c r="D123" s="229">
        <f t="shared" ref="D123:H123" si="61">P$21</f>
        <v>-0.01</v>
      </c>
      <c r="E123" s="229">
        <f t="shared" si="61"/>
        <v>0</v>
      </c>
      <c r="F123" s="229" t="str">
        <f t="shared" si="61"/>
        <v>-</v>
      </c>
      <c r="G123" s="229">
        <f t="shared" si="61"/>
        <v>3.9999999999999994E-2</v>
      </c>
      <c r="H123" s="229">
        <f t="shared" si="61"/>
        <v>0.12</v>
      </c>
      <c r="I123" s="540"/>
      <c r="K123" s="1473"/>
      <c r="L123" s="794">
        <v>6</v>
      </c>
      <c r="M123" s="229">
        <f t="shared" ref="M123:R123" si="62">O$27</f>
        <v>300</v>
      </c>
      <c r="N123" s="229">
        <f t="shared" si="62"/>
        <v>-0.01</v>
      </c>
      <c r="O123" s="229">
        <f t="shared" si="62"/>
        <v>0</v>
      </c>
      <c r="P123" s="229">
        <f t="shared" si="62"/>
        <v>0.01</v>
      </c>
      <c r="Q123" s="229">
        <f t="shared" si="62"/>
        <v>5.0000000000000001E-3</v>
      </c>
      <c r="R123" s="229">
        <f t="shared" si="62"/>
        <v>0.12</v>
      </c>
      <c r="S123" s="905"/>
    </row>
    <row r="124" spans="1:19" ht="13" x14ac:dyDescent="0.25">
      <c r="A124" s="1481"/>
      <c r="B124" s="794">
        <v>7</v>
      </c>
      <c r="C124" s="229">
        <f>A$37</f>
        <v>10</v>
      </c>
      <c r="D124" s="229">
        <f t="shared" ref="D124:H124" si="63">B$37</f>
        <v>-0.05</v>
      </c>
      <c r="E124" s="229">
        <f t="shared" si="63"/>
        <v>-0.01</v>
      </c>
      <c r="F124" s="229" t="str">
        <f t="shared" si="63"/>
        <v>-</v>
      </c>
      <c r="G124" s="229">
        <f t="shared" si="63"/>
        <v>3.9999999999999994E-2</v>
      </c>
      <c r="H124" s="229">
        <f t="shared" si="63"/>
        <v>0.12</v>
      </c>
      <c r="I124" s="540"/>
      <c r="K124" s="1473"/>
      <c r="L124" s="794">
        <v>7</v>
      </c>
      <c r="M124" s="229">
        <f t="shared" ref="M124:R124" si="64">A$43</f>
        <v>300</v>
      </c>
      <c r="N124" s="229">
        <f t="shared" si="64"/>
        <v>-0.06</v>
      </c>
      <c r="O124" s="229">
        <f t="shared" si="64"/>
        <v>-0.01</v>
      </c>
      <c r="P124" s="229">
        <f t="shared" si="64"/>
        <v>0.02</v>
      </c>
      <c r="Q124" s="229">
        <f t="shared" si="64"/>
        <v>1.4999999999999999E-2</v>
      </c>
      <c r="R124" s="229">
        <f t="shared" si="64"/>
        <v>0.12</v>
      </c>
      <c r="S124" s="905"/>
    </row>
    <row r="125" spans="1:19" ht="13" x14ac:dyDescent="0.25">
      <c r="A125" s="1481"/>
      <c r="B125" s="794">
        <v>8</v>
      </c>
      <c r="C125" s="229">
        <f>H$37</f>
        <v>10</v>
      </c>
      <c r="D125" s="229">
        <f t="shared" ref="D125:H125" si="65">I$37</f>
        <v>-0.01</v>
      </c>
      <c r="E125" s="229">
        <f t="shared" si="65"/>
        <v>0.01</v>
      </c>
      <c r="F125" s="229" t="str">
        <f t="shared" si="65"/>
        <v>-</v>
      </c>
      <c r="G125" s="229">
        <f t="shared" si="65"/>
        <v>3.9999999999999994E-2</v>
      </c>
      <c r="H125" s="229">
        <f t="shared" si="65"/>
        <v>0.12</v>
      </c>
      <c r="I125" s="540"/>
      <c r="K125" s="1473"/>
      <c r="L125" s="794">
        <v>8</v>
      </c>
      <c r="M125" s="229">
        <f t="shared" ref="M125:R125" si="66">H$43</f>
        <v>300</v>
      </c>
      <c r="N125" s="229">
        <f t="shared" si="66"/>
        <v>-0.02</v>
      </c>
      <c r="O125" s="229">
        <f t="shared" si="66"/>
        <v>0.01</v>
      </c>
      <c r="P125" s="229">
        <f t="shared" si="66"/>
        <v>0.02</v>
      </c>
      <c r="Q125" s="229">
        <f t="shared" si="66"/>
        <v>5.0000000000000001E-3</v>
      </c>
      <c r="R125" s="229">
        <f t="shared" si="66"/>
        <v>0.12</v>
      </c>
      <c r="S125" s="905"/>
    </row>
    <row r="126" spans="1:19" ht="13" x14ac:dyDescent="0.25">
      <c r="A126" s="1481"/>
      <c r="B126" s="794">
        <v>9</v>
      </c>
      <c r="C126" s="229">
        <f>O$37</f>
        <v>10</v>
      </c>
      <c r="D126" s="229">
        <f t="shared" ref="D126:H126" si="67">P$37</f>
        <v>0</v>
      </c>
      <c r="E126" s="229" t="str">
        <f t="shared" si="67"/>
        <v>-</v>
      </c>
      <c r="F126" s="229" t="str">
        <f t="shared" si="67"/>
        <v>-</v>
      </c>
      <c r="G126" s="229">
        <f t="shared" si="67"/>
        <v>3.9999999999999994E-2</v>
      </c>
      <c r="H126" s="229">
        <f t="shared" si="67"/>
        <v>0.12</v>
      </c>
      <c r="I126" s="540"/>
      <c r="K126" s="1473"/>
      <c r="L126" s="794">
        <v>9</v>
      </c>
      <c r="M126" s="229">
        <f t="shared" ref="M126:R126" si="68">O$43</f>
        <v>300</v>
      </c>
      <c r="N126" s="229">
        <f t="shared" si="68"/>
        <v>0.01</v>
      </c>
      <c r="O126" s="229">
        <f t="shared" si="68"/>
        <v>0.01</v>
      </c>
      <c r="P126" s="229">
        <f t="shared" si="68"/>
        <v>-0.02</v>
      </c>
      <c r="Q126" s="229">
        <f t="shared" si="68"/>
        <v>1.4999999999999999E-2</v>
      </c>
      <c r="R126" s="229">
        <f t="shared" si="68"/>
        <v>0.12</v>
      </c>
      <c r="S126" s="905"/>
    </row>
    <row r="127" spans="1:19" ht="13" x14ac:dyDescent="0.25">
      <c r="A127" s="1481"/>
      <c r="B127" s="794">
        <v>10</v>
      </c>
      <c r="C127" s="229">
        <f>A$52</f>
        <v>10</v>
      </c>
      <c r="D127" s="229">
        <f t="shared" ref="D127:H127" si="69">B$52</f>
        <v>-0.03</v>
      </c>
      <c r="E127" s="229">
        <f t="shared" si="69"/>
        <v>0.01</v>
      </c>
      <c r="F127" s="229">
        <f t="shared" si="69"/>
        <v>-7.0000000000000007E-2</v>
      </c>
      <c r="G127" s="229">
        <f t="shared" si="69"/>
        <v>0.04</v>
      </c>
      <c r="H127" s="229">
        <f t="shared" si="69"/>
        <v>0.12</v>
      </c>
      <c r="I127" s="540"/>
      <c r="K127" s="1473"/>
      <c r="L127" s="794">
        <v>10</v>
      </c>
      <c r="M127" s="229">
        <f t="shared" ref="M127:R127" si="70">A$58</f>
        <v>300</v>
      </c>
      <c r="N127" s="229">
        <f t="shared" si="70"/>
        <v>-0.03</v>
      </c>
      <c r="O127" s="229">
        <f t="shared" si="70"/>
        <v>0.01</v>
      </c>
      <c r="P127" s="229">
        <f t="shared" si="70"/>
        <v>-0.05</v>
      </c>
      <c r="Q127" s="229">
        <f t="shared" si="70"/>
        <v>3.0000000000000002E-2</v>
      </c>
      <c r="R127" s="229">
        <f t="shared" si="70"/>
        <v>0.12</v>
      </c>
      <c r="S127" s="831"/>
    </row>
    <row r="128" spans="1:19" ht="13" x14ac:dyDescent="0.25">
      <c r="A128" s="1481"/>
      <c r="B128" s="794">
        <v>11</v>
      </c>
      <c r="C128" s="294">
        <f>H$52</f>
        <v>10</v>
      </c>
      <c r="D128" s="294">
        <f t="shared" ref="D128:H128" si="71">I$52</f>
        <v>-0.03</v>
      </c>
      <c r="E128" s="294">
        <f t="shared" si="71"/>
        <v>0</v>
      </c>
      <c r="F128" s="294">
        <f t="shared" si="71"/>
        <v>-0.03</v>
      </c>
      <c r="G128" s="294">
        <f t="shared" si="71"/>
        <v>1.4999999999999999E-2</v>
      </c>
      <c r="H128" s="294">
        <f t="shared" si="71"/>
        <v>0.12</v>
      </c>
      <c r="I128" s="541"/>
      <c r="K128" s="1473"/>
      <c r="L128" s="792">
        <v>11</v>
      </c>
      <c r="M128" s="294">
        <f t="shared" ref="M128:R128" si="72">H$58</f>
        <v>300</v>
      </c>
      <c r="N128" s="294">
        <f t="shared" si="72"/>
        <v>-0.03</v>
      </c>
      <c r="O128" s="294">
        <f t="shared" si="72"/>
        <v>0</v>
      </c>
      <c r="P128" s="294">
        <f t="shared" si="72"/>
        <v>-0.03</v>
      </c>
      <c r="Q128" s="294">
        <f t="shared" si="72"/>
        <v>1.4999999999999999E-2</v>
      </c>
      <c r="R128" s="294">
        <f t="shared" si="72"/>
        <v>0.12</v>
      </c>
      <c r="S128" s="897"/>
    </row>
    <row r="129" spans="1:19" ht="13" x14ac:dyDescent="0.25">
      <c r="A129" s="1481"/>
      <c r="B129" s="794">
        <v>12</v>
      </c>
      <c r="C129" s="294">
        <f>O$52</f>
        <v>10</v>
      </c>
      <c r="D129" s="294">
        <f t="shared" ref="D129:H129" si="73">P$52</f>
        <v>0.03</v>
      </c>
      <c r="E129" s="294">
        <f t="shared" si="73"/>
        <v>0.01</v>
      </c>
      <c r="F129" s="294">
        <f t="shared" si="73"/>
        <v>0.02</v>
      </c>
      <c r="G129" s="294">
        <f t="shared" si="73"/>
        <v>5.0000000000000001E-3</v>
      </c>
      <c r="H129" s="294">
        <f t="shared" si="73"/>
        <v>0.12</v>
      </c>
      <c r="I129" s="541"/>
      <c r="K129" s="1473"/>
      <c r="L129" s="794">
        <v>12</v>
      </c>
      <c r="M129" s="294">
        <f t="shared" ref="M129:R129" si="74">O$58</f>
        <v>300</v>
      </c>
      <c r="N129" s="294">
        <f t="shared" si="74"/>
        <v>0.03</v>
      </c>
      <c r="O129" s="294">
        <f t="shared" si="74"/>
        <v>-0.01</v>
      </c>
      <c r="P129" s="294">
        <f t="shared" si="74"/>
        <v>0.02</v>
      </c>
      <c r="Q129" s="294">
        <f t="shared" si="74"/>
        <v>1.4999999999999999E-2</v>
      </c>
      <c r="R129" s="294">
        <f t="shared" si="74"/>
        <v>0.12</v>
      </c>
      <c r="S129" s="897"/>
    </row>
    <row r="130" spans="1:19" ht="13" x14ac:dyDescent="0.25">
      <c r="A130" s="1481"/>
      <c r="B130" s="794">
        <v>13</v>
      </c>
      <c r="C130" s="294">
        <f>A$67</f>
        <v>10</v>
      </c>
      <c r="D130" s="294">
        <f t="shared" ref="D130:H130" si="75">B$67</f>
        <v>-0.01</v>
      </c>
      <c r="E130" s="294">
        <f t="shared" si="75"/>
        <v>0</v>
      </c>
      <c r="F130" s="294">
        <f t="shared" si="75"/>
        <v>0.02</v>
      </c>
      <c r="G130" s="294">
        <f t="shared" si="75"/>
        <v>0.01</v>
      </c>
      <c r="H130" s="294">
        <f t="shared" si="75"/>
        <v>0.12</v>
      </c>
      <c r="I130" s="541"/>
      <c r="K130" s="1473"/>
      <c r="L130" s="794">
        <v>13</v>
      </c>
      <c r="M130" s="294">
        <f t="shared" ref="M130:R130" si="76">A$73</f>
        <v>300</v>
      </c>
      <c r="N130" s="294">
        <f t="shared" si="76"/>
        <v>-0.01</v>
      </c>
      <c r="O130" s="294">
        <f t="shared" si="76"/>
        <v>0</v>
      </c>
      <c r="P130" s="294">
        <f t="shared" si="76"/>
        <v>0.01</v>
      </c>
      <c r="Q130" s="294">
        <f t="shared" si="76"/>
        <v>5.0000000000000001E-3</v>
      </c>
      <c r="R130" s="294">
        <f t="shared" si="76"/>
        <v>0.12</v>
      </c>
      <c r="S130" s="897"/>
    </row>
    <row r="131" spans="1:19" ht="13" x14ac:dyDescent="0.25">
      <c r="A131" s="1481"/>
      <c r="B131" s="794">
        <v>14</v>
      </c>
      <c r="C131" s="294">
        <f>H$67</f>
        <v>10</v>
      </c>
      <c r="D131" s="294">
        <f t="shared" ref="D131:H131" si="77">I$67</f>
        <v>-0.04</v>
      </c>
      <c r="E131" s="294">
        <f t="shared" si="77"/>
        <v>0</v>
      </c>
      <c r="F131" s="294">
        <f t="shared" si="77"/>
        <v>0.02</v>
      </c>
      <c r="G131" s="294">
        <f t="shared" si="77"/>
        <v>0.01</v>
      </c>
      <c r="H131" s="294">
        <f t="shared" si="77"/>
        <v>0.12</v>
      </c>
      <c r="I131" s="541"/>
      <c r="K131" s="1473"/>
      <c r="L131" s="794">
        <v>14</v>
      </c>
      <c r="M131" s="294">
        <f t="shared" ref="M131:R131" si="78">H$73</f>
        <v>300</v>
      </c>
      <c r="N131" s="294">
        <f t="shared" si="78"/>
        <v>-0.04</v>
      </c>
      <c r="O131" s="294">
        <f t="shared" si="78"/>
        <v>0.01</v>
      </c>
      <c r="P131" s="294">
        <f t="shared" si="78"/>
        <v>0.03</v>
      </c>
      <c r="Q131" s="294">
        <f t="shared" si="78"/>
        <v>9.9999999999999985E-3</v>
      </c>
      <c r="R131" s="294">
        <f t="shared" si="78"/>
        <v>0.12</v>
      </c>
      <c r="S131" s="897"/>
    </row>
    <row r="132" spans="1:19" ht="13" x14ac:dyDescent="0.25">
      <c r="A132" s="1481"/>
      <c r="B132" s="794">
        <v>15</v>
      </c>
      <c r="C132" s="294">
        <f>O$67</f>
        <v>10</v>
      </c>
      <c r="D132" s="294">
        <f t="shared" ref="D132:H132" si="79">P$67</f>
        <v>0.01</v>
      </c>
      <c r="E132" s="294">
        <f t="shared" si="79"/>
        <v>0.03</v>
      </c>
      <c r="F132" s="294" t="str">
        <f t="shared" si="79"/>
        <v>-</v>
      </c>
      <c r="G132" s="294">
        <f t="shared" si="79"/>
        <v>3.9999999999999994E-2</v>
      </c>
      <c r="H132" s="294">
        <f t="shared" si="79"/>
        <v>0.12</v>
      </c>
      <c r="I132" s="541"/>
      <c r="K132" s="1473"/>
      <c r="L132" s="794">
        <v>15</v>
      </c>
      <c r="M132" s="294">
        <f t="shared" ref="M132:R132" si="80">O$73</f>
        <v>300</v>
      </c>
      <c r="N132" s="294">
        <f t="shared" si="80"/>
        <v>0.01</v>
      </c>
      <c r="O132" s="294">
        <f t="shared" si="80"/>
        <v>0.04</v>
      </c>
      <c r="P132" s="294">
        <f t="shared" si="80"/>
        <v>-0.01</v>
      </c>
      <c r="Q132" s="294">
        <f t="shared" si="80"/>
        <v>2.5000000000000001E-2</v>
      </c>
      <c r="R132" s="294">
        <f t="shared" si="80"/>
        <v>0.12</v>
      </c>
      <c r="S132" s="897"/>
    </row>
    <row r="133" spans="1:19" ht="13.5" thickBot="1" x14ac:dyDescent="0.3">
      <c r="A133" s="1481"/>
      <c r="B133" s="794">
        <v>16</v>
      </c>
      <c r="C133" s="295">
        <f>A$82</f>
        <v>10</v>
      </c>
      <c r="D133" s="295">
        <f t="shared" ref="D133:H133" si="81">B$82</f>
        <v>0</v>
      </c>
      <c r="E133" s="295">
        <f t="shared" si="81"/>
        <v>0</v>
      </c>
      <c r="F133" s="295" t="str">
        <f t="shared" si="81"/>
        <v>-</v>
      </c>
      <c r="G133" s="295">
        <f t="shared" si="81"/>
        <v>3.9999999999999994E-2</v>
      </c>
      <c r="H133" s="295">
        <f t="shared" si="81"/>
        <v>0.12</v>
      </c>
      <c r="I133" s="295"/>
      <c r="K133" s="1473"/>
      <c r="L133" s="795">
        <v>16</v>
      </c>
      <c r="M133" s="433">
        <f t="shared" ref="M133:R133" si="82">A$88</f>
        <v>300</v>
      </c>
      <c r="N133" s="433">
        <f t="shared" si="82"/>
        <v>0</v>
      </c>
      <c r="O133" s="433">
        <f t="shared" si="82"/>
        <v>0</v>
      </c>
      <c r="P133" s="433">
        <f t="shared" si="82"/>
        <v>-0.01</v>
      </c>
      <c r="Q133" s="433">
        <f t="shared" si="82"/>
        <v>5.0000000000000001E-3</v>
      </c>
      <c r="R133" s="433">
        <f t="shared" si="82"/>
        <v>0.12</v>
      </c>
      <c r="S133" s="906"/>
    </row>
    <row r="134" spans="1:19" ht="13.5" thickBot="1" x14ac:dyDescent="0.3">
      <c r="A134" s="901"/>
      <c r="B134" s="794">
        <v>17</v>
      </c>
      <c r="C134" s="588">
        <f>H82</f>
        <v>10</v>
      </c>
      <c r="D134" s="588">
        <f t="shared" ref="D134:H134" si="83">I82</f>
        <v>0</v>
      </c>
      <c r="E134" s="588" t="str">
        <f t="shared" si="83"/>
        <v>-</v>
      </c>
      <c r="F134" s="588" t="str">
        <f t="shared" si="83"/>
        <v>-</v>
      </c>
      <c r="G134" s="588">
        <f t="shared" si="83"/>
        <v>3.9999999999999994E-2</v>
      </c>
      <c r="H134" s="588">
        <f t="shared" si="83"/>
        <v>0.12</v>
      </c>
      <c r="I134" s="907"/>
      <c r="K134" s="899"/>
      <c r="L134" s="794">
        <v>17</v>
      </c>
      <c r="M134" s="433">
        <f>H88</f>
        <v>300</v>
      </c>
      <c r="N134" s="433">
        <f t="shared" ref="N134:R134" si="84">I88</f>
        <v>0.01</v>
      </c>
      <c r="O134" s="433">
        <f t="shared" si="84"/>
        <v>-2E-3</v>
      </c>
      <c r="P134" s="433" t="str">
        <f t="shared" si="84"/>
        <v>-</v>
      </c>
      <c r="Q134" s="433">
        <f t="shared" si="84"/>
        <v>3.9999999999999994E-2</v>
      </c>
      <c r="R134" s="433">
        <f t="shared" si="84"/>
        <v>0.12</v>
      </c>
      <c r="S134" s="906"/>
    </row>
    <row r="135" spans="1:19" ht="13" x14ac:dyDescent="0.25">
      <c r="A135" s="1480" t="s">
        <v>97</v>
      </c>
      <c r="B135" s="797">
        <v>1</v>
      </c>
      <c r="C135" s="230">
        <f>A$7</f>
        <v>20</v>
      </c>
      <c r="D135" s="230" t="str">
        <f>B$7</f>
        <v>-</v>
      </c>
      <c r="E135" s="230" t="str">
        <f t="shared" ref="E135:H135" si="85">C$7</f>
        <v>-</v>
      </c>
      <c r="F135" s="230">
        <f t="shared" si="85"/>
        <v>-1E-3</v>
      </c>
      <c r="G135" s="230">
        <f t="shared" si="85"/>
        <v>3.9999999999999994E-2</v>
      </c>
      <c r="H135" s="230">
        <f t="shared" si="85"/>
        <v>0.12</v>
      </c>
      <c r="I135" s="539"/>
      <c r="K135" s="1466" t="s">
        <v>310</v>
      </c>
      <c r="L135" s="797">
        <v>1</v>
      </c>
      <c r="M135" s="230">
        <f t="shared" ref="M135:R135" si="86">A$13</f>
        <v>600</v>
      </c>
      <c r="N135" s="230">
        <f t="shared" si="86"/>
        <v>0.03</v>
      </c>
      <c r="O135" s="230">
        <f t="shared" si="86"/>
        <v>0.01</v>
      </c>
      <c r="P135" s="230">
        <f t="shared" si="86"/>
        <v>-8.0000000000000002E-3</v>
      </c>
      <c r="Q135" s="230">
        <f t="shared" si="86"/>
        <v>9.0000000000000011E-3</v>
      </c>
      <c r="R135" s="230">
        <f t="shared" si="86"/>
        <v>0.12</v>
      </c>
      <c r="S135" s="904"/>
    </row>
    <row r="136" spans="1:19" ht="13" x14ac:dyDescent="0.25">
      <c r="A136" s="1481"/>
      <c r="B136" s="794">
        <v>2</v>
      </c>
      <c r="C136" s="229">
        <f>H$7</f>
        <v>20</v>
      </c>
      <c r="D136" s="229" t="str">
        <f t="shared" ref="D136:H136" si="87">I$7</f>
        <v>-</v>
      </c>
      <c r="E136" s="229" t="str">
        <f t="shared" si="87"/>
        <v>-</v>
      </c>
      <c r="F136" s="229">
        <f t="shared" si="87"/>
        <v>1E-3</v>
      </c>
      <c r="G136" s="229">
        <f t="shared" si="87"/>
        <v>4.0333333333333332E-2</v>
      </c>
      <c r="H136" s="229">
        <f t="shared" si="87"/>
        <v>0.121</v>
      </c>
      <c r="I136" s="540"/>
      <c r="K136" s="1467"/>
      <c r="L136" s="794">
        <v>2</v>
      </c>
      <c r="M136" s="229">
        <f t="shared" ref="M136:R136" si="88">H$13</f>
        <v>600</v>
      </c>
      <c r="N136" s="229">
        <f t="shared" si="88"/>
        <v>2E-3</v>
      </c>
      <c r="O136" s="229">
        <f t="shared" si="88"/>
        <v>1E-3</v>
      </c>
      <c r="P136" s="229">
        <f t="shared" si="88"/>
        <v>4.0000000000000001E-3</v>
      </c>
      <c r="Q136" s="229">
        <f t="shared" si="88"/>
        <v>1.5E-3</v>
      </c>
      <c r="R136" s="229">
        <f t="shared" si="88"/>
        <v>0.121</v>
      </c>
      <c r="S136" s="905"/>
    </row>
    <row r="137" spans="1:19" ht="13" x14ac:dyDescent="0.25">
      <c r="A137" s="1481"/>
      <c r="B137" s="794">
        <v>3</v>
      </c>
      <c r="C137" s="229">
        <f>O$7</f>
        <v>20</v>
      </c>
      <c r="D137" s="229" t="str">
        <f t="shared" ref="D137:H137" si="89">P$7</f>
        <v>-</v>
      </c>
      <c r="E137" s="229" t="str">
        <f>Q$7</f>
        <v>-</v>
      </c>
      <c r="F137" s="229" t="str">
        <f t="shared" si="89"/>
        <v>-</v>
      </c>
      <c r="G137" s="229">
        <f t="shared" si="89"/>
        <v>3.9999999999999994E-2</v>
      </c>
      <c r="H137" s="229">
        <f t="shared" si="89"/>
        <v>0.12</v>
      </c>
      <c r="I137" s="540"/>
      <c r="K137" s="1467"/>
      <c r="L137" s="794">
        <v>3</v>
      </c>
      <c r="M137" s="229">
        <f t="shared" ref="M137:R137" si="90">O$13</f>
        <v>600</v>
      </c>
      <c r="N137" s="229">
        <f t="shared" si="90"/>
        <v>-1E-3</v>
      </c>
      <c r="O137" s="229">
        <f t="shared" si="90"/>
        <v>1E-3</v>
      </c>
      <c r="P137" s="229">
        <f t="shared" si="90"/>
        <v>0</v>
      </c>
      <c r="Q137" s="229">
        <f t="shared" si="90"/>
        <v>5.0000000000000001E-4</v>
      </c>
      <c r="R137" s="229">
        <f t="shared" si="90"/>
        <v>0.12</v>
      </c>
      <c r="S137" s="905"/>
    </row>
    <row r="138" spans="1:19" ht="13" x14ac:dyDescent="0.25">
      <c r="A138" s="1481"/>
      <c r="B138" s="794">
        <v>4</v>
      </c>
      <c r="C138" s="229">
        <f>A$22</f>
        <v>60</v>
      </c>
      <c r="D138" s="229" t="str">
        <f t="shared" ref="D138:H138" si="91">B$22</f>
        <v>-</v>
      </c>
      <c r="E138" s="229">
        <f t="shared" si="91"/>
        <v>-0.01</v>
      </c>
      <c r="F138" s="229">
        <f t="shared" si="91"/>
        <v>2E-3</v>
      </c>
      <c r="G138" s="229">
        <f t="shared" si="91"/>
        <v>6.0000000000000001E-3</v>
      </c>
      <c r="H138" s="229">
        <f t="shared" si="91"/>
        <v>0.12</v>
      </c>
      <c r="I138" s="540"/>
      <c r="K138" s="1467"/>
      <c r="L138" s="794">
        <v>4</v>
      </c>
      <c r="M138" s="229">
        <f t="shared" ref="M138:R138" si="92">A$28</f>
        <v>600</v>
      </c>
      <c r="N138" s="229" t="str">
        <f t="shared" si="92"/>
        <v>-</v>
      </c>
      <c r="O138" s="229">
        <f t="shared" si="92"/>
        <v>0.03</v>
      </c>
      <c r="P138" s="229">
        <f t="shared" si="92"/>
        <v>6.0000000000000001E-3</v>
      </c>
      <c r="Q138" s="229">
        <f t="shared" si="92"/>
        <v>1.2E-2</v>
      </c>
      <c r="R138" s="229">
        <f t="shared" si="92"/>
        <v>0.12</v>
      </c>
      <c r="S138" s="905"/>
    </row>
    <row r="139" spans="1:19" ht="13" x14ac:dyDescent="0.25">
      <c r="A139" s="1481"/>
      <c r="B139" s="794">
        <v>5</v>
      </c>
      <c r="C139" s="229">
        <f>H$22</f>
        <v>20</v>
      </c>
      <c r="D139" s="229" t="str">
        <f t="shared" ref="D139:H139" si="93">I$22</f>
        <v>-</v>
      </c>
      <c r="E139" s="229" t="str">
        <f t="shared" si="93"/>
        <v>-</v>
      </c>
      <c r="F139" s="229">
        <f t="shared" si="93"/>
        <v>-0.02</v>
      </c>
      <c r="G139" s="229">
        <f t="shared" si="93"/>
        <v>3.9999999999999994E-2</v>
      </c>
      <c r="H139" s="229">
        <f t="shared" si="93"/>
        <v>0.12</v>
      </c>
      <c r="I139" s="540"/>
      <c r="K139" s="1467"/>
      <c r="L139" s="794">
        <v>5</v>
      </c>
      <c r="M139" s="229">
        <f t="shared" ref="M139:R139" si="94">H$28</f>
        <v>600</v>
      </c>
      <c r="N139" s="229">
        <f t="shared" si="94"/>
        <v>-0.01</v>
      </c>
      <c r="O139" s="229">
        <f t="shared" si="94"/>
        <v>0.01</v>
      </c>
      <c r="P139" s="229">
        <f t="shared" si="94"/>
        <v>-0.03</v>
      </c>
      <c r="Q139" s="229">
        <f t="shared" si="94"/>
        <v>0.02</v>
      </c>
      <c r="R139" s="229">
        <f t="shared" si="94"/>
        <v>0.12</v>
      </c>
      <c r="S139" s="898"/>
    </row>
    <row r="140" spans="1:19" ht="13" x14ac:dyDescent="0.25">
      <c r="A140" s="1481"/>
      <c r="B140" s="794">
        <v>6</v>
      </c>
      <c r="C140" s="229">
        <f>O$22</f>
        <v>30</v>
      </c>
      <c r="D140" s="229">
        <f>P$22</f>
        <v>0</v>
      </c>
      <c r="E140" s="229">
        <f t="shared" ref="E140:H140" si="95">Q$22</f>
        <v>0</v>
      </c>
      <c r="F140" s="229" t="str">
        <f t="shared" si="95"/>
        <v>-</v>
      </c>
      <c r="G140" s="229">
        <f t="shared" si="95"/>
        <v>3.9999999999999994E-2</v>
      </c>
      <c r="H140" s="229">
        <f t="shared" si="95"/>
        <v>0.12</v>
      </c>
      <c r="I140" s="540"/>
      <c r="K140" s="1467"/>
      <c r="L140" s="794">
        <v>6</v>
      </c>
      <c r="M140" s="229">
        <f t="shared" ref="M140:R140" si="96">O$28</f>
        <v>600</v>
      </c>
      <c r="N140" s="229">
        <f t="shared" si="96"/>
        <v>0</v>
      </c>
      <c r="O140" s="229">
        <f t="shared" si="96"/>
        <v>0</v>
      </c>
      <c r="P140" s="229">
        <f t="shared" si="96"/>
        <v>0.01</v>
      </c>
      <c r="Q140" s="229">
        <f t="shared" si="96"/>
        <v>5.0000000000000001E-3</v>
      </c>
      <c r="R140" s="229">
        <f t="shared" si="96"/>
        <v>0.12</v>
      </c>
      <c r="S140" s="905"/>
    </row>
    <row r="141" spans="1:19" ht="13" x14ac:dyDescent="0.25">
      <c r="A141" s="1481"/>
      <c r="B141" s="794">
        <v>7</v>
      </c>
      <c r="C141" s="229">
        <f>A$38</f>
        <v>30</v>
      </c>
      <c r="D141" s="229">
        <f t="shared" ref="D141:H141" si="97">B$38</f>
        <v>-0.04</v>
      </c>
      <c r="E141" s="229">
        <f t="shared" si="97"/>
        <v>0.01</v>
      </c>
      <c r="F141" s="229" t="str">
        <f t="shared" si="97"/>
        <v>-</v>
      </c>
      <c r="G141" s="229">
        <f t="shared" si="97"/>
        <v>3.9999999999999994E-2</v>
      </c>
      <c r="H141" s="229">
        <f t="shared" si="97"/>
        <v>0.12</v>
      </c>
      <c r="I141" s="540"/>
      <c r="K141" s="1467"/>
      <c r="L141" s="794">
        <v>7</v>
      </c>
      <c r="M141" s="229">
        <f t="shared" ref="M141:R141" si="98">A$44</f>
        <v>600</v>
      </c>
      <c r="N141" s="229">
        <f t="shared" si="98"/>
        <v>-0.05</v>
      </c>
      <c r="O141" s="229">
        <f t="shared" si="98"/>
        <v>-0.03</v>
      </c>
      <c r="P141" s="229">
        <f t="shared" si="98"/>
        <v>0.04</v>
      </c>
      <c r="Q141" s="229">
        <f t="shared" si="98"/>
        <v>3.5000000000000003E-2</v>
      </c>
      <c r="R141" s="229">
        <f t="shared" si="98"/>
        <v>0.12</v>
      </c>
      <c r="S141" s="905"/>
    </row>
    <row r="142" spans="1:19" ht="13" x14ac:dyDescent="0.25">
      <c r="A142" s="1481"/>
      <c r="B142" s="794">
        <v>8</v>
      </c>
      <c r="C142" s="229">
        <f>H$38</f>
        <v>30</v>
      </c>
      <c r="D142" s="229">
        <f t="shared" ref="D142:H142" si="99">I$38</f>
        <v>0</v>
      </c>
      <c r="E142" s="229">
        <f t="shared" si="99"/>
        <v>0.01</v>
      </c>
      <c r="F142" s="229" t="str">
        <f t="shared" si="99"/>
        <v>-</v>
      </c>
      <c r="G142" s="229">
        <f t="shared" si="99"/>
        <v>3.9999999999999994E-2</v>
      </c>
      <c r="H142" s="229">
        <f t="shared" si="99"/>
        <v>0.12</v>
      </c>
      <c r="I142" s="540"/>
      <c r="K142" s="1467"/>
      <c r="L142" s="794">
        <v>8</v>
      </c>
      <c r="M142" s="229">
        <f t="shared" ref="M142:R142" si="100">H$44</f>
        <v>600</v>
      </c>
      <c r="N142" s="229">
        <f t="shared" si="100"/>
        <v>-0.02</v>
      </c>
      <c r="O142" s="229">
        <f t="shared" si="100"/>
        <v>0.01</v>
      </c>
      <c r="P142" s="229">
        <f t="shared" si="100"/>
        <v>0.02</v>
      </c>
      <c r="Q142" s="229">
        <f t="shared" si="100"/>
        <v>5.0000000000000001E-3</v>
      </c>
      <c r="R142" s="229">
        <f t="shared" si="100"/>
        <v>0.12</v>
      </c>
      <c r="S142" s="905"/>
    </row>
    <row r="143" spans="1:19" ht="13" x14ac:dyDescent="0.25">
      <c r="A143" s="1481"/>
      <c r="B143" s="794">
        <v>9</v>
      </c>
      <c r="C143" s="229">
        <f>O$38</f>
        <v>30</v>
      </c>
      <c r="D143" s="229">
        <f t="shared" ref="D143:H143" si="101">P$38</f>
        <v>0.01</v>
      </c>
      <c r="E143" s="229" t="str">
        <f t="shared" si="101"/>
        <v>-</v>
      </c>
      <c r="F143" s="229" t="str">
        <f t="shared" si="101"/>
        <v>-</v>
      </c>
      <c r="G143" s="229">
        <f t="shared" si="101"/>
        <v>3.9999999999999994E-2</v>
      </c>
      <c r="H143" s="229">
        <f t="shared" si="101"/>
        <v>0.12</v>
      </c>
      <c r="I143" s="540"/>
      <c r="K143" s="1467"/>
      <c r="L143" s="794">
        <v>9</v>
      </c>
      <c r="M143" s="229">
        <f t="shared" ref="M143:R143" si="102">O$44</f>
        <v>600</v>
      </c>
      <c r="N143" s="229">
        <f t="shared" si="102"/>
        <v>0.01</v>
      </c>
      <c r="O143" s="229">
        <f t="shared" si="102"/>
        <v>0.01</v>
      </c>
      <c r="P143" s="229">
        <f t="shared" si="102"/>
        <v>-0.02</v>
      </c>
      <c r="Q143" s="229">
        <f t="shared" si="102"/>
        <v>1.4999999999999999E-2</v>
      </c>
      <c r="R143" s="229">
        <f t="shared" si="102"/>
        <v>0.12</v>
      </c>
      <c r="S143" s="905"/>
    </row>
    <row r="144" spans="1:19" ht="13" x14ac:dyDescent="0.25">
      <c r="A144" s="1481"/>
      <c r="B144" s="794">
        <v>10</v>
      </c>
      <c r="C144" s="229">
        <f>A$53</f>
        <v>30</v>
      </c>
      <c r="D144" s="229">
        <f t="shared" ref="D144:H144" si="103">B$53</f>
        <v>-0.03</v>
      </c>
      <c r="E144" s="229">
        <f t="shared" si="103"/>
        <v>0.01</v>
      </c>
      <c r="F144" s="229">
        <f t="shared" si="103"/>
        <v>-0.06</v>
      </c>
      <c r="G144" s="229">
        <f t="shared" si="103"/>
        <v>3.4999999999999996E-2</v>
      </c>
      <c r="H144" s="229">
        <f t="shared" si="103"/>
        <v>0.12</v>
      </c>
      <c r="I144" s="540"/>
      <c r="K144" s="1467"/>
      <c r="L144" s="794">
        <v>10</v>
      </c>
      <c r="M144" s="229">
        <f t="shared" ref="M144:R144" si="104">A$59</f>
        <v>600</v>
      </c>
      <c r="N144" s="229">
        <f t="shared" si="104"/>
        <v>-0.03</v>
      </c>
      <c r="O144" s="229">
        <f t="shared" si="104"/>
        <v>0.01</v>
      </c>
      <c r="P144" s="229">
        <f t="shared" si="104"/>
        <v>-0.06</v>
      </c>
      <c r="Q144" s="229">
        <f t="shared" si="104"/>
        <v>3.4999999999999996E-2</v>
      </c>
      <c r="R144" s="229">
        <f t="shared" si="104"/>
        <v>0.12</v>
      </c>
      <c r="S144" s="831"/>
    </row>
    <row r="145" spans="1:19" ht="13" x14ac:dyDescent="0.25">
      <c r="A145" s="1481"/>
      <c r="B145" s="792">
        <v>11</v>
      </c>
      <c r="C145" s="294">
        <f>H$53</f>
        <v>30</v>
      </c>
      <c r="D145" s="294">
        <f t="shared" ref="D145:H145" si="105">I$53</f>
        <v>-0.03</v>
      </c>
      <c r="E145" s="294">
        <f t="shared" si="105"/>
        <v>0</v>
      </c>
      <c r="F145" s="294">
        <f t="shared" si="105"/>
        <v>-0.04</v>
      </c>
      <c r="G145" s="294">
        <f t="shared" si="105"/>
        <v>0.02</v>
      </c>
      <c r="H145" s="294">
        <f t="shared" si="105"/>
        <v>0.12</v>
      </c>
      <c r="I145" s="541"/>
      <c r="K145" s="1467"/>
      <c r="L145" s="792">
        <v>11</v>
      </c>
      <c r="M145" s="229">
        <f t="shared" ref="M145:R145" si="106">H$59</f>
        <v>600</v>
      </c>
      <c r="N145" s="229">
        <f t="shared" si="106"/>
        <v>-0.04</v>
      </c>
      <c r="O145" s="229">
        <f t="shared" si="106"/>
        <v>0.01</v>
      </c>
      <c r="P145" s="229">
        <f t="shared" si="106"/>
        <v>-0.04</v>
      </c>
      <c r="Q145" s="229">
        <f t="shared" si="106"/>
        <v>2.5000000000000001E-2</v>
      </c>
      <c r="R145" s="229">
        <f t="shared" si="106"/>
        <v>0.12</v>
      </c>
      <c r="S145" s="831"/>
    </row>
    <row r="146" spans="1:19" ht="13" x14ac:dyDescent="0.25">
      <c r="A146" s="1481"/>
      <c r="B146" s="794">
        <v>12</v>
      </c>
      <c r="C146" s="294">
        <f>O$53</f>
        <v>20</v>
      </c>
      <c r="D146" s="294" t="str">
        <f t="shared" ref="D146:H146" si="107">P$53</f>
        <v>-</v>
      </c>
      <c r="E146" s="294" t="str">
        <f t="shared" si="107"/>
        <v>-</v>
      </c>
      <c r="F146" s="294">
        <f t="shared" si="107"/>
        <v>0.01</v>
      </c>
      <c r="G146" s="294">
        <f t="shared" si="107"/>
        <v>3.9999999999999994E-2</v>
      </c>
      <c r="H146" s="294">
        <f t="shared" si="107"/>
        <v>0.12</v>
      </c>
      <c r="I146" s="541"/>
      <c r="K146" s="1467"/>
      <c r="L146" s="794">
        <v>12</v>
      </c>
      <c r="M146" s="229">
        <f t="shared" ref="M146:R146" si="108">O$59</f>
        <v>600</v>
      </c>
      <c r="N146" s="229">
        <f t="shared" si="108"/>
        <v>0.03</v>
      </c>
      <c r="O146" s="229">
        <f t="shared" si="108"/>
        <v>-0.01</v>
      </c>
      <c r="P146" s="229">
        <f t="shared" si="108"/>
        <v>0.01</v>
      </c>
      <c r="Q146" s="229">
        <f t="shared" si="108"/>
        <v>0.01</v>
      </c>
      <c r="R146" s="229">
        <f t="shared" si="108"/>
        <v>0.12</v>
      </c>
      <c r="S146" s="831"/>
    </row>
    <row r="147" spans="1:19" ht="13" x14ac:dyDescent="0.25">
      <c r="A147" s="1481"/>
      <c r="B147" s="794">
        <v>13</v>
      </c>
      <c r="C147" s="294">
        <f>A$68</f>
        <v>20</v>
      </c>
      <c r="D147" s="294" t="str">
        <f t="shared" ref="D147:H147" si="109">B$68</f>
        <v>-</v>
      </c>
      <c r="E147" s="294" t="str">
        <f t="shared" si="109"/>
        <v>-</v>
      </c>
      <c r="F147" s="294">
        <f t="shared" si="109"/>
        <v>0.03</v>
      </c>
      <c r="G147" s="294">
        <f t="shared" si="109"/>
        <v>3.9999999999999994E-2</v>
      </c>
      <c r="H147" s="294">
        <f t="shared" si="109"/>
        <v>0.12</v>
      </c>
      <c r="I147" s="541"/>
      <c r="K147" s="1467"/>
      <c r="L147" s="794">
        <v>13</v>
      </c>
      <c r="M147" s="229">
        <f t="shared" ref="M147:R147" si="110">A$74</f>
        <v>600</v>
      </c>
      <c r="N147" s="229">
        <f t="shared" si="110"/>
        <v>-0.02</v>
      </c>
      <c r="O147" s="229">
        <f t="shared" si="110"/>
        <v>-0.01</v>
      </c>
      <c r="P147" s="229">
        <f t="shared" si="110"/>
        <v>0.01</v>
      </c>
      <c r="Q147" s="229">
        <f t="shared" si="110"/>
        <v>0.01</v>
      </c>
      <c r="R147" s="229">
        <f t="shared" si="110"/>
        <v>0.12</v>
      </c>
      <c r="S147" s="831"/>
    </row>
    <row r="148" spans="1:19" ht="13" x14ac:dyDescent="0.25">
      <c r="A148" s="1481"/>
      <c r="B148" s="794">
        <v>14</v>
      </c>
      <c r="C148" s="294">
        <f>H$68</f>
        <v>20</v>
      </c>
      <c r="D148" s="294" t="str">
        <f t="shared" ref="D148:H148" si="111">I$68</f>
        <v>-</v>
      </c>
      <c r="E148" s="294" t="str">
        <f t="shared" si="111"/>
        <v>-</v>
      </c>
      <c r="F148" s="294">
        <f t="shared" si="111"/>
        <v>0.02</v>
      </c>
      <c r="G148" s="294">
        <f t="shared" si="111"/>
        <v>3.9999999999999994E-2</v>
      </c>
      <c r="H148" s="294">
        <f t="shared" si="111"/>
        <v>0.12</v>
      </c>
      <c r="I148" s="541"/>
      <c r="K148" s="1467"/>
      <c r="L148" s="794">
        <v>14</v>
      </c>
      <c r="M148" s="229">
        <f t="shared" ref="M148:R148" si="112">H$74</f>
        <v>600</v>
      </c>
      <c r="N148" s="229">
        <f t="shared" si="112"/>
        <v>-0.04</v>
      </c>
      <c r="O148" s="229">
        <f t="shared" si="112"/>
        <v>0.01</v>
      </c>
      <c r="P148" s="229">
        <f t="shared" si="112"/>
        <v>0.04</v>
      </c>
      <c r="Q148" s="229">
        <f t="shared" si="112"/>
        <v>1.4999999999999999E-2</v>
      </c>
      <c r="R148" s="229">
        <f t="shared" si="112"/>
        <v>0.12</v>
      </c>
      <c r="S148" s="831"/>
    </row>
    <row r="149" spans="1:19" ht="13" x14ac:dyDescent="0.25">
      <c r="A149" s="1481"/>
      <c r="B149" s="794">
        <v>15</v>
      </c>
      <c r="C149" s="294">
        <f>O$68</f>
        <v>30</v>
      </c>
      <c r="D149" s="294">
        <f t="shared" ref="D149:H149" si="113">P$68</f>
        <v>0.01</v>
      </c>
      <c r="E149" s="294">
        <f t="shared" si="113"/>
        <v>0.03</v>
      </c>
      <c r="F149" s="294" t="str">
        <f t="shared" si="113"/>
        <v>-</v>
      </c>
      <c r="G149" s="294">
        <f t="shared" si="113"/>
        <v>3.9999999999999994E-2</v>
      </c>
      <c r="H149" s="294">
        <f t="shared" si="113"/>
        <v>0.12</v>
      </c>
      <c r="I149" s="541"/>
      <c r="K149" s="1467"/>
      <c r="L149" s="794">
        <v>15</v>
      </c>
      <c r="M149" s="229">
        <f t="shared" ref="M149:R149" si="114">O$74</f>
        <v>600</v>
      </c>
      <c r="N149" s="229">
        <f t="shared" si="114"/>
        <v>0.02</v>
      </c>
      <c r="O149" s="229">
        <f t="shared" si="114"/>
        <v>0.04</v>
      </c>
      <c r="P149" s="229">
        <f t="shared" si="114"/>
        <v>-0.02</v>
      </c>
      <c r="Q149" s="229">
        <f t="shared" si="114"/>
        <v>0.03</v>
      </c>
      <c r="R149" s="229">
        <f t="shared" si="114"/>
        <v>0.12</v>
      </c>
      <c r="S149" s="831"/>
    </row>
    <row r="150" spans="1:19" ht="13.5" thickBot="1" x14ac:dyDescent="0.3">
      <c r="A150" s="1481"/>
      <c r="B150" s="908">
        <v>16</v>
      </c>
      <c r="C150" s="357">
        <f>A$83</f>
        <v>30</v>
      </c>
      <c r="D150" s="357">
        <f t="shared" ref="D150:H150" si="115">B$83</f>
        <v>0</v>
      </c>
      <c r="E150" s="357">
        <f t="shared" si="115"/>
        <v>0.01</v>
      </c>
      <c r="F150" s="357" t="str">
        <f t="shared" si="115"/>
        <v>-</v>
      </c>
      <c r="G150" s="357">
        <f t="shared" si="115"/>
        <v>3.9999999999999994E-2</v>
      </c>
      <c r="H150" s="357">
        <f t="shared" si="115"/>
        <v>0.12</v>
      </c>
      <c r="I150" s="543"/>
      <c r="K150" s="1468"/>
      <c r="L150" s="795">
        <v>16</v>
      </c>
      <c r="M150" s="427">
        <f t="shared" ref="M150:R150" si="116">A$89</f>
        <v>600</v>
      </c>
      <c r="N150" s="427">
        <f t="shared" si="116"/>
        <v>0</v>
      </c>
      <c r="O150" s="427">
        <f t="shared" si="116"/>
        <v>0</v>
      </c>
      <c r="P150" s="427">
        <f t="shared" si="116"/>
        <v>-0.01</v>
      </c>
      <c r="Q150" s="427">
        <f t="shared" si="116"/>
        <v>5.0000000000000001E-3</v>
      </c>
      <c r="R150" s="427">
        <f t="shared" si="116"/>
        <v>0.12</v>
      </c>
      <c r="S150" s="909"/>
    </row>
    <row r="151" spans="1:19" ht="13.5" thickBot="1" x14ac:dyDescent="0.3">
      <c r="A151" s="910"/>
      <c r="B151" s="794">
        <v>17</v>
      </c>
      <c r="C151" s="588">
        <f>H83</f>
        <v>20</v>
      </c>
      <c r="D151" s="588">
        <f t="shared" ref="D151:H151" si="117">I83</f>
        <v>0</v>
      </c>
      <c r="E151" s="588" t="str">
        <f t="shared" si="117"/>
        <v>-</v>
      </c>
      <c r="F151" s="588" t="str">
        <f t="shared" si="117"/>
        <v>-</v>
      </c>
      <c r="G151" s="588">
        <f t="shared" si="117"/>
        <v>3.9999999999999994E-2</v>
      </c>
      <c r="H151" s="588">
        <f t="shared" si="117"/>
        <v>0.12</v>
      </c>
      <c r="I151" s="907"/>
      <c r="K151" s="899"/>
      <c r="L151" s="794">
        <v>17</v>
      </c>
      <c r="M151" s="433">
        <f>H89</f>
        <v>600</v>
      </c>
      <c r="N151" s="433">
        <f t="shared" ref="N151:R151" si="118">I89</f>
        <v>0.02</v>
      </c>
      <c r="O151" s="433">
        <f t="shared" si="118"/>
        <v>-3.0000000000000001E-3</v>
      </c>
      <c r="P151" s="433" t="str">
        <f t="shared" si="118"/>
        <v>-</v>
      </c>
      <c r="Q151" s="433">
        <f t="shared" si="118"/>
        <v>3.9999999999999994E-2</v>
      </c>
      <c r="R151" s="433">
        <f t="shared" si="118"/>
        <v>0.12</v>
      </c>
      <c r="S151" s="906"/>
    </row>
    <row r="152" spans="1:19" ht="13" x14ac:dyDescent="0.25">
      <c r="A152" s="1472" t="s">
        <v>98</v>
      </c>
      <c r="B152" s="797">
        <v>1</v>
      </c>
      <c r="C152" s="230">
        <f>A$8</f>
        <v>30</v>
      </c>
      <c r="D152" s="230">
        <f t="shared" ref="D152:H152" si="119">B$8</f>
        <v>0.03</v>
      </c>
      <c r="E152" s="230">
        <f t="shared" si="119"/>
        <v>0</v>
      </c>
      <c r="F152" s="230">
        <f t="shared" si="119"/>
        <v>-1E-3</v>
      </c>
      <c r="G152" s="230">
        <f t="shared" si="119"/>
        <v>5.0000000000000001E-4</v>
      </c>
      <c r="H152" s="230">
        <f t="shared" si="119"/>
        <v>0.12</v>
      </c>
      <c r="I152" s="539"/>
      <c r="K152" s="1482" t="s">
        <v>311</v>
      </c>
      <c r="L152" s="797">
        <v>1</v>
      </c>
      <c r="M152" s="810">
        <f t="shared" ref="M152:R152" si="120">A$14</f>
        <v>900</v>
      </c>
      <c r="N152" s="810">
        <f t="shared" si="120"/>
        <v>0.02</v>
      </c>
      <c r="O152" s="810">
        <f t="shared" si="120"/>
        <v>0.01</v>
      </c>
      <c r="P152" s="810">
        <f t="shared" si="120"/>
        <v>-8.0000000000000002E-3</v>
      </c>
      <c r="Q152" s="810">
        <f t="shared" si="120"/>
        <v>9.0000000000000011E-3</v>
      </c>
      <c r="R152" s="810">
        <f t="shared" si="120"/>
        <v>0.12</v>
      </c>
      <c r="S152" s="911"/>
    </row>
    <row r="153" spans="1:19" ht="13" x14ac:dyDescent="0.25">
      <c r="A153" s="1473"/>
      <c r="B153" s="794">
        <v>2</v>
      </c>
      <c r="C153" s="229">
        <f>H$8</f>
        <v>30</v>
      </c>
      <c r="D153" s="229">
        <f t="shared" ref="D153:H153" si="121">I$8</f>
        <v>2E-3</v>
      </c>
      <c r="E153" s="229">
        <f t="shared" si="121"/>
        <v>0</v>
      </c>
      <c r="F153" s="229">
        <f t="shared" si="121"/>
        <v>1E-3</v>
      </c>
      <c r="G153" s="229">
        <f t="shared" si="121"/>
        <v>5.0000000000000001E-4</v>
      </c>
      <c r="H153" s="229">
        <f t="shared" si="121"/>
        <v>0.121</v>
      </c>
      <c r="I153" s="540"/>
      <c r="K153" s="1483"/>
      <c r="L153" s="794">
        <v>2</v>
      </c>
      <c r="M153" s="295">
        <f t="shared" ref="M153:R153" si="122">H$14</f>
        <v>900</v>
      </c>
      <c r="N153" s="295">
        <f t="shared" si="122"/>
        <v>1E-3</v>
      </c>
      <c r="O153" s="295">
        <f t="shared" si="122"/>
        <v>0</v>
      </c>
      <c r="P153" s="295">
        <f t="shared" si="122"/>
        <v>2E-3</v>
      </c>
      <c r="Q153" s="295">
        <f t="shared" si="122"/>
        <v>1E-3</v>
      </c>
      <c r="R153" s="295">
        <f t="shared" si="122"/>
        <v>0.121</v>
      </c>
      <c r="S153" s="912"/>
    </row>
    <row r="154" spans="1:19" ht="13" x14ac:dyDescent="0.25">
      <c r="A154" s="1473"/>
      <c r="B154" s="794">
        <v>3</v>
      </c>
      <c r="C154" s="229">
        <f>O$8</f>
        <v>30</v>
      </c>
      <c r="D154" s="229">
        <f t="shared" ref="D154:H154" si="123">P$8</f>
        <v>-3.0000000000000001E-3</v>
      </c>
      <c r="E154" s="229">
        <f t="shared" si="123"/>
        <v>1E-3</v>
      </c>
      <c r="F154" s="229">
        <f t="shared" si="123"/>
        <v>-5.0000000000000001E-3</v>
      </c>
      <c r="G154" s="229">
        <f t="shared" si="123"/>
        <v>3.0000000000000001E-3</v>
      </c>
      <c r="H154" s="229">
        <f t="shared" si="123"/>
        <v>0.12</v>
      </c>
      <c r="I154" s="540"/>
      <c r="K154" s="1483"/>
      <c r="L154" s="794">
        <v>3</v>
      </c>
      <c r="M154" s="295">
        <f t="shared" ref="M154:R154" si="124">O$14</f>
        <v>900</v>
      </c>
      <c r="N154" s="295">
        <f t="shared" si="124"/>
        <v>0</v>
      </c>
      <c r="O154" s="295">
        <f t="shared" si="124"/>
        <v>2E-3</v>
      </c>
      <c r="P154" s="295">
        <f t="shared" si="124"/>
        <v>3.0000000000000001E-3</v>
      </c>
      <c r="Q154" s="295">
        <f t="shared" si="124"/>
        <v>5.0000000000000001E-4</v>
      </c>
      <c r="R154" s="295">
        <f t="shared" si="124"/>
        <v>0.12</v>
      </c>
      <c r="S154" s="912"/>
    </row>
    <row r="155" spans="1:19" ht="13" x14ac:dyDescent="0.25">
      <c r="A155" s="1473"/>
      <c r="B155" s="794">
        <v>4</v>
      </c>
      <c r="C155" s="229">
        <f>A$23</f>
        <v>60</v>
      </c>
      <c r="D155" s="229" t="str">
        <f t="shared" ref="D155:H155" si="125">B$23</f>
        <v>-</v>
      </c>
      <c r="E155" s="229">
        <f t="shared" si="125"/>
        <v>-0.01</v>
      </c>
      <c r="F155" s="229">
        <f t="shared" si="125"/>
        <v>2E-3</v>
      </c>
      <c r="G155" s="229">
        <f t="shared" si="125"/>
        <v>6.0000000000000001E-3</v>
      </c>
      <c r="H155" s="229">
        <f t="shared" si="125"/>
        <v>0.12</v>
      </c>
      <c r="I155" s="540"/>
      <c r="K155" s="1483"/>
      <c r="L155" s="794">
        <v>4</v>
      </c>
      <c r="M155" s="295">
        <f t="shared" ref="M155:R155" si="126">A$29</f>
        <v>900</v>
      </c>
      <c r="N155" s="295" t="str">
        <f t="shared" si="126"/>
        <v>-</v>
      </c>
      <c r="O155" s="295">
        <f t="shared" si="126"/>
        <v>0.03</v>
      </c>
      <c r="P155" s="295">
        <f t="shared" si="126"/>
        <v>6.0000000000000001E-3</v>
      </c>
      <c r="Q155" s="295">
        <f t="shared" si="126"/>
        <v>1.2E-2</v>
      </c>
      <c r="R155" s="295">
        <f t="shared" si="126"/>
        <v>0.12</v>
      </c>
      <c r="S155" s="912"/>
    </row>
    <row r="156" spans="1:19" ht="13" x14ac:dyDescent="0.25">
      <c r="A156" s="1473"/>
      <c r="B156" s="794">
        <v>5</v>
      </c>
      <c r="C156" s="229">
        <f>H$23</f>
        <v>30</v>
      </c>
      <c r="D156" s="229">
        <f t="shared" ref="D156:H156" si="127">I$23</f>
        <v>-0.01</v>
      </c>
      <c r="E156" s="229">
        <f t="shared" si="127"/>
        <v>0.01</v>
      </c>
      <c r="F156" s="229">
        <f t="shared" si="127"/>
        <v>-0.02</v>
      </c>
      <c r="G156" s="229">
        <f t="shared" si="127"/>
        <v>1.4999999999999999E-2</v>
      </c>
      <c r="H156" s="229">
        <f t="shared" si="127"/>
        <v>0.12</v>
      </c>
      <c r="I156" s="540"/>
      <c r="K156" s="1483"/>
      <c r="L156" s="794">
        <v>5</v>
      </c>
      <c r="M156" s="295">
        <f t="shared" ref="M156:R156" si="128">H$29</f>
        <v>900</v>
      </c>
      <c r="N156" s="295">
        <f t="shared" si="128"/>
        <v>0</v>
      </c>
      <c r="O156" s="295">
        <f t="shared" si="128"/>
        <v>-0.02</v>
      </c>
      <c r="P156" s="295" t="str">
        <f t="shared" si="128"/>
        <v>-</v>
      </c>
      <c r="Q156" s="295">
        <f t="shared" si="128"/>
        <v>3.9999999999999994E-2</v>
      </c>
      <c r="R156" s="295">
        <f t="shared" si="128"/>
        <v>0.12</v>
      </c>
      <c r="S156" s="912"/>
    </row>
    <row r="157" spans="1:19" ht="13" x14ac:dyDescent="0.25">
      <c r="A157" s="1473"/>
      <c r="B157" s="794">
        <v>6</v>
      </c>
      <c r="C157" s="229">
        <f>O$23</f>
        <v>60</v>
      </c>
      <c r="D157" s="229">
        <f t="shared" ref="D157:H157" si="129">P$23</f>
        <v>-0.01</v>
      </c>
      <c r="E157" s="229">
        <f t="shared" si="129"/>
        <v>0</v>
      </c>
      <c r="F157" s="229">
        <f t="shared" si="129"/>
        <v>0.01</v>
      </c>
      <c r="G157" s="229">
        <f t="shared" si="129"/>
        <v>5.0000000000000001E-3</v>
      </c>
      <c r="H157" s="229">
        <f t="shared" si="129"/>
        <v>0.12</v>
      </c>
      <c r="I157" s="540"/>
      <c r="K157" s="1483"/>
      <c r="L157" s="794">
        <v>6</v>
      </c>
      <c r="M157" s="295">
        <f t="shared" ref="M157:R157" si="130">O$29</f>
        <v>900</v>
      </c>
      <c r="N157" s="295">
        <f t="shared" si="130"/>
        <v>0</v>
      </c>
      <c r="O157" s="295">
        <f t="shared" si="130"/>
        <v>0</v>
      </c>
      <c r="P157" s="295">
        <f t="shared" si="130"/>
        <v>0.02</v>
      </c>
      <c r="Q157" s="295">
        <f t="shared" si="130"/>
        <v>0.01</v>
      </c>
      <c r="R157" s="295">
        <f t="shared" si="130"/>
        <v>0.12</v>
      </c>
      <c r="S157" s="912"/>
    </row>
    <row r="158" spans="1:19" ht="13" x14ac:dyDescent="0.25">
      <c r="A158" s="1473"/>
      <c r="B158" s="794">
        <v>7</v>
      </c>
      <c r="C158" s="229">
        <f>A$39</f>
        <v>60</v>
      </c>
      <c r="D158" s="229">
        <f t="shared" ref="D158:H158" si="131">B$39</f>
        <v>-0.05</v>
      </c>
      <c r="E158" s="229">
        <f t="shared" si="131"/>
        <v>-0.02</v>
      </c>
      <c r="F158" s="229">
        <f t="shared" si="131"/>
        <v>0.03</v>
      </c>
      <c r="G158" s="229">
        <f t="shared" si="131"/>
        <v>2.5000000000000001E-2</v>
      </c>
      <c r="H158" s="229">
        <f t="shared" si="131"/>
        <v>0.12</v>
      </c>
      <c r="I158" s="540"/>
      <c r="K158" s="1483"/>
      <c r="L158" s="794">
        <v>7</v>
      </c>
      <c r="M158" s="295">
        <f t="shared" ref="M158:R158" si="132">A$45</f>
        <v>900</v>
      </c>
      <c r="N158" s="295">
        <f t="shared" si="132"/>
        <v>-0.05</v>
      </c>
      <c r="O158" s="295">
        <f t="shared" si="132"/>
        <v>-0.02</v>
      </c>
      <c r="P158" s="295">
        <f t="shared" si="132"/>
        <v>0.02</v>
      </c>
      <c r="Q158" s="295">
        <f t="shared" si="132"/>
        <v>0.02</v>
      </c>
      <c r="R158" s="295">
        <f t="shared" si="132"/>
        <v>0.12</v>
      </c>
      <c r="S158" s="912"/>
    </row>
    <row r="159" spans="1:19" ht="13" x14ac:dyDescent="0.25">
      <c r="A159" s="1473"/>
      <c r="B159" s="794">
        <v>8</v>
      </c>
      <c r="C159" s="229">
        <f>H$39</f>
        <v>60</v>
      </c>
      <c r="D159" s="229">
        <f t="shared" ref="D159:H159" si="133">I$39</f>
        <v>-0.02</v>
      </c>
      <c r="E159" s="229">
        <f t="shared" si="133"/>
        <v>0</v>
      </c>
      <c r="F159" s="229">
        <f t="shared" si="133"/>
        <v>0.01</v>
      </c>
      <c r="G159" s="229">
        <f t="shared" si="133"/>
        <v>5.0000000000000001E-3</v>
      </c>
      <c r="H159" s="229">
        <f t="shared" si="133"/>
        <v>0.12</v>
      </c>
      <c r="I159" s="540"/>
      <c r="K159" s="1483"/>
      <c r="L159" s="794">
        <v>8</v>
      </c>
      <c r="M159" s="295">
        <f t="shared" ref="M159:R159" si="134">H$45</f>
        <v>900</v>
      </c>
      <c r="N159" s="295">
        <f t="shared" si="134"/>
        <v>-0.02</v>
      </c>
      <c r="O159" s="295">
        <f t="shared" si="134"/>
        <v>-0.01</v>
      </c>
      <c r="P159" s="295">
        <f t="shared" si="134"/>
        <v>0.02</v>
      </c>
      <c r="Q159" s="295">
        <f t="shared" si="134"/>
        <v>1.4999999999999999E-2</v>
      </c>
      <c r="R159" s="295">
        <f t="shared" si="134"/>
        <v>0.12</v>
      </c>
      <c r="S159" s="912"/>
    </row>
    <row r="160" spans="1:19" ht="13" x14ac:dyDescent="0.25">
      <c r="A160" s="1473"/>
      <c r="B160" s="794">
        <v>9</v>
      </c>
      <c r="C160" s="229">
        <f>O$39</f>
        <v>60</v>
      </c>
      <c r="D160" s="229">
        <f t="shared" ref="D160:H160" si="135">P$39</f>
        <v>0.01</v>
      </c>
      <c r="E160" s="229">
        <f t="shared" si="135"/>
        <v>0.02</v>
      </c>
      <c r="F160" s="229">
        <f t="shared" si="135"/>
        <v>-0.01</v>
      </c>
      <c r="G160" s="229">
        <f t="shared" si="135"/>
        <v>1.4999999999999999E-2</v>
      </c>
      <c r="H160" s="229">
        <f t="shared" si="135"/>
        <v>0.12</v>
      </c>
      <c r="I160" s="540"/>
      <c r="K160" s="1483"/>
      <c r="L160" s="794">
        <v>9</v>
      </c>
      <c r="M160" s="295">
        <f t="shared" ref="M160:R160" si="136">O$45</f>
        <v>900</v>
      </c>
      <c r="N160" s="295">
        <f t="shared" si="136"/>
        <v>0.01</v>
      </c>
      <c r="O160" s="295">
        <f t="shared" si="136"/>
        <v>0.02</v>
      </c>
      <c r="P160" s="295">
        <f t="shared" si="136"/>
        <v>-0.02</v>
      </c>
      <c r="Q160" s="295">
        <f t="shared" si="136"/>
        <v>0.02</v>
      </c>
      <c r="R160" s="295">
        <f t="shared" si="136"/>
        <v>0.12</v>
      </c>
      <c r="S160" s="912"/>
    </row>
    <row r="161" spans="1:19" ht="13" x14ac:dyDescent="0.25">
      <c r="A161" s="1473"/>
      <c r="B161" s="794">
        <v>10</v>
      </c>
      <c r="C161" s="229">
        <f>A$54</f>
        <v>60</v>
      </c>
      <c r="D161" s="229">
        <f t="shared" ref="D161:H161" si="137">B$54</f>
        <v>-0.03</v>
      </c>
      <c r="E161" s="229">
        <f t="shared" si="137"/>
        <v>0</v>
      </c>
      <c r="F161" s="229">
        <f t="shared" si="137"/>
        <v>-0.06</v>
      </c>
      <c r="G161" s="229">
        <f t="shared" si="137"/>
        <v>0.03</v>
      </c>
      <c r="H161" s="229">
        <f t="shared" si="137"/>
        <v>0.12</v>
      </c>
      <c r="I161" s="540"/>
      <c r="K161" s="1483"/>
      <c r="L161" s="794">
        <v>10</v>
      </c>
      <c r="M161" s="295">
        <f t="shared" ref="M161:R161" si="138">A$60</f>
        <v>900</v>
      </c>
      <c r="N161" s="295">
        <f t="shared" si="138"/>
        <v>-0.02</v>
      </c>
      <c r="O161" s="295">
        <f t="shared" si="138"/>
        <v>0.01</v>
      </c>
      <c r="P161" s="295">
        <f t="shared" si="138"/>
        <v>-0.06</v>
      </c>
      <c r="Q161" s="295">
        <f t="shared" si="138"/>
        <v>3.4999999999999996E-2</v>
      </c>
      <c r="R161" s="295">
        <f t="shared" si="138"/>
        <v>0.12</v>
      </c>
      <c r="S161" s="912"/>
    </row>
    <row r="162" spans="1:19" ht="13" x14ac:dyDescent="0.25">
      <c r="A162" s="1473"/>
      <c r="B162" s="792">
        <v>11</v>
      </c>
      <c r="C162" s="294">
        <f>H$54</f>
        <v>60</v>
      </c>
      <c r="D162" s="294">
        <f t="shared" ref="D162:H162" si="139">I$54</f>
        <v>-0.04</v>
      </c>
      <c r="E162" s="294">
        <f t="shared" si="139"/>
        <v>0</v>
      </c>
      <c r="F162" s="294">
        <f t="shared" si="139"/>
        <v>-0.03</v>
      </c>
      <c r="G162" s="294">
        <f t="shared" si="139"/>
        <v>1.4999999999999999E-2</v>
      </c>
      <c r="H162" s="294">
        <f t="shared" si="139"/>
        <v>0.12</v>
      </c>
      <c r="I162" s="541"/>
      <c r="K162" s="1483"/>
      <c r="L162" s="792">
        <v>11</v>
      </c>
      <c r="M162" s="295">
        <f t="shared" ref="M162:R162" si="140">H$60</f>
        <v>900</v>
      </c>
      <c r="N162" s="295">
        <f t="shared" si="140"/>
        <v>-0.04</v>
      </c>
      <c r="O162" s="295">
        <f t="shared" si="140"/>
        <v>0.01</v>
      </c>
      <c r="P162" s="295">
        <f t="shared" si="140"/>
        <v>-0.03</v>
      </c>
      <c r="Q162" s="295">
        <f t="shared" si="140"/>
        <v>0.02</v>
      </c>
      <c r="R162" s="295">
        <f t="shared" si="140"/>
        <v>0.12</v>
      </c>
      <c r="S162" s="912"/>
    </row>
    <row r="163" spans="1:19" ht="13" x14ac:dyDescent="0.25">
      <c r="A163" s="1473"/>
      <c r="B163" s="794">
        <v>12</v>
      </c>
      <c r="C163" s="294">
        <f>O$54</f>
        <v>30</v>
      </c>
      <c r="D163" s="294">
        <f t="shared" ref="D163:H163" si="141">P$54</f>
        <v>0.02</v>
      </c>
      <c r="E163" s="294">
        <f t="shared" si="141"/>
        <v>0</v>
      </c>
      <c r="F163" s="294">
        <f t="shared" si="141"/>
        <v>0.01</v>
      </c>
      <c r="G163" s="294">
        <f t="shared" si="141"/>
        <v>5.0000000000000001E-3</v>
      </c>
      <c r="H163" s="294">
        <f t="shared" si="141"/>
        <v>0.12</v>
      </c>
      <c r="I163" s="541"/>
      <c r="K163" s="1483"/>
      <c r="L163" s="794">
        <v>12</v>
      </c>
      <c r="M163" s="295">
        <f t="shared" ref="M163:R163" si="142">O$60</f>
        <v>900</v>
      </c>
      <c r="N163" s="295">
        <f t="shared" si="142"/>
        <v>0.02</v>
      </c>
      <c r="O163" s="295">
        <f t="shared" si="142"/>
        <v>0</v>
      </c>
      <c r="P163" s="295" t="str">
        <f t="shared" si="142"/>
        <v>-</v>
      </c>
      <c r="Q163" s="295">
        <f t="shared" si="142"/>
        <v>3.9999999999999994E-2</v>
      </c>
      <c r="R163" s="295">
        <f t="shared" si="142"/>
        <v>0.12</v>
      </c>
      <c r="S163" s="912"/>
    </row>
    <row r="164" spans="1:19" ht="13" x14ac:dyDescent="0.25">
      <c r="A164" s="1473"/>
      <c r="B164" s="794">
        <v>13</v>
      </c>
      <c r="C164" s="294">
        <f>A$69</f>
        <v>30</v>
      </c>
      <c r="D164" s="294">
        <f t="shared" ref="D164:H164" si="143">B$69</f>
        <v>-0.02</v>
      </c>
      <c r="E164" s="294">
        <f t="shared" si="143"/>
        <v>0.01</v>
      </c>
      <c r="F164" s="294">
        <f t="shared" si="143"/>
        <v>0.02</v>
      </c>
      <c r="G164" s="294">
        <f t="shared" si="143"/>
        <v>5.0000000000000001E-3</v>
      </c>
      <c r="H164" s="294">
        <f t="shared" si="143"/>
        <v>0.12</v>
      </c>
      <c r="I164" s="541"/>
      <c r="K164" s="1483"/>
      <c r="L164" s="794">
        <v>13</v>
      </c>
      <c r="M164" s="295">
        <f t="shared" ref="M164:R164" si="144">A$75</f>
        <v>900</v>
      </c>
      <c r="N164" s="295">
        <f t="shared" si="144"/>
        <v>-0.03</v>
      </c>
      <c r="O164" s="295">
        <f t="shared" si="144"/>
        <v>-0.05</v>
      </c>
      <c r="P164" s="295" t="str">
        <f t="shared" si="144"/>
        <v>-</v>
      </c>
      <c r="Q164" s="295">
        <f t="shared" si="144"/>
        <v>3.9999999999999994E-2</v>
      </c>
      <c r="R164" s="295">
        <f t="shared" si="144"/>
        <v>0.12</v>
      </c>
      <c r="S164" s="912"/>
    </row>
    <row r="165" spans="1:19" ht="13" x14ac:dyDescent="0.25">
      <c r="A165" s="1473"/>
      <c r="B165" s="794">
        <v>14</v>
      </c>
      <c r="C165" s="294">
        <f>H$69</f>
        <v>30</v>
      </c>
      <c r="D165" s="294">
        <f t="shared" ref="D165:H165" si="145">I$69</f>
        <v>-0.05</v>
      </c>
      <c r="E165" s="294">
        <f t="shared" si="145"/>
        <v>0.01</v>
      </c>
      <c r="F165" s="294">
        <f t="shared" si="145"/>
        <v>0.02</v>
      </c>
      <c r="G165" s="294">
        <f t="shared" si="145"/>
        <v>5.0000000000000001E-3</v>
      </c>
      <c r="H165" s="294">
        <f t="shared" si="145"/>
        <v>0.12</v>
      </c>
      <c r="I165" s="541"/>
      <c r="K165" s="1483"/>
      <c r="L165" s="794">
        <v>14</v>
      </c>
      <c r="M165" s="295">
        <f t="shared" ref="M165:R165" si="146">H$75</f>
        <v>900</v>
      </c>
      <c r="N165" s="295">
        <f t="shared" si="146"/>
        <v>-0.04</v>
      </c>
      <c r="O165" s="295">
        <f t="shared" si="146"/>
        <v>0.01</v>
      </c>
      <c r="P165" s="295" t="str">
        <f t="shared" si="146"/>
        <v>-</v>
      </c>
      <c r="Q165" s="295">
        <f t="shared" si="146"/>
        <v>3.9999999999999994E-2</v>
      </c>
      <c r="R165" s="295">
        <f t="shared" si="146"/>
        <v>0.12</v>
      </c>
      <c r="S165" s="912"/>
    </row>
    <row r="166" spans="1:19" ht="13.5" thickBot="1" x14ac:dyDescent="0.3">
      <c r="A166" s="1473"/>
      <c r="B166" s="795">
        <v>15</v>
      </c>
      <c r="C166" s="294">
        <f>O$69</f>
        <v>60</v>
      </c>
      <c r="D166" s="294">
        <f t="shared" ref="D166:H166" si="147">P$69</f>
        <v>0.01</v>
      </c>
      <c r="E166" s="294">
        <f t="shared" si="147"/>
        <v>0.04</v>
      </c>
      <c r="F166" s="294">
        <f t="shared" si="147"/>
        <v>9.9999999999999995E-7</v>
      </c>
      <c r="G166" s="294">
        <f t="shared" si="147"/>
        <v>1.99995E-2</v>
      </c>
      <c r="H166" s="294">
        <f t="shared" si="147"/>
        <v>0.12</v>
      </c>
      <c r="I166" s="541"/>
      <c r="K166" s="1483"/>
      <c r="L166" s="794">
        <v>15</v>
      </c>
      <c r="M166" s="295">
        <f t="shared" ref="M166:R166" si="148">O$75</f>
        <v>900</v>
      </c>
      <c r="N166" s="295">
        <f t="shared" si="148"/>
        <v>0.01</v>
      </c>
      <c r="O166" s="295">
        <f t="shared" si="148"/>
        <v>0.04</v>
      </c>
      <c r="P166" s="295">
        <f t="shared" si="148"/>
        <v>-0.03</v>
      </c>
      <c r="Q166" s="295">
        <f t="shared" si="148"/>
        <v>3.5000000000000003E-2</v>
      </c>
      <c r="R166" s="295">
        <f t="shared" si="148"/>
        <v>0.12</v>
      </c>
      <c r="S166" s="912"/>
    </row>
    <row r="167" spans="1:19" ht="13.5" thickBot="1" x14ac:dyDescent="0.3">
      <c r="A167" s="1473"/>
      <c r="B167" s="908">
        <v>16</v>
      </c>
      <c r="C167" s="357">
        <f>A$84</f>
        <v>60</v>
      </c>
      <c r="D167" s="357">
        <f t="shared" ref="D167:H167" si="149">B$84</f>
        <v>0</v>
      </c>
      <c r="E167" s="357">
        <f t="shared" si="149"/>
        <v>0</v>
      </c>
      <c r="F167" s="357">
        <f t="shared" si="149"/>
        <v>-0.01</v>
      </c>
      <c r="G167" s="357">
        <f t="shared" si="149"/>
        <v>5.0000000000000001E-3</v>
      </c>
      <c r="H167" s="357">
        <f t="shared" si="149"/>
        <v>0.12</v>
      </c>
      <c r="I167" s="543"/>
      <c r="K167" s="1484"/>
      <c r="L167" s="795">
        <v>16</v>
      </c>
      <c r="M167" s="354">
        <f t="shared" ref="M167:R167" si="150">A$90</f>
        <v>900</v>
      </c>
      <c r="N167" s="354">
        <f t="shared" si="150"/>
        <v>0</v>
      </c>
      <c r="O167" s="354">
        <f t="shared" si="150"/>
        <v>0</v>
      </c>
      <c r="P167" s="354">
        <f t="shared" si="150"/>
        <v>-0.01</v>
      </c>
      <c r="Q167" s="354">
        <f t="shared" si="150"/>
        <v>5.0000000000000001E-3</v>
      </c>
      <c r="R167" s="354">
        <f t="shared" si="150"/>
        <v>0.12</v>
      </c>
      <c r="S167" s="913"/>
    </row>
    <row r="168" spans="1:19" ht="13.5" thickBot="1" x14ac:dyDescent="0.3">
      <c r="A168" s="914"/>
      <c r="B168" s="794">
        <v>17</v>
      </c>
      <c r="C168" s="588">
        <f>H84</f>
        <v>30</v>
      </c>
      <c r="D168" s="588">
        <f t="shared" ref="D168:H168" si="151">I84</f>
        <v>0</v>
      </c>
      <c r="E168" s="588" t="str">
        <f t="shared" si="151"/>
        <v>-</v>
      </c>
      <c r="F168" s="588" t="str">
        <f t="shared" si="151"/>
        <v>-</v>
      </c>
      <c r="G168" s="588">
        <f t="shared" si="151"/>
        <v>3.9999999999999994E-2</v>
      </c>
      <c r="H168" s="588">
        <f t="shared" si="151"/>
        <v>0.12</v>
      </c>
      <c r="I168" s="907"/>
      <c r="K168" s="915"/>
      <c r="L168" s="794">
        <v>17</v>
      </c>
      <c r="M168" s="916">
        <f>H90</f>
        <v>900</v>
      </c>
      <c r="N168" s="916" t="str">
        <f t="shared" ref="N168:R168" si="152">I90</f>
        <v>-</v>
      </c>
      <c r="O168" s="916" t="str">
        <f t="shared" si="152"/>
        <v>-</v>
      </c>
      <c r="P168" s="916" t="str">
        <f t="shared" si="152"/>
        <v>-</v>
      </c>
      <c r="Q168" s="916">
        <f t="shared" si="152"/>
        <v>3.9999999999999994E-2</v>
      </c>
      <c r="R168" s="916">
        <f t="shared" si="152"/>
        <v>0.12</v>
      </c>
      <c r="S168" s="917"/>
    </row>
    <row r="169" spans="1:19" ht="13" x14ac:dyDescent="0.25">
      <c r="A169" s="1466" t="s">
        <v>99</v>
      </c>
      <c r="B169" s="797">
        <v>1</v>
      </c>
      <c r="C169" s="230">
        <f>A$9</f>
        <v>40</v>
      </c>
      <c r="D169" s="230" t="str">
        <f t="shared" ref="D169:H169" si="153">B$9</f>
        <v>-</v>
      </c>
      <c r="E169" s="230" t="str">
        <f t="shared" si="153"/>
        <v>-</v>
      </c>
      <c r="F169" s="230">
        <f t="shared" si="153"/>
        <v>-1E-3</v>
      </c>
      <c r="G169" s="230">
        <f t="shared" si="153"/>
        <v>3.9999999999999994E-2</v>
      </c>
      <c r="H169" s="230">
        <f t="shared" si="153"/>
        <v>0.12</v>
      </c>
      <c r="I169" s="539"/>
      <c r="K169" s="1469" t="s">
        <v>312</v>
      </c>
      <c r="L169" s="797">
        <v>1</v>
      </c>
      <c r="M169" s="434">
        <f t="shared" ref="M169:R169" si="154">A$15</f>
        <v>1200</v>
      </c>
      <c r="N169" s="434" t="str">
        <f t="shared" si="154"/>
        <v>-</v>
      </c>
      <c r="O169" s="434" t="str">
        <f t="shared" si="154"/>
        <v>-</v>
      </c>
      <c r="P169" s="434">
        <f t="shared" si="154"/>
        <v>-1.2999999999999999E-2</v>
      </c>
      <c r="Q169" s="434">
        <f t="shared" si="154"/>
        <v>3.9999999999999994E-2</v>
      </c>
      <c r="R169" s="434">
        <f t="shared" si="154"/>
        <v>0.12</v>
      </c>
      <c r="S169" s="918"/>
    </row>
    <row r="170" spans="1:19" ht="13" x14ac:dyDescent="0.25">
      <c r="A170" s="1467"/>
      <c r="B170" s="794">
        <v>2</v>
      </c>
      <c r="C170" s="229">
        <f>H$9</f>
        <v>40</v>
      </c>
      <c r="D170" s="229" t="str">
        <f t="shared" ref="D170:H170" si="155">I$9</f>
        <v>-</v>
      </c>
      <c r="E170" s="229" t="str">
        <f t="shared" si="155"/>
        <v>-</v>
      </c>
      <c r="F170" s="229">
        <f t="shared" si="155"/>
        <v>1E-3</v>
      </c>
      <c r="G170" s="229">
        <f t="shared" si="155"/>
        <v>4.0333333333333332E-2</v>
      </c>
      <c r="H170" s="229">
        <f t="shared" si="155"/>
        <v>0.121</v>
      </c>
      <c r="I170" s="540"/>
      <c r="K170" s="1470"/>
      <c r="L170" s="794">
        <v>2</v>
      </c>
      <c r="M170" s="8">
        <f t="shared" ref="M170:R170" si="156">H$15</f>
        <v>1200</v>
      </c>
      <c r="N170" s="8" t="str">
        <f t="shared" si="156"/>
        <v>-</v>
      </c>
      <c r="O170" s="8" t="str">
        <f t="shared" si="156"/>
        <v>-</v>
      </c>
      <c r="P170" s="8">
        <f t="shared" si="156"/>
        <v>9.9999999999999995E-7</v>
      </c>
      <c r="Q170" s="8">
        <f t="shared" si="156"/>
        <v>4.0333333333333332E-2</v>
      </c>
      <c r="R170" s="8">
        <f t="shared" si="156"/>
        <v>0.121</v>
      </c>
      <c r="S170" s="919"/>
    </row>
    <row r="171" spans="1:19" ht="13" x14ac:dyDescent="0.25">
      <c r="A171" s="1467"/>
      <c r="B171" s="794">
        <v>3</v>
      </c>
      <c r="C171" s="229">
        <f>O$9</f>
        <v>40</v>
      </c>
      <c r="D171" s="229" t="str">
        <f t="shared" ref="D171:H171" si="157">P$9</f>
        <v>-</v>
      </c>
      <c r="E171" s="229" t="str">
        <f t="shared" si="157"/>
        <v>-</v>
      </c>
      <c r="F171" s="229" t="str">
        <f t="shared" si="157"/>
        <v>-</v>
      </c>
      <c r="G171" s="229">
        <f t="shared" si="157"/>
        <v>3.9999999999999994E-2</v>
      </c>
      <c r="H171" s="229">
        <f t="shared" si="157"/>
        <v>0.12</v>
      </c>
      <c r="I171" s="540"/>
      <c r="K171" s="1470"/>
      <c r="L171" s="794">
        <v>3</v>
      </c>
      <c r="M171" s="8">
        <f t="shared" ref="M171:R171" si="158">O$15</f>
        <v>1200</v>
      </c>
      <c r="N171" s="8" t="str">
        <f t="shared" si="158"/>
        <v>-</v>
      </c>
      <c r="O171" s="8" t="str">
        <f t="shared" si="158"/>
        <v>-</v>
      </c>
      <c r="P171" s="8">
        <f t="shared" si="158"/>
        <v>4.0000000000000001E-3</v>
      </c>
      <c r="Q171" s="8">
        <f t="shared" si="158"/>
        <v>3.9999999999999994E-2</v>
      </c>
      <c r="R171" s="8">
        <f t="shared" si="158"/>
        <v>0.12</v>
      </c>
      <c r="S171" s="919"/>
    </row>
    <row r="172" spans="1:19" ht="13" x14ac:dyDescent="0.25">
      <c r="A172" s="1467"/>
      <c r="B172" s="794">
        <v>4</v>
      </c>
      <c r="C172" s="229">
        <f>A$24</f>
        <v>60</v>
      </c>
      <c r="D172" s="229" t="str">
        <f t="shared" ref="D172:H172" si="159">B$24</f>
        <v>-</v>
      </c>
      <c r="E172" s="229">
        <f t="shared" si="159"/>
        <v>-0.01</v>
      </c>
      <c r="F172" s="229">
        <f t="shared" si="159"/>
        <v>2E-3</v>
      </c>
      <c r="G172" s="229">
        <f t="shared" si="159"/>
        <v>6.0000000000000001E-3</v>
      </c>
      <c r="H172" s="229">
        <f t="shared" si="159"/>
        <v>0.12</v>
      </c>
      <c r="I172" s="540"/>
      <c r="K172" s="1470"/>
      <c r="L172" s="794">
        <v>4</v>
      </c>
      <c r="M172" s="8">
        <f t="shared" ref="M172:R172" si="160">A$30</f>
        <v>1200</v>
      </c>
      <c r="N172" s="8" t="str">
        <f t="shared" si="160"/>
        <v>-</v>
      </c>
      <c r="O172" s="8">
        <f t="shared" si="160"/>
        <v>0.05</v>
      </c>
      <c r="P172" s="8" t="str">
        <f t="shared" si="160"/>
        <v>-</v>
      </c>
      <c r="Q172" s="8">
        <f t="shared" si="160"/>
        <v>3.9999999999999994E-2</v>
      </c>
      <c r="R172" s="8">
        <f t="shared" si="160"/>
        <v>0.12</v>
      </c>
      <c r="S172" s="919"/>
    </row>
    <row r="173" spans="1:19" ht="13" x14ac:dyDescent="0.25">
      <c r="A173" s="1467"/>
      <c r="B173" s="794">
        <v>5</v>
      </c>
      <c r="C173" s="229">
        <f>H$24</f>
        <v>40</v>
      </c>
      <c r="D173" s="229" t="str">
        <f t="shared" ref="D173:H173" si="161">I$24</f>
        <v>-</v>
      </c>
      <c r="E173" s="229" t="str">
        <f t="shared" si="161"/>
        <v>-</v>
      </c>
      <c r="F173" s="229">
        <f t="shared" si="161"/>
        <v>-0.02</v>
      </c>
      <c r="G173" s="229">
        <f t="shared" si="161"/>
        <v>3.9999999999999994E-2</v>
      </c>
      <c r="H173" s="229">
        <f t="shared" si="161"/>
        <v>0.12</v>
      </c>
      <c r="I173" s="540"/>
      <c r="K173" s="1470"/>
      <c r="L173" s="794">
        <v>5</v>
      </c>
      <c r="M173" s="8">
        <f t="shared" ref="M173:R173" si="162">H$30</f>
        <v>1200</v>
      </c>
      <c r="N173" s="8" t="str">
        <f t="shared" si="162"/>
        <v>-</v>
      </c>
      <c r="O173" s="8" t="str">
        <f t="shared" si="162"/>
        <v>-</v>
      </c>
      <c r="P173" s="8" t="str">
        <f t="shared" si="162"/>
        <v>-</v>
      </c>
      <c r="Q173" s="8">
        <f t="shared" si="162"/>
        <v>3.9999999999999994E-2</v>
      </c>
      <c r="R173" s="8">
        <f t="shared" si="162"/>
        <v>0.12</v>
      </c>
      <c r="S173" s="919"/>
    </row>
    <row r="174" spans="1:19" ht="13" x14ac:dyDescent="0.25">
      <c r="A174" s="1467"/>
      <c r="B174" s="794">
        <v>6</v>
      </c>
      <c r="C174" s="229">
        <f>O$24</f>
        <v>60</v>
      </c>
      <c r="D174" s="229">
        <f t="shared" ref="D174:H174" si="163">P$24</f>
        <v>-0.01</v>
      </c>
      <c r="E174" s="229">
        <f t="shared" si="163"/>
        <v>0</v>
      </c>
      <c r="F174" s="229">
        <f t="shared" si="163"/>
        <v>0.01</v>
      </c>
      <c r="G174" s="229">
        <f t="shared" si="163"/>
        <v>5.0000000000000001E-3</v>
      </c>
      <c r="H174" s="229">
        <f t="shared" si="163"/>
        <v>0.12</v>
      </c>
      <c r="I174" s="540"/>
      <c r="K174" s="1470"/>
      <c r="L174" s="794">
        <v>6</v>
      </c>
      <c r="M174" s="8">
        <f t="shared" ref="M174:R174" si="164">O$30</f>
        <v>1200</v>
      </c>
      <c r="N174" s="8" t="str">
        <f t="shared" si="164"/>
        <v>-</v>
      </c>
      <c r="O174" s="8" t="str">
        <f t="shared" si="164"/>
        <v>-</v>
      </c>
      <c r="P174" s="8">
        <f t="shared" si="164"/>
        <v>0.02</v>
      </c>
      <c r="Q174" s="8">
        <f t="shared" si="164"/>
        <v>3.9999999999999994E-2</v>
      </c>
      <c r="R174" s="8">
        <f t="shared" si="164"/>
        <v>0.12</v>
      </c>
      <c r="S174" s="919"/>
    </row>
    <row r="175" spans="1:19" ht="13" x14ac:dyDescent="0.25">
      <c r="A175" s="1467"/>
      <c r="B175" s="794">
        <v>7</v>
      </c>
      <c r="C175" s="229">
        <f>A$40</f>
        <v>60</v>
      </c>
      <c r="D175" s="229">
        <f t="shared" ref="D175:H175" si="165">B$40</f>
        <v>-0.05</v>
      </c>
      <c r="E175" s="229">
        <f t="shared" si="165"/>
        <v>-0.02</v>
      </c>
      <c r="F175" s="229">
        <f t="shared" si="165"/>
        <v>0.03</v>
      </c>
      <c r="G175" s="229">
        <f t="shared" si="165"/>
        <v>2.5000000000000001E-2</v>
      </c>
      <c r="H175" s="229">
        <f t="shared" si="165"/>
        <v>0.12</v>
      </c>
      <c r="I175" s="540"/>
      <c r="K175" s="1470"/>
      <c r="L175" s="794">
        <v>7</v>
      </c>
      <c r="M175" s="8">
        <f t="shared" ref="M175:R175" si="166">A$46</f>
        <v>1200</v>
      </c>
      <c r="N175" s="8" t="str">
        <f t="shared" si="166"/>
        <v>-</v>
      </c>
      <c r="O175" s="8" t="str">
        <f t="shared" si="166"/>
        <v>-</v>
      </c>
      <c r="P175" s="8">
        <f t="shared" si="166"/>
        <v>0.03</v>
      </c>
      <c r="Q175" s="8">
        <f t="shared" si="166"/>
        <v>3.9999999999999994E-2</v>
      </c>
      <c r="R175" s="8">
        <f t="shared" si="166"/>
        <v>0.12</v>
      </c>
      <c r="S175" s="919"/>
    </row>
    <row r="176" spans="1:19" ht="13" x14ac:dyDescent="0.25">
      <c r="A176" s="1467"/>
      <c r="B176" s="794">
        <v>8</v>
      </c>
      <c r="C176" s="229">
        <f>H$40</f>
        <v>60</v>
      </c>
      <c r="D176" s="229">
        <f t="shared" ref="D176:H176" si="167">I$40</f>
        <v>-0.02</v>
      </c>
      <c r="E176" s="229">
        <f t="shared" si="167"/>
        <v>0</v>
      </c>
      <c r="F176" s="229">
        <f t="shared" si="167"/>
        <v>0.01</v>
      </c>
      <c r="G176" s="229">
        <f t="shared" si="167"/>
        <v>5.0000000000000001E-3</v>
      </c>
      <c r="H176" s="229">
        <f t="shared" si="167"/>
        <v>0.12</v>
      </c>
      <c r="I176" s="540"/>
      <c r="K176" s="1470"/>
      <c r="L176" s="794">
        <v>8</v>
      </c>
      <c r="M176" s="8">
        <f t="shared" ref="M176:R176" si="168">H$46</f>
        <v>1200</v>
      </c>
      <c r="N176" s="8" t="str">
        <f t="shared" si="168"/>
        <v>-</v>
      </c>
      <c r="O176" s="8" t="str">
        <f t="shared" si="168"/>
        <v>-</v>
      </c>
      <c r="P176" s="8">
        <f t="shared" si="168"/>
        <v>0.02</v>
      </c>
      <c r="Q176" s="8">
        <f t="shared" si="168"/>
        <v>3.9999999999999994E-2</v>
      </c>
      <c r="R176" s="8">
        <f t="shared" si="168"/>
        <v>0.12</v>
      </c>
      <c r="S176" s="919"/>
    </row>
    <row r="177" spans="1:19" ht="13" x14ac:dyDescent="0.25">
      <c r="A177" s="1467"/>
      <c r="B177" s="794">
        <v>9</v>
      </c>
      <c r="C177" s="229">
        <f>O$40</f>
        <v>60</v>
      </c>
      <c r="D177" s="229">
        <f t="shared" ref="D177:H177" si="169">P$40</f>
        <v>0.01</v>
      </c>
      <c r="E177" s="229">
        <f t="shared" si="169"/>
        <v>0.02</v>
      </c>
      <c r="F177" s="229">
        <f t="shared" si="169"/>
        <v>-0.01</v>
      </c>
      <c r="G177" s="229">
        <f t="shared" si="169"/>
        <v>1.4999999999999999E-2</v>
      </c>
      <c r="H177" s="229">
        <f t="shared" si="169"/>
        <v>0.12</v>
      </c>
      <c r="I177" s="540"/>
      <c r="K177" s="1470"/>
      <c r="L177" s="794">
        <v>9</v>
      </c>
      <c r="M177" s="8">
        <f t="shared" ref="M177:R177" si="170">O$46</f>
        <v>1200</v>
      </c>
      <c r="N177" s="8" t="str">
        <f t="shared" si="170"/>
        <v>-</v>
      </c>
      <c r="O177" s="8">
        <f t="shared" si="170"/>
        <v>0.02</v>
      </c>
      <c r="P177" s="8">
        <f t="shared" si="170"/>
        <v>-0.03</v>
      </c>
      <c r="Q177" s="8">
        <f t="shared" si="170"/>
        <v>2.5000000000000001E-2</v>
      </c>
      <c r="R177" s="8">
        <f t="shared" si="170"/>
        <v>0.12</v>
      </c>
      <c r="S177" s="919"/>
    </row>
    <row r="178" spans="1:19" ht="13" x14ac:dyDescent="0.25">
      <c r="A178" s="1467"/>
      <c r="B178" s="792">
        <v>10</v>
      </c>
      <c r="C178" s="229">
        <f>A$55</f>
        <v>60</v>
      </c>
      <c r="D178" s="229">
        <f t="shared" ref="D178:H178" si="171">B$55</f>
        <v>-0.03</v>
      </c>
      <c r="E178" s="229">
        <f t="shared" si="171"/>
        <v>0</v>
      </c>
      <c r="F178" s="229">
        <f t="shared" si="171"/>
        <v>-0.06</v>
      </c>
      <c r="G178" s="229">
        <f t="shared" si="171"/>
        <v>0.03</v>
      </c>
      <c r="H178" s="229">
        <f t="shared" si="171"/>
        <v>0.12</v>
      </c>
      <c r="I178" s="540"/>
      <c r="K178" s="1470"/>
      <c r="L178" s="794">
        <v>10</v>
      </c>
      <c r="M178" s="8">
        <f t="shared" ref="M178:R178" si="172">A$61</f>
        <v>1200</v>
      </c>
      <c r="N178" s="8" t="str">
        <f t="shared" si="172"/>
        <v>-</v>
      </c>
      <c r="O178" s="8" t="str">
        <f t="shared" si="172"/>
        <v>-</v>
      </c>
      <c r="P178" s="8">
        <f t="shared" si="172"/>
        <v>-0.05</v>
      </c>
      <c r="Q178" s="8">
        <f t="shared" si="172"/>
        <v>3.9999999999999994E-2</v>
      </c>
      <c r="R178" s="8">
        <f t="shared" si="172"/>
        <v>0.12</v>
      </c>
      <c r="S178" s="919"/>
    </row>
    <row r="179" spans="1:19" ht="13" x14ac:dyDescent="0.25">
      <c r="A179" s="1467"/>
      <c r="B179" s="792">
        <v>11</v>
      </c>
      <c r="C179" s="229">
        <f>H$55</f>
        <v>60</v>
      </c>
      <c r="D179" s="229">
        <f t="shared" ref="D179:H179" si="173">I$55</f>
        <v>-0.04</v>
      </c>
      <c r="E179" s="229">
        <f t="shared" si="173"/>
        <v>0</v>
      </c>
      <c r="F179" s="229">
        <f t="shared" si="173"/>
        <v>-0.03</v>
      </c>
      <c r="G179" s="229">
        <f t="shared" si="173"/>
        <v>1.4999999999999999E-2</v>
      </c>
      <c r="H179" s="229">
        <f t="shared" si="173"/>
        <v>0.12</v>
      </c>
      <c r="I179" s="540"/>
      <c r="K179" s="1470"/>
      <c r="L179" s="792">
        <v>11</v>
      </c>
      <c r="M179" s="8">
        <f t="shared" ref="M179:R179" si="174">H$61</f>
        <v>1200</v>
      </c>
      <c r="N179" s="8" t="str">
        <f t="shared" si="174"/>
        <v>-</v>
      </c>
      <c r="O179" s="8" t="str">
        <f t="shared" si="174"/>
        <v>-</v>
      </c>
      <c r="P179" s="8">
        <f t="shared" si="174"/>
        <v>-0.02</v>
      </c>
      <c r="Q179" s="8">
        <f t="shared" si="174"/>
        <v>3.9999999999999994E-2</v>
      </c>
      <c r="R179" s="8">
        <f t="shared" si="174"/>
        <v>0.12</v>
      </c>
      <c r="S179" s="919"/>
    </row>
    <row r="180" spans="1:19" ht="13" x14ac:dyDescent="0.25">
      <c r="A180" s="1467"/>
      <c r="B180" s="794">
        <v>12</v>
      </c>
      <c r="C180" s="229">
        <f>O$55</f>
        <v>40</v>
      </c>
      <c r="D180" s="229" t="str">
        <f t="shared" ref="D180:H180" si="175">P$55</f>
        <v>-</v>
      </c>
      <c r="E180" s="229" t="str">
        <f t="shared" si="175"/>
        <v>-</v>
      </c>
      <c r="F180" s="229">
        <f t="shared" si="175"/>
        <v>0.02</v>
      </c>
      <c r="G180" s="229">
        <f t="shared" si="175"/>
        <v>3.9999999999999994E-2</v>
      </c>
      <c r="H180" s="229">
        <f t="shared" si="175"/>
        <v>0.12</v>
      </c>
      <c r="I180" s="540"/>
      <c r="K180" s="1470"/>
      <c r="L180" s="794">
        <v>12</v>
      </c>
      <c r="M180" s="8">
        <f t="shared" ref="M180:R180" si="176">O$61</f>
        <v>1200</v>
      </c>
      <c r="N180" s="8" t="str">
        <f t="shared" si="176"/>
        <v>-</v>
      </c>
      <c r="O180" s="8" t="str">
        <f t="shared" si="176"/>
        <v>-</v>
      </c>
      <c r="P180" s="8" t="str">
        <f t="shared" si="176"/>
        <v>-</v>
      </c>
      <c r="Q180" s="8">
        <f t="shared" si="176"/>
        <v>3.9999999999999994E-2</v>
      </c>
      <c r="R180" s="8">
        <f t="shared" si="176"/>
        <v>0.12</v>
      </c>
      <c r="S180" s="919"/>
    </row>
    <row r="181" spans="1:19" ht="13" x14ac:dyDescent="0.25">
      <c r="A181" s="1467"/>
      <c r="B181" s="794">
        <v>13</v>
      </c>
      <c r="C181" s="229">
        <f>A$70</f>
        <v>40</v>
      </c>
      <c r="D181" s="229" t="str">
        <f t="shared" ref="D181:H181" si="177">B$70</f>
        <v>-</v>
      </c>
      <c r="E181" s="229" t="str">
        <f t="shared" si="177"/>
        <v>-</v>
      </c>
      <c r="F181" s="229">
        <f t="shared" si="177"/>
        <v>0.01</v>
      </c>
      <c r="G181" s="229">
        <f t="shared" si="177"/>
        <v>3.9999999999999994E-2</v>
      </c>
      <c r="H181" s="229">
        <f t="shared" si="177"/>
        <v>0.12</v>
      </c>
      <c r="I181" s="540"/>
      <c r="K181" s="1470"/>
      <c r="L181" s="794">
        <v>13</v>
      </c>
      <c r="M181" s="8">
        <f t="shared" ref="M181:R181" si="178">A$76</f>
        <v>1200</v>
      </c>
      <c r="N181" s="8">
        <f t="shared" si="178"/>
        <v>0</v>
      </c>
      <c r="O181" s="8" t="str">
        <f t="shared" si="178"/>
        <v>-</v>
      </c>
      <c r="P181" s="8" t="str">
        <f t="shared" si="178"/>
        <v>-</v>
      </c>
      <c r="Q181" s="8">
        <f t="shared" si="178"/>
        <v>3.9999999999999994E-2</v>
      </c>
      <c r="R181" s="8">
        <f t="shared" si="178"/>
        <v>0.12</v>
      </c>
      <c r="S181" s="919"/>
    </row>
    <row r="182" spans="1:19" ht="13" x14ac:dyDescent="0.25">
      <c r="A182" s="1467"/>
      <c r="B182" s="794">
        <v>14</v>
      </c>
      <c r="C182" s="229">
        <f>H$70</f>
        <v>40</v>
      </c>
      <c r="D182" s="229" t="str">
        <f t="shared" ref="D182:H182" si="179">I$70</f>
        <v>-</v>
      </c>
      <c r="E182" s="229" t="str">
        <f t="shared" si="179"/>
        <v>-</v>
      </c>
      <c r="F182" s="229">
        <f t="shared" si="179"/>
        <v>0.03</v>
      </c>
      <c r="G182" s="229">
        <f t="shared" si="179"/>
        <v>3.9999999999999994E-2</v>
      </c>
      <c r="H182" s="229">
        <f t="shared" si="179"/>
        <v>0.12</v>
      </c>
      <c r="I182" s="540"/>
      <c r="K182" s="1470"/>
      <c r="L182" s="794">
        <v>14</v>
      </c>
      <c r="M182" s="8">
        <f t="shared" ref="M182:R182" si="180">H$76</f>
        <v>1200</v>
      </c>
      <c r="N182" s="8" t="str">
        <f t="shared" si="180"/>
        <v>-</v>
      </c>
      <c r="O182" s="8" t="str">
        <f t="shared" si="180"/>
        <v>-</v>
      </c>
      <c r="P182" s="8" t="str">
        <f t="shared" si="180"/>
        <v>-</v>
      </c>
      <c r="Q182" s="8">
        <f t="shared" si="180"/>
        <v>3.9999999999999994E-2</v>
      </c>
      <c r="R182" s="8">
        <f t="shared" si="180"/>
        <v>0.12</v>
      </c>
      <c r="S182" s="919"/>
    </row>
    <row r="183" spans="1:19" ht="13" x14ac:dyDescent="0.25">
      <c r="A183" s="1467"/>
      <c r="B183" s="794">
        <v>15</v>
      </c>
      <c r="C183" s="295">
        <f>O$70</f>
        <v>60</v>
      </c>
      <c r="D183" s="295">
        <f t="shared" ref="D183:H183" si="181">P$70</f>
        <v>0.01</v>
      </c>
      <c r="E183" s="295">
        <f t="shared" si="181"/>
        <v>0.04</v>
      </c>
      <c r="F183" s="295">
        <f t="shared" si="181"/>
        <v>9.9999999999999995E-7</v>
      </c>
      <c r="G183" s="295">
        <f t="shared" si="181"/>
        <v>1.99995E-2</v>
      </c>
      <c r="H183" s="295">
        <f t="shared" si="181"/>
        <v>0.12</v>
      </c>
      <c r="I183" s="544"/>
      <c r="K183" s="1470"/>
      <c r="L183" s="794">
        <v>15</v>
      </c>
      <c r="M183" s="8">
        <f t="shared" ref="M183:R183" si="182">O$76</f>
        <v>1200</v>
      </c>
      <c r="N183" s="8" t="str">
        <f t="shared" si="182"/>
        <v>-</v>
      </c>
      <c r="O183" s="8">
        <f t="shared" si="182"/>
        <v>0.04</v>
      </c>
      <c r="P183" s="8">
        <f t="shared" si="182"/>
        <v>-0.04</v>
      </c>
      <c r="Q183" s="8">
        <f t="shared" si="182"/>
        <v>0.04</v>
      </c>
      <c r="R183" s="8">
        <f t="shared" si="182"/>
        <v>0.12</v>
      </c>
      <c r="S183" s="919"/>
    </row>
    <row r="184" spans="1:19" ht="13.5" thickBot="1" x14ac:dyDescent="0.3">
      <c r="A184" s="1468"/>
      <c r="B184" s="795">
        <v>16</v>
      </c>
      <c r="C184" s="363">
        <f>A$85</f>
        <v>60</v>
      </c>
      <c r="D184" s="363">
        <f t="shared" ref="D184:H184" si="183">B$85</f>
        <v>0</v>
      </c>
      <c r="E184" s="363">
        <f t="shared" si="183"/>
        <v>0</v>
      </c>
      <c r="F184" s="363">
        <f t="shared" si="183"/>
        <v>-0.01</v>
      </c>
      <c r="G184" s="363">
        <f t="shared" si="183"/>
        <v>5.0000000000000001E-3</v>
      </c>
      <c r="H184" s="363">
        <f t="shared" si="183"/>
        <v>0.12</v>
      </c>
      <c r="I184" s="920"/>
      <c r="K184" s="1471"/>
      <c r="L184" s="795">
        <v>16</v>
      </c>
      <c r="M184" s="435">
        <f t="shared" ref="M184:R184" si="184">A$91</f>
        <v>1200</v>
      </c>
      <c r="N184" s="435" t="str">
        <f t="shared" si="184"/>
        <v>-</v>
      </c>
      <c r="O184" s="435" t="str">
        <f t="shared" si="184"/>
        <v>-</v>
      </c>
      <c r="P184" s="435">
        <f t="shared" si="184"/>
        <v>0.02</v>
      </c>
      <c r="Q184" s="435">
        <f t="shared" si="184"/>
        <v>3.9999999999999994E-2</v>
      </c>
      <c r="R184" s="435">
        <f t="shared" si="184"/>
        <v>0.12</v>
      </c>
      <c r="S184" s="921"/>
    </row>
    <row r="185" spans="1:19" ht="13.5" thickBot="1" x14ac:dyDescent="0.3">
      <c r="A185" s="914"/>
      <c r="B185" s="794">
        <v>17</v>
      </c>
      <c r="C185" s="902">
        <f>H85</f>
        <v>40</v>
      </c>
      <c r="D185" s="902">
        <f t="shared" ref="D185:H185" si="185">I85</f>
        <v>0</v>
      </c>
      <c r="E185" s="902" t="str">
        <f t="shared" si="185"/>
        <v>-</v>
      </c>
      <c r="F185" s="902" t="str">
        <f t="shared" si="185"/>
        <v>-</v>
      </c>
      <c r="G185" s="902">
        <f t="shared" si="185"/>
        <v>3.9999999999999994E-2</v>
      </c>
      <c r="H185" s="902">
        <f t="shared" si="185"/>
        <v>0.12</v>
      </c>
      <c r="I185" s="903"/>
      <c r="K185" s="588"/>
      <c r="L185" s="794">
        <v>17</v>
      </c>
      <c r="M185" s="225">
        <f>H91</f>
        <v>1200</v>
      </c>
      <c r="N185" s="225" t="str">
        <f t="shared" ref="N185:S185" si="186">I91</f>
        <v>-</v>
      </c>
      <c r="O185" s="225" t="str">
        <f t="shared" si="186"/>
        <v>-</v>
      </c>
      <c r="P185" s="225" t="str">
        <f t="shared" si="186"/>
        <v>-</v>
      </c>
      <c r="Q185" s="225">
        <f t="shared" si="186"/>
        <v>3.9999999999999994E-2</v>
      </c>
      <c r="R185" s="225">
        <f t="shared" si="186"/>
        <v>0.12</v>
      </c>
      <c r="S185" s="225">
        <f t="shared" si="186"/>
        <v>0</v>
      </c>
    </row>
    <row r="186" spans="1:19" ht="13" x14ac:dyDescent="0.25">
      <c r="A186" s="1472" t="s">
        <v>100</v>
      </c>
      <c r="B186" s="797">
        <v>1</v>
      </c>
      <c r="C186" s="230">
        <f>A$10</f>
        <v>50</v>
      </c>
      <c r="D186" s="230" t="str">
        <f t="shared" ref="D186:H186" si="187">B$10</f>
        <v>-</v>
      </c>
      <c r="E186" s="230" t="str">
        <f t="shared" si="187"/>
        <v>-</v>
      </c>
      <c r="F186" s="230">
        <f t="shared" si="187"/>
        <v>-1E-3</v>
      </c>
      <c r="G186" s="230">
        <f t="shared" si="187"/>
        <v>3.9999999999999994E-2</v>
      </c>
      <c r="H186" s="230">
        <f t="shared" si="187"/>
        <v>0.12</v>
      </c>
      <c r="I186" s="539"/>
      <c r="K186" s="922"/>
      <c r="L186" s="627"/>
      <c r="M186" s="228"/>
      <c r="N186" s="228"/>
      <c r="O186" s="228"/>
      <c r="P186" s="228"/>
      <c r="Q186" s="228"/>
      <c r="R186" s="228"/>
      <c r="S186" s="923"/>
    </row>
    <row r="187" spans="1:19" ht="13" x14ac:dyDescent="0.25">
      <c r="A187" s="1473"/>
      <c r="B187" s="794">
        <v>2</v>
      </c>
      <c r="C187" s="229">
        <f>H$10</f>
        <v>50</v>
      </c>
      <c r="D187" s="229" t="str">
        <f t="shared" ref="D187:H187" si="188">I$10</f>
        <v>-</v>
      </c>
      <c r="E187" s="229" t="str">
        <f t="shared" si="188"/>
        <v>-</v>
      </c>
      <c r="F187" s="229">
        <f t="shared" si="188"/>
        <v>1E-3</v>
      </c>
      <c r="G187" s="229">
        <f t="shared" si="188"/>
        <v>4.0333333333333332E-2</v>
      </c>
      <c r="H187" s="229">
        <f t="shared" si="188"/>
        <v>0.121</v>
      </c>
      <c r="I187" s="540"/>
      <c r="K187" s="922"/>
      <c r="L187" s="627"/>
      <c r="M187" s="228"/>
      <c r="N187" s="228"/>
      <c r="O187" s="228"/>
      <c r="P187" s="228"/>
      <c r="Q187" s="228"/>
      <c r="R187" s="228"/>
      <c r="S187" s="923"/>
    </row>
    <row r="188" spans="1:19" ht="13" x14ac:dyDescent="0.25">
      <c r="A188" s="1473"/>
      <c r="B188" s="794">
        <v>3</v>
      </c>
      <c r="C188" s="229">
        <f>O$10</f>
        <v>50</v>
      </c>
      <c r="D188" s="229" t="str">
        <f t="shared" ref="D188:H188" si="189">P$10</f>
        <v>-</v>
      </c>
      <c r="E188" s="229" t="str">
        <f t="shared" si="189"/>
        <v>-</v>
      </c>
      <c r="F188" s="229" t="str">
        <f t="shared" si="189"/>
        <v>-</v>
      </c>
      <c r="G188" s="229">
        <f t="shared" si="189"/>
        <v>3.9999999999999994E-2</v>
      </c>
      <c r="H188" s="229">
        <f t="shared" si="189"/>
        <v>0.12</v>
      </c>
      <c r="I188" s="540"/>
      <c r="K188" s="922"/>
      <c r="L188" s="627"/>
      <c r="M188" s="228"/>
      <c r="N188" s="228"/>
      <c r="O188" s="228"/>
      <c r="P188" s="228"/>
      <c r="Q188" s="228"/>
      <c r="R188" s="228"/>
      <c r="S188" s="923"/>
    </row>
    <row r="189" spans="1:19" ht="13" x14ac:dyDescent="0.25">
      <c r="A189" s="1473"/>
      <c r="B189" s="794">
        <v>4</v>
      </c>
      <c r="C189" s="229">
        <f>A$25</f>
        <v>60</v>
      </c>
      <c r="D189" s="229" t="str">
        <f t="shared" ref="D189:H189" si="190">B$25</f>
        <v>-</v>
      </c>
      <c r="E189" s="229">
        <f t="shared" si="190"/>
        <v>-0.01</v>
      </c>
      <c r="F189" s="229">
        <f t="shared" si="190"/>
        <v>2E-3</v>
      </c>
      <c r="G189" s="229">
        <f t="shared" si="190"/>
        <v>6.0000000000000001E-3</v>
      </c>
      <c r="H189" s="229">
        <f t="shared" si="190"/>
        <v>0.12</v>
      </c>
      <c r="I189" s="540"/>
      <c r="K189" s="922"/>
      <c r="L189" s="627"/>
      <c r="M189" s="228"/>
      <c r="N189" s="228"/>
      <c r="O189" s="228"/>
      <c r="P189" s="228"/>
      <c r="Q189" s="228"/>
      <c r="R189" s="228"/>
      <c r="S189" s="923"/>
    </row>
    <row r="190" spans="1:19" ht="13" x14ac:dyDescent="0.25">
      <c r="A190" s="1473"/>
      <c r="B190" s="794">
        <v>5</v>
      </c>
      <c r="C190" s="229">
        <f>H$25</f>
        <v>50</v>
      </c>
      <c r="D190" s="229" t="str">
        <f t="shared" ref="D190:H190" si="191">I$25</f>
        <v>-</v>
      </c>
      <c r="E190" s="229" t="str">
        <f t="shared" si="191"/>
        <v>-</v>
      </c>
      <c r="F190" s="229">
        <f t="shared" si="191"/>
        <v>-0.02</v>
      </c>
      <c r="G190" s="229">
        <f t="shared" si="191"/>
        <v>3.9999999999999994E-2</v>
      </c>
      <c r="H190" s="229">
        <f t="shared" si="191"/>
        <v>0.12</v>
      </c>
      <c r="I190" s="540"/>
      <c r="K190" s="922"/>
      <c r="L190" s="627"/>
      <c r="M190" s="228"/>
      <c r="N190" s="228"/>
      <c r="O190" s="228"/>
      <c r="P190" s="228"/>
      <c r="Q190" s="228"/>
      <c r="R190" s="228"/>
      <c r="S190" s="923"/>
    </row>
    <row r="191" spans="1:19" ht="13" x14ac:dyDescent="0.25">
      <c r="A191" s="1473"/>
      <c r="B191" s="794">
        <v>6</v>
      </c>
      <c r="C191" s="229">
        <f>O$25</f>
        <v>60</v>
      </c>
      <c r="D191" s="229">
        <f t="shared" ref="D191:H191" si="192">P$25</f>
        <v>-0.01</v>
      </c>
      <c r="E191" s="229">
        <f t="shared" si="192"/>
        <v>0</v>
      </c>
      <c r="F191" s="229">
        <f t="shared" si="192"/>
        <v>0.01</v>
      </c>
      <c r="G191" s="229">
        <f t="shared" si="192"/>
        <v>5.0000000000000001E-3</v>
      </c>
      <c r="H191" s="229">
        <f t="shared" si="192"/>
        <v>0.12</v>
      </c>
      <c r="I191" s="540"/>
      <c r="K191" s="922"/>
      <c r="L191" s="627"/>
      <c r="M191" s="228"/>
      <c r="N191" s="228"/>
      <c r="O191" s="228"/>
      <c r="P191" s="228"/>
      <c r="Q191" s="228"/>
      <c r="R191" s="228"/>
      <c r="S191" s="923"/>
    </row>
    <row r="192" spans="1:19" ht="13" x14ac:dyDescent="0.25">
      <c r="A192" s="1473"/>
      <c r="B192" s="794">
        <v>7</v>
      </c>
      <c r="C192" s="229">
        <f>A$41</f>
        <v>60</v>
      </c>
      <c r="D192" s="229">
        <f t="shared" ref="D192:H192" si="193">B$41</f>
        <v>-0.05</v>
      </c>
      <c r="E192" s="229">
        <f t="shared" si="193"/>
        <v>-0.02</v>
      </c>
      <c r="F192" s="229">
        <f t="shared" si="193"/>
        <v>0.03</v>
      </c>
      <c r="G192" s="229">
        <f t="shared" si="193"/>
        <v>2.5000000000000001E-2</v>
      </c>
      <c r="H192" s="229">
        <f t="shared" si="193"/>
        <v>0.12</v>
      </c>
      <c r="I192" s="540"/>
      <c r="K192" s="922"/>
      <c r="L192" s="627"/>
      <c r="M192" s="228"/>
      <c r="N192" s="228"/>
      <c r="O192" s="228"/>
      <c r="P192" s="228"/>
      <c r="Q192" s="228"/>
      <c r="R192" s="228"/>
      <c r="S192" s="923"/>
    </row>
    <row r="193" spans="1:27" ht="13" x14ac:dyDescent="0.25">
      <c r="A193" s="1473"/>
      <c r="B193" s="794">
        <v>8</v>
      </c>
      <c r="C193" s="229">
        <f>H$41</f>
        <v>60</v>
      </c>
      <c r="D193" s="229">
        <f t="shared" ref="D193:H193" si="194">I$41</f>
        <v>-0.02</v>
      </c>
      <c r="E193" s="229">
        <f t="shared" si="194"/>
        <v>0</v>
      </c>
      <c r="F193" s="229">
        <f t="shared" si="194"/>
        <v>0.01</v>
      </c>
      <c r="G193" s="229">
        <f t="shared" si="194"/>
        <v>5.0000000000000001E-3</v>
      </c>
      <c r="H193" s="229">
        <f t="shared" si="194"/>
        <v>0.12</v>
      </c>
      <c r="I193" s="540"/>
      <c r="K193" s="922"/>
      <c r="L193" s="627"/>
      <c r="M193" s="228"/>
      <c r="N193" s="228"/>
      <c r="O193" s="228"/>
      <c r="P193" s="228"/>
      <c r="Q193" s="228"/>
      <c r="R193" s="228"/>
      <c r="S193" s="923"/>
    </row>
    <row r="194" spans="1:27" ht="13" x14ac:dyDescent="0.25">
      <c r="A194" s="1473"/>
      <c r="B194" s="794">
        <v>9</v>
      </c>
      <c r="C194" s="229">
        <f>O$41</f>
        <v>60</v>
      </c>
      <c r="D194" s="229">
        <f t="shared" ref="D194:H194" si="195">P$41</f>
        <v>0.01</v>
      </c>
      <c r="E194" s="229">
        <f t="shared" si="195"/>
        <v>0.02</v>
      </c>
      <c r="F194" s="229">
        <f t="shared" si="195"/>
        <v>-0.01</v>
      </c>
      <c r="G194" s="229">
        <f t="shared" si="195"/>
        <v>1.4999999999999999E-2</v>
      </c>
      <c r="H194" s="229">
        <f t="shared" si="195"/>
        <v>0.12</v>
      </c>
      <c r="I194" s="540"/>
      <c r="K194" s="922"/>
      <c r="L194" s="627"/>
      <c r="M194" s="228"/>
      <c r="N194" s="228"/>
      <c r="O194" s="228"/>
      <c r="P194" s="228"/>
      <c r="Q194" s="228"/>
      <c r="R194" s="228"/>
      <c r="S194" s="923"/>
    </row>
    <row r="195" spans="1:27" ht="13" x14ac:dyDescent="0.25">
      <c r="A195" s="1473"/>
      <c r="B195" s="794">
        <v>10</v>
      </c>
      <c r="C195" s="229">
        <f>A$56</f>
        <v>60</v>
      </c>
      <c r="D195" s="229">
        <f t="shared" ref="D195:H195" si="196">B$56</f>
        <v>-0.03</v>
      </c>
      <c r="E195" s="229">
        <f t="shared" si="196"/>
        <v>0</v>
      </c>
      <c r="F195" s="229">
        <f t="shared" si="196"/>
        <v>-0.06</v>
      </c>
      <c r="G195" s="229">
        <f t="shared" si="196"/>
        <v>0.03</v>
      </c>
      <c r="H195" s="229">
        <f t="shared" si="196"/>
        <v>0.12</v>
      </c>
      <c r="I195" s="540"/>
      <c r="K195" s="922"/>
      <c r="L195" s="627"/>
      <c r="M195" s="228"/>
      <c r="N195" s="228"/>
      <c r="O195" s="228"/>
      <c r="P195" s="228"/>
      <c r="Q195" s="228"/>
      <c r="R195" s="228"/>
      <c r="S195" s="923"/>
    </row>
    <row r="196" spans="1:27" ht="13" x14ac:dyDescent="0.25">
      <c r="A196" s="1473"/>
      <c r="B196" s="792">
        <v>11</v>
      </c>
      <c r="C196" s="294">
        <f>H$56</f>
        <v>60</v>
      </c>
      <c r="D196" s="294">
        <f t="shared" ref="D196:H196" si="197">I$56</f>
        <v>-0.04</v>
      </c>
      <c r="E196" s="294">
        <f t="shared" si="197"/>
        <v>0</v>
      </c>
      <c r="F196" s="294">
        <f t="shared" si="197"/>
        <v>-0.03</v>
      </c>
      <c r="G196" s="294">
        <f t="shared" si="197"/>
        <v>1.4999999999999999E-2</v>
      </c>
      <c r="H196" s="294">
        <f t="shared" si="197"/>
        <v>0.12</v>
      </c>
      <c r="I196" s="541"/>
      <c r="K196" s="922"/>
      <c r="L196" s="627"/>
      <c r="M196" s="228"/>
      <c r="N196" s="228"/>
      <c r="O196" s="228"/>
      <c r="P196" s="228"/>
      <c r="Q196" s="228"/>
      <c r="R196" s="228"/>
      <c r="S196" s="923"/>
    </row>
    <row r="197" spans="1:27" ht="13" x14ac:dyDescent="0.25">
      <c r="A197" s="1473"/>
      <c r="B197" s="794">
        <v>12</v>
      </c>
      <c r="C197" s="294">
        <f>O$56</f>
        <v>50</v>
      </c>
      <c r="D197" s="294" t="str">
        <f t="shared" ref="D197:H197" si="198">P$56</f>
        <v>-</v>
      </c>
      <c r="E197" s="294" t="str">
        <f t="shared" si="198"/>
        <v>-</v>
      </c>
      <c r="F197" s="294">
        <f t="shared" si="198"/>
        <v>0.02</v>
      </c>
      <c r="G197" s="294">
        <f t="shared" si="198"/>
        <v>3.9999999999999994E-2</v>
      </c>
      <c r="H197" s="294">
        <f t="shared" si="198"/>
        <v>0.12</v>
      </c>
      <c r="I197" s="541"/>
      <c r="K197" s="922"/>
      <c r="L197" s="627"/>
      <c r="M197" s="228"/>
      <c r="N197" s="228"/>
      <c r="O197" s="228"/>
      <c r="P197" s="228"/>
      <c r="Q197" s="228"/>
      <c r="R197" s="228"/>
      <c r="S197" s="923"/>
    </row>
    <row r="198" spans="1:27" ht="13" x14ac:dyDescent="0.25">
      <c r="A198" s="1473"/>
      <c r="B198" s="794">
        <v>13</v>
      </c>
      <c r="C198" s="294">
        <f>A$71</f>
        <v>50</v>
      </c>
      <c r="D198" s="294" t="str">
        <f t="shared" ref="D198:H198" si="199">B$71</f>
        <v>-</v>
      </c>
      <c r="E198" s="294" t="str">
        <f t="shared" si="199"/>
        <v>-</v>
      </c>
      <c r="F198" s="294">
        <f t="shared" si="199"/>
        <v>0.02</v>
      </c>
      <c r="G198" s="294">
        <f t="shared" si="199"/>
        <v>3.9999999999999994E-2</v>
      </c>
      <c r="H198" s="294">
        <f t="shared" si="199"/>
        <v>0.12</v>
      </c>
      <c r="I198" s="541"/>
      <c r="K198" s="922"/>
      <c r="L198" s="627"/>
      <c r="M198" s="228"/>
      <c r="N198" s="228"/>
      <c r="O198" s="228"/>
      <c r="P198" s="228"/>
      <c r="Q198" s="228"/>
      <c r="R198" s="228"/>
      <c r="S198" s="923"/>
    </row>
    <row r="199" spans="1:27" ht="13" x14ac:dyDescent="0.25">
      <c r="A199" s="1473"/>
      <c r="B199" s="794">
        <v>14</v>
      </c>
      <c r="C199" s="294">
        <f>H$71</f>
        <v>50</v>
      </c>
      <c r="D199" s="294" t="str">
        <f t="shared" ref="D199:H199" si="200">I$71</f>
        <v>-</v>
      </c>
      <c r="E199" s="294" t="str">
        <f t="shared" si="200"/>
        <v>-</v>
      </c>
      <c r="F199" s="294">
        <f t="shared" si="200"/>
        <v>0.03</v>
      </c>
      <c r="G199" s="294">
        <f t="shared" si="200"/>
        <v>3.9999999999999994E-2</v>
      </c>
      <c r="H199" s="294">
        <f t="shared" si="200"/>
        <v>0.12</v>
      </c>
      <c r="I199" s="541"/>
      <c r="K199" s="922"/>
      <c r="L199" s="627"/>
      <c r="M199" s="228"/>
      <c r="N199" s="228"/>
      <c r="O199" s="228"/>
      <c r="P199" s="228"/>
      <c r="Q199" s="228"/>
      <c r="R199" s="228"/>
      <c r="S199" s="923"/>
    </row>
    <row r="200" spans="1:27" ht="13" x14ac:dyDescent="0.25">
      <c r="A200" s="1473"/>
      <c r="B200" s="794">
        <v>15</v>
      </c>
      <c r="C200" s="294">
        <f>O$71</f>
        <v>60</v>
      </c>
      <c r="D200" s="294">
        <f t="shared" ref="D200:H200" si="201">P$71</f>
        <v>0.01</v>
      </c>
      <c r="E200" s="294">
        <f t="shared" si="201"/>
        <v>0.04</v>
      </c>
      <c r="F200" s="294">
        <f t="shared" si="201"/>
        <v>9.9999999999999995E-7</v>
      </c>
      <c r="G200" s="294">
        <f t="shared" si="201"/>
        <v>1.99995E-2</v>
      </c>
      <c r="H200" s="294">
        <f t="shared" si="201"/>
        <v>0.12</v>
      </c>
      <c r="I200" s="541"/>
      <c r="K200" s="922"/>
      <c r="L200" s="627"/>
      <c r="M200" s="228"/>
      <c r="N200" s="228"/>
      <c r="O200" s="228"/>
      <c r="P200" s="228"/>
      <c r="Q200" s="228"/>
      <c r="R200" s="228"/>
      <c r="S200" s="923"/>
    </row>
    <row r="201" spans="1:27" ht="13.5" thickBot="1" x14ac:dyDescent="0.3">
      <c r="A201" s="1474"/>
      <c r="B201" s="795">
        <v>16</v>
      </c>
      <c r="C201" s="363">
        <f>A$86</f>
        <v>60</v>
      </c>
      <c r="D201" s="363">
        <f t="shared" ref="D201:H201" si="202">B$86</f>
        <v>0</v>
      </c>
      <c r="E201" s="363">
        <f t="shared" si="202"/>
        <v>0</v>
      </c>
      <c r="F201" s="363">
        <f t="shared" si="202"/>
        <v>-0.01</v>
      </c>
      <c r="G201" s="363">
        <f t="shared" si="202"/>
        <v>5.0000000000000001E-3</v>
      </c>
      <c r="H201" s="363">
        <f t="shared" si="202"/>
        <v>0.12</v>
      </c>
      <c r="I201" s="542"/>
      <c r="K201" s="922"/>
      <c r="L201" s="627"/>
      <c r="M201" s="228"/>
      <c r="N201" s="228"/>
      <c r="O201" s="228"/>
      <c r="P201" s="228"/>
      <c r="Q201" s="228"/>
      <c r="R201" s="228"/>
      <c r="S201" s="923"/>
    </row>
    <row r="202" spans="1:27" ht="13" x14ac:dyDescent="0.25">
      <c r="A202" s="924"/>
      <c r="B202" s="794">
        <v>17</v>
      </c>
      <c r="C202" s="588">
        <f>H86</f>
        <v>50</v>
      </c>
      <c r="D202" s="588">
        <f t="shared" ref="D202:H202" si="203">I86</f>
        <v>0</v>
      </c>
      <c r="E202" s="588" t="str">
        <f t="shared" si="203"/>
        <v>-</v>
      </c>
      <c r="F202" s="588" t="str">
        <f t="shared" si="203"/>
        <v>-</v>
      </c>
      <c r="G202" s="588">
        <f t="shared" si="203"/>
        <v>3.9999999999999994E-2</v>
      </c>
      <c r="H202" s="588">
        <f t="shared" si="203"/>
        <v>0.12</v>
      </c>
      <c r="I202" s="588"/>
      <c r="K202" s="922"/>
      <c r="L202" s="627"/>
      <c r="M202" s="228"/>
      <c r="N202" s="228"/>
      <c r="O202" s="228"/>
      <c r="P202" s="228"/>
      <c r="Q202" s="228"/>
      <c r="R202" s="228"/>
      <c r="S202" s="923"/>
    </row>
    <row r="203" spans="1:27" ht="13" x14ac:dyDescent="0.25">
      <c r="A203" s="231"/>
      <c r="B203" s="225"/>
      <c r="C203" s="627"/>
      <c r="D203" s="225"/>
      <c r="E203" s="225"/>
      <c r="F203" s="225"/>
      <c r="G203" s="225"/>
      <c r="H203" s="225"/>
      <c r="I203" s="225"/>
    </row>
    <row r="204" spans="1:27" ht="13" x14ac:dyDescent="0.3">
      <c r="A204" s="779"/>
      <c r="B204" s="686"/>
      <c r="C204" s="686"/>
      <c r="D204" s="686"/>
      <c r="E204" s="686"/>
      <c r="F204" s="686"/>
      <c r="G204" s="686"/>
      <c r="H204" s="686"/>
      <c r="I204" s="686"/>
      <c r="J204" s="686"/>
      <c r="K204" s="686"/>
      <c r="L204" s="4"/>
      <c r="M204" s="4"/>
      <c r="N204" s="4"/>
      <c r="O204" s="4"/>
      <c r="P204" s="4"/>
      <c r="Q204" s="719"/>
      <c r="R204" s="4"/>
      <c r="S204" s="4"/>
      <c r="T204" s="4"/>
    </row>
    <row r="205" spans="1:27" ht="28.5" customHeight="1" x14ac:dyDescent="0.3">
      <c r="A205" s="760">
        <f>A248</f>
        <v>3</v>
      </c>
      <c r="B205" s="1475" t="str">
        <f>A230</f>
        <v>Stopwatch, Merek : Casio, Model : HS - 80TW, SN : 605Q11R</v>
      </c>
      <c r="C205" s="1476"/>
      <c r="D205" s="1476"/>
      <c r="E205" s="1476"/>
      <c r="F205" s="1477"/>
      <c r="G205" s="925"/>
      <c r="H205" s="926"/>
      <c r="I205" s="926"/>
      <c r="J205" s="1478"/>
      <c r="K205" s="1478"/>
      <c r="L205" s="1478"/>
      <c r="M205" s="1478"/>
      <c r="N205" s="574"/>
      <c r="O205" s="925"/>
      <c r="P205" s="925"/>
      <c r="Q205" s="719"/>
      <c r="R205" s="4"/>
      <c r="S205" s="4"/>
      <c r="T205" s="4"/>
      <c r="AA205" s="756"/>
    </row>
    <row r="206" spans="1:27" ht="13.5" x14ac:dyDescent="0.3">
      <c r="A206" s="732" t="s">
        <v>364</v>
      </c>
      <c r="B206" s="1380" t="s">
        <v>298</v>
      </c>
      <c r="C206" s="1381"/>
      <c r="D206" s="1382"/>
      <c r="E206" s="1383" t="s">
        <v>321</v>
      </c>
      <c r="F206" s="1385" t="s">
        <v>294</v>
      </c>
      <c r="G206" s="1385"/>
      <c r="H206" s="1386" t="s">
        <v>309</v>
      </c>
      <c r="J206" s="1479"/>
      <c r="K206" s="1479"/>
      <c r="L206" s="573"/>
      <c r="M206" s="1465"/>
      <c r="N206" s="574"/>
      <c r="O206" s="574"/>
      <c r="P206" s="574"/>
      <c r="Q206" s="719"/>
      <c r="R206" s="4"/>
      <c r="S206" s="4"/>
      <c r="T206" s="4"/>
    </row>
    <row r="207" spans="1:27" ht="14" x14ac:dyDescent="0.3">
      <c r="A207" s="619" t="s">
        <v>227</v>
      </c>
      <c r="B207" s="619">
        <f>VLOOKUP(B205,A231:M246,10,FALSE)</f>
        <v>2023</v>
      </c>
      <c r="C207" s="732">
        <f>VLOOKUP(B205,A231:M246,11,FALSE)</f>
        <v>2022</v>
      </c>
      <c r="D207" s="732">
        <f>VLOOKUP(B205,A231:M246,12,FALSE)</f>
        <v>2019</v>
      </c>
      <c r="E207" s="1384"/>
      <c r="F207" s="927"/>
      <c r="G207" s="928" t="s">
        <v>322</v>
      </c>
      <c r="H207" s="1386"/>
      <c r="J207" s="573"/>
      <c r="K207" s="573"/>
      <c r="L207" s="573"/>
      <c r="M207" s="1465"/>
      <c r="N207" s="574"/>
      <c r="O207" s="574"/>
      <c r="P207" s="574"/>
      <c r="Q207" s="719"/>
      <c r="R207" s="686"/>
      <c r="S207" s="686"/>
      <c r="T207" s="686"/>
    </row>
    <row r="208" spans="1:27" ht="13" x14ac:dyDescent="0.3">
      <c r="A208" s="8">
        <f>VLOOKUP(A205,B101:H116,2)</f>
        <v>0</v>
      </c>
      <c r="B208" s="8">
        <f>VLOOKUP($A$205,$B$101:$H$116,3,FALSE)</f>
        <v>0</v>
      </c>
      <c r="C208" s="8">
        <f>VLOOKUP($A$205,$B$101:$H$116,4,FALSE)</f>
        <v>0</v>
      </c>
      <c r="D208" s="8">
        <f>VLOOKUP($A$205,B101:H116,5,FALSE)</f>
        <v>0</v>
      </c>
      <c r="E208" s="545">
        <f>IF(AND(B208="-",C208="-"),D208,IF(B208="-",C208,B208))</f>
        <v>0</v>
      </c>
      <c r="F208" s="610">
        <f>IFERROR(IF(OR(AND(B208="-",C208="-"),AND(B208="-",D208="-")),G208,0.5*(MAX(B208:D208)-MIN(B208:D208))),0)</f>
        <v>0</v>
      </c>
      <c r="G208" s="545">
        <f>1/3*H208</f>
        <v>0</v>
      </c>
      <c r="H208" s="8">
        <f>VLOOKUP($A$205,B101:H116,7,FALSE)</f>
        <v>0</v>
      </c>
      <c r="J208" s="228"/>
      <c r="K208" s="228"/>
      <c r="L208" s="228"/>
      <c r="M208" s="228"/>
      <c r="N208" s="574"/>
      <c r="O208" s="574"/>
      <c r="P208" s="574"/>
      <c r="Q208" s="719"/>
      <c r="R208" s="686"/>
      <c r="S208" s="686"/>
      <c r="T208" s="686"/>
    </row>
    <row r="209" spans="1:20" ht="13" x14ac:dyDescent="0.3">
      <c r="A209" s="8">
        <f>VLOOKUP(A205,B118:H133,2)</f>
        <v>10</v>
      </c>
      <c r="B209" s="8">
        <f>VLOOKUP($A$205,$B$118:$H$133,3,FALSE)</f>
        <v>-2E-3</v>
      </c>
      <c r="C209" s="8">
        <f>VLOOKUP($A$205,$B$118:$H$133,4,FALSE)</f>
        <v>0</v>
      </c>
      <c r="D209" s="8" t="str">
        <f>VLOOKUP($A$205,B118:H133,5,FALSE)</f>
        <v>-</v>
      </c>
      <c r="E209" s="545">
        <f t="shared" ref="E209:E218" si="204">IF(AND(B209="-",C209="-"),D209,IF(B209="-",C209,B209))</f>
        <v>-2E-3</v>
      </c>
      <c r="F209" s="610">
        <f>IFERROR(IF(OR(AND(B209="-",C209="-"),AND(B209="-",D209="-")),G209,0.5*(MAX(B209:D209)-MIN(B209:D209))),0)</f>
        <v>1E-3</v>
      </c>
      <c r="G209" s="545">
        <f t="shared" ref="G209:G218" si="205">1/3*H209</f>
        <v>3.9999999999999994E-2</v>
      </c>
      <c r="H209" s="8">
        <f>VLOOKUP($A$205,B118:H133,7,FALSE)</f>
        <v>0.12</v>
      </c>
      <c r="J209" s="228"/>
      <c r="K209" s="228"/>
      <c r="L209" s="228"/>
      <c r="M209" s="228"/>
      <c r="N209" s="574"/>
      <c r="O209" s="574"/>
      <c r="P209" s="574"/>
      <c r="Q209" s="719"/>
      <c r="R209" s="686"/>
      <c r="S209" s="686"/>
      <c r="T209" s="686"/>
    </row>
    <row r="210" spans="1:20" ht="13" x14ac:dyDescent="0.3">
      <c r="A210" s="8">
        <f>VLOOKUP(A205,B135:H150,2)</f>
        <v>20</v>
      </c>
      <c r="B210" s="8" t="str">
        <f>VLOOKUP($A$205,$B$135:$H$150,3,FALSE)</f>
        <v>-</v>
      </c>
      <c r="C210" s="8" t="str">
        <f>VLOOKUP($A$205,$B$135:$H$150,4,FALSE)</f>
        <v>-</v>
      </c>
      <c r="D210" s="8" t="str">
        <f>VLOOKUP($A$205,B135:H150,5,FALSE)</f>
        <v>-</v>
      </c>
      <c r="E210" s="545" t="str">
        <f t="shared" si="204"/>
        <v>-</v>
      </c>
      <c r="F210" s="610">
        <f t="shared" ref="F210:F218" si="206">IFERROR(IF(OR(AND(B210="-",C210="-"),AND(B210="-",D210="-")),G210,0.5*(MAX(B210:D210)-MIN(B210:D210))),0)</f>
        <v>3.9999999999999994E-2</v>
      </c>
      <c r="G210" s="545">
        <f t="shared" si="205"/>
        <v>3.9999999999999994E-2</v>
      </c>
      <c r="H210" s="8">
        <f>VLOOKUP($A$205,B135:H150,7,FALSE)</f>
        <v>0.12</v>
      </c>
      <c r="J210" s="228"/>
      <c r="K210" s="228"/>
      <c r="L210" s="228"/>
      <c r="M210" s="228"/>
      <c r="N210" s="719"/>
      <c r="O210" s="719"/>
      <c r="P210" s="719"/>
      <c r="Q210" s="719"/>
      <c r="R210" s="686"/>
      <c r="S210" s="686"/>
      <c r="T210" s="686"/>
    </row>
    <row r="211" spans="1:20" ht="13" x14ac:dyDescent="0.3">
      <c r="A211" s="8">
        <f>VLOOKUP(A205,B152:H167,2)</f>
        <v>30</v>
      </c>
      <c r="B211" s="8">
        <f>VLOOKUP($A$205,$B$152:$H$167,3,FALSE)</f>
        <v>-3.0000000000000001E-3</v>
      </c>
      <c r="C211" s="8">
        <f>VLOOKUP($A$205,$B$152:$H$167,4,FALSE)</f>
        <v>1E-3</v>
      </c>
      <c r="D211" s="8">
        <f>VLOOKUP($A$205,B152:H167,5,FALSE)</f>
        <v>-5.0000000000000001E-3</v>
      </c>
      <c r="E211" s="545">
        <f t="shared" si="204"/>
        <v>-3.0000000000000001E-3</v>
      </c>
      <c r="F211" s="610">
        <f t="shared" si="206"/>
        <v>3.0000000000000001E-3</v>
      </c>
      <c r="G211" s="545">
        <f t="shared" si="205"/>
        <v>3.9999999999999994E-2</v>
      </c>
      <c r="H211" s="8">
        <f>VLOOKUP($A$205,B152:H167,7,FALSE)</f>
        <v>0.12</v>
      </c>
      <c r="J211" s="228"/>
      <c r="K211" s="228"/>
      <c r="L211" s="228"/>
      <c r="M211" s="228"/>
      <c r="N211" s="719"/>
      <c r="O211" s="719"/>
      <c r="P211" s="719"/>
      <c r="Q211" s="719"/>
      <c r="R211" s="686"/>
      <c r="S211" s="686"/>
      <c r="T211" s="686"/>
    </row>
    <row r="212" spans="1:20" ht="13" x14ac:dyDescent="0.3">
      <c r="A212" s="8">
        <f>VLOOKUP(A205,B169:H184,2)</f>
        <v>40</v>
      </c>
      <c r="B212" s="8" t="str">
        <f>VLOOKUP($A$205,$B$169:$H$184,3,FALSE)</f>
        <v>-</v>
      </c>
      <c r="C212" s="8" t="str">
        <f>VLOOKUP($A$205,$B$169:$H$184,4,FALSE)</f>
        <v>-</v>
      </c>
      <c r="D212" s="8" t="str">
        <f>VLOOKUP($A$205,B169:H184,5,FALSE)</f>
        <v>-</v>
      </c>
      <c r="E212" s="545" t="str">
        <f>IF(AND(B212="-",C212="-"),D212,IF(B212="-",C212,B212))</f>
        <v>-</v>
      </c>
      <c r="F212" s="610">
        <f t="shared" si="206"/>
        <v>3.9999999999999994E-2</v>
      </c>
      <c r="G212" s="545">
        <f t="shared" si="205"/>
        <v>3.9999999999999994E-2</v>
      </c>
      <c r="H212" s="8">
        <f>VLOOKUP($A$205,B169:H184,7,FALSE)</f>
        <v>0.12</v>
      </c>
      <c r="J212" s="228"/>
      <c r="K212" s="228"/>
      <c r="L212" s="228"/>
      <c r="M212" s="228"/>
      <c r="N212" s="719"/>
      <c r="O212" s="719"/>
      <c r="P212" s="719"/>
      <c r="Q212" s="719"/>
      <c r="R212" s="686"/>
      <c r="S212" s="686"/>
      <c r="T212" s="686"/>
    </row>
    <row r="213" spans="1:20" ht="13" x14ac:dyDescent="0.3">
      <c r="A213" s="8">
        <f>VLOOKUP(A205,B186:H201,2)</f>
        <v>50</v>
      </c>
      <c r="B213" s="8" t="str">
        <f>VLOOKUP($A$205,$B$186:$H$201,3,FALSE)</f>
        <v>-</v>
      </c>
      <c r="C213" s="8" t="str">
        <f>VLOOKUP($A$205,$B$186:$H$201,4,FALSE)</f>
        <v>-</v>
      </c>
      <c r="D213" s="8" t="str">
        <f>VLOOKUP($A$205,B186:H201,5,FALSE)</f>
        <v>-</v>
      </c>
      <c r="E213" s="545" t="str">
        <f t="shared" si="204"/>
        <v>-</v>
      </c>
      <c r="F213" s="610">
        <f t="shared" si="206"/>
        <v>3.9999999999999994E-2</v>
      </c>
      <c r="G213" s="545">
        <f t="shared" si="205"/>
        <v>3.9999999999999994E-2</v>
      </c>
      <c r="H213" s="8">
        <f>VLOOKUP($A$205,B186:H201,7,FALSE)</f>
        <v>0.12</v>
      </c>
      <c r="J213" s="228"/>
      <c r="K213" s="228"/>
      <c r="L213" s="228"/>
      <c r="M213" s="228"/>
      <c r="N213" s="719"/>
      <c r="O213" s="719"/>
      <c r="P213" s="719"/>
      <c r="Q213" s="719"/>
      <c r="R213" s="686"/>
      <c r="S213" s="686"/>
      <c r="T213" s="686"/>
    </row>
    <row r="214" spans="1:20" ht="13" x14ac:dyDescent="0.3">
      <c r="A214" s="8">
        <f>VLOOKUP(A205,L101:R116,2)</f>
        <v>60</v>
      </c>
      <c r="B214" s="8">
        <f>VLOOKUP($A$205,$L$101:$R$116,3,FALSE)</f>
        <v>-2E-3</v>
      </c>
      <c r="C214" s="8">
        <f>VLOOKUP($A$205,$L$101:$R$116,4,FALSE)</f>
        <v>1E-3</v>
      </c>
      <c r="D214" s="8">
        <f>VLOOKUP($A$205,L101:R116,5,FALSE)</f>
        <v>-2E-3</v>
      </c>
      <c r="E214" s="545">
        <f t="shared" si="204"/>
        <v>-2E-3</v>
      </c>
      <c r="F214" s="610">
        <f t="shared" si="206"/>
        <v>1.5E-3</v>
      </c>
      <c r="G214" s="545">
        <f t="shared" si="205"/>
        <v>3.9999999999999994E-2</v>
      </c>
      <c r="H214" s="8">
        <f>VLOOKUP($A$205,L101:R116,7,FALSE)</f>
        <v>0.12</v>
      </c>
      <c r="J214" s="228"/>
      <c r="K214" s="228"/>
      <c r="L214" s="228"/>
      <c r="M214" s="228"/>
      <c r="N214" s="719"/>
      <c r="O214" s="719"/>
      <c r="P214" s="719"/>
      <c r="Q214" s="719"/>
      <c r="R214" s="686"/>
      <c r="S214" s="686"/>
      <c r="T214" s="686"/>
    </row>
    <row r="215" spans="1:20" ht="13" x14ac:dyDescent="0.3">
      <c r="A215" s="8">
        <f>VLOOKUP(A205,L118:R133,2)</f>
        <v>300</v>
      </c>
      <c r="B215" s="8">
        <f>VLOOKUP($A$205,$L$118:$R$133,3,FALSE)</f>
        <v>-1E-3</v>
      </c>
      <c r="C215" s="8">
        <f>VLOOKUP($A$205,$L$118:$R$133,4,FALSE)</f>
        <v>1E-3</v>
      </c>
      <c r="D215" s="8">
        <f>VLOOKUP($A$205,L118:R133,5,FALSE)</f>
        <v>1E-3</v>
      </c>
      <c r="E215" s="545">
        <f t="shared" si="204"/>
        <v>-1E-3</v>
      </c>
      <c r="F215" s="610">
        <f t="shared" si="206"/>
        <v>1E-3</v>
      </c>
      <c r="G215" s="545">
        <f t="shared" si="205"/>
        <v>3.9999999999999994E-2</v>
      </c>
      <c r="H215" s="8">
        <f>VLOOKUP($A$205,L118:R133,7,FALSE)</f>
        <v>0.12</v>
      </c>
      <c r="J215" s="228"/>
      <c r="K215" s="228"/>
      <c r="L215" s="228"/>
      <c r="M215" s="228"/>
      <c r="N215" s="719"/>
      <c r="O215" s="719"/>
      <c r="P215" s="719"/>
      <c r="Q215" s="719"/>
      <c r="R215" s="686"/>
      <c r="S215" s="686"/>
      <c r="T215" s="686"/>
    </row>
    <row r="216" spans="1:20" ht="13" x14ac:dyDescent="0.3">
      <c r="A216" s="8">
        <f>VLOOKUP(A205,L135:R150,2)</f>
        <v>600</v>
      </c>
      <c r="B216" s="8">
        <f>VLOOKUP($A$205,$L$135:$R$150,3,FALSE)</f>
        <v>-1E-3</v>
      </c>
      <c r="C216" s="8">
        <f>VLOOKUP($A$205,$L$135:$R$150,4,FALSE)</f>
        <v>1E-3</v>
      </c>
      <c r="D216" s="8">
        <f>VLOOKUP($A$205,L135:R150,5,FALSE)</f>
        <v>0</v>
      </c>
      <c r="E216" s="545">
        <f t="shared" si="204"/>
        <v>-1E-3</v>
      </c>
      <c r="F216" s="610">
        <f t="shared" si="206"/>
        <v>1E-3</v>
      </c>
      <c r="G216" s="545">
        <f t="shared" si="205"/>
        <v>3.9999999999999994E-2</v>
      </c>
      <c r="H216" s="8">
        <f>VLOOKUP($A$205,L135:R150,7,FALSE)</f>
        <v>0.12</v>
      </c>
      <c r="J216" s="228"/>
      <c r="K216" s="228"/>
      <c r="L216" s="228"/>
      <c r="M216" s="228"/>
      <c r="N216" s="719"/>
      <c r="O216" s="719"/>
      <c r="P216" s="719"/>
      <c r="Q216" s="719"/>
      <c r="R216" s="686"/>
      <c r="S216" s="686"/>
      <c r="T216" s="686"/>
    </row>
    <row r="217" spans="1:20" ht="13" x14ac:dyDescent="0.3">
      <c r="A217" s="8">
        <f>VLOOKUP(A205,L152:R167,2)</f>
        <v>900</v>
      </c>
      <c r="B217" s="8">
        <f>VLOOKUP($A$205,$L$152:$R$167,3,FALSE)</f>
        <v>0</v>
      </c>
      <c r="C217" s="8">
        <f>VLOOKUP($A$205,$L$152:$R$167,4,FALSE)</f>
        <v>2E-3</v>
      </c>
      <c r="D217" s="8">
        <f>VLOOKUP($A$205,L152:R167,5,FALSE)</f>
        <v>3.0000000000000001E-3</v>
      </c>
      <c r="E217" s="545">
        <f t="shared" si="204"/>
        <v>0</v>
      </c>
      <c r="F217" s="610">
        <f>IFERROR(IF(OR(AND(B217="-",C217="-"),AND(B217="-",D217="-")),G217,0.5*(MAX(B217:D217)-MIN(B217:D217))),0)</f>
        <v>1.5E-3</v>
      </c>
      <c r="G217" s="545">
        <f t="shared" si="205"/>
        <v>3.9999999999999994E-2</v>
      </c>
      <c r="H217" s="8">
        <f>VLOOKUP($A$205,L152:R167,7,FALSE)</f>
        <v>0.12</v>
      </c>
      <c r="J217" s="228"/>
      <c r="K217" s="228"/>
      <c r="L217" s="228"/>
      <c r="M217" s="228"/>
      <c r="N217" s="719"/>
      <c r="O217" s="719"/>
      <c r="P217" s="719"/>
      <c r="Q217" s="719"/>
      <c r="R217" s="686"/>
      <c r="S217" s="686"/>
      <c r="T217" s="686"/>
    </row>
    <row r="218" spans="1:20" ht="13" x14ac:dyDescent="0.3">
      <c r="A218" s="8">
        <f>VLOOKUP(A205,L169:R184,2)</f>
        <v>1200</v>
      </c>
      <c r="B218" s="8" t="str">
        <f>VLOOKUP($A$205,$L$169:$R$184,3,FALSE)</f>
        <v>-</v>
      </c>
      <c r="C218" s="8" t="str">
        <f>VLOOKUP($A$205,$L$169:$R$184,4,FALSE)</f>
        <v>-</v>
      </c>
      <c r="D218" s="8" t="str">
        <f>VLOOKUP($A$205,L169:R184,4,FALSE)</f>
        <v>-</v>
      </c>
      <c r="E218" s="545" t="str">
        <f t="shared" si="204"/>
        <v>-</v>
      </c>
      <c r="F218" s="610">
        <f t="shared" si="206"/>
        <v>3.9999999999999994E-2</v>
      </c>
      <c r="G218" s="545">
        <f t="shared" si="205"/>
        <v>3.9999999999999994E-2</v>
      </c>
      <c r="H218" s="8">
        <f>VLOOKUP($A$205,L169:R184,7,FALSE)</f>
        <v>0.12</v>
      </c>
      <c r="J218" s="228"/>
      <c r="K218" s="228"/>
      <c r="L218" s="228"/>
      <c r="M218" s="228"/>
      <c r="N218" s="719"/>
      <c r="O218" s="719"/>
      <c r="P218" s="719"/>
      <c r="Q218" s="719"/>
      <c r="R218" s="686"/>
      <c r="S218" s="686"/>
      <c r="T218" s="686"/>
    </row>
    <row r="219" spans="1:20" ht="13.5" thickBot="1" x14ac:dyDescent="0.35">
      <c r="A219" s="231"/>
      <c r="B219" s="225"/>
      <c r="C219" s="225"/>
      <c r="D219" s="225"/>
      <c r="E219" s="225"/>
      <c r="F219" s="225"/>
      <c r="G219" s="574"/>
      <c r="H219" s="228"/>
      <c r="I219" s="228"/>
      <c r="J219" s="228"/>
      <c r="K219" s="228"/>
      <c r="L219" s="228"/>
      <c r="M219" s="228"/>
      <c r="N219" s="719"/>
      <c r="O219" s="719"/>
      <c r="P219" s="719"/>
      <c r="Q219" s="719"/>
      <c r="R219" s="686"/>
      <c r="S219" s="686"/>
      <c r="T219" s="686"/>
    </row>
    <row r="220" spans="1:20" ht="15" x14ac:dyDescent="0.3">
      <c r="A220" s="1364" t="s">
        <v>323</v>
      </c>
      <c r="B220" s="1365"/>
      <c r="C220" s="1366"/>
      <c r="D220" s="1366"/>
      <c r="E220" s="1367"/>
      <c r="F220" s="740"/>
      <c r="G220" s="1368" t="s">
        <v>324</v>
      </c>
      <c r="H220" s="1369"/>
      <c r="I220" s="1369"/>
      <c r="J220" s="1369"/>
      <c r="K220" s="1370"/>
      <c r="L220" s="719"/>
      <c r="M220" s="4"/>
      <c r="N220" s="233"/>
      <c r="O220" s="233"/>
      <c r="P220" s="233"/>
      <c r="Q220" s="233"/>
      <c r="S220" s="686"/>
      <c r="T220" s="686"/>
    </row>
    <row r="221" spans="1:20" ht="13" x14ac:dyDescent="0.3">
      <c r="A221" s="3"/>
      <c r="B221" s="535"/>
      <c r="C221" s="747">
        <f>IF(A222&lt;=$A$209,$A$208,IF(A222&lt;=$A$210,$A$209,IF(A222&lt;=$A$211,$A$210,IF(A222&lt;=$A$212,$A$211,IF(A222&lt;=$A$213,$A$212,IF(A222&lt;=$A$214,$A$213,IF(A222&lt;=$A$215,$A$214,IF(A222&lt;=$A$216,$A$215))))))))</f>
        <v>300</v>
      </c>
      <c r="D221" s="747"/>
      <c r="E221" s="232">
        <f>IF(A222&lt;=$A$209,$C$208,IF(A222&lt;=$A$210,$C$209,IF(A222&lt;=$A$211,$C$210,IF(A222&lt;=$A$212,$C$211,IF(A222&lt;=$A$213,$C$212,IF(A222&lt;=$A$214,$C$213,IF(A222&lt;=$A$215,$C$214,IF(A222&lt;=$A$216,$C$215))))))))</f>
        <v>1E-3</v>
      </c>
      <c r="F221" s="719"/>
      <c r="G221" s="3"/>
      <c r="H221" s="747">
        <f>IF(G222&lt;=$A$209,$A$208,IF(G222&lt;=$A$210,$A$209,IF(G222&lt;=$A$211,$A$210,IF(G222&lt;=$A$212,$A$211,IF(G222&lt;=$A$213,$A$212,IF(G222&lt;=$A$214,$A$213,IF(G222&lt;=$A$215,$A$214,IF(G222&lt;=$A$216,$A$215))))))))</f>
        <v>300</v>
      </c>
      <c r="I221" s="747"/>
      <c r="J221" s="747"/>
      <c r="K221" s="232" t="str">
        <f>IFERROR(IF(G222&lt;=$A$209,#REF!,IF(G222&lt;=$A$210,#REF!,IF(G222&lt;=$A$211,#REF!,IF(G222&lt;=$A$212,#REF!,IF(G222&lt;=$A$213,#REF!,IF(G222&lt;=$A$214,#REF!,IF(G222&lt;=$A$215,#REF!,IF(G222&lt;=$A$216,#REF!)))))))),"-")</f>
        <v>-</v>
      </c>
      <c r="L221" s="719"/>
      <c r="M221" s="4"/>
      <c r="N221" s="233"/>
      <c r="O221" s="233"/>
      <c r="P221" s="233"/>
    </row>
    <row r="222" spans="1:20" ht="13" x14ac:dyDescent="0.3">
      <c r="A222" s="3">
        <f>B227</f>
        <v>401</v>
      </c>
      <c r="B222" s="535"/>
      <c r="C222" s="747"/>
      <c r="D222" s="747">
        <f>((A222-C221)/(C223-C221)*(E223-E221)+E221)</f>
        <v>1E-3</v>
      </c>
      <c r="E222" s="232"/>
      <c r="F222" s="719"/>
      <c r="G222" s="3">
        <f>D227</f>
        <v>400.99894143489377</v>
      </c>
      <c r="H222" s="747"/>
      <c r="I222" s="747"/>
      <c r="J222" s="747" t="str">
        <f>IFERROR((G222-H221)/(H223-H221)*(K223-K221)+K221,"-")</f>
        <v>-</v>
      </c>
      <c r="K222" s="232"/>
      <c r="L222" s="719"/>
      <c r="M222" s="4"/>
      <c r="N222" s="233"/>
      <c r="O222" s="233"/>
      <c r="P222" s="233"/>
    </row>
    <row r="223" spans="1:20" ht="13.5" thickBot="1" x14ac:dyDescent="0.35">
      <c r="A223" s="841"/>
      <c r="B223" s="842"/>
      <c r="C223" s="843">
        <f>IF(A222&lt;=$A$209,$A$209,IF(A222&lt;=$A$210,$A$210,IF(A222&lt;=$A$211,$A$211,IF(A222&lt;=$A$212,$A$212,IF(A222&lt;=$A$213,$A$213,IF(A222&lt;=$A$214,$A$214,IF(A222&lt;=$A$215,$A$215,IF(A222&lt;=$A$216,$A$216))))))))</f>
        <v>600</v>
      </c>
      <c r="D223" s="843"/>
      <c r="E223" s="234">
        <f>IF(A222&lt;=$A$209,$C$209,IF(A222&lt;=$A$210,$C$210,IF(A222&lt;=$A$211,$C$211,IF(A222&lt;=$A$212,$C$212,IF(A222&lt;=$A$213,$C$213,IF(A222&lt;=$A$214,$C$214,IF(A222&lt;=$A$215,$C$215,IF(A222&lt;=$A$216,$C$216))))))))</f>
        <v>1E-3</v>
      </c>
      <c r="F223" s="719"/>
      <c r="G223" s="841"/>
      <c r="H223" s="843">
        <f>IF(G222&lt;=$A$209,$A$209,IF(G222&lt;=$A$210,$A$210,IF(G222&lt;=$A$211,$A$211,IF(G222&lt;=$A$212,$A$212,IF(G222&lt;=$A$213,$A$213,IF(G222&lt;=$A$214,$A$214,IF(G222&lt;=$A$215,$A$215,IF(G222&lt;=$A$216,$A$216))))))))</f>
        <v>600</v>
      </c>
      <c r="I223" s="843"/>
      <c r="J223" s="843"/>
      <c r="K223" s="234" t="str">
        <f>IFERROR(IF(G222&lt;=$A$209,#REF!,IF(G222&lt;=$A$210,#REF!,IF(G222&lt;=$A$211,#REF!,IF(G222&lt;=$A$212,#REF!,IF(G222&lt;=$A$213,#REF!,IF(G222&lt;=$A$214,#REF!,IF(G222&lt;=$A$215,#REF!,IF(G222&lt;=$A$216,#REF!)))))))),"-")</f>
        <v>-</v>
      </c>
      <c r="L223" s="719"/>
      <c r="M223" s="4"/>
      <c r="N223" s="233"/>
      <c r="O223" s="233"/>
      <c r="P223" s="233"/>
      <c r="Q223" s="233"/>
      <c r="S223" s="686"/>
      <c r="T223" s="686"/>
    </row>
    <row r="224" spans="1:20" ht="13" x14ac:dyDescent="0.3">
      <c r="A224" s="844"/>
      <c r="B224" s="4"/>
      <c r="C224" s="233"/>
      <c r="D224" s="233"/>
      <c r="E224" s="233"/>
      <c r="F224" s="719"/>
      <c r="G224" s="4"/>
      <c r="H224" s="233"/>
      <c r="I224" s="233"/>
      <c r="J224" s="233"/>
      <c r="K224" s="233"/>
      <c r="L224" s="719"/>
      <c r="M224" s="4"/>
      <c r="N224" s="233"/>
      <c r="O224" s="233"/>
      <c r="P224" s="233"/>
      <c r="Q224" s="233"/>
      <c r="S224" s="686"/>
      <c r="T224" s="686"/>
    </row>
    <row r="225" spans="1:27" ht="13.5" thickBot="1" x14ac:dyDescent="0.35">
      <c r="A225" s="740"/>
      <c r="B225" s="719"/>
      <c r="C225" s="719"/>
      <c r="D225" s="719"/>
      <c r="E225" s="719"/>
      <c r="F225" s="719"/>
      <c r="G225" s="719"/>
      <c r="H225" s="719"/>
      <c r="I225" s="719"/>
      <c r="J225" s="719"/>
      <c r="K225" s="719"/>
      <c r="L225" s="719"/>
      <c r="S225" s="686"/>
      <c r="T225" s="686"/>
    </row>
    <row r="226" spans="1:27" ht="48.75" customHeight="1" thickBot="1" x14ac:dyDescent="0.3">
      <c r="A226" s="845" t="s">
        <v>92</v>
      </c>
      <c r="B226" s="848" t="s">
        <v>325</v>
      </c>
      <c r="C226" s="929" t="s">
        <v>326</v>
      </c>
      <c r="D226" s="848" t="s">
        <v>327</v>
      </c>
      <c r="E226" s="848" t="s">
        <v>328</v>
      </c>
      <c r="F226" s="848" t="s">
        <v>329</v>
      </c>
      <c r="G226" s="848" t="s">
        <v>330</v>
      </c>
      <c r="H226" s="848" t="s">
        <v>154</v>
      </c>
      <c r="I226" s="930" t="s">
        <v>365</v>
      </c>
      <c r="J226" s="929" t="s">
        <v>332</v>
      </c>
      <c r="K226" s="929" t="s">
        <v>333</v>
      </c>
      <c r="L226" s="931" t="s">
        <v>334</v>
      </c>
    </row>
    <row r="227" spans="1:27" ht="13" thickBot="1" x14ac:dyDescent="0.3">
      <c r="A227" s="932">
        <f>ID!D44</f>
        <v>300</v>
      </c>
      <c r="B227" s="364">
        <f>AVERAGE(ID!F44:K44)</f>
        <v>401</v>
      </c>
      <c r="C227" s="357">
        <f>FORECAST(B227,$E$208:$E$218,$A$208:$A$218)</f>
        <v>-1.0585651062531001E-3</v>
      </c>
      <c r="D227" s="365">
        <f>B227+C227</f>
        <v>400.99894143489377</v>
      </c>
      <c r="E227" s="364">
        <f>STDEV(ID!F44:K44)</f>
        <v>1</v>
      </c>
      <c r="F227" s="365">
        <f>A227-D227</f>
        <v>-100.99894143489377</v>
      </c>
      <c r="G227" s="365">
        <f>(F227/A227)*100</f>
        <v>-33.666313811631255</v>
      </c>
      <c r="H227" s="366">
        <f>D227-A227</f>
        <v>100.99894143489377</v>
      </c>
      <c r="I227" s="367">
        <f>(D227-A227)/A227*100</f>
        <v>33.666313811631255</v>
      </c>
      <c r="J227" s="368">
        <f>FORECAST(D227,$H$208:$H$218,$A$208:$A$218)</f>
        <v>0.11124809151829718</v>
      </c>
      <c r="K227" s="368">
        <f>0.5*0.1</f>
        <v>0.05</v>
      </c>
      <c r="L227" s="933">
        <f>FORECAST(D227,$F$208:$F$218,$A$208:$A$218)</f>
        <v>1.5703846209077235E-2</v>
      </c>
    </row>
    <row r="228" spans="1:27" x14ac:dyDescent="0.25">
      <c r="M228" s="574"/>
      <c r="N228" s="574"/>
      <c r="O228" s="574"/>
      <c r="P228" s="574"/>
      <c r="Q228" s="574"/>
    </row>
    <row r="229" spans="1:27" ht="13" thickBot="1" x14ac:dyDescent="0.3"/>
    <row r="230" spans="1:27" ht="15" thickBot="1" x14ac:dyDescent="0.35">
      <c r="A230" s="855" t="str">
        <f>ID!B56</f>
        <v>Stopwatch, Merek : Casio, Model : HS - 80TW, SN : 605Q11R</v>
      </c>
      <c r="B230" s="856"/>
      <c r="C230" s="856"/>
      <c r="D230" s="856"/>
      <c r="E230" s="856"/>
      <c r="F230" s="856"/>
      <c r="G230" s="856"/>
      <c r="H230" s="856"/>
      <c r="I230" s="856"/>
      <c r="J230" s="1354" t="s">
        <v>335</v>
      </c>
      <c r="K230" s="1355"/>
      <c r="L230" s="1356"/>
      <c r="M230" s="857"/>
      <c r="O230" s="1359">
        <f>A248</f>
        <v>3</v>
      </c>
      <c r="P230" s="1360"/>
      <c r="Q230" s="1360"/>
      <c r="R230" s="1360"/>
      <c r="S230" s="1360"/>
      <c r="T230" s="1360"/>
      <c r="U230" s="1360"/>
      <c r="V230" s="1360"/>
      <c r="W230" s="1360"/>
      <c r="X230" s="1360"/>
      <c r="Y230" s="1360"/>
      <c r="Z230" s="1360"/>
      <c r="AA230" s="1361"/>
    </row>
    <row r="231" spans="1:27" ht="14" x14ac:dyDescent="0.3">
      <c r="A231" s="568" t="s">
        <v>485</v>
      </c>
      <c r="B231" s="568"/>
      <c r="C231" s="861"/>
      <c r="D231" s="861"/>
      <c r="E231" s="861"/>
      <c r="F231" s="861"/>
      <c r="G231" s="861"/>
      <c r="H231" s="861"/>
      <c r="I231" s="861"/>
      <c r="J231" s="863">
        <f>B4</f>
        <v>2023</v>
      </c>
      <c r="K231" s="863">
        <f>C4</f>
        <v>2022</v>
      </c>
      <c r="L231" s="863">
        <f>D4</f>
        <v>2021</v>
      </c>
      <c r="M231" s="238">
        <v>1</v>
      </c>
      <c r="O231" s="934">
        <v>1</v>
      </c>
      <c r="P231" s="935"/>
      <c r="Q231" s="936" t="s">
        <v>366</v>
      </c>
      <c r="R231" s="667"/>
      <c r="S231" s="667"/>
      <c r="T231" s="667"/>
      <c r="U231" s="667"/>
      <c r="V231" s="667"/>
      <c r="W231" s="667"/>
      <c r="X231" s="667"/>
      <c r="Y231" s="667"/>
      <c r="Z231" s="667"/>
      <c r="AA231" s="668"/>
    </row>
    <row r="232" spans="1:27" ht="14" x14ac:dyDescent="0.3">
      <c r="A232" s="568" t="s">
        <v>486</v>
      </c>
      <c r="B232" s="568"/>
      <c r="C232" s="868"/>
      <c r="D232" s="868"/>
      <c r="E232" s="868"/>
      <c r="F232" s="868"/>
      <c r="G232" s="868"/>
      <c r="H232" s="868"/>
      <c r="I232" s="868"/>
      <c r="J232" s="547">
        <f>I4</f>
        <v>2023</v>
      </c>
      <c r="K232" s="547">
        <f>J4</f>
        <v>2022</v>
      </c>
      <c r="L232" s="547">
        <f>K4</f>
        <v>2021</v>
      </c>
      <c r="M232" s="239">
        <v>2</v>
      </c>
      <c r="O232" s="934">
        <v>2</v>
      </c>
      <c r="P232" s="935"/>
      <c r="Q232" s="936" t="s">
        <v>366</v>
      </c>
      <c r="R232" s="667"/>
      <c r="S232" s="667"/>
      <c r="T232" s="667"/>
      <c r="U232" s="667"/>
      <c r="V232" s="667"/>
      <c r="W232" s="667"/>
      <c r="X232" s="667"/>
      <c r="Y232" s="667"/>
      <c r="Z232" s="667"/>
      <c r="AA232" s="668"/>
    </row>
    <row r="233" spans="1:27" ht="14" x14ac:dyDescent="0.3">
      <c r="A233" s="568" t="s">
        <v>159</v>
      </c>
      <c r="B233" s="568"/>
      <c r="C233" s="872"/>
      <c r="D233" s="872"/>
      <c r="E233" s="872"/>
      <c r="F233" s="872"/>
      <c r="G233" s="872"/>
      <c r="H233" s="872"/>
      <c r="I233" s="872"/>
      <c r="J233" s="547">
        <f>P4</f>
        <v>2023</v>
      </c>
      <c r="K233" s="547">
        <f>Q4</f>
        <v>2022</v>
      </c>
      <c r="L233" s="547">
        <f>R4</f>
        <v>2019</v>
      </c>
      <c r="M233" s="238">
        <v>3</v>
      </c>
      <c r="O233" s="934">
        <v>3</v>
      </c>
      <c r="P233" s="935"/>
      <c r="Q233" s="936" t="s">
        <v>366</v>
      </c>
      <c r="R233" s="667"/>
      <c r="S233" s="667"/>
      <c r="T233" s="667"/>
      <c r="U233" s="667"/>
      <c r="V233" s="667"/>
      <c r="W233" s="667"/>
      <c r="X233" s="667"/>
      <c r="Y233" s="667"/>
      <c r="Z233" s="667"/>
      <c r="AA233" s="668"/>
    </row>
    <row r="234" spans="1:27" ht="14" x14ac:dyDescent="0.3">
      <c r="A234" s="937" t="s">
        <v>487</v>
      </c>
      <c r="B234" s="937"/>
      <c r="C234" s="872"/>
      <c r="D234" s="872"/>
      <c r="E234" s="872"/>
      <c r="F234" s="872"/>
      <c r="G234" s="872"/>
      <c r="H234" s="872"/>
      <c r="I234" s="872"/>
      <c r="J234" s="547">
        <f>B19</f>
        <v>2022</v>
      </c>
      <c r="K234" s="547">
        <f>C19</f>
        <v>2021</v>
      </c>
      <c r="L234" s="547">
        <f>D19</f>
        <v>2019</v>
      </c>
      <c r="M234" s="239">
        <v>4</v>
      </c>
      <c r="O234" s="934">
        <v>4</v>
      </c>
      <c r="P234" s="935"/>
      <c r="Q234" s="936" t="s">
        <v>366</v>
      </c>
      <c r="R234" s="667"/>
      <c r="S234" s="667"/>
      <c r="T234" s="667"/>
      <c r="U234" s="667"/>
      <c r="V234" s="667"/>
      <c r="W234" s="667"/>
      <c r="X234" s="667"/>
      <c r="Y234" s="667"/>
      <c r="Z234" s="667"/>
      <c r="AA234" s="668"/>
    </row>
    <row r="235" spans="1:27" ht="14" x14ac:dyDescent="0.3">
      <c r="A235" s="937" t="s">
        <v>367</v>
      </c>
      <c r="B235" s="937"/>
      <c r="C235" s="872"/>
      <c r="D235" s="872"/>
      <c r="E235" s="872"/>
      <c r="F235" s="872"/>
      <c r="G235" s="872"/>
      <c r="H235" s="872"/>
      <c r="I235" s="872"/>
      <c r="J235" s="547">
        <f>I19</f>
        <v>2023</v>
      </c>
      <c r="K235" s="547">
        <f>J19</f>
        <v>2022</v>
      </c>
      <c r="L235" s="547">
        <f>K19</f>
        <v>2021</v>
      </c>
      <c r="M235" s="238">
        <v>5</v>
      </c>
      <c r="O235" s="934">
        <v>5</v>
      </c>
      <c r="P235" s="935"/>
      <c r="Q235" s="936" t="s">
        <v>366</v>
      </c>
      <c r="R235" s="667"/>
      <c r="S235" s="667"/>
      <c r="T235" s="667"/>
      <c r="U235" s="667"/>
      <c r="V235" s="667"/>
      <c r="W235" s="667"/>
      <c r="X235" s="667"/>
      <c r="Y235" s="667"/>
      <c r="Z235" s="667"/>
      <c r="AA235" s="668"/>
    </row>
    <row r="236" spans="1:27" ht="14" x14ac:dyDescent="0.3">
      <c r="A236" s="937" t="s">
        <v>368</v>
      </c>
      <c r="B236" s="937"/>
      <c r="C236" s="872"/>
      <c r="D236" s="872"/>
      <c r="E236" s="872"/>
      <c r="F236" s="872"/>
      <c r="G236" s="872"/>
      <c r="H236" s="872"/>
      <c r="I236" s="872"/>
      <c r="J236" s="547">
        <f>P19</f>
        <v>2023</v>
      </c>
      <c r="K236" s="547">
        <f>Q19</f>
        <v>2022</v>
      </c>
      <c r="L236" s="547">
        <f>R19</f>
        <v>2021</v>
      </c>
      <c r="M236" s="239">
        <v>6</v>
      </c>
      <c r="O236" s="934">
        <v>6</v>
      </c>
      <c r="P236" s="935"/>
      <c r="Q236" s="936" t="s">
        <v>366</v>
      </c>
      <c r="R236" s="667"/>
      <c r="S236" s="667"/>
      <c r="T236" s="667"/>
      <c r="U236" s="667"/>
      <c r="V236" s="667"/>
      <c r="W236" s="667"/>
      <c r="X236" s="667"/>
      <c r="Y236" s="667"/>
      <c r="Z236" s="667"/>
      <c r="AA236" s="668"/>
    </row>
    <row r="237" spans="1:27" ht="14" x14ac:dyDescent="0.3">
      <c r="A237" s="937" t="s">
        <v>369</v>
      </c>
      <c r="B237" s="937"/>
      <c r="C237" s="872"/>
      <c r="D237" s="872"/>
      <c r="E237" s="872"/>
      <c r="F237" s="872"/>
      <c r="G237" s="872"/>
      <c r="H237" s="872"/>
      <c r="I237" s="872"/>
      <c r="J237" s="547">
        <f>B35</f>
        <v>2023</v>
      </c>
      <c r="K237" s="547">
        <f>C35</f>
        <v>2022</v>
      </c>
      <c r="L237" s="547">
        <f>D35</f>
        <v>2021</v>
      </c>
      <c r="M237" s="238">
        <v>7</v>
      </c>
      <c r="O237" s="934">
        <v>7</v>
      </c>
      <c r="P237" s="935"/>
      <c r="Q237" s="936" t="s">
        <v>366</v>
      </c>
      <c r="R237" s="667"/>
      <c r="S237" s="667"/>
      <c r="T237" s="667"/>
      <c r="U237" s="667"/>
      <c r="V237" s="667"/>
      <c r="W237" s="667"/>
      <c r="X237" s="667"/>
      <c r="Y237" s="667"/>
      <c r="Z237" s="667"/>
      <c r="AA237" s="668"/>
    </row>
    <row r="238" spans="1:27" ht="14" x14ac:dyDescent="0.3">
      <c r="A238" s="937" t="s">
        <v>370</v>
      </c>
      <c r="B238" s="937"/>
      <c r="C238" s="872"/>
      <c r="D238" s="872"/>
      <c r="E238" s="872"/>
      <c r="F238" s="872"/>
      <c r="G238" s="872"/>
      <c r="H238" s="872"/>
      <c r="I238" s="872"/>
      <c r="J238" s="547">
        <f>I35</f>
        <v>2023</v>
      </c>
      <c r="K238" s="547">
        <f>J35</f>
        <v>2022</v>
      </c>
      <c r="L238" s="547">
        <f>K35</f>
        <v>2020</v>
      </c>
      <c r="M238" s="239">
        <v>8</v>
      </c>
      <c r="O238" s="934">
        <v>8</v>
      </c>
      <c r="P238" s="935"/>
      <c r="Q238" s="936" t="s">
        <v>366</v>
      </c>
      <c r="R238" s="667"/>
      <c r="S238" s="667"/>
      <c r="T238" s="667"/>
      <c r="U238" s="667"/>
      <c r="V238" s="667"/>
      <c r="W238" s="667"/>
      <c r="X238" s="667"/>
      <c r="Y238" s="667"/>
      <c r="Z238" s="667"/>
      <c r="AA238" s="668"/>
    </row>
    <row r="239" spans="1:27" ht="14" x14ac:dyDescent="0.3">
      <c r="A239" s="937" t="s">
        <v>371</v>
      </c>
      <c r="B239" s="937"/>
      <c r="C239" s="872"/>
      <c r="D239" s="872"/>
      <c r="E239" s="872"/>
      <c r="F239" s="872"/>
      <c r="G239" s="872"/>
      <c r="H239" s="872"/>
      <c r="I239" s="872"/>
      <c r="J239" s="547">
        <f>P35</f>
        <v>2022</v>
      </c>
      <c r="K239" s="547">
        <f>Q35</f>
        <v>2021</v>
      </c>
      <c r="L239" s="547">
        <f>R35</f>
        <v>2020</v>
      </c>
      <c r="M239" s="238">
        <v>9</v>
      </c>
      <c r="O239" s="934">
        <v>9</v>
      </c>
      <c r="P239" s="935"/>
      <c r="Q239" s="936" t="s">
        <v>366</v>
      </c>
      <c r="R239" s="667"/>
      <c r="S239" s="667"/>
      <c r="T239" s="667"/>
      <c r="U239" s="667"/>
      <c r="V239" s="667"/>
      <c r="W239" s="667"/>
      <c r="X239" s="667"/>
      <c r="Y239" s="667"/>
      <c r="Z239" s="667"/>
      <c r="AA239" s="668"/>
    </row>
    <row r="240" spans="1:27" ht="14" x14ac:dyDescent="0.3">
      <c r="A240" s="937" t="s">
        <v>372</v>
      </c>
      <c r="B240" s="937"/>
      <c r="C240" s="872"/>
      <c r="D240" s="872"/>
      <c r="E240" s="872"/>
      <c r="F240" s="872"/>
      <c r="G240" s="872"/>
      <c r="H240" s="872"/>
      <c r="I240" s="872"/>
      <c r="J240" s="547">
        <f>B50</f>
        <v>2023</v>
      </c>
      <c r="K240" s="547">
        <f>C50</f>
        <v>2022</v>
      </c>
      <c r="L240" s="547">
        <f>D50</f>
        <v>2021</v>
      </c>
      <c r="M240" s="239">
        <v>10</v>
      </c>
      <c r="O240" s="934">
        <v>10</v>
      </c>
      <c r="P240" s="935"/>
      <c r="Q240" s="936" t="s">
        <v>366</v>
      </c>
      <c r="R240" s="667"/>
      <c r="S240" s="667"/>
      <c r="T240" s="667"/>
      <c r="U240" s="667"/>
      <c r="V240" s="667"/>
      <c r="W240" s="667"/>
      <c r="X240" s="667"/>
      <c r="Y240" s="667"/>
      <c r="Z240" s="667"/>
      <c r="AA240" s="668"/>
    </row>
    <row r="241" spans="1:27" ht="14" x14ac:dyDescent="0.3">
      <c r="A241" s="937" t="s">
        <v>373</v>
      </c>
      <c r="B241" s="937"/>
      <c r="C241" s="872"/>
      <c r="D241" s="872"/>
      <c r="E241" s="872"/>
      <c r="F241" s="872"/>
      <c r="G241" s="872"/>
      <c r="H241" s="872"/>
      <c r="I241" s="872"/>
      <c r="J241" s="547">
        <f>I50</f>
        <v>2023</v>
      </c>
      <c r="K241" s="547">
        <f>J50</f>
        <v>2022</v>
      </c>
      <c r="L241" s="547">
        <f>K50</f>
        <v>2021</v>
      </c>
      <c r="M241" s="238">
        <v>11</v>
      </c>
      <c r="O241" s="934">
        <v>11</v>
      </c>
      <c r="P241" s="935"/>
      <c r="Q241" s="936" t="s">
        <v>366</v>
      </c>
      <c r="R241" s="667"/>
      <c r="S241" s="667"/>
      <c r="T241" s="667"/>
      <c r="U241" s="667"/>
      <c r="V241" s="667"/>
      <c r="W241" s="667"/>
      <c r="X241" s="667"/>
      <c r="Y241" s="667"/>
      <c r="Z241" s="667"/>
      <c r="AA241" s="668"/>
    </row>
    <row r="242" spans="1:27" ht="14" x14ac:dyDescent="0.3">
      <c r="A242" s="937" t="s">
        <v>374</v>
      </c>
      <c r="B242" s="937"/>
      <c r="C242" s="872"/>
      <c r="D242" s="872"/>
      <c r="E242" s="872"/>
      <c r="F242" s="872"/>
      <c r="G242" s="872"/>
      <c r="H242" s="872"/>
      <c r="I242" s="872"/>
      <c r="J242" s="547">
        <f>P50</f>
        <v>2023</v>
      </c>
      <c r="K242" s="547">
        <f>Q50</f>
        <v>2022</v>
      </c>
      <c r="L242" s="547">
        <f>R50</f>
        <v>2021</v>
      </c>
      <c r="M242" s="238">
        <v>12</v>
      </c>
      <c r="O242" s="934">
        <v>12</v>
      </c>
      <c r="P242" s="935"/>
      <c r="Q242" s="936" t="s">
        <v>366</v>
      </c>
      <c r="R242" s="667"/>
      <c r="S242" s="667"/>
      <c r="T242" s="667"/>
      <c r="U242" s="667"/>
      <c r="V242" s="667"/>
      <c r="W242" s="667"/>
      <c r="X242" s="667"/>
      <c r="Y242" s="667"/>
      <c r="Z242" s="667"/>
      <c r="AA242" s="668"/>
    </row>
    <row r="243" spans="1:27" ht="14" x14ac:dyDescent="0.3">
      <c r="A243" s="937" t="s">
        <v>375</v>
      </c>
      <c r="B243" s="937"/>
      <c r="C243" s="872"/>
      <c r="D243" s="872"/>
      <c r="E243" s="872"/>
      <c r="F243" s="872"/>
      <c r="G243" s="872"/>
      <c r="H243" s="872"/>
      <c r="I243" s="872"/>
      <c r="J243" s="547">
        <f>B65</f>
        <v>2023</v>
      </c>
      <c r="K243" s="547">
        <f>C65</f>
        <v>2022</v>
      </c>
      <c r="L243" s="547">
        <f>D65</f>
        <v>2021</v>
      </c>
      <c r="M243" s="238">
        <v>13</v>
      </c>
      <c r="O243" s="934">
        <v>13</v>
      </c>
      <c r="P243" s="935"/>
      <c r="Q243" s="936" t="s">
        <v>366</v>
      </c>
      <c r="R243" s="667"/>
      <c r="S243" s="667"/>
      <c r="T243" s="667"/>
      <c r="U243" s="667"/>
      <c r="V243" s="667"/>
      <c r="W243" s="667"/>
      <c r="X243" s="667"/>
      <c r="Y243" s="667"/>
      <c r="Z243" s="667"/>
      <c r="AA243" s="668"/>
    </row>
    <row r="244" spans="1:27" ht="14" x14ac:dyDescent="0.3">
      <c r="A244" s="937" t="s">
        <v>376</v>
      </c>
      <c r="B244" s="937"/>
      <c r="C244" s="872"/>
      <c r="D244" s="872"/>
      <c r="E244" s="872"/>
      <c r="F244" s="872"/>
      <c r="G244" s="872"/>
      <c r="H244" s="872"/>
      <c r="I244" s="872"/>
      <c r="J244" s="547">
        <f>I65</f>
        <v>2023</v>
      </c>
      <c r="K244" s="547">
        <f>J65</f>
        <v>2022</v>
      </c>
      <c r="L244" s="547">
        <f>K65</f>
        <v>2021</v>
      </c>
      <c r="M244" s="238">
        <v>14</v>
      </c>
      <c r="O244" s="934">
        <v>14</v>
      </c>
      <c r="P244" s="935"/>
      <c r="Q244" s="936" t="s">
        <v>366</v>
      </c>
      <c r="R244" s="667"/>
      <c r="S244" s="667"/>
      <c r="T244" s="667"/>
      <c r="U244" s="667"/>
      <c r="V244" s="667"/>
      <c r="W244" s="667"/>
      <c r="X244" s="667"/>
      <c r="Y244" s="667"/>
      <c r="Z244" s="667"/>
      <c r="AA244" s="668"/>
    </row>
    <row r="245" spans="1:27" ht="14" x14ac:dyDescent="0.3">
      <c r="A245" s="937" t="s">
        <v>377</v>
      </c>
      <c r="B245" s="937"/>
      <c r="C245" s="872"/>
      <c r="D245" s="872"/>
      <c r="E245" s="872"/>
      <c r="F245" s="872"/>
      <c r="G245" s="872"/>
      <c r="H245" s="872"/>
      <c r="I245" s="872"/>
      <c r="J245" s="547">
        <f>P65</f>
        <v>2022</v>
      </c>
      <c r="K245" s="547">
        <f>Q65</f>
        <v>2021</v>
      </c>
      <c r="L245" s="547">
        <f>R65</f>
        <v>2020</v>
      </c>
      <c r="M245" s="238">
        <v>15</v>
      </c>
      <c r="O245" s="934">
        <v>15</v>
      </c>
      <c r="P245" s="935"/>
      <c r="Q245" s="936" t="s">
        <v>366</v>
      </c>
      <c r="Z245" s="667"/>
      <c r="AA245" s="668"/>
    </row>
    <row r="246" spans="1:27" ht="14" x14ac:dyDescent="0.3">
      <c r="A246" s="937" t="s">
        <v>378</v>
      </c>
      <c r="B246" s="937"/>
      <c r="C246" s="872"/>
      <c r="D246" s="872"/>
      <c r="E246" s="872"/>
      <c r="F246" s="872"/>
      <c r="G246" s="872"/>
      <c r="H246" s="872"/>
      <c r="I246" s="872"/>
      <c r="J246" s="547">
        <f>B80</f>
        <v>2023</v>
      </c>
      <c r="K246" s="547">
        <f>C80</f>
        <v>2022</v>
      </c>
      <c r="L246" s="547">
        <f>D80</f>
        <v>2021</v>
      </c>
      <c r="M246" s="239">
        <v>16</v>
      </c>
      <c r="O246" s="934">
        <v>16</v>
      </c>
      <c r="P246" s="935"/>
      <c r="Q246" s="936" t="s">
        <v>366</v>
      </c>
      <c r="R246" s="667"/>
      <c r="S246" s="667"/>
      <c r="T246" s="667"/>
      <c r="U246" s="667"/>
      <c r="V246" s="667"/>
      <c r="W246" s="667"/>
      <c r="X246" s="667"/>
      <c r="Y246" s="667"/>
      <c r="Z246" s="938"/>
      <c r="AA246" s="939"/>
    </row>
    <row r="247" spans="1:27" ht="14.5" thickBot="1" x14ac:dyDescent="0.35">
      <c r="A247" s="568" t="s">
        <v>488</v>
      </c>
      <c r="B247" s="937"/>
      <c r="C247" s="940"/>
      <c r="D247" s="940"/>
      <c r="E247" s="940"/>
      <c r="F247" s="940"/>
      <c r="G247" s="940"/>
      <c r="H247" s="940"/>
      <c r="I247" s="940"/>
      <c r="J247" s="941">
        <f>I80</f>
        <v>2018</v>
      </c>
      <c r="K247" s="941">
        <f t="shared" ref="K247:L247" si="207">J80</f>
        <v>2017</v>
      </c>
      <c r="L247" s="941" t="str">
        <f t="shared" si="207"/>
        <v>-</v>
      </c>
      <c r="M247" s="238">
        <v>17</v>
      </c>
      <c r="O247" s="934">
        <v>17</v>
      </c>
      <c r="P247" s="942"/>
      <c r="Q247" s="936" t="s">
        <v>366</v>
      </c>
      <c r="R247" s="938"/>
      <c r="S247" s="938"/>
      <c r="T247" s="938"/>
      <c r="U247" s="938"/>
      <c r="V247" s="938"/>
      <c r="W247" s="938"/>
      <c r="X247" s="938"/>
      <c r="Y247" s="938"/>
      <c r="Z247" s="938"/>
      <c r="AA247" s="939"/>
    </row>
    <row r="248" spans="1:27" ht="13.5" thickBot="1" x14ac:dyDescent="0.3">
      <c r="A248" s="1343">
        <f>VLOOKUP(A230,A231:M247,13,(TRUE))</f>
        <v>3</v>
      </c>
      <c r="B248" s="1344"/>
      <c r="C248" s="1344"/>
      <c r="D248" s="1344"/>
      <c r="E248" s="1344"/>
      <c r="F248" s="1344"/>
      <c r="G248" s="1344"/>
      <c r="H248" s="1344"/>
      <c r="I248" s="1344"/>
      <c r="J248" s="1344"/>
      <c r="K248" s="1344"/>
      <c r="L248" s="1344"/>
      <c r="M248" s="1346"/>
      <c r="O248" s="1349" t="str">
        <f>VLOOKUP(O230,O231:AA248,3,FALSE)</f>
        <v>Hasil pengukuran akurasi waktu tertelusur ke Satuan Internasional ( SI ) melalui PT KALIMAN</v>
      </c>
      <c r="P248" s="1350"/>
      <c r="Q248" s="1350"/>
      <c r="R248" s="1350"/>
      <c r="S248" s="1350"/>
      <c r="T248" s="1350"/>
      <c r="U248" s="1350"/>
      <c r="V248" s="1350"/>
      <c r="W248" s="1350"/>
      <c r="X248" s="1350"/>
      <c r="Y248" s="1350"/>
      <c r="Z248" s="1350"/>
      <c r="AA248" s="1351"/>
    </row>
    <row r="249" spans="1:27" ht="14.5" x14ac:dyDescent="0.35">
      <c r="A249" s="228"/>
      <c r="B249" s="228"/>
      <c r="C249" s="880"/>
      <c r="D249" s="719"/>
      <c r="E249" s="719"/>
      <c r="F249" s="719"/>
      <c r="G249" s="719"/>
      <c r="H249" s="574"/>
      <c r="I249" s="574"/>
      <c r="J249" s="574"/>
      <c r="K249" s="574"/>
      <c r="L249" s="574"/>
      <c r="M249" s="228"/>
      <c r="N249" s="574"/>
    </row>
    <row r="250" spans="1:27" ht="14" x14ac:dyDescent="0.25">
      <c r="A250" s="937"/>
      <c r="B250" s="937"/>
    </row>
  </sheetData>
  <mergeCells count="113">
    <mergeCell ref="B3:D3"/>
    <mergeCell ref="I3:K3"/>
    <mergeCell ref="P3:R3"/>
    <mergeCell ref="A16:F16"/>
    <mergeCell ref="H16:M16"/>
    <mergeCell ref="O16:T16"/>
    <mergeCell ref="A1:T1"/>
    <mergeCell ref="A2:D2"/>
    <mergeCell ref="E2:E4"/>
    <mergeCell ref="F2:F4"/>
    <mergeCell ref="H2:K2"/>
    <mergeCell ref="L2:L4"/>
    <mergeCell ref="M2:M4"/>
    <mergeCell ref="O2:R2"/>
    <mergeCell ref="S2:S4"/>
    <mergeCell ref="T2:T4"/>
    <mergeCell ref="O17:R17"/>
    <mergeCell ref="S17:S19"/>
    <mergeCell ref="T17:T19"/>
    <mergeCell ref="B18:D18"/>
    <mergeCell ref="I18:K18"/>
    <mergeCell ref="P18:R18"/>
    <mergeCell ref="A17:D17"/>
    <mergeCell ref="E17:E19"/>
    <mergeCell ref="F17:F19"/>
    <mergeCell ref="H17:K17"/>
    <mergeCell ref="L17:L19"/>
    <mergeCell ref="M17:M19"/>
    <mergeCell ref="O33:R33"/>
    <mergeCell ref="S33:S35"/>
    <mergeCell ref="T33:T35"/>
    <mergeCell ref="B34:D34"/>
    <mergeCell ref="I34:K34"/>
    <mergeCell ref="P34:R34"/>
    <mergeCell ref="A33:D33"/>
    <mergeCell ref="E33:E35"/>
    <mergeCell ref="F33:F35"/>
    <mergeCell ref="H33:K33"/>
    <mergeCell ref="L33:L35"/>
    <mergeCell ref="M33:M35"/>
    <mergeCell ref="O48:R48"/>
    <mergeCell ref="S48:S50"/>
    <mergeCell ref="T48:T50"/>
    <mergeCell ref="B49:D49"/>
    <mergeCell ref="I49:K49"/>
    <mergeCell ref="P49:R49"/>
    <mergeCell ref="A47:F47"/>
    <mergeCell ref="H47:M47"/>
    <mergeCell ref="A48:D48"/>
    <mergeCell ref="E48:E50"/>
    <mergeCell ref="F48:F50"/>
    <mergeCell ref="H48:K48"/>
    <mergeCell ref="L48:L50"/>
    <mergeCell ref="M48:M50"/>
    <mergeCell ref="S63:S65"/>
    <mergeCell ref="T63:T65"/>
    <mergeCell ref="B64:D64"/>
    <mergeCell ref="I64:K64"/>
    <mergeCell ref="P64:R64"/>
    <mergeCell ref="A63:D63"/>
    <mergeCell ref="E63:E65"/>
    <mergeCell ref="F63:F65"/>
    <mergeCell ref="H63:K63"/>
    <mergeCell ref="L63:L65"/>
    <mergeCell ref="M63:M65"/>
    <mergeCell ref="A78:D78"/>
    <mergeCell ref="E78:E80"/>
    <mergeCell ref="F78:F80"/>
    <mergeCell ref="H78:K78"/>
    <mergeCell ref="L78:L80"/>
    <mergeCell ref="M78:M80"/>
    <mergeCell ref="B79:D79"/>
    <mergeCell ref="I79:K79"/>
    <mergeCell ref="O63:R63"/>
    <mergeCell ref="S98:S100"/>
    <mergeCell ref="A101:A116"/>
    <mergeCell ref="K101:K110"/>
    <mergeCell ref="A95:T95"/>
    <mergeCell ref="A98:A100"/>
    <mergeCell ref="B98:B100"/>
    <mergeCell ref="C98:C99"/>
    <mergeCell ref="D98:F99"/>
    <mergeCell ref="G98:G100"/>
    <mergeCell ref="H98:H100"/>
    <mergeCell ref="K98:K100"/>
    <mergeCell ref="L98:L100"/>
    <mergeCell ref="M98:M99"/>
    <mergeCell ref="A118:A133"/>
    <mergeCell ref="K118:K133"/>
    <mergeCell ref="A135:A150"/>
    <mergeCell ref="K135:K150"/>
    <mergeCell ref="A152:A167"/>
    <mergeCell ref="K152:K167"/>
    <mergeCell ref="N98:P99"/>
    <mergeCell ref="Q98:Q100"/>
    <mergeCell ref="R98:R100"/>
    <mergeCell ref="M206:M207"/>
    <mergeCell ref="A220:E220"/>
    <mergeCell ref="G220:K220"/>
    <mergeCell ref="J230:L230"/>
    <mergeCell ref="O230:AA230"/>
    <mergeCell ref="A248:M248"/>
    <mergeCell ref="O248:AA248"/>
    <mergeCell ref="A169:A184"/>
    <mergeCell ref="K169:K184"/>
    <mergeCell ref="A186:A201"/>
    <mergeCell ref="B205:F205"/>
    <mergeCell ref="J205:M205"/>
    <mergeCell ref="B206:D206"/>
    <mergeCell ref="E206:E207"/>
    <mergeCell ref="F206:G206"/>
    <mergeCell ref="H206:H207"/>
    <mergeCell ref="J206:K20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35392-A1CE-4EF1-B70F-18C8C4DC1F59}">
  <dimension ref="A1:AB311"/>
  <sheetViews>
    <sheetView topLeftCell="A249" workbookViewId="0">
      <selection activeCell="Q131" sqref="M131:Q262"/>
    </sheetView>
  </sheetViews>
  <sheetFormatPr defaultColWidth="8.7265625" defaultRowHeight="12.5" x14ac:dyDescent="0.25"/>
  <cols>
    <col min="1" max="1" width="10.26953125" style="569" bestFit="1" customWidth="1"/>
    <col min="2" max="2" width="9.54296875" style="569" bestFit="1" customWidth="1"/>
    <col min="3" max="9" width="8.7265625" style="569"/>
    <col min="10" max="10" width="9.1796875" style="569" bestFit="1" customWidth="1"/>
    <col min="11" max="11" width="8.7265625" style="569"/>
    <col min="12" max="12" width="8.54296875" style="569" customWidth="1"/>
    <col min="13" max="13" width="12.26953125" style="569" customWidth="1"/>
    <col min="14" max="16384" width="8.7265625" style="569"/>
  </cols>
  <sheetData>
    <row r="1" spans="1:24" ht="18" x14ac:dyDescent="0.25">
      <c r="A1" s="1539" t="s">
        <v>379</v>
      </c>
      <c r="B1" s="1540"/>
      <c r="C1" s="1540"/>
      <c r="D1" s="1540"/>
      <c r="E1" s="1540"/>
      <c r="F1" s="1540"/>
      <c r="G1" s="1540"/>
      <c r="H1" s="1540"/>
      <c r="I1" s="1540"/>
      <c r="J1" s="1540"/>
      <c r="K1" s="1540"/>
      <c r="L1" s="1540"/>
      <c r="M1" s="1540"/>
      <c r="N1" s="1540"/>
      <c r="O1" s="1540"/>
      <c r="P1" s="1540"/>
      <c r="Q1" s="1540"/>
      <c r="R1" s="1540"/>
      <c r="S1" s="1540"/>
      <c r="T1" s="1540"/>
      <c r="U1" s="1540"/>
      <c r="V1" s="569" t="s">
        <v>127</v>
      </c>
    </row>
    <row r="2" spans="1:24" ht="14.5" x14ac:dyDescent="0.25">
      <c r="A2" s="1532" t="s">
        <v>380</v>
      </c>
      <c r="B2" s="1530" t="s">
        <v>381</v>
      </c>
      <c r="C2" s="1530"/>
      <c r="D2" s="1530"/>
      <c r="E2" s="1530"/>
      <c r="F2" s="1530"/>
      <c r="G2" s="1530"/>
      <c r="H2" s="1529" t="s">
        <v>382</v>
      </c>
      <c r="I2" s="1530" t="s">
        <v>383</v>
      </c>
      <c r="J2" s="1530"/>
      <c r="K2" s="1530"/>
      <c r="L2" s="1530"/>
      <c r="M2" s="1530"/>
      <c r="N2" s="1530"/>
      <c r="O2" s="1529" t="s">
        <v>384</v>
      </c>
      <c r="P2" s="1530" t="s">
        <v>385</v>
      </c>
      <c r="Q2" s="1530"/>
      <c r="R2" s="1530"/>
      <c r="S2" s="1530"/>
      <c r="T2" s="1530"/>
      <c r="U2" s="1530"/>
    </row>
    <row r="3" spans="1:24" ht="14" x14ac:dyDescent="0.3">
      <c r="A3" s="1532"/>
      <c r="B3" s="1534" t="s">
        <v>386</v>
      </c>
      <c r="C3" s="1534"/>
      <c r="D3" s="1534"/>
      <c r="E3" s="1534"/>
      <c r="F3" s="1534"/>
      <c r="G3" s="1534"/>
      <c r="H3" s="1529"/>
      <c r="I3" s="1534" t="s">
        <v>386</v>
      </c>
      <c r="J3" s="1534"/>
      <c r="K3" s="1534"/>
      <c r="L3" s="1534"/>
      <c r="M3" s="1534"/>
      <c r="N3" s="1534"/>
      <c r="O3" s="1529"/>
      <c r="P3" s="1531" t="s">
        <v>386</v>
      </c>
      <c r="Q3" s="1531"/>
      <c r="R3" s="1531"/>
      <c r="S3" s="1531"/>
      <c r="T3" s="1531"/>
      <c r="U3" s="1531"/>
    </row>
    <row r="4" spans="1:24" ht="13" x14ac:dyDescent="0.25">
      <c r="A4" s="1532"/>
      <c r="B4" s="1520" t="s">
        <v>387</v>
      </c>
      <c r="C4" s="1520"/>
      <c r="D4" s="1520"/>
      <c r="E4" s="1520"/>
      <c r="F4" s="1520" t="s">
        <v>388</v>
      </c>
      <c r="G4" s="1520" t="s">
        <v>389</v>
      </c>
      <c r="H4" s="1529"/>
      <c r="I4" s="1520" t="str">
        <f>B4</f>
        <v>Setting VAC</v>
      </c>
      <c r="J4" s="1520"/>
      <c r="K4" s="1520"/>
      <c r="L4" s="1520"/>
      <c r="M4" s="1520" t="s">
        <v>388</v>
      </c>
      <c r="N4" s="1520" t="s">
        <v>389</v>
      </c>
      <c r="O4" s="1529"/>
      <c r="P4" s="1520" t="str">
        <f>B4</f>
        <v>Setting VAC</v>
      </c>
      <c r="Q4" s="1520"/>
      <c r="R4" s="1520"/>
      <c r="S4" s="1520"/>
      <c r="T4" s="1520" t="s">
        <v>388</v>
      </c>
      <c r="U4" s="1520" t="s">
        <v>389</v>
      </c>
    </row>
    <row r="5" spans="1:24" ht="14" x14ac:dyDescent="0.25">
      <c r="A5" s="1532"/>
      <c r="B5" s="570" t="s">
        <v>390</v>
      </c>
      <c r="C5" s="571">
        <v>2022</v>
      </c>
      <c r="D5" s="571">
        <v>2020</v>
      </c>
      <c r="E5" s="571">
        <v>2019</v>
      </c>
      <c r="F5" s="1520"/>
      <c r="G5" s="1520"/>
      <c r="H5" s="1529"/>
      <c r="I5" s="570" t="s">
        <v>390</v>
      </c>
      <c r="J5" s="571">
        <v>2022</v>
      </c>
      <c r="K5" s="571">
        <v>2019</v>
      </c>
      <c r="L5" s="572">
        <v>2017</v>
      </c>
      <c r="M5" s="1520"/>
      <c r="N5" s="1520"/>
      <c r="O5" s="1529"/>
      <c r="P5" s="570" t="s">
        <v>390</v>
      </c>
      <c r="Q5" s="571">
        <v>2022</v>
      </c>
      <c r="R5" s="571">
        <v>2021</v>
      </c>
      <c r="S5" s="571">
        <v>2018</v>
      </c>
      <c r="T5" s="1520"/>
      <c r="U5" s="1520"/>
      <c r="V5" s="573"/>
      <c r="W5" s="573"/>
      <c r="X5" s="574"/>
    </row>
    <row r="6" spans="1:24" x14ac:dyDescent="0.25">
      <c r="A6" s="1532"/>
      <c r="B6" s="575">
        <v>150</v>
      </c>
      <c r="C6" s="545">
        <v>0.35</v>
      </c>
      <c r="D6" s="545">
        <v>0.31</v>
      </c>
      <c r="E6" s="545">
        <v>0.76</v>
      </c>
      <c r="F6" s="577">
        <f>0.5*(MAX(C6:E6)-MIN(C6:E6))</f>
        <v>0.22500000000000001</v>
      </c>
      <c r="G6" s="575">
        <f t="shared" ref="G6:G10" si="0">(1.2/100)*B6</f>
        <v>1.8</v>
      </c>
      <c r="H6" s="1529"/>
      <c r="I6" s="575">
        <v>150</v>
      </c>
      <c r="J6" s="576">
        <v>0.22</v>
      </c>
      <c r="K6" s="578">
        <v>0.15</v>
      </c>
      <c r="L6" s="578">
        <v>0.23</v>
      </c>
      <c r="M6" s="577">
        <f t="shared" ref="M6:M11" si="1">0.5*(MAX(K6:L6)-MIN(K6:L6))</f>
        <v>4.0000000000000008E-2</v>
      </c>
      <c r="N6" s="575">
        <f>(1.2/100)*I6</f>
        <v>1.8</v>
      </c>
      <c r="O6" s="1529"/>
      <c r="P6" s="575">
        <v>150</v>
      </c>
      <c r="Q6" s="578">
        <v>-1.43</v>
      </c>
      <c r="R6" s="578">
        <v>-1.6</v>
      </c>
      <c r="S6" s="578">
        <v>-7.0000000000000007E-2</v>
      </c>
      <c r="T6" s="577">
        <f>0.5*(MAX(Q6:S6)-MIN(Q6:S6))</f>
        <v>0.76500000000000001</v>
      </c>
      <c r="U6" s="575">
        <f t="shared" ref="U6:U11" si="2">(1.2/100)*P6</f>
        <v>1.8</v>
      </c>
      <c r="V6" s="228"/>
      <c r="W6" s="579"/>
      <c r="X6" s="574"/>
    </row>
    <row r="7" spans="1:24" x14ac:dyDescent="0.25">
      <c r="A7" s="1532"/>
      <c r="B7" s="575">
        <v>180</v>
      </c>
      <c r="C7" s="545">
        <v>-0.1</v>
      </c>
      <c r="D7" s="545">
        <v>0.1</v>
      </c>
      <c r="E7" s="545">
        <v>-0.03</v>
      </c>
      <c r="F7" s="577">
        <f t="shared" ref="F7:F11" si="3">0.5*(MAX(C7:E7)-MIN(C7:E7))</f>
        <v>0.1</v>
      </c>
      <c r="G7" s="575">
        <f t="shared" si="0"/>
        <v>2.16</v>
      </c>
      <c r="H7" s="1529"/>
      <c r="I7" s="575">
        <v>180</v>
      </c>
      <c r="J7" s="576">
        <v>0.1</v>
      </c>
      <c r="K7" s="578">
        <v>0.12</v>
      </c>
      <c r="L7" s="578">
        <v>-0.06</v>
      </c>
      <c r="M7" s="577">
        <f t="shared" si="1"/>
        <v>0.09</v>
      </c>
      <c r="N7" s="575">
        <f>(1.2/100)*I7</f>
        <v>2.16</v>
      </c>
      <c r="O7" s="1529"/>
      <c r="P7" s="575">
        <v>180</v>
      </c>
      <c r="Q7" s="578">
        <v>-1.81</v>
      </c>
      <c r="R7" s="578">
        <v>-1.9</v>
      </c>
      <c r="S7" s="578">
        <v>-0.13</v>
      </c>
      <c r="T7" s="577">
        <f t="shared" ref="T7:T11" si="4">0.5*(MAX(Q7:S7)-MIN(Q7:S7))</f>
        <v>0.88500000000000001</v>
      </c>
      <c r="U7" s="575">
        <f t="shared" si="2"/>
        <v>2.16</v>
      </c>
      <c r="V7" s="228"/>
      <c r="W7" s="579"/>
      <c r="X7" s="574"/>
    </row>
    <row r="8" spans="1:24" x14ac:dyDescent="0.25">
      <c r="A8" s="1532"/>
      <c r="B8" s="545">
        <v>200</v>
      </c>
      <c r="C8" s="545">
        <v>-0.17</v>
      </c>
      <c r="D8" s="545">
        <v>-0.04</v>
      </c>
      <c r="E8" s="545">
        <v>-0.16</v>
      </c>
      <c r="F8" s="577">
        <f t="shared" si="3"/>
        <v>6.5000000000000002E-2</v>
      </c>
      <c r="G8" s="575">
        <f t="shared" si="0"/>
        <v>2.4</v>
      </c>
      <c r="H8" s="1529"/>
      <c r="I8" s="545">
        <v>200</v>
      </c>
      <c r="J8" s="576">
        <v>0.09</v>
      </c>
      <c r="K8" s="578">
        <v>0.06</v>
      </c>
      <c r="L8" s="578">
        <v>-0.18</v>
      </c>
      <c r="M8" s="577">
        <f t="shared" si="1"/>
        <v>0.12</v>
      </c>
      <c r="N8" s="575">
        <f>(1.2/100)*I8</f>
        <v>2.4</v>
      </c>
      <c r="O8" s="1529"/>
      <c r="P8" s="575">
        <v>200</v>
      </c>
      <c r="Q8" s="578">
        <v>-2.0499999999999998</v>
      </c>
      <c r="R8" s="578">
        <v>-2.14</v>
      </c>
      <c r="S8" s="578">
        <v>-0.26</v>
      </c>
      <c r="T8" s="577">
        <f t="shared" si="4"/>
        <v>0.94000000000000006</v>
      </c>
      <c r="U8" s="575">
        <f t="shared" si="2"/>
        <v>2.4</v>
      </c>
      <c r="V8" s="228"/>
      <c r="W8" s="579"/>
      <c r="X8" s="574"/>
    </row>
    <row r="9" spans="1:24" x14ac:dyDescent="0.25">
      <c r="A9" s="1532"/>
      <c r="B9" s="545">
        <v>220</v>
      </c>
      <c r="C9" s="545">
        <v>-0.27</v>
      </c>
      <c r="D9" s="545">
        <v>-0.28000000000000003</v>
      </c>
      <c r="E9" s="545">
        <v>-0.18</v>
      </c>
      <c r="F9" s="577">
        <f t="shared" si="3"/>
        <v>5.0000000000000017E-2</v>
      </c>
      <c r="G9" s="575">
        <f t="shared" si="0"/>
        <v>2.64</v>
      </c>
      <c r="H9" s="1529"/>
      <c r="I9" s="545">
        <v>220</v>
      </c>
      <c r="J9" s="576">
        <v>0.53</v>
      </c>
      <c r="K9" s="578">
        <v>0.05</v>
      </c>
      <c r="L9" s="578">
        <v>-0.03</v>
      </c>
      <c r="M9" s="577">
        <f t="shared" si="1"/>
        <v>0.04</v>
      </c>
      <c r="N9" s="575">
        <f>(1.2/100)*I9</f>
        <v>2.64</v>
      </c>
      <c r="O9" s="1529"/>
      <c r="P9" s="545">
        <v>220</v>
      </c>
      <c r="Q9" s="578">
        <v>-2.29</v>
      </c>
      <c r="R9" s="578">
        <v>-3.44</v>
      </c>
      <c r="S9" s="578">
        <v>-0.28999999999999998</v>
      </c>
      <c r="T9" s="577">
        <f t="shared" si="4"/>
        <v>1.575</v>
      </c>
      <c r="U9" s="575">
        <f t="shared" si="2"/>
        <v>2.64</v>
      </c>
      <c r="V9" s="228"/>
      <c r="W9" s="579"/>
      <c r="X9" s="574"/>
    </row>
    <row r="10" spans="1:24" x14ac:dyDescent="0.25">
      <c r="A10" s="1532"/>
      <c r="B10" s="545">
        <v>230</v>
      </c>
      <c r="C10" s="545">
        <v>0.64</v>
      </c>
      <c r="D10" s="545">
        <v>-0.2</v>
      </c>
      <c r="E10" s="545">
        <v>-0.26</v>
      </c>
      <c r="F10" s="577">
        <f t="shared" si="3"/>
        <v>0.45</v>
      </c>
      <c r="G10" s="575">
        <f t="shared" si="0"/>
        <v>2.7600000000000002</v>
      </c>
      <c r="H10" s="1529"/>
      <c r="I10" s="545">
        <v>230</v>
      </c>
      <c r="J10" s="576">
        <v>1.08</v>
      </c>
      <c r="K10" s="545">
        <v>9.9999999999999995E-7</v>
      </c>
      <c r="L10" s="545">
        <v>0.05</v>
      </c>
      <c r="M10" s="577">
        <f t="shared" si="1"/>
        <v>2.4999500000000001E-2</v>
      </c>
      <c r="N10" s="575">
        <f>(1.2/100)*I10</f>
        <v>2.7600000000000002</v>
      </c>
      <c r="O10" s="1529"/>
      <c r="P10" s="545">
        <v>230</v>
      </c>
      <c r="Q10" s="578">
        <v>-11.79</v>
      </c>
      <c r="R10" s="578">
        <v>-2.52</v>
      </c>
      <c r="S10" s="578">
        <v>-0.23</v>
      </c>
      <c r="T10" s="577">
        <f t="shared" si="4"/>
        <v>5.7799999999999994</v>
      </c>
      <c r="U10" s="575">
        <f t="shared" si="2"/>
        <v>2.7600000000000002</v>
      </c>
      <c r="V10" s="228"/>
      <c r="W10" s="579"/>
      <c r="X10" s="574"/>
    </row>
    <row r="11" spans="1:24" x14ac:dyDescent="0.25">
      <c r="A11" s="1532"/>
      <c r="B11" s="545">
        <v>250</v>
      </c>
      <c r="C11" s="545">
        <v>-0.36</v>
      </c>
      <c r="D11" s="545">
        <v>-0.32</v>
      </c>
      <c r="E11" s="545">
        <v>9.9999999999999995E-7</v>
      </c>
      <c r="F11" s="577">
        <f t="shared" si="3"/>
        <v>0.18000049999999998</v>
      </c>
      <c r="G11" s="575">
        <f>(1.2/100)*B11</f>
        <v>3</v>
      </c>
      <c r="H11" s="1529"/>
      <c r="I11" s="545">
        <v>250</v>
      </c>
      <c r="J11" s="576">
        <v>-0.01</v>
      </c>
      <c r="K11" s="545">
        <v>9.9999999999999995E-7</v>
      </c>
      <c r="L11" s="545">
        <v>9.9999999999999995E-7</v>
      </c>
      <c r="M11" s="577">
        <f t="shared" si="1"/>
        <v>0</v>
      </c>
      <c r="N11" s="575">
        <v>2.76</v>
      </c>
      <c r="O11" s="1529"/>
      <c r="P11" s="545">
        <v>250</v>
      </c>
      <c r="Q11" s="578">
        <v>9.9999999999999995E-7</v>
      </c>
      <c r="R11" s="578">
        <v>9.9999999999999995E-7</v>
      </c>
      <c r="S11" s="578">
        <v>9.9999999999999995E-7</v>
      </c>
      <c r="T11" s="577">
        <f t="shared" si="4"/>
        <v>0</v>
      </c>
      <c r="U11" s="575">
        <f t="shared" si="2"/>
        <v>3</v>
      </c>
      <c r="V11" s="228"/>
      <c r="W11" s="579"/>
      <c r="X11" s="574"/>
    </row>
    <row r="12" spans="1:24" ht="13" customHeight="1" x14ac:dyDescent="0.25">
      <c r="A12" s="1532"/>
      <c r="B12" s="1528" t="s">
        <v>391</v>
      </c>
      <c r="C12" s="1528"/>
      <c r="D12" s="1528"/>
      <c r="E12" s="1528"/>
      <c r="F12" s="1520" t="s">
        <v>388</v>
      </c>
      <c r="G12" s="1537" t="s">
        <v>389</v>
      </c>
      <c r="H12" s="1529"/>
      <c r="I12" s="1528" t="str">
        <f>B12</f>
        <v>Current Leakage</v>
      </c>
      <c r="J12" s="1528"/>
      <c r="K12" s="1528"/>
      <c r="L12" s="1528"/>
      <c r="M12" s="1520" t="s">
        <v>388</v>
      </c>
      <c r="N12" s="1520" t="s">
        <v>389</v>
      </c>
      <c r="O12" s="1529"/>
      <c r="P12" s="1528" t="str">
        <f>B12</f>
        <v>Current Leakage</v>
      </c>
      <c r="Q12" s="1528"/>
      <c r="R12" s="1528"/>
      <c r="S12" s="1528"/>
      <c r="T12" s="1520" t="s">
        <v>388</v>
      </c>
      <c r="U12" s="1520" t="s">
        <v>389</v>
      </c>
      <c r="V12" s="574"/>
      <c r="W12" s="574"/>
      <c r="X12" s="574"/>
    </row>
    <row r="13" spans="1:24" ht="14" x14ac:dyDescent="0.25">
      <c r="A13" s="1532"/>
      <c r="B13" s="570" t="s">
        <v>392</v>
      </c>
      <c r="C13" s="571">
        <f>C5</f>
        <v>2022</v>
      </c>
      <c r="D13" s="571">
        <f>D5</f>
        <v>2020</v>
      </c>
      <c r="E13" s="571">
        <f>E5</f>
        <v>2019</v>
      </c>
      <c r="F13" s="1520"/>
      <c r="G13" s="1538"/>
      <c r="H13" s="1529"/>
      <c r="I13" s="570" t="s">
        <v>392</v>
      </c>
      <c r="J13" s="571">
        <f>J5</f>
        <v>2022</v>
      </c>
      <c r="K13" s="571">
        <f>K5</f>
        <v>2019</v>
      </c>
      <c r="L13" s="571">
        <f>L5</f>
        <v>2017</v>
      </c>
      <c r="M13" s="1520"/>
      <c r="N13" s="1520"/>
      <c r="O13" s="1529"/>
      <c r="P13" s="570" t="s">
        <v>392</v>
      </c>
      <c r="Q13" s="571">
        <f>Q5</f>
        <v>2022</v>
      </c>
      <c r="R13" s="571">
        <f>R5</f>
        <v>2021</v>
      </c>
      <c r="S13" s="571">
        <f>S5</f>
        <v>2018</v>
      </c>
      <c r="T13" s="1520"/>
      <c r="U13" s="1520"/>
      <c r="V13" s="574"/>
      <c r="W13" s="574"/>
      <c r="X13" s="574"/>
    </row>
    <row r="14" spans="1:24" x14ac:dyDescent="0.25">
      <c r="A14" s="1532"/>
      <c r="B14" s="545">
        <v>0</v>
      </c>
      <c r="C14" s="545">
        <v>0</v>
      </c>
      <c r="D14" s="545">
        <v>9.9999999999999995E-7</v>
      </c>
      <c r="E14" s="545">
        <v>9.9999999999999995E-7</v>
      </c>
      <c r="F14" s="577">
        <f>0.5*(MAX(C14:E14)-MIN(C14:E14))</f>
        <v>4.9999999999999998E-7</v>
      </c>
      <c r="G14" s="575">
        <f t="shared" ref="G14:G18" si="5">(0.59/100)*B14</f>
        <v>0</v>
      </c>
      <c r="H14" s="1529"/>
      <c r="I14" s="545">
        <v>0</v>
      </c>
      <c r="J14" s="576">
        <v>0</v>
      </c>
      <c r="K14" s="545">
        <v>9.9999999999999995E-7</v>
      </c>
      <c r="L14" s="545">
        <v>9.9999999999999995E-7</v>
      </c>
      <c r="M14" s="577">
        <f t="shared" ref="M14:M19" si="6">0.5*(MAX(K14:L14)-MIN(K14:L14))</f>
        <v>0</v>
      </c>
      <c r="N14" s="575">
        <f>(0.59/100)*I14</f>
        <v>0</v>
      </c>
      <c r="O14" s="1529"/>
      <c r="P14" s="545">
        <v>9.9999999999999995E-7</v>
      </c>
      <c r="Q14" s="545">
        <v>9.9999999999999995E-7</v>
      </c>
      <c r="R14" s="545">
        <v>9.9999999999999995E-7</v>
      </c>
      <c r="S14" s="545">
        <v>9.9999999999999995E-7</v>
      </c>
      <c r="T14" s="577">
        <f>0.5*(MAX(Q14:S14)-MIN(Q14:S14))</f>
        <v>0</v>
      </c>
      <c r="U14" s="545">
        <f t="shared" ref="U14:U19" si="7">(0.59/100)*P14</f>
        <v>5.8999999999999999E-9</v>
      </c>
      <c r="V14" s="574"/>
      <c r="W14" s="574"/>
      <c r="X14" s="574"/>
    </row>
    <row r="15" spans="1:24" x14ac:dyDescent="0.25">
      <c r="A15" s="1532"/>
      <c r="B15" s="545">
        <v>50</v>
      </c>
      <c r="C15" s="545">
        <v>4</v>
      </c>
      <c r="D15" s="545">
        <v>0.1</v>
      </c>
      <c r="E15" s="545">
        <v>-0.06</v>
      </c>
      <c r="F15" s="577">
        <f t="shared" ref="F15:F19" si="8">0.5*(MAX(C15:E15)-MIN(C15:E15))</f>
        <v>2.0299999999999998</v>
      </c>
      <c r="G15" s="575">
        <f t="shared" si="5"/>
        <v>0.29499999999999998</v>
      </c>
      <c r="H15" s="1529"/>
      <c r="I15" s="545">
        <v>50</v>
      </c>
      <c r="J15" s="576">
        <v>1</v>
      </c>
      <c r="K15" s="578">
        <v>-0.08</v>
      </c>
      <c r="L15" s="578">
        <v>0.1</v>
      </c>
      <c r="M15" s="577">
        <f t="shared" si="6"/>
        <v>0.09</v>
      </c>
      <c r="N15" s="575">
        <f>(0.59/100)*I15</f>
        <v>0.29499999999999998</v>
      </c>
      <c r="O15" s="1529"/>
      <c r="P15" s="545">
        <v>50</v>
      </c>
      <c r="Q15" s="578">
        <v>9.1</v>
      </c>
      <c r="R15" s="578">
        <v>-0.62</v>
      </c>
      <c r="S15" s="578">
        <v>2</v>
      </c>
      <c r="T15" s="577">
        <f t="shared" ref="T15:T19" si="9">0.5*(MAX(Q15:S15)-MIN(Q15:S15))</f>
        <v>4.8599999999999994</v>
      </c>
      <c r="U15" s="545">
        <f t="shared" si="7"/>
        <v>0.29499999999999998</v>
      </c>
      <c r="V15" s="574"/>
      <c r="W15" s="574"/>
      <c r="X15" s="574"/>
    </row>
    <row r="16" spans="1:24" x14ac:dyDescent="0.25">
      <c r="A16" s="1532"/>
      <c r="B16" s="545">
        <v>100</v>
      </c>
      <c r="C16" s="545">
        <v>3.6</v>
      </c>
      <c r="D16" s="545">
        <v>0.2</v>
      </c>
      <c r="E16" s="545">
        <v>-0.06</v>
      </c>
      <c r="F16" s="577">
        <f t="shared" si="8"/>
        <v>1.83</v>
      </c>
      <c r="G16" s="575">
        <f t="shared" si="5"/>
        <v>0.59</v>
      </c>
      <c r="H16" s="1529"/>
      <c r="I16" s="545">
        <v>100</v>
      </c>
      <c r="J16" s="576">
        <v>-0.9</v>
      </c>
      <c r="K16" s="545">
        <v>-7.0000000000000007E-2</v>
      </c>
      <c r="L16" s="545">
        <v>2.2000000000000002</v>
      </c>
      <c r="M16" s="577">
        <f t="shared" si="6"/>
        <v>1.135</v>
      </c>
      <c r="N16" s="575">
        <f t="shared" ref="N16:N19" si="10">(0.59/100)*I16</f>
        <v>0.59</v>
      </c>
      <c r="O16" s="1529"/>
      <c r="P16" s="545">
        <v>100</v>
      </c>
      <c r="Q16" s="578">
        <v>6</v>
      </c>
      <c r="R16" s="578">
        <v>-0.22</v>
      </c>
      <c r="S16" s="578">
        <v>2</v>
      </c>
      <c r="T16" s="577">
        <f t="shared" si="9"/>
        <v>3.11</v>
      </c>
      <c r="U16" s="545">
        <f t="shared" si="7"/>
        <v>0.59</v>
      </c>
      <c r="V16" s="574"/>
      <c r="W16" s="574"/>
      <c r="X16" s="574"/>
    </row>
    <row r="17" spans="1:28" x14ac:dyDescent="0.25">
      <c r="A17" s="1532"/>
      <c r="B17" s="545">
        <v>200</v>
      </c>
      <c r="C17" s="545">
        <v>2.2000000000000002</v>
      </c>
      <c r="D17" s="545">
        <v>0.4</v>
      </c>
      <c r="E17" s="545">
        <v>9.9999999999999995E-7</v>
      </c>
      <c r="F17" s="577">
        <f t="shared" si="8"/>
        <v>1.0999995</v>
      </c>
      <c r="G17" s="575">
        <f t="shared" si="5"/>
        <v>1.18</v>
      </c>
      <c r="H17" s="1529"/>
      <c r="I17" s="545">
        <v>200</v>
      </c>
      <c r="J17" s="576">
        <v>-6.4</v>
      </c>
      <c r="K17" s="578">
        <v>-0.1</v>
      </c>
      <c r="L17" s="578">
        <v>3.3</v>
      </c>
      <c r="M17" s="577">
        <f t="shared" si="6"/>
        <v>1.7</v>
      </c>
      <c r="N17" s="575">
        <f t="shared" si="10"/>
        <v>1.18</v>
      </c>
      <c r="O17" s="1529"/>
      <c r="P17" s="545">
        <v>200</v>
      </c>
      <c r="Q17" s="578">
        <v>-3.6</v>
      </c>
      <c r="R17" s="578">
        <v>-0.1</v>
      </c>
      <c r="S17" s="578">
        <v>3.6</v>
      </c>
      <c r="T17" s="577">
        <f t="shared" si="9"/>
        <v>3.6</v>
      </c>
      <c r="U17" s="545">
        <f t="shared" si="7"/>
        <v>1.18</v>
      </c>
      <c r="V17" s="574"/>
      <c r="W17" s="574"/>
      <c r="X17" s="574"/>
    </row>
    <row r="18" spans="1:28" ht="13" x14ac:dyDescent="0.3">
      <c r="A18" s="1532"/>
      <c r="B18" s="545">
        <v>500</v>
      </c>
      <c r="C18" s="545">
        <v>-2</v>
      </c>
      <c r="D18" s="545">
        <v>3.8</v>
      </c>
      <c r="E18" s="545">
        <v>-0.9</v>
      </c>
      <c r="F18" s="577">
        <f t="shared" si="8"/>
        <v>2.9</v>
      </c>
      <c r="G18" s="575">
        <f t="shared" si="5"/>
        <v>2.9499999999999997</v>
      </c>
      <c r="H18" s="1529"/>
      <c r="I18" s="545">
        <v>500</v>
      </c>
      <c r="J18" s="576">
        <v>-21.7</v>
      </c>
      <c r="K18" s="578">
        <v>0.8</v>
      </c>
      <c r="L18" s="578">
        <v>2</v>
      </c>
      <c r="M18" s="577">
        <f t="shared" si="6"/>
        <v>0.6</v>
      </c>
      <c r="N18" s="575">
        <f t="shared" si="10"/>
        <v>2.9499999999999997</v>
      </c>
      <c r="O18" s="1529"/>
      <c r="P18" s="545">
        <v>500</v>
      </c>
      <c r="Q18" s="578">
        <v>-18.8</v>
      </c>
      <c r="R18" s="578">
        <v>-1.1000000000000001</v>
      </c>
      <c r="S18" s="578">
        <v>2.9</v>
      </c>
      <c r="T18" s="577">
        <f t="shared" si="9"/>
        <v>10.85</v>
      </c>
      <c r="U18" s="545">
        <f t="shared" si="7"/>
        <v>2.9499999999999997</v>
      </c>
      <c r="V18" s="574"/>
      <c r="W18" s="574"/>
      <c r="X18" s="574"/>
      <c r="AB18" s="580"/>
    </row>
    <row r="19" spans="1:28" x14ac:dyDescent="0.25">
      <c r="A19" s="1532"/>
      <c r="B19" s="545">
        <v>1000</v>
      </c>
      <c r="C19" s="545">
        <v>-26</v>
      </c>
      <c r="D19" s="545">
        <v>9.9999999999999995E-7</v>
      </c>
      <c r="E19" s="545">
        <v>9.9999999999999995E-7</v>
      </c>
      <c r="F19" s="577">
        <f t="shared" si="8"/>
        <v>13.000000500000001</v>
      </c>
      <c r="G19" s="575">
        <f>(0.59/100)*B19</f>
        <v>5.8999999999999995</v>
      </c>
      <c r="H19" s="1529"/>
      <c r="I19" s="545">
        <v>1000</v>
      </c>
      <c r="J19" s="943">
        <v>-6.7000000000000004E-2</v>
      </c>
      <c r="K19" s="545">
        <v>9.9999999999999995E-7</v>
      </c>
      <c r="L19" s="545">
        <v>9.9999999999999995E-7</v>
      </c>
      <c r="M19" s="577">
        <f t="shared" si="6"/>
        <v>0</v>
      </c>
      <c r="N19" s="575">
        <f t="shared" si="10"/>
        <v>5.8999999999999995</v>
      </c>
      <c r="O19" s="1529"/>
      <c r="P19" s="545">
        <v>1000</v>
      </c>
      <c r="Q19" s="578">
        <v>-47</v>
      </c>
      <c r="R19" s="578">
        <v>3</v>
      </c>
      <c r="S19" s="578">
        <v>3</v>
      </c>
      <c r="T19" s="577">
        <f t="shared" si="9"/>
        <v>25</v>
      </c>
      <c r="U19" s="545">
        <f t="shared" si="7"/>
        <v>5.8999999999999995</v>
      </c>
      <c r="V19" s="574"/>
      <c r="W19" s="574"/>
      <c r="X19" s="574"/>
    </row>
    <row r="20" spans="1:28" ht="13" x14ac:dyDescent="0.25">
      <c r="A20" s="1532"/>
      <c r="B20" s="1528" t="s">
        <v>393</v>
      </c>
      <c r="C20" s="1528"/>
      <c r="D20" s="1528"/>
      <c r="E20" s="1528"/>
      <c r="F20" s="1520" t="s">
        <v>388</v>
      </c>
      <c r="G20" s="1537" t="s">
        <v>389</v>
      </c>
      <c r="H20" s="1529"/>
      <c r="I20" s="1528" t="str">
        <f>B20</f>
        <v>Main-PE</v>
      </c>
      <c r="J20" s="1528"/>
      <c r="K20" s="1528"/>
      <c r="L20" s="1528"/>
      <c r="M20" s="1520" t="s">
        <v>388</v>
      </c>
      <c r="N20" s="1520" t="s">
        <v>389</v>
      </c>
      <c r="O20" s="1529"/>
      <c r="P20" s="1528" t="str">
        <f>B20</f>
        <v>Main-PE</v>
      </c>
      <c r="Q20" s="1528"/>
      <c r="R20" s="1528"/>
      <c r="S20" s="1528"/>
      <c r="T20" s="1520" t="s">
        <v>388</v>
      </c>
      <c r="U20" s="1520" t="s">
        <v>389</v>
      </c>
      <c r="V20" s="574"/>
      <c r="W20" s="574"/>
      <c r="X20" s="574"/>
    </row>
    <row r="21" spans="1:28" ht="14.5" x14ac:dyDescent="0.25">
      <c r="A21" s="1532"/>
      <c r="B21" s="570" t="s">
        <v>394</v>
      </c>
      <c r="C21" s="571">
        <f>C5</f>
        <v>2022</v>
      </c>
      <c r="D21" s="571">
        <f>D5</f>
        <v>2020</v>
      </c>
      <c r="E21" s="571">
        <f>E5</f>
        <v>2019</v>
      </c>
      <c r="F21" s="1520"/>
      <c r="G21" s="1538"/>
      <c r="H21" s="1529"/>
      <c r="I21" s="570" t="s">
        <v>394</v>
      </c>
      <c r="J21" s="571">
        <f>J5</f>
        <v>2022</v>
      </c>
      <c r="K21" s="571">
        <f>K5</f>
        <v>2019</v>
      </c>
      <c r="L21" s="571">
        <f>L5</f>
        <v>2017</v>
      </c>
      <c r="M21" s="1520"/>
      <c r="N21" s="1520"/>
      <c r="O21" s="1529"/>
      <c r="P21" s="570" t="s">
        <v>394</v>
      </c>
      <c r="Q21" s="571">
        <f>Q5</f>
        <v>2022</v>
      </c>
      <c r="R21" s="571">
        <f>R5</f>
        <v>2021</v>
      </c>
      <c r="S21" s="571">
        <f>S5</f>
        <v>2018</v>
      </c>
      <c r="T21" s="1520"/>
      <c r="U21" s="1520"/>
      <c r="V21" s="574"/>
      <c r="W21" s="574"/>
      <c r="X21" s="574"/>
    </row>
    <row r="22" spans="1:28" x14ac:dyDescent="0.25">
      <c r="A22" s="1532"/>
      <c r="B22" s="545">
        <v>10</v>
      </c>
      <c r="C22" s="545">
        <v>0</v>
      </c>
      <c r="D22" s="545">
        <v>-1E-3</v>
      </c>
      <c r="E22" s="545">
        <v>9.9999999999999995E-7</v>
      </c>
      <c r="F22" s="577">
        <f>0.5*(MAX(C22:E22)-MIN(C22:E22))</f>
        <v>5.0049999999999997E-4</v>
      </c>
      <c r="G22" s="575">
        <f t="shared" ref="G22:G23" si="11">(1.7/100)*(B22-C22)</f>
        <v>0.17</v>
      </c>
      <c r="H22" s="1529"/>
      <c r="I22" s="545">
        <v>10</v>
      </c>
      <c r="J22" s="576">
        <v>0</v>
      </c>
      <c r="K22" s="545">
        <v>0.1</v>
      </c>
      <c r="L22" s="545">
        <v>9.9999999999999995E-7</v>
      </c>
      <c r="M22" s="577">
        <f>0.5*(MAX(K22:L22)-MIN(K22:L22))</f>
        <v>4.9999500000000002E-2</v>
      </c>
      <c r="N22" s="575">
        <f>(1.7/100)*(I22-J22)</f>
        <v>0.17</v>
      </c>
      <c r="O22" s="1529"/>
      <c r="P22" s="545">
        <v>5</v>
      </c>
      <c r="Q22" s="578">
        <v>9.9999999999999995E-7</v>
      </c>
      <c r="R22" s="578">
        <v>9.9999999999999995E-7</v>
      </c>
      <c r="S22" s="578">
        <v>9.9999999999999995E-7</v>
      </c>
      <c r="T22" s="577">
        <f>0.5*(MAX(Q22:S22)-MIN(Q22:S22))</f>
        <v>0</v>
      </c>
      <c r="U22" s="545">
        <f>(1.7/100)*P22</f>
        <v>8.5000000000000006E-2</v>
      </c>
      <c r="V22" s="574"/>
      <c r="W22" s="574"/>
      <c r="X22" s="574"/>
    </row>
    <row r="23" spans="1:28" x14ac:dyDescent="0.25">
      <c r="A23" s="1532"/>
      <c r="B23" s="545">
        <v>20</v>
      </c>
      <c r="C23" s="545">
        <v>0.1</v>
      </c>
      <c r="D23" s="545">
        <v>9.9999999999999995E-7</v>
      </c>
      <c r="E23" s="545">
        <v>9.9999999999999995E-7</v>
      </c>
      <c r="F23" s="577">
        <f t="shared" ref="F23:F25" si="12">0.5*(MAX(C23:E23)-MIN(C23:E23))</f>
        <v>4.9999500000000002E-2</v>
      </c>
      <c r="G23" s="575">
        <f t="shared" si="11"/>
        <v>0.33829999999999999</v>
      </c>
      <c r="H23" s="1529"/>
      <c r="I23" s="545">
        <v>20</v>
      </c>
      <c r="J23" s="576">
        <v>0.1</v>
      </c>
      <c r="K23" s="545">
        <v>0.2</v>
      </c>
      <c r="L23" s="545">
        <v>0.1</v>
      </c>
      <c r="M23" s="577">
        <f>0.5*(MAX(K23:L23)-MIN(K23:L23))</f>
        <v>0.05</v>
      </c>
      <c r="N23" s="575">
        <f t="shared" ref="N23:N25" si="13">(1.7/100)*(I23-J23)</f>
        <v>0.33829999999999999</v>
      </c>
      <c r="O23" s="1529"/>
      <c r="P23" s="545">
        <v>10</v>
      </c>
      <c r="Q23" s="578">
        <v>9.9999999999999995E-7</v>
      </c>
      <c r="R23" s="578">
        <v>9.9999999999999995E-7</v>
      </c>
      <c r="S23" s="578">
        <v>9.9999999999999995E-7</v>
      </c>
      <c r="T23" s="577">
        <f t="shared" ref="T23:T25" si="14">0.5*(MAX(Q23:S23)-MIN(Q23:S23))</f>
        <v>0</v>
      </c>
      <c r="U23" s="545">
        <f>(1.7/100)*P23</f>
        <v>0.17</v>
      </c>
      <c r="V23" s="574"/>
      <c r="W23" s="574"/>
      <c r="X23" s="574"/>
    </row>
    <row r="24" spans="1:28" x14ac:dyDescent="0.25">
      <c r="A24" s="1532"/>
      <c r="B24" s="545">
        <v>50</v>
      </c>
      <c r="C24" s="545">
        <v>0.3</v>
      </c>
      <c r="D24" s="545">
        <v>9.9999999999999995E-7</v>
      </c>
      <c r="E24" s="545">
        <v>9.9999999999999995E-7</v>
      </c>
      <c r="F24" s="577">
        <f t="shared" si="12"/>
        <v>0.14999950000000001</v>
      </c>
      <c r="G24" s="575">
        <f>(1.7/100)*(B24-C24)</f>
        <v>0.8449000000000001</v>
      </c>
      <c r="H24" s="1529"/>
      <c r="I24" s="545">
        <v>50</v>
      </c>
      <c r="J24" s="576">
        <v>0.2</v>
      </c>
      <c r="K24" s="545">
        <v>0.3</v>
      </c>
      <c r="L24" s="545">
        <v>0.1</v>
      </c>
      <c r="M24" s="577">
        <f>0.5*(MAX(K24:L24)-MIN(K24:L24))</f>
        <v>9.9999999999999992E-2</v>
      </c>
      <c r="N24" s="575">
        <f t="shared" si="13"/>
        <v>0.84660000000000002</v>
      </c>
      <c r="O24" s="1529"/>
      <c r="P24" s="545">
        <v>20</v>
      </c>
      <c r="Q24" s="581">
        <v>9.9999999999999995E-7</v>
      </c>
      <c r="R24" s="581">
        <v>0.4</v>
      </c>
      <c r="S24" s="581">
        <v>0.3</v>
      </c>
      <c r="T24" s="577">
        <f t="shared" si="14"/>
        <v>0.19999950000000002</v>
      </c>
      <c r="U24" s="545">
        <f>(1.7/100)*P24</f>
        <v>0.34</v>
      </c>
      <c r="V24" s="574"/>
      <c r="W24" s="574"/>
      <c r="X24" s="574"/>
    </row>
    <row r="25" spans="1:28" x14ac:dyDescent="0.25">
      <c r="A25" s="1532"/>
      <c r="B25" s="545">
        <v>100</v>
      </c>
      <c r="C25" s="545">
        <v>0.4</v>
      </c>
      <c r="D25" s="545">
        <v>9.9999999999999995E-7</v>
      </c>
      <c r="E25" s="545">
        <v>9.9999999999999995E-7</v>
      </c>
      <c r="F25" s="577">
        <f t="shared" si="12"/>
        <v>0.19999950000000002</v>
      </c>
      <c r="G25" s="575">
        <f>(1.7/100)*(B25-C25)</f>
        <v>1.6932</v>
      </c>
      <c r="H25" s="1529"/>
      <c r="I25" s="545">
        <v>100</v>
      </c>
      <c r="J25" s="576">
        <v>0.2</v>
      </c>
      <c r="K25" s="545">
        <v>0.3</v>
      </c>
      <c r="L25" s="545">
        <v>9.9999999999999995E-7</v>
      </c>
      <c r="M25" s="577">
        <f>0.5*(MAX(K25:L25)-MIN(K25:L25))</f>
        <v>0.14999950000000001</v>
      </c>
      <c r="N25" s="575">
        <f t="shared" si="13"/>
        <v>1.6966000000000001</v>
      </c>
      <c r="O25" s="1529"/>
      <c r="P25" s="545">
        <v>50</v>
      </c>
      <c r="Q25" s="581">
        <v>0.1</v>
      </c>
      <c r="R25" s="581">
        <v>1.1000000000000001</v>
      </c>
      <c r="S25" s="581">
        <v>0.6</v>
      </c>
      <c r="T25" s="577">
        <f t="shared" si="14"/>
        <v>0.5</v>
      </c>
      <c r="U25" s="545">
        <f>(1.7/100)*P25</f>
        <v>0.85000000000000009</v>
      </c>
      <c r="V25" s="574"/>
      <c r="W25" s="574"/>
      <c r="X25" s="574"/>
    </row>
    <row r="26" spans="1:28" ht="13" customHeight="1" x14ac:dyDescent="0.25">
      <c r="A26" s="1532"/>
      <c r="B26" s="1528" t="s">
        <v>395</v>
      </c>
      <c r="C26" s="1528"/>
      <c r="D26" s="1528"/>
      <c r="E26" s="1528"/>
      <c r="F26" s="1520" t="s">
        <v>388</v>
      </c>
      <c r="G26" s="1537" t="s">
        <v>389</v>
      </c>
      <c r="H26" s="1529"/>
      <c r="I26" s="1528" t="str">
        <f>B26</f>
        <v>Resistance</v>
      </c>
      <c r="J26" s="1528"/>
      <c r="K26" s="1528"/>
      <c r="L26" s="1528"/>
      <c r="M26" s="1520" t="s">
        <v>388</v>
      </c>
      <c r="N26" s="1520" t="s">
        <v>389</v>
      </c>
      <c r="O26" s="1529"/>
      <c r="P26" s="1528" t="str">
        <f>B26</f>
        <v>Resistance</v>
      </c>
      <c r="Q26" s="1528"/>
      <c r="R26" s="1528"/>
      <c r="S26" s="1528"/>
      <c r="T26" s="1520" t="s">
        <v>388</v>
      </c>
      <c r="U26" s="1520" t="s">
        <v>389</v>
      </c>
      <c r="V26" s="574"/>
      <c r="W26" s="574"/>
      <c r="X26" s="574"/>
    </row>
    <row r="27" spans="1:28" ht="14.5" x14ac:dyDescent="0.25">
      <c r="A27" s="1532"/>
      <c r="B27" s="570" t="s">
        <v>396</v>
      </c>
      <c r="C27" s="571">
        <f>C5</f>
        <v>2022</v>
      </c>
      <c r="D27" s="571">
        <f>D5</f>
        <v>2020</v>
      </c>
      <c r="E27" s="571">
        <f>E5</f>
        <v>2019</v>
      </c>
      <c r="F27" s="1520"/>
      <c r="G27" s="1538"/>
      <c r="H27" s="1529"/>
      <c r="I27" s="570" t="s">
        <v>396</v>
      </c>
      <c r="J27" s="571">
        <f>J5</f>
        <v>2022</v>
      </c>
      <c r="K27" s="571">
        <f>K5</f>
        <v>2019</v>
      </c>
      <c r="L27" s="571">
        <f>L5</f>
        <v>2017</v>
      </c>
      <c r="M27" s="1520"/>
      <c r="N27" s="1520"/>
      <c r="O27" s="1529"/>
      <c r="P27" s="570" t="s">
        <v>396</v>
      </c>
      <c r="Q27" s="571">
        <f>Q5</f>
        <v>2022</v>
      </c>
      <c r="R27" s="571">
        <f>R5</f>
        <v>2021</v>
      </c>
      <c r="S27" s="571">
        <f>S5</f>
        <v>2018</v>
      </c>
      <c r="T27" s="1520"/>
      <c r="U27" s="1520"/>
      <c r="V27" s="574"/>
      <c r="W27" s="574"/>
      <c r="X27" s="574"/>
    </row>
    <row r="28" spans="1:28" x14ac:dyDescent="0.25">
      <c r="A28" s="1532"/>
      <c r="B28" s="545">
        <v>0</v>
      </c>
      <c r="C28" s="596">
        <v>-2E-3</v>
      </c>
      <c r="D28" s="596">
        <v>9.9999999999999995E-7</v>
      </c>
      <c r="E28" s="596">
        <v>9.9999999999999995E-7</v>
      </c>
      <c r="F28" s="577">
        <f>0.5*(MAX(C28:E28)-MIN(C28:E28))</f>
        <v>1.0005000000000001E-3</v>
      </c>
      <c r="G28" s="575">
        <f>(1.2/100)*(B28-C28)</f>
        <v>2.4000000000000001E-5</v>
      </c>
      <c r="H28" s="1529"/>
      <c r="I28" s="545">
        <v>0.01</v>
      </c>
      <c r="J28" s="943">
        <v>0</v>
      </c>
      <c r="K28" s="596">
        <v>9.9999999999999995E-7</v>
      </c>
      <c r="L28" s="596">
        <v>9.9999999999999995E-7</v>
      </c>
      <c r="M28" s="577">
        <f>0.5*(MAX(K28:L28)-MIN(K28:L28))</f>
        <v>0</v>
      </c>
      <c r="N28" s="575">
        <f>(1.2/100)*(I28-J28)</f>
        <v>1.2E-4</v>
      </c>
      <c r="O28" s="1529"/>
      <c r="P28" s="545">
        <v>0</v>
      </c>
      <c r="Q28" s="582">
        <v>-1E-3</v>
      </c>
      <c r="R28" s="582">
        <v>9.9999999999999995E-7</v>
      </c>
      <c r="S28" s="582">
        <v>9.9999999999999995E-7</v>
      </c>
      <c r="T28" s="577">
        <f>0.5*(MAX(Q28:S28)-MIN(Q28:S28))</f>
        <v>5.0049999999999997E-4</v>
      </c>
      <c r="U28" s="545">
        <f>(1.2/100)*P28</f>
        <v>0</v>
      </c>
      <c r="V28" s="574"/>
      <c r="W28" s="574"/>
      <c r="X28" s="574"/>
    </row>
    <row r="29" spans="1:28" x14ac:dyDescent="0.25">
      <c r="A29" s="1532"/>
      <c r="B29" s="545">
        <v>0.1</v>
      </c>
      <c r="C29" s="596">
        <v>1E-3</v>
      </c>
      <c r="D29" s="596">
        <v>-1E-3</v>
      </c>
      <c r="E29" s="596">
        <v>2E-3</v>
      </c>
      <c r="F29" s="577">
        <f t="shared" ref="F29:F31" si="15">0.5*(MAX(C29:E29)-MIN(C29:E29))</f>
        <v>1.5E-3</v>
      </c>
      <c r="G29" s="575">
        <f t="shared" ref="G29:G30" si="16">(1.2/100)*(B29-C29)</f>
        <v>1.188E-3</v>
      </c>
      <c r="H29" s="1529"/>
      <c r="I29" s="545">
        <v>0.1</v>
      </c>
      <c r="J29" s="943">
        <v>5.0000000000000001E-3</v>
      </c>
      <c r="K29" s="596">
        <v>6.0000000000000001E-3</v>
      </c>
      <c r="L29" s="596">
        <v>5.0000000000000001E-3</v>
      </c>
      <c r="M29" s="577">
        <f>0.5*(MAX(K29:L29)-MIN(K29:L29))</f>
        <v>5.0000000000000001E-4</v>
      </c>
      <c r="N29" s="575">
        <f t="shared" ref="N29:N30" si="17">(1.2/100)*(I29-J29)</f>
        <v>1.14E-3</v>
      </c>
      <c r="O29" s="1529"/>
      <c r="P29" s="545">
        <v>0.5</v>
      </c>
      <c r="Q29" s="582">
        <v>-2E-3</v>
      </c>
      <c r="R29" s="582">
        <v>-1E-3</v>
      </c>
      <c r="S29" s="582">
        <v>9.9999999999999995E-7</v>
      </c>
      <c r="T29" s="577">
        <f t="shared" ref="T29:T31" si="18">0.5*(MAX(Q29:S29)-MIN(Q29:S29))</f>
        <v>1.0005000000000001E-3</v>
      </c>
      <c r="U29" s="545">
        <f>(1.2/100)*P29</f>
        <v>6.0000000000000001E-3</v>
      </c>
      <c r="V29" s="574"/>
      <c r="W29" s="574"/>
      <c r="X29" s="574"/>
    </row>
    <row r="30" spans="1:28" x14ac:dyDescent="0.25">
      <c r="A30" s="1532"/>
      <c r="B30" s="545">
        <v>1</v>
      </c>
      <c r="C30" s="596">
        <v>4.0000000000000001E-3</v>
      </c>
      <c r="D30" s="596">
        <v>4.0000000000000001E-3</v>
      </c>
      <c r="E30" s="596">
        <v>1.2E-2</v>
      </c>
      <c r="F30" s="577">
        <f t="shared" si="15"/>
        <v>4.0000000000000001E-3</v>
      </c>
      <c r="G30" s="575">
        <f t="shared" si="16"/>
        <v>1.1952000000000001E-2</v>
      </c>
      <c r="H30" s="1529"/>
      <c r="I30" s="545">
        <v>1</v>
      </c>
      <c r="J30" s="943">
        <v>5.8000000000000003E-2</v>
      </c>
      <c r="K30" s="596">
        <v>4.4999999999999998E-2</v>
      </c>
      <c r="L30" s="596">
        <v>5.5E-2</v>
      </c>
      <c r="M30" s="577">
        <f>0.5*(MAX(K30:L30)-MIN(K30:L30))</f>
        <v>5.000000000000001E-3</v>
      </c>
      <c r="N30" s="575">
        <f t="shared" si="17"/>
        <v>1.1304E-2</v>
      </c>
      <c r="O30" s="1529"/>
      <c r="P30" s="545">
        <v>1</v>
      </c>
      <c r="Q30" s="582">
        <v>-1.2E-2</v>
      </c>
      <c r="R30" s="582">
        <v>5.0000000000000001E-3</v>
      </c>
      <c r="S30" s="582">
        <v>9.9999999999999995E-7</v>
      </c>
      <c r="T30" s="577">
        <f t="shared" si="18"/>
        <v>8.5000000000000006E-3</v>
      </c>
      <c r="U30" s="545">
        <f>(1.2/100)*P30</f>
        <v>1.2E-2</v>
      </c>
      <c r="V30" s="574"/>
      <c r="W30" s="574"/>
      <c r="X30" s="574"/>
    </row>
    <row r="31" spans="1:28" x14ac:dyDescent="0.25">
      <c r="A31" s="1532"/>
      <c r="B31" s="545">
        <v>2</v>
      </c>
      <c r="C31" s="596">
        <v>1.2E-2</v>
      </c>
      <c r="D31" s="596">
        <v>7.0000000000000001E-3</v>
      </c>
      <c r="E31" s="596">
        <v>9.9999999999999995E-7</v>
      </c>
      <c r="F31" s="577">
        <f t="shared" si="15"/>
        <v>5.9995000000000005E-3</v>
      </c>
      <c r="G31" s="575">
        <f>(1.2/100)*(B31-C31)</f>
        <v>2.3855999999999999E-2</v>
      </c>
      <c r="H31" s="1529"/>
      <c r="I31" s="545">
        <v>2</v>
      </c>
      <c r="J31" s="943">
        <v>0.113</v>
      </c>
      <c r="K31" s="596">
        <v>9.9999999999999995E-7</v>
      </c>
      <c r="L31" s="596">
        <v>9.9999999999999995E-7</v>
      </c>
      <c r="M31" s="577">
        <f>0.5*(MAX(K31:L31)-MIN(K31:L31))</f>
        <v>0</v>
      </c>
      <c r="N31" s="575">
        <f>(1.2/100)*(I31-J31)</f>
        <v>2.2644000000000001E-2</v>
      </c>
      <c r="O31" s="1529"/>
      <c r="P31" s="545">
        <v>2</v>
      </c>
      <c r="Q31" s="582">
        <v>-8.0000000000000002E-3</v>
      </c>
      <c r="R31" s="582">
        <v>1.4E-2</v>
      </c>
      <c r="S31" s="582">
        <v>9.9999999999999995E-7</v>
      </c>
      <c r="T31" s="577">
        <f t="shared" si="18"/>
        <v>1.0999999999999999E-2</v>
      </c>
      <c r="U31" s="545">
        <f>(1.2/100)*P31</f>
        <v>2.4E-2</v>
      </c>
      <c r="V31" s="574"/>
      <c r="W31" s="574"/>
      <c r="X31" s="574"/>
    </row>
    <row r="32" spans="1:28" x14ac:dyDescent="0.25">
      <c r="A32" s="583"/>
      <c r="T32" s="584"/>
      <c r="V32" s="574"/>
      <c r="W32" s="574"/>
      <c r="X32" s="574"/>
    </row>
    <row r="33" spans="1:24" ht="14.5" x14ac:dyDescent="0.25">
      <c r="A33" s="1532" t="s">
        <v>397</v>
      </c>
      <c r="B33" s="1533" t="s">
        <v>398</v>
      </c>
      <c r="C33" s="1533"/>
      <c r="D33" s="1533"/>
      <c r="E33" s="1533"/>
      <c r="F33" s="1533"/>
      <c r="G33" s="1533"/>
      <c r="H33" s="1529" t="s">
        <v>399</v>
      </c>
      <c r="I33" s="1530" t="s">
        <v>400</v>
      </c>
      <c r="J33" s="1530"/>
      <c r="K33" s="1530"/>
      <c r="L33" s="1530"/>
      <c r="M33" s="1530"/>
      <c r="N33" s="1530"/>
      <c r="O33" s="1529" t="s">
        <v>401</v>
      </c>
      <c r="P33" s="1533" t="s">
        <v>402</v>
      </c>
      <c r="Q33" s="1533"/>
      <c r="R33" s="1533"/>
      <c r="S33" s="1533"/>
      <c r="T33" s="1533"/>
      <c r="U33" s="1533"/>
      <c r="V33" s="574"/>
      <c r="W33" s="574"/>
      <c r="X33" s="574"/>
    </row>
    <row r="34" spans="1:24" ht="14" x14ac:dyDescent="0.3">
      <c r="A34" s="1532"/>
      <c r="B34" s="1534" t="s">
        <v>386</v>
      </c>
      <c r="C34" s="1534"/>
      <c r="D34" s="1534"/>
      <c r="E34" s="1534"/>
      <c r="F34" s="1534"/>
      <c r="G34" s="1534"/>
      <c r="H34" s="1529"/>
      <c r="I34" s="1534" t="s">
        <v>386</v>
      </c>
      <c r="J34" s="1534"/>
      <c r="K34" s="1534"/>
      <c r="L34" s="1534"/>
      <c r="M34" s="1534"/>
      <c r="N34" s="1534"/>
      <c r="O34" s="1529"/>
      <c r="P34" s="1534" t="s">
        <v>386</v>
      </c>
      <c r="Q34" s="1534"/>
      <c r="R34" s="1534"/>
      <c r="S34" s="1534"/>
      <c r="T34" s="1534"/>
      <c r="U34" s="1534"/>
      <c r="V34" s="574"/>
      <c r="W34" s="574"/>
      <c r="X34" s="574"/>
    </row>
    <row r="35" spans="1:24" ht="13" x14ac:dyDescent="0.25">
      <c r="A35" s="1532"/>
      <c r="B35" s="1520" t="str">
        <f>B4</f>
        <v>Setting VAC</v>
      </c>
      <c r="C35" s="1520"/>
      <c r="D35" s="1520"/>
      <c r="E35" s="1520"/>
      <c r="F35" s="1520" t="s">
        <v>388</v>
      </c>
      <c r="G35" s="1520" t="s">
        <v>389</v>
      </c>
      <c r="H35" s="1529"/>
      <c r="I35" s="1520" t="str">
        <f>B35</f>
        <v>Setting VAC</v>
      </c>
      <c r="J35" s="1520"/>
      <c r="K35" s="1520"/>
      <c r="L35" s="1520"/>
      <c r="M35" s="1520" t="s">
        <v>388</v>
      </c>
      <c r="N35" s="1520" t="s">
        <v>389</v>
      </c>
      <c r="O35" s="1529"/>
      <c r="P35" s="1520" t="str">
        <f>I35</f>
        <v>Setting VAC</v>
      </c>
      <c r="Q35" s="1520"/>
      <c r="R35" s="1520"/>
      <c r="S35" s="1520"/>
      <c r="T35" s="1520" t="s">
        <v>388</v>
      </c>
      <c r="U35" s="1520" t="s">
        <v>389</v>
      </c>
      <c r="V35" s="574"/>
      <c r="W35" s="574"/>
      <c r="X35" s="574"/>
    </row>
    <row r="36" spans="1:24" ht="14" x14ac:dyDescent="0.25">
      <c r="A36" s="1532"/>
      <c r="B36" s="570" t="s">
        <v>390</v>
      </c>
      <c r="C36" s="571">
        <v>2022</v>
      </c>
      <c r="D36" s="571">
        <v>2021</v>
      </c>
      <c r="E36" s="571">
        <v>2019</v>
      </c>
      <c r="F36" s="1520"/>
      <c r="G36" s="1520"/>
      <c r="H36" s="1529"/>
      <c r="I36" s="570" t="s">
        <v>390</v>
      </c>
      <c r="J36" s="571">
        <v>2022</v>
      </c>
      <c r="K36" s="571">
        <v>2021</v>
      </c>
      <c r="L36" s="571">
        <v>2019</v>
      </c>
      <c r="M36" s="1520"/>
      <c r="N36" s="1520"/>
      <c r="O36" s="1529"/>
      <c r="P36" s="570" t="s">
        <v>390</v>
      </c>
      <c r="Q36" s="571">
        <v>2023</v>
      </c>
      <c r="R36" s="571">
        <v>2022</v>
      </c>
      <c r="S36" s="571">
        <v>2019</v>
      </c>
      <c r="T36" s="1520"/>
      <c r="U36" s="1520"/>
      <c r="V36" s="573"/>
      <c r="W36" s="573"/>
      <c r="X36" s="574"/>
    </row>
    <row r="37" spans="1:24" x14ac:dyDescent="0.25">
      <c r="A37" s="1532"/>
      <c r="B37" s="575">
        <v>150</v>
      </c>
      <c r="C37" s="576">
        <v>0.08</v>
      </c>
      <c r="D37" s="578">
        <v>-0.05</v>
      </c>
      <c r="E37" s="578">
        <v>0.11</v>
      </c>
      <c r="F37" s="577">
        <f t="shared" ref="F37:F42" si="19">0.5*(MAX(D37:E37)-MIN(D37:E37))</f>
        <v>0.08</v>
      </c>
      <c r="G37" s="575">
        <f t="shared" ref="G37:G42" si="20">(1.2/100)*B37</f>
        <v>1.8</v>
      </c>
      <c r="H37" s="1529"/>
      <c r="I37" s="575">
        <v>150</v>
      </c>
      <c r="J37" s="578">
        <v>0.02</v>
      </c>
      <c r="K37" s="578">
        <v>0.25</v>
      </c>
      <c r="L37" s="578">
        <v>0.02</v>
      </c>
      <c r="M37" s="577">
        <f>0.5*(MAX(J37:L37)-MIN(J37:L37))</f>
        <v>0.115</v>
      </c>
      <c r="N37" s="575">
        <f t="shared" ref="N37:N42" si="21">(1.2/100)*I37</f>
        <v>1.8</v>
      </c>
      <c r="O37" s="1529"/>
      <c r="P37" s="575">
        <v>150</v>
      </c>
      <c r="Q37" s="578">
        <v>0.14000000000000001</v>
      </c>
      <c r="R37" s="578">
        <v>0.15</v>
      </c>
      <c r="S37" s="578">
        <v>-0.15</v>
      </c>
      <c r="T37" s="577">
        <f>0.5*(MAX(Q37:S37)-MIN(Q37:S37))</f>
        <v>0.15</v>
      </c>
      <c r="U37" s="575">
        <f>(1.2/100)*P37</f>
        <v>1.8</v>
      </c>
      <c r="V37" s="228"/>
      <c r="W37" s="579"/>
      <c r="X37" s="574"/>
    </row>
    <row r="38" spans="1:24" x14ac:dyDescent="0.25">
      <c r="A38" s="1532"/>
      <c r="B38" s="575">
        <v>180</v>
      </c>
      <c r="C38" s="576">
        <v>0.11</v>
      </c>
      <c r="D38" s="578">
        <v>-0.04</v>
      </c>
      <c r="E38" s="578">
        <v>0.03</v>
      </c>
      <c r="F38" s="577">
        <f t="shared" si="19"/>
        <v>3.5000000000000003E-2</v>
      </c>
      <c r="G38" s="575">
        <f t="shared" si="20"/>
        <v>2.16</v>
      </c>
      <c r="H38" s="1529"/>
      <c r="I38" s="575">
        <v>180</v>
      </c>
      <c r="J38" s="578">
        <v>-0.08</v>
      </c>
      <c r="K38" s="578">
        <v>0.09</v>
      </c>
      <c r="L38" s="578">
        <v>0.1</v>
      </c>
      <c r="M38" s="577">
        <f t="shared" ref="M38:M42" si="22">0.5*(MAX(J38:L38)-MIN(J38:L38))</f>
        <v>0.09</v>
      </c>
      <c r="N38" s="575">
        <f t="shared" si="21"/>
        <v>2.16</v>
      </c>
      <c r="O38" s="1529"/>
      <c r="P38" s="575">
        <v>180</v>
      </c>
      <c r="Q38" s="578">
        <v>0.17</v>
      </c>
      <c r="R38" s="578">
        <v>0.17</v>
      </c>
      <c r="S38" s="578">
        <v>-0.11</v>
      </c>
      <c r="T38" s="577">
        <f t="shared" ref="T38:T42" si="23">0.5*(MAX(Q38:S38)-MIN(Q38:S38))</f>
        <v>0.14000000000000001</v>
      </c>
      <c r="U38" s="575">
        <f>(1.2/100)*P38</f>
        <v>2.16</v>
      </c>
      <c r="V38" s="228"/>
      <c r="W38" s="579"/>
      <c r="X38" s="574"/>
    </row>
    <row r="39" spans="1:24" x14ac:dyDescent="0.25">
      <c r="A39" s="1532"/>
      <c r="B39" s="575">
        <v>200</v>
      </c>
      <c r="C39" s="576">
        <v>0.11</v>
      </c>
      <c r="D39" s="578">
        <v>-0.67</v>
      </c>
      <c r="E39" s="578">
        <v>0.05</v>
      </c>
      <c r="F39" s="577">
        <f t="shared" si="19"/>
        <v>0.36000000000000004</v>
      </c>
      <c r="G39" s="575">
        <f t="shared" si="20"/>
        <v>2.4</v>
      </c>
      <c r="H39" s="1529"/>
      <c r="I39" s="575">
        <v>200</v>
      </c>
      <c r="J39" s="578">
        <v>-0.12</v>
      </c>
      <c r="K39" s="578">
        <v>0.18</v>
      </c>
      <c r="L39" s="578">
        <v>-0.03</v>
      </c>
      <c r="M39" s="577">
        <f t="shared" si="22"/>
        <v>0.15</v>
      </c>
      <c r="N39" s="575">
        <f t="shared" si="21"/>
        <v>2.4</v>
      </c>
      <c r="O39" s="1529"/>
      <c r="P39" s="545">
        <v>200</v>
      </c>
      <c r="Q39" s="578">
        <v>0.08</v>
      </c>
      <c r="R39" s="578">
        <v>0.1</v>
      </c>
      <c r="S39" s="578">
        <v>-0.1</v>
      </c>
      <c r="T39" s="577">
        <f t="shared" si="23"/>
        <v>0.1</v>
      </c>
      <c r="U39" s="575">
        <f>(1.2/100)*P39</f>
        <v>2.4</v>
      </c>
      <c r="V39" s="228"/>
      <c r="W39" s="579"/>
      <c r="X39" s="574"/>
    </row>
    <row r="40" spans="1:24" x14ac:dyDescent="0.25">
      <c r="A40" s="1532"/>
      <c r="B40" s="545">
        <v>220</v>
      </c>
      <c r="C40" s="576">
        <v>0.13</v>
      </c>
      <c r="D40" s="578">
        <v>9.9999999999999995E-7</v>
      </c>
      <c r="E40" s="578">
        <v>0.1</v>
      </c>
      <c r="F40" s="577">
        <f t="shared" si="19"/>
        <v>4.9999500000000002E-2</v>
      </c>
      <c r="G40" s="575">
        <f t="shared" si="20"/>
        <v>2.64</v>
      </c>
      <c r="H40" s="1529"/>
      <c r="I40" s="545">
        <v>220</v>
      </c>
      <c r="J40" s="578">
        <v>-0.17</v>
      </c>
      <c r="K40" s="578">
        <v>0.56000000000000005</v>
      </c>
      <c r="L40" s="578">
        <v>0.38</v>
      </c>
      <c r="M40" s="577">
        <f t="shared" si="22"/>
        <v>0.36500000000000005</v>
      </c>
      <c r="N40" s="575">
        <f t="shared" si="21"/>
        <v>2.64</v>
      </c>
      <c r="O40" s="1529"/>
      <c r="P40" s="545">
        <v>220</v>
      </c>
      <c r="Q40" s="578">
        <v>0.06</v>
      </c>
      <c r="R40" s="578">
        <v>7.0000000000000007E-2</v>
      </c>
      <c r="S40" s="578">
        <v>-0.13</v>
      </c>
      <c r="T40" s="577">
        <f t="shared" si="23"/>
        <v>0.1</v>
      </c>
      <c r="U40" s="575">
        <f>(1.2/100)*P40</f>
        <v>2.64</v>
      </c>
      <c r="V40" s="228"/>
      <c r="W40" s="579"/>
      <c r="X40" s="574"/>
    </row>
    <row r="41" spans="1:24" x14ac:dyDescent="0.25">
      <c r="A41" s="1532"/>
      <c r="B41" s="545">
        <v>230</v>
      </c>
      <c r="C41" s="576">
        <v>0.11</v>
      </c>
      <c r="D41" s="578">
        <v>-0.11</v>
      </c>
      <c r="E41" s="578">
        <v>1.1100000000000001</v>
      </c>
      <c r="F41" s="577">
        <f t="shared" si="19"/>
        <v>0.6100000000000001</v>
      </c>
      <c r="G41" s="575">
        <f t="shared" si="20"/>
        <v>2.7600000000000002</v>
      </c>
      <c r="H41" s="1529"/>
      <c r="I41" s="545">
        <v>230</v>
      </c>
      <c r="J41" s="578">
        <v>-0.14000000000000001</v>
      </c>
      <c r="K41" s="578">
        <v>0.73</v>
      </c>
      <c r="L41" s="578">
        <v>-0.16</v>
      </c>
      <c r="M41" s="577">
        <f t="shared" si="22"/>
        <v>0.44500000000000001</v>
      </c>
      <c r="N41" s="575">
        <f t="shared" si="21"/>
        <v>2.7600000000000002</v>
      </c>
      <c r="O41" s="1529"/>
      <c r="P41" s="545">
        <v>230</v>
      </c>
      <c r="Q41" s="578">
        <v>0.04</v>
      </c>
      <c r="R41" s="578">
        <v>0.08</v>
      </c>
      <c r="S41" s="578">
        <v>-0.15</v>
      </c>
      <c r="T41" s="577">
        <f t="shared" si="23"/>
        <v>0.11499999999999999</v>
      </c>
      <c r="U41" s="575">
        <f>(1.2/100)*P41</f>
        <v>2.7600000000000002</v>
      </c>
      <c r="V41" s="228"/>
      <c r="W41" s="579"/>
      <c r="X41" s="574"/>
    </row>
    <row r="42" spans="1:24" x14ac:dyDescent="0.25">
      <c r="A42" s="1532"/>
      <c r="B42" s="545">
        <v>250</v>
      </c>
      <c r="C42" s="576">
        <v>0</v>
      </c>
      <c r="D42" s="578">
        <v>9.9999999999999995E-7</v>
      </c>
      <c r="E42" s="578">
        <v>9.9999999999999995E-7</v>
      </c>
      <c r="F42" s="577">
        <f t="shared" si="19"/>
        <v>0</v>
      </c>
      <c r="G42" s="575">
        <f t="shared" si="20"/>
        <v>3</v>
      </c>
      <c r="H42" s="1529"/>
      <c r="I42" s="545">
        <v>240</v>
      </c>
      <c r="J42" s="578">
        <v>-0.31</v>
      </c>
      <c r="K42" s="578">
        <v>9.9999999999999995E-7</v>
      </c>
      <c r="L42" s="578">
        <v>9.9999999999999995E-7</v>
      </c>
      <c r="M42" s="577">
        <f t="shared" si="22"/>
        <v>0.15500049999999999</v>
      </c>
      <c r="N42" s="575">
        <f t="shared" si="21"/>
        <v>2.88</v>
      </c>
      <c r="O42" s="1529"/>
      <c r="P42" s="545">
        <v>250</v>
      </c>
      <c r="Q42" s="578">
        <v>0</v>
      </c>
      <c r="R42" s="578">
        <v>0</v>
      </c>
      <c r="S42" s="578">
        <v>9.9999999999999995E-7</v>
      </c>
      <c r="T42" s="577">
        <f t="shared" si="23"/>
        <v>4.9999999999999998E-7</v>
      </c>
      <c r="U42" s="575">
        <f>(0/100)*P42</f>
        <v>0</v>
      </c>
      <c r="V42" s="228"/>
      <c r="W42" s="579"/>
      <c r="X42" s="574"/>
    </row>
    <row r="43" spans="1:24" ht="12.75" customHeight="1" x14ac:dyDescent="0.25">
      <c r="A43" s="1532"/>
      <c r="B43" s="1528" t="str">
        <f>B12</f>
        <v>Current Leakage</v>
      </c>
      <c r="C43" s="1528"/>
      <c r="D43" s="1528"/>
      <c r="E43" s="1528"/>
      <c r="F43" s="1520" t="s">
        <v>388</v>
      </c>
      <c r="G43" s="1520" t="s">
        <v>389</v>
      </c>
      <c r="H43" s="1529"/>
      <c r="I43" s="1528" t="str">
        <f>B43</f>
        <v>Current Leakage</v>
      </c>
      <c r="J43" s="1528"/>
      <c r="K43" s="1528"/>
      <c r="L43" s="1528"/>
      <c r="M43" s="1520" t="s">
        <v>388</v>
      </c>
      <c r="N43" s="1520" t="s">
        <v>389</v>
      </c>
      <c r="O43" s="1529"/>
      <c r="P43" s="1528" t="str">
        <f>I43</f>
        <v>Current Leakage</v>
      </c>
      <c r="Q43" s="1528"/>
      <c r="R43" s="1528"/>
      <c r="S43" s="1528"/>
      <c r="T43" s="1520" t="s">
        <v>388</v>
      </c>
      <c r="U43" s="1520" t="s">
        <v>389</v>
      </c>
      <c r="V43" s="574"/>
      <c r="W43" s="574"/>
      <c r="X43" s="574"/>
    </row>
    <row r="44" spans="1:24" ht="14" x14ac:dyDescent="0.25">
      <c r="A44" s="1532"/>
      <c r="B44" s="570" t="s">
        <v>392</v>
      </c>
      <c r="C44" s="571">
        <f>C36</f>
        <v>2022</v>
      </c>
      <c r="D44" s="571">
        <f>D36</f>
        <v>2021</v>
      </c>
      <c r="E44" s="571">
        <f>E36</f>
        <v>2019</v>
      </c>
      <c r="F44" s="1520"/>
      <c r="G44" s="1520"/>
      <c r="H44" s="1529"/>
      <c r="I44" s="570" t="s">
        <v>392</v>
      </c>
      <c r="J44" s="571">
        <f>J36</f>
        <v>2022</v>
      </c>
      <c r="K44" s="571">
        <f>K36</f>
        <v>2021</v>
      </c>
      <c r="L44" s="571">
        <f>L36</f>
        <v>2019</v>
      </c>
      <c r="M44" s="1520"/>
      <c r="N44" s="1520"/>
      <c r="O44" s="1529"/>
      <c r="P44" s="570" t="s">
        <v>392</v>
      </c>
      <c r="Q44" s="571">
        <f>Q36</f>
        <v>2023</v>
      </c>
      <c r="R44" s="571">
        <f>R36</f>
        <v>2022</v>
      </c>
      <c r="S44" s="571">
        <f>S36</f>
        <v>2019</v>
      </c>
      <c r="T44" s="1520"/>
      <c r="U44" s="1520"/>
      <c r="V44" s="574"/>
      <c r="W44" s="574"/>
      <c r="X44" s="574"/>
    </row>
    <row r="45" spans="1:24" x14ac:dyDescent="0.25">
      <c r="A45" s="1532"/>
      <c r="B45" s="545">
        <v>0</v>
      </c>
      <c r="C45" s="576">
        <v>0</v>
      </c>
      <c r="D45" s="581">
        <v>9.9999999999999995E-7</v>
      </c>
      <c r="E45" s="545">
        <v>9.9999999999999995E-7</v>
      </c>
      <c r="F45" s="577">
        <f t="shared" ref="F45:F50" si="24">0.5*(MAX(D45:E45)-MIN(D45:E45))</f>
        <v>0</v>
      </c>
      <c r="G45" s="545">
        <f t="shared" ref="G45:G50" si="25">(0.59/100)*B45</f>
        <v>0</v>
      </c>
      <c r="H45" s="1529"/>
      <c r="I45" s="545">
        <v>0</v>
      </c>
      <c r="J45" s="581">
        <v>0</v>
      </c>
      <c r="K45" s="581">
        <v>9.9999999999999995E-7</v>
      </c>
      <c r="L45" s="581">
        <v>9.9999999999999995E-7</v>
      </c>
      <c r="M45" s="577">
        <f>0.5*(MAX(J45:L45)-MIN(J45:L45))</f>
        <v>4.9999999999999998E-7</v>
      </c>
      <c r="N45" s="545">
        <f>(0.59/100)*I45</f>
        <v>0</v>
      </c>
      <c r="O45" s="1529"/>
      <c r="P45" s="545">
        <v>0</v>
      </c>
      <c r="Q45" s="576">
        <v>0</v>
      </c>
      <c r="R45" s="581">
        <v>0</v>
      </c>
      <c r="S45" s="581">
        <v>9.9999999999999995E-7</v>
      </c>
      <c r="T45" s="577">
        <f t="shared" ref="T45:T50" si="26">0.5*(MAX(R45:S45)-MIN(R45:S45))</f>
        <v>4.9999999999999998E-7</v>
      </c>
      <c r="U45" s="545">
        <f>(0.59/100)*P45</f>
        <v>0</v>
      </c>
    </row>
    <row r="46" spans="1:24" x14ac:dyDescent="0.25">
      <c r="A46" s="1532"/>
      <c r="B46" s="545">
        <v>50</v>
      </c>
      <c r="C46" s="576">
        <v>2.2999999999999998</v>
      </c>
      <c r="D46" s="578">
        <v>-0.3</v>
      </c>
      <c r="E46" s="578">
        <v>-0.28999999999999998</v>
      </c>
      <c r="F46" s="577">
        <f t="shared" si="24"/>
        <v>5.0000000000000044E-3</v>
      </c>
      <c r="G46" s="545">
        <f t="shared" si="25"/>
        <v>0.29499999999999998</v>
      </c>
      <c r="H46" s="1529"/>
      <c r="I46" s="545">
        <v>50</v>
      </c>
      <c r="J46" s="578">
        <v>4.0999999999999996</v>
      </c>
      <c r="K46" s="578">
        <v>0.3</v>
      </c>
      <c r="L46" s="578">
        <v>-0.33</v>
      </c>
      <c r="M46" s="577">
        <f t="shared" ref="M46:M50" si="27">0.5*(MAX(J46:L46)-MIN(J46:L46))</f>
        <v>2.2149999999999999</v>
      </c>
      <c r="N46" s="545">
        <f t="shared" ref="N46:N49" si="28">(0.59/100)*I46</f>
        <v>0.29499999999999998</v>
      </c>
      <c r="O46" s="1529"/>
      <c r="P46" s="545">
        <v>50</v>
      </c>
      <c r="Q46" s="576">
        <v>4.5</v>
      </c>
      <c r="R46" s="578">
        <v>19.100000000000001</v>
      </c>
      <c r="S46" s="578">
        <v>0.02</v>
      </c>
      <c r="T46" s="577">
        <f t="shared" si="26"/>
        <v>9.5400000000000009</v>
      </c>
      <c r="U46" s="545">
        <f>(0.59/100)*P46</f>
        <v>0.29499999999999998</v>
      </c>
    </row>
    <row r="47" spans="1:24" x14ac:dyDescent="0.25">
      <c r="A47" s="1532"/>
      <c r="B47" s="545">
        <v>100</v>
      </c>
      <c r="C47" s="576">
        <v>4.0999999999999996</v>
      </c>
      <c r="D47" s="578">
        <v>-0.4</v>
      </c>
      <c r="E47" s="578">
        <v>-0.35</v>
      </c>
      <c r="F47" s="577">
        <f t="shared" si="24"/>
        <v>2.5000000000000022E-2</v>
      </c>
      <c r="G47" s="545">
        <f t="shared" si="25"/>
        <v>0.59</v>
      </c>
      <c r="H47" s="1529"/>
      <c r="I47" s="545">
        <v>100</v>
      </c>
      <c r="J47" s="578">
        <v>5</v>
      </c>
      <c r="K47" s="578">
        <v>-0.1</v>
      </c>
      <c r="L47" s="578">
        <v>-0.42</v>
      </c>
      <c r="M47" s="577">
        <f t="shared" si="27"/>
        <v>2.71</v>
      </c>
      <c r="N47" s="545">
        <f t="shared" si="28"/>
        <v>0.59</v>
      </c>
      <c r="O47" s="1529"/>
      <c r="P47" s="545">
        <v>100</v>
      </c>
      <c r="Q47" s="576">
        <v>6.2</v>
      </c>
      <c r="R47" s="578">
        <v>18.399999999999999</v>
      </c>
      <c r="S47" s="578">
        <v>0.22</v>
      </c>
      <c r="T47" s="577">
        <f t="shared" si="26"/>
        <v>9.09</v>
      </c>
      <c r="U47" s="545">
        <f t="shared" ref="U47:U50" si="29">(0.59/100)*P47</f>
        <v>0.59</v>
      </c>
    </row>
    <row r="48" spans="1:24" x14ac:dyDescent="0.25">
      <c r="A48" s="1532"/>
      <c r="B48" s="545">
        <v>200</v>
      </c>
      <c r="C48" s="576">
        <v>5</v>
      </c>
      <c r="D48" s="578">
        <v>0.3</v>
      </c>
      <c r="E48" s="578">
        <v>0.8</v>
      </c>
      <c r="F48" s="577">
        <f t="shared" si="24"/>
        <v>0.25</v>
      </c>
      <c r="G48" s="545">
        <f t="shared" si="25"/>
        <v>1.18</v>
      </c>
      <c r="H48" s="1529"/>
      <c r="I48" s="545">
        <v>200</v>
      </c>
      <c r="J48" s="578">
        <v>7.7</v>
      </c>
      <c r="K48" s="578">
        <v>1.3</v>
      </c>
      <c r="L48" s="578">
        <v>1.3</v>
      </c>
      <c r="M48" s="577">
        <f t="shared" si="27"/>
        <v>3.2</v>
      </c>
      <c r="N48" s="545">
        <f t="shared" si="28"/>
        <v>1.18</v>
      </c>
      <c r="O48" s="1529"/>
      <c r="P48" s="545">
        <v>200</v>
      </c>
      <c r="Q48" s="576">
        <v>9.4</v>
      </c>
      <c r="R48" s="578">
        <v>14.4</v>
      </c>
      <c r="S48" s="578">
        <v>0.8</v>
      </c>
      <c r="T48" s="577">
        <f t="shared" si="26"/>
        <v>6.8</v>
      </c>
      <c r="U48" s="545">
        <f t="shared" si="29"/>
        <v>1.18</v>
      </c>
    </row>
    <row r="49" spans="1:21" x14ac:dyDescent="0.25">
      <c r="A49" s="1532"/>
      <c r="B49" s="545">
        <v>500</v>
      </c>
      <c r="C49" s="576">
        <v>3.5</v>
      </c>
      <c r="D49" s="578">
        <v>0.2</v>
      </c>
      <c r="E49" s="578">
        <v>1.2</v>
      </c>
      <c r="F49" s="577">
        <f t="shared" si="24"/>
        <v>0.5</v>
      </c>
      <c r="G49" s="545">
        <f t="shared" si="25"/>
        <v>2.9499999999999997</v>
      </c>
      <c r="H49" s="1529"/>
      <c r="I49" s="545">
        <v>500</v>
      </c>
      <c r="J49" s="578">
        <v>5.7</v>
      </c>
      <c r="K49" s="578">
        <v>0.7</v>
      </c>
      <c r="L49" s="578">
        <v>0.7</v>
      </c>
      <c r="M49" s="577">
        <f t="shared" si="27"/>
        <v>2.5</v>
      </c>
      <c r="N49" s="545">
        <f t="shared" si="28"/>
        <v>2.9499999999999997</v>
      </c>
      <c r="O49" s="1529"/>
      <c r="P49" s="545">
        <v>500</v>
      </c>
      <c r="Q49" s="576">
        <v>10.8</v>
      </c>
      <c r="R49" s="578">
        <v>6.2</v>
      </c>
      <c r="S49" s="578">
        <v>1.1000000000000001</v>
      </c>
      <c r="T49" s="577">
        <f t="shared" si="26"/>
        <v>2.5499999999999998</v>
      </c>
      <c r="U49" s="545">
        <f t="shared" si="29"/>
        <v>2.9499999999999997</v>
      </c>
    </row>
    <row r="50" spans="1:21" x14ac:dyDescent="0.25">
      <c r="A50" s="1532"/>
      <c r="B50" s="545">
        <v>1000</v>
      </c>
      <c r="C50" s="576">
        <v>-1</v>
      </c>
      <c r="D50" s="578">
        <v>2</v>
      </c>
      <c r="E50" s="578">
        <v>2</v>
      </c>
      <c r="F50" s="577">
        <f t="shared" si="24"/>
        <v>0</v>
      </c>
      <c r="G50" s="545">
        <f t="shared" si="25"/>
        <v>5.8999999999999995</v>
      </c>
      <c r="H50" s="1529"/>
      <c r="I50" s="545">
        <v>1000</v>
      </c>
      <c r="J50" s="578">
        <v>-88</v>
      </c>
      <c r="K50" s="578">
        <v>9.9999999999999995E-7</v>
      </c>
      <c r="L50" s="578">
        <v>9.9999999999999995E-7</v>
      </c>
      <c r="M50" s="577">
        <f t="shared" si="27"/>
        <v>44.000000499999999</v>
      </c>
      <c r="N50" s="545">
        <f>(0.59/100)*I50</f>
        <v>5.8999999999999995</v>
      </c>
      <c r="O50" s="1529"/>
      <c r="P50" s="545">
        <v>1000</v>
      </c>
      <c r="Q50" s="576">
        <v>-88</v>
      </c>
      <c r="R50" s="578">
        <v>0</v>
      </c>
      <c r="S50" s="578">
        <v>9.9999999999999995E-7</v>
      </c>
      <c r="T50" s="577">
        <f t="shared" si="26"/>
        <v>4.9999999999999998E-7</v>
      </c>
      <c r="U50" s="545">
        <f t="shared" si="29"/>
        <v>5.8999999999999995</v>
      </c>
    </row>
    <row r="51" spans="1:21" ht="13" x14ac:dyDescent="0.25">
      <c r="A51" s="1532"/>
      <c r="B51" s="1528" t="str">
        <f>B20</f>
        <v>Main-PE</v>
      </c>
      <c r="C51" s="1528"/>
      <c r="D51" s="1528"/>
      <c r="E51" s="1528"/>
      <c r="F51" s="1520" t="s">
        <v>388</v>
      </c>
      <c r="G51" s="1520" t="s">
        <v>389</v>
      </c>
      <c r="H51" s="1529"/>
      <c r="I51" s="1528" t="str">
        <f>B51</f>
        <v>Main-PE</v>
      </c>
      <c r="J51" s="1528"/>
      <c r="K51" s="1528"/>
      <c r="L51" s="1528"/>
      <c r="M51" s="1520" t="s">
        <v>388</v>
      </c>
      <c r="N51" s="1520" t="s">
        <v>389</v>
      </c>
      <c r="O51" s="1529"/>
      <c r="P51" s="1528" t="str">
        <f>I51</f>
        <v>Main-PE</v>
      </c>
      <c r="Q51" s="1528"/>
      <c r="R51" s="1528"/>
      <c r="S51" s="1528"/>
      <c r="T51" s="1520" t="s">
        <v>388</v>
      </c>
      <c r="U51" s="1520" t="s">
        <v>389</v>
      </c>
    </row>
    <row r="52" spans="1:21" ht="14.5" x14ac:dyDescent="0.25">
      <c r="A52" s="1532"/>
      <c r="B52" s="570" t="s">
        <v>394</v>
      </c>
      <c r="C52" s="571">
        <f>C36</f>
        <v>2022</v>
      </c>
      <c r="D52" s="571">
        <f>D36</f>
        <v>2021</v>
      </c>
      <c r="E52" s="571">
        <f>E36</f>
        <v>2019</v>
      </c>
      <c r="F52" s="1520"/>
      <c r="G52" s="1520"/>
      <c r="H52" s="1529"/>
      <c r="I52" s="570" t="s">
        <v>394</v>
      </c>
      <c r="J52" s="571">
        <f>J36</f>
        <v>2022</v>
      </c>
      <c r="K52" s="571">
        <f>K36</f>
        <v>2021</v>
      </c>
      <c r="L52" s="571">
        <f>L36</f>
        <v>2019</v>
      </c>
      <c r="M52" s="1520"/>
      <c r="N52" s="1520"/>
      <c r="O52" s="1529"/>
      <c r="P52" s="570" t="s">
        <v>394</v>
      </c>
      <c r="Q52" s="571">
        <f>Q36</f>
        <v>2023</v>
      </c>
      <c r="R52" s="571">
        <f>R36</f>
        <v>2022</v>
      </c>
      <c r="S52" s="571">
        <f>S36</f>
        <v>2019</v>
      </c>
      <c r="T52" s="1520"/>
      <c r="U52" s="1520"/>
    </row>
    <row r="53" spans="1:21" x14ac:dyDescent="0.25">
      <c r="A53" s="1532"/>
      <c r="B53" s="545">
        <v>10</v>
      </c>
      <c r="C53" s="576">
        <v>0</v>
      </c>
      <c r="D53" s="578">
        <v>9.9999999999999995E-7</v>
      </c>
      <c r="E53" s="578">
        <v>0.1</v>
      </c>
      <c r="F53" s="577">
        <f>0.5*(MAX(D53:E53)-MIN(D53:E53))</f>
        <v>4.9999500000000002E-2</v>
      </c>
      <c r="G53" s="545">
        <f>(1.7/100)*(B53-C53)</f>
        <v>0.17</v>
      </c>
      <c r="H53" s="1529"/>
      <c r="I53" s="545">
        <v>10</v>
      </c>
      <c r="J53" s="578">
        <v>0</v>
      </c>
      <c r="K53" s="578">
        <v>9.9999999999999995E-7</v>
      </c>
      <c r="L53" s="578">
        <v>0.1</v>
      </c>
      <c r="M53" s="577">
        <f>0.5*(MAX(J53:L53)-MIN(J53:L53))</f>
        <v>0.05</v>
      </c>
      <c r="N53" s="545">
        <f>(1.7/100)*(I53-J53)</f>
        <v>0.17</v>
      </c>
      <c r="O53" s="1529"/>
      <c r="P53" s="545">
        <v>10</v>
      </c>
      <c r="Q53" s="576">
        <v>0</v>
      </c>
      <c r="R53" s="578">
        <v>0.1</v>
      </c>
      <c r="S53" s="578">
        <v>0.1</v>
      </c>
      <c r="T53" s="577">
        <f>0.5*(MAX(R53:S53)-MIN(R53:S53))</f>
        <v>0</v>
      </c>
      <c r="U53" s="545">
        <f>(1.7/100)*(P53-Q53)</f>
        <v>0.17</v>
      </c>
    </row>
    <row r="54" spans="1:21" x14ac:dyDescent="0.25">
      <c r="A54" s="1532"/>
      <c r="B54" s="545">
        <v>20</v>
      </c>
      <c r="C54" s="576">
        <v>0.1</v>
      </c>
      <c r="D54" s="578">
        <v>0.1</v>
      </c>
      <c r="E54" s="578">
        <v>0.2</v>
      </c>
      <c r="F54" s="577">
        <f>0.5*(MAX(D54:E54)-MIN(D54:E54))</f>
        <v>0.05</v>
      </c>
      <c r="G54" s="545">
        <f t="shared" ref="G54:G55" si="30">(1.7/100)*(B54-C54)</f>
        <v>0.33829999999999999</v>
      </c>
      <c r="H54" s="1529"/>
      <c r="I54" s="545">
        <v>20</v>
      </c>
      <c r="J54" s="578">
        <v>0.1</v>
      </c>
      <c r="K54" s="578">
        <v>0.1</v>
      </c>
      <c r="L54" s="578">
        <v>0.1</v>
      </c>
      <c r="M54" s="577">
        <f t="shared" ref="M54:M56" si="31">0.5*(MAX(J54:L54)-MIN(J54:L54))</f>
        <v>0</v>
      </c>
      <c r="N54" s="545">
        <f t="shared" ref="N54:N56" si="32">(1.7/100)*(I54-J54)</f>
        <v>0.33829999999999999</v>
      </c>
      <c r="O54" s="1529"/>
      <c r="P54" s="545">
        <v>20</v>
      </c>
      <c r="Q54" s="576">
        <v>0.1</v>
      </c>
      <c r="R54" s="578">
        <v>0.1</v>
      </c>
      <c r="S54" s="578">
        <v>0.1</v>
      </c>
      <c r="T54" s="577">
        <f>0.5*(MAX(R54:S54)-MIN(R54:S54))</f>
        <v>0</v>
      </c>
      <c r="U54" s="545">
        <f t="shared" ref="U54:U56" si="33">(1.7/100)*(P54-Q54)</f>
        <v>0.33829999999999999</v>
      </c>
    </row>
    <row r="55" spans="1:21" x14ac:dyDescent="0.25">
      <c r="A55" s="1532"/>
      <c r="B55" s="545">
        <v>50</v>
      </c>
      <c r="C55" s="576">
        <v>0.4</v>
      </c>
      <c r="D55" s="581">
        <v>0.4</v>
      </c>
      <c r="E55" s="581">
        <v>0.5</v>
      </c>
      <c r="F55" s="577">
        <f>0.5*(MAX(D55:E55)-MIN(D55:E55))</f>
        <v>4.9999999999999989E-2</v>
      </c>
      <c r="G55" s="545">
        <f t="shared" si="30"/>
        <v>0.84320000000000006</v>
      </c>
      <c r="H55" s="1529"/>
      <c r="I55" s="545">
        <v>50</v>
      </c>
      <c r="J55" s="581">
        <v>0.3</v>
      </c>
      <c r="K55" s="581">
        <v>0.6</v>
      </c>
      <c r="L55" s="581">
        <v>0.4</v>
      </c>
      <c r="M55" s="577">
        <f t="shared" si="31"/>
        <v>0.15</v>
      </c>
      <c r="N55" s="545">
        <f t="shared" si="32"/>
        <v>0.8449000000000001</v>
      </c>
      <c r="O55" s="1529"/>
      <c r="P55" s="545">
        <v>50</v>
      </c>
      <c r="Q55" s="576">
        <v>0.1</v>
      </c>
      <c r="R55" s="581">
        <v>0.3</v>
      </c>
      <c r="S55" s="581">
        <v>0.3</v>
      </c>
      <c r="T55" s="577">
        <f>0.5*(MAX(R55:S55)-MIN(R55:S55))</f>
        <v>0</v>
      </c>
      <c r="U55" s="545">
        <f t="shared" si="33"/>
        <v>0.84830000000000005</v>
      </c>
    </row>
    <row r="56" spans="1:21" x14ac:dyDescent="0.25">
      <c r="A56" s="1532"/>
      <c r="B56" s="545">
        <v>100</v>
      </c>
      <c r="C56" s="576">
        <v>0.8</v>
      </c>
      <c r="D56" s="581">
        <v>1.4</v>
      </c>
      <c r="E56" s="581">
        <v>1</v>
      </c>
      <c r="F56" s="577">
        <f>0.5*(MAX(D56:E56)-MIN(D56:E56))</f>
        <v>0.19999999999999996</v>
      </c>
      <c r="G56" s="545">
        <f>(1.7/100)*(B56-C56)</f>
        <v>1.6864000000000001</v>
      </c>
      <c r="H56" s="1529"/>
      <c r="I56" s="545">
        <v>100</v>
      </c>
      <c r="J56" s="581">
        <v>0.4</v>
      </c>
      <c r="K56" s="581">
        <v>1.5</v>
      </c>
      <c r="L56" s="581">
        <v>0.8</v>
      </c>
      <c r="M56" s="577">
        <f t="shared" si="31"/>
        <v>0.55000000000000004</v>
      </c>
      <c r="N56" s="545">
        <f t="shared" si="32"/>
        <v>1.6932</v>
      </c>
      <c r="O56" s="1529"/>
      <c r="P56" s="545">
        <v>100</v>
      </c>
      <c r="Q56" s="576">
        <v>2</v>
      </c>
      <c r="R56" s="581">
        <v>0.6</v>
      </c>
      <c r="S56" s="581">
        <v>0.6</v>
      </c>
      <c r="T56" s="577">
        <f>0.5*(MAX(R56:S56)-MIN(R56:S56))</f>
        <v>0</v>
      </c>
      <c r="U56" s="545">
        <f t="shared" si="33"/>
        <v>1.6660000000000001</v>
      </c>
    </row>
    <row r="57" spans="1:21" ht="12.75" customHeight="1" x14ac:dyDescent="0.25">
      <c r="A57" s="1532"/>
      <c r="B57" s="1528" t="str">
        <f>B26</f>
        <v>Resistance</v>
      </c>
      <c r="C57" s="1528"/>
      <c r="D57" s="1528"/>
      <c r="E57" s="1528"/>
      <c r="F57" s="1520" t="s">
        <v>388</v>
      </c>
      <c r="G57" s="1520" t="s">
        <v>389</v>
      </c>
      <c r="H57" s="1529"/>
      <c r="I57" s="1528" t="str">
        <f>B57</f>
        <v>Resistance</v>
      </c>
      <c r="J57" s="1528"/>
      <c r="K57" s="1528"/>
      <c r="L57" s="1528"/>
      <c r="M57" s="1520" t="s">
        <v>388</v>
      </c>
      <c r="N57" s="1520" t="s">
        <v>389</v>
      </c>
      <c r="O57" s="1529"/>
      <c r="P57" s="1528" t="str">
        <f>I57</f>
        <v>Resistance</v>
      </c>
      <c r="Q57" s="1528"/>
      <c r="R57" s="1528"/>
      <c r="S57" s="1528"/>
      <c r="T57" s="1520" t="s">
        <v>388</v>
      </c>
      <c r="U57" s="1520" t="s">
        <v>389</v>
      </c>
    </row>
    <row r="58" spans="1:21" ht="14.5" x14ac:dyDescent="0.25">
      <c r="A58" s="1532"/>
      <c r="B58" s="570" t="s">
        <v>396</v>
      </c>
      <c r="C58" s="571">
        <f>C36</f>
        <v>2022</v>
      </c>
      <c r="D58" s="571">
        <f>D36</f>
        <v>2021</v>
      </c>
      <c r="E58" s="571">
        <f>E36</f>
        <v>2019</v>
      </c>
      <c r="F58" s="1520"/>
      <c r="G58" s="1520"/>
      <c r="H58" s="1529"/>
      <c r="I58" s="570" t="s">
        <v>396</v>
      </c>
      <c r="J58" s="571">
        <f>J36</f>
        <v>2022</v>
      </c>
      <c r="K58" s="571">
        <f>K36</f>
        <v>2021</v>
      </c>
      <c r="L58" s="571">
        <f>L36</f>
        <v>2019</v>
      </c>
      <c r="M58" s="1520"/>
      <c r="N58" s="1520"/>
      <c r="O58" s="1529"/>
      <c r="P58" s="570" t="s">
        <v>396</v>
      </c>
      <c r="Q58" s="571">
        <f>Q36</f>
        <v>2023</v>
      </c>
      <c r="R58" s="571">
        <f>R36</f>
        <v>2022</v>
      </c>
      <c r="S58" s="571">
        <f>S36</f>
        <v>2019</v>
      </c>
      <c r="T58" s="1520"/>
      <c r="U58" s="1520"/>
    </row>
    <row r="59" spans="1:21" x14ac:dyDescent="0.25">
      <c r="A59" s="1532"/>
      <c r="B59" s="545">
        <v>0.01</v>
      </c>
      <c r="C59" s="943">
        <v>0</v>
      </c>
      <c r="D59" s="582">
        <v>9.9999999999999995E-7</v>
      </c>
      <c r="E59" s="582">
        <v>9.9999999999999995E-7</v>
      </c>
      <c r="F59" s="577">
        <f>0.5*(MAX(D59:E59)-MIN(D59:E59))</f>
        <v>0</v>
      </c>
      <c r="G59" s="545">
        <f t="shared" ref="G59:G61" si="34">(1.2/100)*(B59-C59)</f>
        <v>1.2E-4</v>
      </c>
      <c r="H59" s="1529"/>
      <c r="I59" s="545">
        <v>0.01</v>
      </c>
      <c r="J59" s="582">
        <v>0</v>
      </c>
      <c r="K59" s="582">
        <v>9.9999999999999995E-7</v>
      </c>
      <c r="L59" s="582">
        <v>9.9999999999999995E-7</v>
      </c>
      <c r="M59" s="577">
        <f>0.5*(MAX(J59:L59)-MIN(J59:L59))</f>
        <v>4.9999999999999998E-7</v>
      </c>
      <c r="N59" s="545">
        <f>(1.2/100)*(I59-J59)</f>
        <v>1.2E-4</v>
      </c>
      <c r="O59" s="1529"/>
      <c r="P59" s="545">
        <v>0.01</v>
      </c>
      <c r="Q59" s="943">
        <v>0</v>
      </c>
      <c r="R59" s="582">
        <v>0</v>
      </c>
      <c r="S59" s="582">
        <v>9.9999999999999995E-7</v>
      </c>
      <c r="T59" s="577">
        <f>0.5*(MAX(R59:S59)-MIN(R59:S59))</f>
        <v>4.9999999999999998E-7</v>
      </c>
      <c r="U59" s="545">
        <f>(1.2/100)*(P59-Q59)</f>
        <v>1.2E-4</v>
      </c>
    </row>
    <row r="60" spans="1:21" x14ac:dyDescent="0.25">
      <c r="A60" s="1532"/>
      <c r="B60" s="545">
        <v>0.1</v>
      </c>
      <c r="C60" s="943">
        <v>0</v>
      </c>
      <c r="D60" s="582">
        <v>-2E-3</v>
      </c>
      <c r="E60" s="582">
        <v>9.9999999999999995E-7</v>
      </c>
      <c r="F60" s="577">
        <f>0.5*(MAX(D60:E60)-MIN(D60:E60))</f>
        <v>1.0005000000000001E-3</v>
      </c>
      <c r="G60" s="545">
        <f>(1.2/100)*(B60-C60)</f>
        <v>1.2000000000000001E-3</v>
      </c>
      <c r="H60" s="1529"/>
      <c r="I60" s="545">
        <v>0.1</v>
      </c>
      <c r="J60" s="582">
        <v>-6.0000000000000001E-3</v>
      </c>
      <c r="K60" s="582">
        <v>5.0000000000000001E-3</v>
      </c>
      <c r="L60" s="582">
        <v>2E-3</v>
      </c>
      <c r="M60" s="577">
        <f t="shared" ref="M60:M62" si="35">0.5*(MAX(J60:L60)-MIN(J60:L60))</f>
        <v>5.4999999999999997E-3</v>
      </c>
      <c r="N60" s="545">
        <f t="shared" ref="N60:N62" si="36">(1.2/100)*(I60-J60)</f>
        <v>1.2720000000000001E-3</v>
      </c>
      <c r="O60" s="1529"/>
      <c r="P60" s="545">
        <v>0.1</v>
      </c>
      <c r="Q60" s="943">
        <v>0</v>
      </c>
      <c r="R60" s="582">
        <v>-3.0000000000000001E-3</v>
      </c>
      <c r="S60" s="582">
        <v>-2E-3</v>
      </c>
      <c r="T60" s="577">
        <f>0.5*(MAX(R60:S60)-MIN(R60:S60))</f>
        <v>5.0000000000000001E-4</v>
      </c>
      <c r="U60" s="545">
        <f t="shared" ref="U60:U61" si="37">(1.2/100)*(P60-Q60)</f>
        <v>1.2000000000000001E-3</v>
      </c>
    </row>
    <row r="61" spans="1:21" x14ac:dyDescent="0.25">
      <c r="A61" s="1532"/>
      <c r="B61" s="545">
        <v>1</v>
      </c>
      <c r="C61" s="943">
        <v>-2E-3</v>
      </c>
      <c r="D61" s="582">
        <v>-8.0000000000000002E-3</v>
      </c>
      <c r="E61" s="582">
        <v>-1E-3</v>
      </c>
      <c r="F61" s="577">
        <f>0.5*(MAX(D61:E61)-MIN(D61:E61))</f>
        <v>3.5000000000000001E-3</v>
      </c>
      <c r="G61" s="545">
        <f t="shared" si="34"/>
        <v>1.2024E-2</v>
      </c>
      <c r="H61" s="1529"/>
      <c r="I61" s="545">
        <v>1</v>
      </c>
      <c r="J61" s="582">
        <v>-2E-3</v>
      </c>
      <c r="K61" s="582">
        <v>1.7999999999999999E-2</v>
      </c>
      <c r="L61" s="582">
        <v>1.2E-2</v>
      </c>
      <c r="M61" s="577">
        <f t="shared" si="35"/>
        <v>9.9999999999999985E-3</v>
      </c>
      <c r="N61" s="545">
        <f t="shared" si="36"/>
        <v>1.2024E-2</v>
      </c>
      <c r="O61" s="1529"/>
      <c r="P61" s="545">
        <v>1</v>
      </c>
      <c r="Q61" s="943">
        <v>-6.0000000000000001E-3</v>
      </c>
      <c r="R61" s="582">
        <v>-7.0000000000000001E-3</v>
      </c>
      <c r="S61" s="582">
        <v>-1E-3</v>
      </c>
      <c r="T61" s="577">
        <f>0.5*(MAX(R61:S61)-MIN(R61:S61))</f>
        <v>3.0000000000000001E-3</v>
      </c>
      <c r="U61" s="545">
        <f t="shared" si="37"/>
        <v>1.2072000000000001E-2</v>
      </c>
    </row>
    <row r="62" spans="1:21" x14ac:dyDescent="0.25">
      <c r="A62" s="1532"/>
      <c r="B62" s="545">
        <v>2</v>
      </c>
      <c r="C62" s="943">
        <v>-6.0000000000000001E-3</v>
      </c>
      <c r="D62" s="582">
        <v>-7.0000000000000001E-3</v>
      </c>
      <c r="E62" s="582">
        <v>9.9999999999999995E-7</v>
      </c>
      <c r="F62" s="577">
        <f>0.5*(MAX(D62:E62)-MIN(D62:E62))</f>
        <v>3.5005000000000001E-3</v>
      </c>
      <c r="G62" s="545">
        <f>(1.2/100)*(B62-C62)</f>
        <v>2.4071999999999996E-2</v>
      </c>
      <c r="H62" s="1529"/>
      <c r="I62" s="585">
        <v>2</v>
      </c>
      <c r="J62" s="944">
        <v>-4.0000000000000001E-3</v>
      </c>
      <c r="K62" s="944">
        <v>0.113</v>
      </c>
      <c r="L62" s="944">
        <v>9.9999999999999995E-7</v>
      </c>
      <c r="M62" s="586">
        <f t="shared" si="35"/>
        <v>5.8500000000000003E-2</v>
      </c>
      <c r="N62" s="545">
        <f t="shared" si="36"/>
        <v>2.4048E-2</v>
      </c>
      <c r="O62" s="1529"/>
      <c r="P62" s="545">
        <v>2</v>
      </c>
      <c r="Q62" s="943">
        <v>-7.0000000000000001E-3</v>
      </c>
      <c r="R62" s="582">
        <v>-7.0000000000000001E-3</v>
      </c>
      <c r="S62" s="582">
        <v>9.9999999999999995E-7</v>
      </c>
      <c r="T62" s="577">
        <f>0.5*(MAX(R62:S62)-MIN(R62:S62))</f>
        <v>3.5005000000000001E-3</v>
      </c>
      <c r="U62" s="545">
        <f>(1.2/100)*(P62-Q62)</f>
        <v>2.4084000000000001E-2</v>
      </c>
    </row>
    <row r="63" spans="1:21" ht="15.5" x14ac:dyDescent="0.25">
      <c r="A63" s="587"/>
      <c r="B63" s="588"/>
      <c r="C63" s="588"/>
      <c r="D63" s="589"/>
      <c r="E63" s="589"/>
      <c r="F63" s="589"/>
      <c r="H63" s="590"/>
      <c r="I63" s="591"/>
      <c r="J63" s="588"/>
      <c r="K63" s="589"/>
      <c r="L63" s="589"/>
      <c r="M63" s="589"/>
      <c r="O63" s="590"/>
      <c r="P63" s="588"/>
      <c r="Q63" s="588"/>
      <c r="T63" s="584"/>
    </row>
    <row r="64" spans="1:21" ht="14.5" customHeight="1" x14ac:dyDescent="0.25">
      <c r="A64" s="1532" t="s">
        <v>145</v>
      </c>
      <c r="B64" s="1533" t="s">
        <v>403</v>
      </c>
      <c r="C64" s="1533"/>
      <c r="D64" s="1533"/>
      <c r="E64" s="1533"/>
      <c r="F64" s="1533"/>
      <c r="G64" s="1533"/>
      <c r="H64" s="1529" t="s">
        <v>404</v>
      </c>
      <c r="I64" s="1533" t="s">
        <v>405</v>
      </c>
      <c r="J64" s="1533"/>
      <c r="K64" s="1533"/>
      <c r="L64" s="1533"/>
      <c r="M64" s="1533"/>
      <c r="N64" s="1533"/>
      <c r="O64" s="1529" t="s">
        <v>95</v>
      </c>
      <c r="P64" s="1533" t="s">
        <v>406</v>
      </c>
      <c r="Q64" s="1533"/>
      <c r="R64" s="1533"/>
      <c r="S64" s="1533"/>
      <c r="T64" s="1533"/>
      <c r="U64" s="1533"/>
    </row>
    <row r="65" spans="1:21" ht="14" x14ac:dyDescent="0.3">
      <c r="A65" s="1532"/>
      <c r="B65" s="1534" t="s">
        <v>386</v>
      </c>
      <c r="C65" s="1534"/>
      <c r="D65" s="1534"/>
      <c r="E65" s="1534"/>
      <c r="F65" s="1534"/>
      <c r="G65" s="1534"/>
      <c r="H65" s="1529"/>
      <c r="I65" s="1531" t="s">
        <v>386</v>
      </c>
      <c r="J65" s="1531"/>
      <c r="K65" s="1531"/>
      <c r="L65" s="1531"/>
      <c r="M65" s="1531"/>
      <c r="N65" s="1531"/>
      <c r="O65" s="1529"/>
      <c r="P65" s="1531" t="s">
        <v>386</v>
      </c>
      <c r="Q65" s="1531"/>
      <c r="R65" s="1531"/>
      <c r="S65" s="1531"/>
      <c r="T65" s="1531"/>
      <c r="U65" s="1531"/>
    </row>
    <row r="66" spans="1:21" ht="13" x14ac:dyDescent="0.25">
      <c r="A66" s="1532"/>
      <c r="B66" s="1520" t="s">
        <v>387</v>
      </c>
      <c r="C66" s="1520"/>
      <c r="D66" s="1520"/>
      <c r="E66" s="1520"/>
      <c r="F66" s="1520" t="s">
        <v>388</v>
      </c>
      <c r="G66" s="1520" t="s">
        <v>389</v>
      </c>
      <c r="H66" s="1529"/>
      <c r="I66" s="1520" t="str">
        <f>B66</f>
        <v>Setting VAC</v>
      </c>
      <c r="J66" s="1520"/>
      <c r="K66" s="1520"/>
      <c r="L66" s="1520"/>
      <c r="M66" s="1520" t="s">
        <v>388</v>
      </c>
      <c r="N66" s="1520" t="s">
        <v>389</v>
      </c>
      <c r="O66" s="1529"/>
      <c r="P66" s="1520" t="str">
        <f>B66</f>
        <v>Setting VAC</v>
      </c>
      <c r="Q66" s="1520"/>
      <c r="R66" s="1520"/>
      <c r="S66" s="1520"/>
      <c r="T66" s="1520" t="s">
        <v>388</v>
      </c>
      <c r="U66" s="1520" t="s">
        <v>389</v>
      </c>
    </row>
    <row r="67" spans="1:21" ht="14" x14ac:dyDescent="0.25">
      <c r="A67" s="1532"/>
      <c r="B67" s="570" t="s">
        <v>390</v>
      </c>
      <c r="C67" s="571">
        <v>2023</v>
      </c>
      <c r="D67" s="571">
        <v>2022</v>
      </c>
      <c r="E67" s="571">
        <v>2020</v>
      </c>
      <c r="F67" s="1520"/>
      <c r="G67" s="1520"/>
      <c r="H67" s="1529"/>
      <c r="I67" s="570" t="s">
        <v>390</v>
      </c>
      <c r="J67" s="571">
        <v>2022</v>
      </c>
      <c r="K67" s="571">
        <v>2020</v>
      </c>
      <c r="L67" s="571">
        <v>2016</v>
      </c>
      <c r="M67" s="1520"/>
      <c r="N67" s="1520"/>
      <c r="O67" s="1529"/>
      <c r="P67" s="570" t="s">
        <v>390</v>
      </c>
      <c r="Q67" s="571">
        <v>2022</v>
      </c>
      <c r="R67" s="571">
        <v>2020</v>
      </c>
      <c r="S67" s="571">
        <v>2016</v>
      </c>
      <c r="T67" s="1520"/>
      <c r="U67" s="1520"/>
    </row>
    <row r="68" spans="1:21" ht="13" x14ac:dyDescent="0.25">
      <c r="A68" s="1532"/>
      <c r="B68" s="575">
        <v>150</v>
      </c>
      <c r="C68" s="576">
        <v>0.14000000000000001</v>
      </c>
      <c r="D68" s="545">
        <v>0.36</v>
      </c>
      <c r="E68" s="545">
        <v>0.21</v>
      </c>
      <c r="F68" s="577">
        <f t="shared" ref="F68:F73" si="38">0.5*(MAX(D68:E68)-MIN(D68:E68))</f>
        <v>7.4999999999999997E-2</v>
      </c>
      <c r="G68" s="575">
        <f t="shared" ref="G68:G73" si="39">(1.2/100)*B68</f>
        <v>1.8</v>
      </c>
      <c r="H68" s="1529"/>
      <c r="I68" s="575">
        <v>150</v>
      </c>
      <c r="J68" s="592">
        <v>-0.17</v>
      </c>
      <c r="K68" s="592">
        <v>-0.24</v>
      </c>
      <c r="L68" s="576"/>
      <c r="M68" s="577">
        <f>0.5*(MAX(J68:L68)-MIN(J68:L68))</f>
        <v>3.4999999999999989E-2</v>
      </c>
      <c r="N68" s="575">
        <f t="shared" ref="N68:N73" si="40">(1.2/100)*I68</f>
        <v>1.8</v>
      </c>
      <c r="O68" s="1529"/>
      <c r="P68" s="575">
        <v>150</v>
      </c>
      <c r="Q68" s="592">
        <v>-0.08</v>
      </c>
      <c r="R68" s="592">
        <v>-0.17</v>
      </c>
      <c r="S68" s="576"/>
      <c r="T68" s="577">
        <f>0.5*(MAX(Q68:S68)-MIN(Q68:S68))</f>
        <v>4.5000000000000005E-2</v>
      </c>
      <c r="U68" s="575">
        <f t="shared" ref="U68:U73" si="41">(1.2/100)*P68</f>
        <v>1.8</v>
      </c>
    </row>
    <row r="69" spans="1:21" ht="13" x14ac:dyDescent="0.25">
      <c r="A69" s="1532"/>
      <c r="B69" s="575">
        <v>180</v>
      </c>
      <c r="C69" s="576">
        <v>0.34</v>
      </c>
      <c r="D69" s="545">
        <v>0.46</v>
      </c>
      <c r="E69" s="545">
        <v>0.33</v>
      </c>
      <c r="F69" s="577">
        <f t="shared" si="38"/>
        <v>6.5000000000000002E-2</v>
      </c>
      <c r="G69" s="575">
        <f t="shared" si="39"/>
        <v>2.16</v>
      </c>
      <c r="H69" s="1529"/>
      <c r="I69" s="575">
        <v>180</v>
      </c>
      <c r="J69" s="592">
        <v>-0.39</v>
      </c>
      <c r="K69" s="592">
        <v>-0.14000000000000001</v>
      </c>
      <c r="L69" s="576"/>
      <c r="M69" s="577">
        <f t="shared" ref="M69:M73" si="42">0.5*(MAX(J69:L69)-MIN(J69:L69))</f>
        <v>0.125</v>
      </c>
      <c r="N69" s="575">
        <f t="shared" si="40"/>
        <v>2.16</v>
      </c>
      <c r="O69" s="1529"/>
      <c r="P69" s="575">
        <v>180</v>
      </c>
      <c r="Q69" s="592">
        <v>-0.2</v>
      </c>
      <c r="R69" s="592">
        <v>-0.22</v>
      </c>
      <c r="S69" s="576"/>
      <c r="T69" s="577">
        <f t="shared" ref="T69:T73" si="43">0.5*(MAX(Q69:S69)-MIN(Q69:S69))</f>
        <v>9.999999999999995E-3</v>
      </c>
      <c r="U69" s="575">
        <f t="shared" si="41"/>
        <v>2.16</v>
      </c>
    </row>
    <row r="70" spans="1:21" x14ac:dyDescent="0.25">
      <c r="A70" s="1532"/>
      <c r="B70" s="545">
        <v>200</v>
      </c>
      <c r="C70" s="576">
        <v>0.42</v>
      </c>
      <c r="D70" s="545">
        <v>0.52</v>
      </c>
      <c r="E70" s="545">
        <v>0.34</v>
      </c>
      <c r="F70" s="577">
        <f t="shared" si="38"/>
        <v>0.09</v>
      </c>
      <c r="G70" s="575">
        <f t="shared" si="39"/>
        <v>2.4</v>
      </c>
      <c r="H70" s="1529"/>
      <c r="I70" s="545">
        <v>200</v>
      </c>
      <c r="J70" s="545">
        <v>-0.23</v>
      </c>
      <c r="K70" s="545">
        <v>-0.33</v>
      </c>
      <c r="L70" s="576"/>
      <c r="M70" s="577">
        <f t="shared" si="42"/>
        <v>0.05</v>
      </c>
      <c r="N70" s="575">
        <f>(1.2/100)*I70</f>
        <v>2.4</v>
      </c>
      <c r="O70" s="1529"/>
      <c r="P70" s="545">
        <v>200</v>
      </c>
      <c r="Q70" s="545">
        <v>-0.25</v>
      </c>
      <c r="R70" s="545">
        <v>-0.33</v>
      </c>
      <c r="S70" s="576"/>
      <c r="T70" s="577">
        <f t="shared" si="43"/>
        <v>4.0000000000000008E-2</v>
      </c>
      <c r="U70" s="575">
        <f t="shared" si="41"/>
        <v>2.4</v>
      </c>
    </row>
    <row r="71" spans="1:21" x14ac:dyDescent="0.25">
      <c r="A71" s="1532"/>
      <c r="B71" s="545">
        <v>220</v>
      </c>
      <c r="C71" s="576">
        <v>0.32</v>
      </c>
      <c r="D71" s="545">
        <v>0.57999999999999996</v>
      </c>
      <c r="E71" s="545">
        <v>0.37</v>
      </c>
      <c r="F71" s="577">
        <f t="shared" si="38"/>
        <v>0.10499999999999998</v>
      </c>
      <c r="G71" s="575">
        <f t="shared" si="39"/>
        <v>2.64</v>
      </c>
      <c r="H71" s="1529"/>
      <c r="I71" s="545">
        <v>220</v>
      </c>
      <c r="J71" s="545">
        <v>-0.16</v>
      </c>
      <c r="K71" s="545">
        <v>-0.45</v>
      </c>
      <c r="L71" s="576"/>
      <c r="M71" s="577">
        <f t="shared" si="42"/>
        <v>0.14500000000000002</v>
      </c>
      <c r="N71" s="575">
        <f t="shared" si="40"/>
        <v>2.64</v>
      </c>
      <c r="O71" s="1529"/>
      <c r="P71" s="545">
        <v>220</v>
      </c>
      <c r="Q71" s="545">
        <v>-0.28999999999999998</v>
      </c>
      <c r="R71" s="545">
        <v>-0.39</v>
      </c>
      <c r="S71" s="576"/>
      <c r="T71" s="577">
        <f t="shared" si="43"/>
        <v>5.0000000000000017E-2</v>
      </c>
      <c r="U71" s="575">
        <f t="shared" si="41"/>
        <v>2.64</v>
      </c>
    </row>
    <row r="72" spans="1:21" x14ac:dyDescent="0.25">
      <c r="A72" s="1532"/>
      <c r="B72" s="545">
        <v>230</v>
      </c>
      <c r="C72" s="576">
        <v>0.38</v>
      </c>
      <c r="D72" s="545">
        <v>0.47</v>
      </c>
      <c r="E72" s="545">
        <v>0.47</v>
      </c>
      <c r="F72" s="577">
        <f t="shared" si="38"/>
        <v>0</v>
      </c>
      <c r="G72" s="575">
        <f t="shared" si="39"/>
        <v>2.7600000000000002</v>
      </c>
      <c r="H72" s="1529"/>
      <c r="I72" s="545">
        <v>230</v>
      </c>
      <c r="J72" s="545">
        <v>-0.15</v>
      </c>
      <c r="K72" s="545">
        <v>-0.54</v>
      </c>
      <c r="L72" s="576"/>
      <c r="M72" s="577">
        <f t="shared" si="42"/>
        <v>0.19500000000000001</v>
      </c>
      <c r="N72" s="575">
        <f t="shared" si="40"/>
        <v>2.7600000000000002</v>
      </c>
      <c r="O72" s="1529"/>
      <c r="P72" s="545">
        <v>230</v>
      </c>
      <c r="Q72" s="545">
        <v>-0.34</v>
      </c>
      <c r="R72" s="545">
        <v>-0.39</v>
      </c>
      <c r="S72" s="576"/>
      <c r="T72" s="577">
        <f t="shared" si="43"/>
        <v>2.4999999999999994E-2</v>
      </c>
      <c r="U72" s="575">
        <f t="shared" si="41"/>
        <v>2.7600000000000002</v>
      </c>
    </row>
    <row r="73" spans="1:21" x14ac:dyDescent="0.25">
      <c r="A73" s="1532"/>
      <c r="B73" s="545">
        <v>240</v>
      </c>
      <c r="C73" s="576">
        <v>0.44</v>
      </c>
      <c r="D73" s="545">
        <v>0</v>
      </c>
      <c r="E73" s="545">
        <v>0.38</v>
      </c>
      <c r="F73" s="577">
        <f t="shared" si="38"/>
        <v>0.19</v>
      </c>
      <c r="G73" s="575">
        <f t="shared" si="39"/>
        <v>2.88</v>
      </c>
      <c r="H73" s="1529"/>
      <c r="I73" s="545">
        <v>250</v>
      </c>
      <c r="J73" s="545">
        <v>9.9999999999999995E-7</v>
      </c>
      <c r="K73" s="545">
        <v>-0.49</v>
      </c>
      <c r="L73" s="576"/>
      <c r="M73" s="577">
        <f t="shared" si="42"/>
        <v>0.24500049999999998</v>
      </c>
      <c r="N73" s="575">
        <f t="shared" si="40"/>
        <v>3</v>
      </c>
      <c r="O73" s="1529"/>
      <c r="P73" s="545">
        <v>250</v>
      </c>
      <c r="Q73" s="545">
        <v>0</v>
      </c>
      <c r="R73" s="545">
        <v>-0.39</v>
      </c>
      <c r="S73" s="576"/>
      <c r="T73" s="577">
        <f t="shared" si="43"/>
        <v>0.19500000000000001</v>
      </c>
      <c r="U73" s="575">
        <f t="shared" si="41"/>
        <v>3</v>
      </c>
    </row>
    <row r="74" spans="1:21" ht="12.75" customHeight="1" x14ac:dyDescent="0.25">
      <c r="A74" s="1532"/>
      <c r="B74" s="1528" t="s">
        <v>391</v>
      </c>
      <c r="C74" s="1528"/>
      <c r="D74" s="1528"/>
      <c r="E74" s="1528"/>
      <c r="F74" s="1520" t="s">
        <v>388</v>
      </c>
      <c r="G74" s="1520" t="s">
        <v>389</v>
      </c>
      <c r="H74" s="1529"/>
      <c r="I74" s="1528" t="str">
        <f>B74</f>
        <v>Current Leakage</v>
      </c>
      <c r="J74" s="1528"/>
      <c r="K74" s="1528"/>
      <c r="L74" s="1528"/>
      <c r="M74" s="1520" t="s">
        <v>388</v>
      </c>
      <c r="N74" s="1520" t="s">
        <v>389</v>
      </c>
      <c r="O74" s="1529"/>
      <c r="P74" s="1528" t="str">
        <f>B74</f>
        <v>Current Leakage</v>
      </c>
      <c r="Q74" s="1528"/>
      <c r="R74" s="1528"/>
      <c r="S74" s="1528"/>
      <c r="T74" s="1520" t="s">
        <v>388</v>
      </c>
      <c r="U74" s="1520" t="s">
        <v>389</v>
      </c>
    </row>
    <row r="75" spans="1:21" ht="14" x14ac:dyDescent="0.25">
      <c r="A75" s="1532"/>
      <c r="B75" s="570" t="s">
        <v>392</v>
      </c>
      <c r="C75" s="571">
        <f>C67</f>
        <v>2023</v>
      </c>
      <c r="D75" s="571">
        <f>D67</f>
        <v>2022</v>
      </c>
      <c r="E75" s="571">
        <f>E67</f>
        <v>2020</v>
      </c>
      <c r="F75" s="1520"/>
      <c r="G75" s="1520"/>
      <c r="H75" s="1529"/>
      <c r="I75" s="570" t="s">
        <v>392</v>
      </c>
      <c r="J75" s="571">
        <f>J67</f>
        <v>2022</v>
      </c>
      <c r="K75" s="571">
        <f>K67</f>
        <v>2020</v>
      </c>
      <c r="L75" s="571">
        <f>L67</f>
        <v>2016</v>
      </c>
      <c r="M75" s="1520"/>
      <c r="N75" s="1520"/>
      <c r="O75" s="1529"/>
      <c r="P75" s="570" t="s">
        <v>392</v>
      </c>
      <c r="Q75" s="571">
        <f>Q67</f>
        <v>2022</v>
      </c>
      <c r="R75" s="571">
        <f>R67</f>
        <v>2020</v>
      </c>
      <c r="S75" s="571">
        <f>S67</f>
        <v>2016</v>
      </c>
      <c r="T75" s="1520"/>
      <c r="U75" s="1520"/>
    </row>
    <row r="76" spans="1:21" x14ac:dyDescent="0.25">
      <c r="A76" s="1532"/>
      <c r="B76" s="545">
        <v>0</v>
      </c>
      <c r="C76" s="576">
        <v>0</v>
      </c>
      <c r="D76" s="545">
        <v>0</v>
      </c>
      <c r="E76" s="545">
        <v>9.9999999999999995E-7</v>
      </c>
      <c r="F76" s="577">
        <f t="shared" ref="F76:F81" si="44">0.5*(MAX(D76:E76)-MIN(D76:E76))</f>
        <v>4.9999999999999998E-7</v>
      </c>
      <c r="G76" s="545">
        <f>(0.59/100)*B76</f>
        <v>0</v>
      </c>
      <c r="H76" s="1529"/>
      <c r="I76" s="545">
        <v>0</v>
      </c>
      <c r="J76" s="545">
        <v>9.9999999999999995E-7</v>
      </c>
      <c r="K76" s="545">
        <v>9.9999999999999995E-7</v>
      </c>
      <c r="L76" s="576"/>
      <c r="M76" s="577">
        <f>0.5*(MAX(J76:L76)-MIN(J76:L76))</f>
        <v>0</v>
      </c>
      <c r="N76" s="545">
        <f>(0.59/100)*I76</f>
        <v>0</v>
      </c>
      <c r="O76" s="1529"/>
      <c r="P76" s="545">
        <v>0</v>
      </c>
      <c r="Q76" s="545">
        <v>0</v>
      </c>
      <c r="R76" s="545">
        <v>9.9999999999999995E-7</v>
      </c>
      <c r="S76" s="576"/>
      <c r="T76" s="577">
        <f>0.5*(MAX(Q76:S76)-MIN(Q76:S76))</f>
        <v>4.9999999999999998E-7</v>
      </c>
      <c r="U76" s="545">
        <v>0.12</v>
      </c>
    </row>
    <row r="77" spans="1:21" x14ac:dyDescent="0.25">
      <c r="A77" s="1532"/>
      <c r="B77" s="545">
        <v>50</v>
      </c>
      <c r="C77" s="576">
        <v>5</v>
      </c>
      <c r="D77" s="545">
        <v>1.9</v>
      </c>
      <c r="E77" s="545">
        <v>1.7</v>
      </c>
      <c r="F77" s="577">
        <f t="shared" si="44"/>
        <v>9.9999999999999978E-2</v>
      </c>
      <c r="G77" s="545">
        <f>(0.59/100)*B77</f>
        <v>0.29499999999999998</v>
      </c>
      <c r="H77" s="1529"/>
      <c r="I77" s="545">
        <v>20</v>
      </c>
      <c r="J77" s="593">
        <v>6.6</v>
      </c>
      <c r="K77" s="545">
        <v>0.9</v>
      </c>
      <c r="L77" s="576"/>
      <c r="M77" s="577">
        <f t="shared" ref="M77:M81" si="45">0.5*(MAX(J77:L77)-MIN(J77:L77))</f>
        <v>2.8499999999999996</v>
      </c>
      <c r="N77" s="545">
        <f t="shared" ref="N77:N81" si="46">(0.59/100)*I77</f>
        <v>0.11799999999999999</v>
      </c>
      <c r="O77" s="1529"/>
      <c r="P77" s="545">
        <v>20</v>
      </c>
      <c r="Q77" s="545">
        <v>4.9000000000000004</v>
      </c>
      <c r="R77" s="545">
        <v>0.8</v>
      </c>
      <c r="S77" s="576"/>
      <c r="T77" s="577">
        <f t="shared" ref="T77:T81" si="47">0.5*(MAX(Q77:S77)-MIN(Q77:S77))</f>
        <v>2.0500000000000003</v>
      </c>
      <c r="U77" s="545">
        <f>(0.59/100)*P77</f>
        <v>0.11799999999999999</v>
      </c>
    </row>
    <row r="78" spans="1:21" x14ac:dyDescent="0.25">
      <c r="A78" s="1532"/>
      <c r="B78" s="545">
        <v>100</v>
      </c>
      <c r="C78" s="576">
        <v>6.2</v>
      </c>
      <c r="D78" s="545">
        <v>1.7</v>
      </c>
      <c r="E78" s="545">
        <v>1.7</v>
      </c>
      <c r="F78" s="577">
        <f t="shared" si="44"/>
        <v>0</v>
      </c>
      <c r="G78" s="545">
        <f t="shared" ref="G78:G81" si="48">(0.59/100)*B78</f>
        <v>0.59</v>
      </c>
      <c r="H78" s="1529"/>
      <c r="I78" s="545">
        <v>50</v>
      </c>
      <c r="J78" s="593">
        <v>5</v>
      </c>
      <c r="K78" s="593">
        <v>2.1</v>
      </c>
      <c r="L78" s="576"/>
      <c r="M78" s="577">
        <f t="shared" si="45"/>
        <v>1.45</v>
      </c>
      <c r="N78" s="545">
        <f t="shared" si="46"/>
        <v>0.29499999999999998</v>
      </c>
      <c r="O78" s="1529"/>
      <c r="P78" s="545">
        <v>50</v>
      </c>
      <c r="Q78" s="593">
        <v>9.1999999999999993</v>
      </c>
      <c r="R78" s="593">
        <v>1.7</v>
      </c>
      <c r="S78" s="576"/>
      <c r="T78" s="577">
        <f t="shared" si="47"/>
        <v>3.7499999999999996</v>
      </c>
      <c r="U78" s="545">
        <f>(0.59/100)*P78</f>
        <v>0.29499999999999998</v>
      </c>
    </row>
    <row r="79" spans="1:21" x14ac:dyDescent="0.25">
      <c r="A79" s="1532"/>
      <c r="B79" s="545">
        <v>200</v>
      </c>
      <c r="C79" s="576">
        <v>8.6</v>
      </c>
      <c r="D79" s="545">
        <v>1.5</v>
      </c>
      <c r="E79" s="545">
        <v>0.4</v>
      </c>
      <c r="F79" s="577">
        <f t="shared" si="44"/>
        <v>0.55000000000000004</v>
      </c>
      <c r="G79" s="545">
        <f t="shared" si="48"/>
        <v>1.18</v>
      </c>
      <c r="H79" s="1529"/>
      <c r="I79" s="545">
        <v>200</v>
      </c>
      <c r="J79" s="545">
        <v>-8.1999999999999993</v>
      </c>
      <c r="K79" s="545">
        <v>3.7</v>
      </c>
      <c r="L79" s="576"/>
      <c r="M79" s="577">
        <f t="shared" si="45"/>
        <v>5.9499999999999993</v>
      </c>
      <c r="N79" s="545">
        <f t="shared" si="46"/>
        <v>1.18</v>
      </c>
      <c r="O79" s="1529"/>
      <c r="P79" s="545">
        <v>200</v>
      </c>
      <c r="Q79" s="545">
        <v>-0.2</v>
      </c>
      <c r="R79" s="545">
        <v>3.4</v>
      </c>
      <c r="S79" s="576"/>
      <c r="T79" s="577">
        <f t="shared" si="47"/>
        <v>1.8</v>
      </c>
      <c r="U79" s="545">
        <f>(0.59/100)*P79</f>
        <v>1.18</v>
      </c>
    </row>
    <row r="80" spans="1:21" x14ac:dyDescent="0.25">
      <c r="A80" s="1532"/>
      <c r="B80" s="545">
        <v>500</v>
      </c>
      <c r="C80" s="576">
        <v>9.3000000000000007</v>
      </c>
      <c r="D80" s="545">
        <v>0.9</v>
      </c>
      <c r="E80" s="545">
        <v>3</v>
      </c>
      <c r="F80" s="577">
        <f t="shared" si="44"/>
        <v>1.05</v>
      </c>
      <c r="G80" s="545">
        <f t="shared" si="48"/>
        <v>2.9499999999999997</v>
      </c>
      <c r="H80" s="1529"/>
      <c r="I80" s="545">
        <v>500</v>
      </c>
      <c r="J80" s="545">
        <v>-31.8</v>
      </c>
      <c r="K80" s="545">
        <v>8.3000000000000007</v>
      </c>
      <c r="L80" s="576"/>
      <c r="M80" s="577">
        <f t="shared" si="45"/>
        <v>20.05</v>
      </c>
      <c r="N80" s="545">
        <f t="shared" si="46"/>
        <v>2.9499999999999997</v>
      </c>
      <c r="O80" s="1529"/>
      <c r="P80" s="545">
        <v>500</v>
      </c>
      <c r="Q80" s="545">
        <v>-25.1</v>
      </c>
      <c r="R80" s="545">
        <v>7.2</v>
      </c>
      <c r="S80" s="576"/>
      <c r="T80" s="577">
        <f t="shared" si="47"/>
        <v>16.150000000000002</v>
      </c>
      <c r="U80" s="545">
        <f>(0.59/100)*P80</f>
        <v>2.9499999999999997</v>
      </c>
    </row>
    <row r="81" spans="1:21" x14ac:dyDescent="0.25">
      <c r="A81" s="1532"/>
      <c r="B81" s="545">
        <v>1000</v>
      </c>
      <c r="C81" s="576">
        <v>-88</v>
      </c>
      <c r="D81" s="545">
        <v>0</v>
      </c>
      <c r="E81" s="545">
        <v>9.9999999999999995E-7</v>
      </c>
      <c r="F81" s="577">
        <f t="shared" si="44"/>
        <v>4.9999999999999998E-7</v>
      </c>
      <c r="G81" s="545">
        <f t="shared" si="48"/>
        <v>5.8999999999999995</v>
      </c>
      <c r="H81" s="1529"/>
      <c r="I81" s="545">
        <v>1000</v>
      </c>
      <c r="J81" s="545">
        <v>-74</v>
      </c>
      <c r="K81" s="545">
        <v>9.9999999999999995E-7</v>
      </c>
      <c r="L81" s="576"/>
      <c r="M81" s="577">
        <f t="shared" si="45"/>
        <v>37.000000499999999</v>
      </c>
      <c r="N81" s="545">
        <f t="shared" si="46"/>
        <v>5.8999999999999995</v>
      </c>
      <c r="O81" s="1529"/>
      <c r="P81" s="545">
        <v>1000</v>
      </c>
      <c r="Q81" s="545">
        <v>-6.6000000000000003E-2</v>
      </c>
      <c r="R81" s="545">
        <v>9.9999999999999995E-7</v>
      </c>
      <c r="S81" s="576"/>
      <c r="T81" s="577">
        <f t="shared" si="47"/>
        <v>3.3000500000000002E-2</v>
      </c>
      <c r="U81" s="545">
        <v>2.99</v>
      </c>
    </row>
    <row r="82" spans="1:21" ht="13" x14ac:dyDescent="0.25">
      <c r="A82" s="1532"/>
      <c r="B82" s="1528" t="s">
        <v>393</v>
      </c>
      <c r="C82" s="1528"/>
      <c r="D82" s="1528"/>
      <c r="E82" s="1528"/>
      <c r="F82" s="1520" t="s">
        <v>388</v>
      </c>
      <c r="G82" s="1520" t="s">
        <v>389</v>
      </c>
      <c r="H82" s="1529"/>
      <c r="I82" s="1528" t="s">
        <v>393</v>
      </c>
      <c r="J82" s="1528"/>
      <c r="K82" s="1528"/>
      <c r="L82" s="1528"/>
      <c r="M82" s="1520" t="s">
        <v>388</v>
      </c>
      <c r="N82" s="1520" t="s">
        <v>389</v>
      </c>
      <c r="O82" s="1529"/>
      <c r="P82" s="1528" t="str">
        <f>B82</f>
        <v>Main-PE</v>
      </c>
      <c r="Q82" s="1528"/>
      <c r="R82" s="1528"/>
      <c r="S82" s="1528"/>
      <c r="T82" s="1520" t="s">
        <v>388</v>
      </c>
      <c r="U82" s="1520" t="s">
        <v>389</v>
      </c>
    </row>
    <row r="83" spans="1:21" ht="14.5" x14ac:dyDescent="0.25">
      <c r="A83" s="1532"/>
      <c r="B83" s="570" t="s">
        <v>394</v>
      </c>
      <c r="C83" s="571">
        <f>C67</f>
        <v>2023</v>
      </c>
      <c r="D83" s="571">
        <f>D67</f>
        <v>2022</v>
      </c>
      <c r="E83" s="571">
        <f>E67</f>
        <v>2020</v>
      </c>
      <c r="F83" s="1520"/>
      <c r="G83" s="1520"/>
      <c r="H83" s="1529"/>
      <c r="I83" s="570" t="s">
        <v>394</v>
      </c>
      <c r="J83" s="571">
        <f>J67</f>
        <v>2022</v>
      </c>
      <c r="K83" s="571">
        <f>K67</f>
        <v>2020</v>
      </c>
      <c r="L83" s="571">
        <f>L67</f>
        <v>2016</v>
      </c>
      <c r="M83" s="1520"/>
      <c r="N83" s="1520"/>
      <c r="O83" s="1529"/>
      <c r="P83" s="570" t="s">
        <v>394</v>
      </c>
      <c r="Q83" s="571">
        <f>Q67</f>
        <v>2022</v>
      </c>
      <c r="R83" s="571">
        <f>R67</f>
        <v>2020</v>
      </c>
      <c r="S83" s="571">
        <f>S67</f>
        <v>2016</v>
      </c>
      <c r="T83" s="1520"/>
      <c r="U83" s="1520"/>
    </row>
    <row r="84" spans="1:21" x14ac:dyDescent="0.25">
      <c r="A84" s="1532"/>
      <c r="B84" s="545">
        <v>10</v>
      </c>
      <c r="C84" s="576">
        <v>0</v>
      </c>
      <c r="D84" s="545">
        <v>0</v>
      </c>
      <c r="E84" s="545">
        <v>9.9999999999999995E-7</v>
      </c>
      <c r="F84" s="577">
        <f>0.5*(MAX(D84:E84)-MIN(D84:E84))</f>
        <v>4.9999999999999998E-7</v>
      </c>
      <c r="G84" s="545">
        <f>(1.7/100)*(B84-C84)</f>
        <v>0.17</v>
      </c>
      <c r="H84" s="1529"/>
      <c r="I84" s="545">
        <v>10</v>
      </c>
      <c r="J84" s="545">
        <v>9.9999999999999995E-7</v>
      </c>
      <c r="K84" s="545">
        <v>9.9999999999999995E-7</v>
      </c>
      <c r="L84" s="576"/>
      <c r="M84" s="577">
        <f>0.5*(MAX(J84:L84)-MIN(J84:L84))</f>
        <v>0</v>
      </c>
      <c r="N84" s="545">
        <f>(1.7/100)*I84</f>
        <v>0.17</v>
      </c>
      <c r="O84" s="1529"/>
      <c r="P84" s="545">
        <v>10</v>
      </c>
      <c r="Q84" s="545">
        <v>0</v>
      </c>
      <c r="R84" s="545">
        <v>9.9999999999999995E-7</v>
      </c>
      <c r="S84" s="576"/>
      <c r="T84" s="577">
        <f>0.5*(MAX(Q84:S84)-MIN(Q84:S84))</f>
        <v>4.9999999999999998E-7</v>
      </c>
      <c r="U84" s="545">
        <v>0</v>
      </c>
    </row>
    <row r="85" spans="1:21" x14ac:dyDescent="0.25">
      <c r="A85" s="1532"/>
      <c r="B85" s="545">
        <v>20</v>
      </c>
      <c r="C85" s="576">
        <v>0.1</v>
      </c>
      <c r="D85" s="545">
        <v>0.1</v>
      </c>
      <c r="E85" s="545">
        <v>9.9999999999999995E-7</v>
      </c>
      <c r="F85" s="577">
        <f>0.5*(MAX(D85:E85)-MIN(D85:E85))</f>
        <v>4.9999500000000002E-2</v>
      </c>
      <c r="G85" s="545">
        <f t="shared" ref="G85:G86" si="49">(1.7/100)*(B85-C85)</f>
        <v>0.33829999999999999</v>
      </c>
      <c r="H85" s="1529"/>
      <c r="I85" s="545">
        <v>20</v>
      </c>
      <c r="J85" s="545">
        <v>9.9999999999999995E-7</v>
      </c>
      <c r="K85" s="545">
        <v>9.9999999999999995E-7</v>
      </c>
      <c r="L85" s="576"/>
      <c r="M85" s="577">
        <f t="shared" ref="M85:M87" si="50">0.5*(MAX(J85:L85)-MIN(J85:L85))</f>
        <v>0</v>
      </c>
      <c r="N85" s="545">
        <f t="shared" ref="N85:N87" si="51">(1.7/100)*I85</f>
        <v>0.34</v>
      </c>
      <c r="O85" s="1529"/>
      <c r="P85" s="545">
        <v>20</v>
      </c>
      <c r="Q85" s="545">
        <v>0</v>
      </c>
      <c r="R85" s="545">
        <v>9.9999999999999995E-7</v>
      </c>
      <c r="S85" s="576"/>
      <c r="T85" s="577">
        <f t="shared" ref="T85:T87" si="52">0.5*(MAX(Q85:S85)-MIN(Q85:S85))</f>
        <v>4.9999999999999998E-7</v>
      </c>
      <c r="U85" s="545">
        <v>0</v>
      </c>
    </row>
    <row r="86" spans="1:21" x14ac:dyDescent="0.25">
      <c r="A86" s="1532"/>
      <c r="B86" s="545">
        <v>50</v>
      </c>
      <c r="C86" s="576">
        <v>0.3</v>
      </c>
      <c r="D86" s="545">
        <v>0.5</v>
      </c>
      <c r="E86" s="545">
        <v>9.9999999999999995E-7</v>
      </c>
      <c r="F86" s="577">
        <f>0.5*(MAX(D86:E86)-MIN(D86:E86))</f>
        <v>0.24999950000000001</v>
      </c>
      <c r="G86" s="545">
        <f t="shared" si="49"/>
        <v>0.8449000000000001</v>
      </c>
      <c r="H86" s="1529"/>
      <c r="I86" s="545">
        <v>50</v>
      </c>
      <c r="J86" s="545">
        <v>0.2</v>
      </c>
      <c r="K86" s="545">
        <v>9.9999999999999995E-7</v>
      </c>
      <c r="L86" s="576"/>
      <c r="M86" s="577">
        <f t="shared" si="50"/>
        <v>9.9999500000000005E-2</v>
      </c>
      <c r="N86" s="545">
        <f t="shared" si="51"/>
        <v>0.85000000000000009</v>
      </c>
      <c r="O86" s="1529"/>
      <c r="P86" s="545">
        <v>50</v>
      </c>
      <c r="Q86" s="545">
        <v>0.2</v>
      </c>
      <c r="R86" s="545">
        <v>9.9999999999999995E-7</v>
      </c>
      <c r="S86" s="576"/>
      <c r="T86" s="577">
        <f t="shared" si="52"/>
        <v>9.9999500000000005E-2</v>
      </c>
      <c r="U86" s="545">
        <v>0</v>
      </c>
    </row>
    <row r="87" spans="1:21" x14ac:dyDescent="0.25">
      <c r="A87" s="1532"/>
      <c r="B87" s="545">
        <v>100</v>
      </c>
      <c r="C87" s="576">
        <v>0.8</v>
      </c>
      <c r="D87" s="545">
        <v>0.9</v>
      </c>
      <c r="E87" s="545">
        <v>9.9999999999999995E-7</v>
      </c>
      <c r="F87" s="577">
        <f>0.5*(MAX(D87:E87)-MIN(D87:E87))</f>
        <v>0.4499995</v>
      </c>
      <c r="G87" s="545">
        <f>(1.7/100)*(B87-C87)</f>
        <v>1.6864000000000001</v>
      </c>
      <c r="H87" s="1529"/>
      <c r="I87" s="545">
        <v>100</v>
      </c>
      <c r="J87" s="545">
        <v>0.4</v>
      </c>
      <c r="K87" s="545">
        <v>9.9999999999999995E-7</v>
      </c>
      <c r="L87" s="576"/>
      <c r="M87" s="577">
        <f t="shared" si="50"/>
        <v>0.19999950000000002</v>
      </c>
      <c r="N87" s="545">
        <f t="shared" si="51"/>
        <v>1.7000000000000002</v>
      </c>
      <c r="O87" s="1529"/>
      <c r="P87" s="545">
        <v>100</v>
      </c>
      <c r="Q87" s="545">
        <v>0.6</v>
      </c>
      <c r="R87" s="545">
        <v>9.9999999999999995E-7</v>
      </c>
      <c r="S87" s="576"/>
      <c r="T87" s="577">
        <f t="shared" si="52"/>
        <v>0.29999949999999997</v>
      </c>
      <c r="U87" s="545">
        <v>0</v>
      </c>
    </row>
    <row r="88" spans="1:21" ht="12.75" customHeight="1" x14ac:dyDescent="0.25">
      <c r="A88" s="1532"/>
      <c r="B88" s="1528" t="s">
        <v>395</v>
      </c>
      <c r="C88" s="1528"/>
      <c r="D88" s="1528"/>
      <c r="E88" s="1528"/>
      <c r="F88" s="1520" t="s">
        <v>388</v>
      </c>
      <c r="G88" s="1520" t="s">
        <v>389</v>
      </c>
      <c r="H88" s="1529"/>
      <c r="I88" s="1528" t="s">
        <v>395</v>
      </c>
      <c r="J88" s="1528"/>
      <c r="K88" s="1528"/>
      <c r="L88" s="1528"/>
      <c r="M88" s="1520" t="s">
        <v>388</v>
      </c>
      <c r="N88" s="1535" t="s">
        <v>389</v>
      </c>
      <c r="O88" s="1529"/>
      <c r="P88" s="1528" t="str">
        <f>B88</f>
        <v>Resistance</v>
      </c>
      <c r="Q88" s="1528"/>
      <c r="R88" s="1528"/>
      <c r="S88" s="1528"/>
      <c r="T88" s="1520" t="s">
        <v>388</v>
      </c>
      <c r="U88" s="1520" t="s">
        <v>389</v>
      </c>
    </row>
    <row r="89" spans="1:21" ht="14.5" x14ac:dyDescent="0.25">
      <c r="A89" s="1532"/>
      <c r="B89" s="570" t="s">
        <v>396</v>
      </c>
      <c r="C89" s="571">
        <f>C67</f>
        <v>2023</v>
      </c>
      <c r="D89" s="571">
        <f>D67</f>
        <v>2022</v>
      </c>
      <c r="E89" s="571">
        <f>E67</f>
        <v>2020</v>
      </c>
      <c r="F89" s="1520"/>
      <c r="G89" s="1520"/>
      <c r="H89" s="1529"/>
      <c r="I89" s="570" t="s">
        <v>396</v>
      </c>
      <c r="J89" s="571">
        <f>J67</f>
        <v>2022</v>
      </c>
      <c r="K89" s="571">
        <f>K67</f>
        <v>2020</v>
      </c>
      <c r="L89" s="571">
        <f>L67</f>
        <v>2016</v>
      </c>
      <c r="M89" s="1520"/>
      <c r="N89" s="1536"/>
      <c r="O89" s="1529"/>
      <c r="P89" s="570" t="s">
        <v>396</v>
      </c>
      <c r="Q89" s="571">
        <f>Q67</f>
        <v>2022</v>
      </c>
      <c r="R89" s="571">
        <f>R67</f>
        <v>2020</v>
      </c>
      <c r="S89" s="571">
        <f>S67</f>
        <v>2016</v>
      </c>
      <c r="T89" s="1520"/>
      <c r="U89" s="1520"/>
    </row>
    <row r="90" spans="1:21" x14ac:dyDescent="0.25">
      <c r="A90" s="1532"/>
      <c r="B90" s="545">
        <v>0.01</v>
      </c>
      <c r="C90" s="943">
        <v>0</v>
      </c>
      <c r="D90" s="596">
        <v>0</v>
      </c>
      <c r="E90" s="596">
        <v>9.9999999999999995E-7</v>
      </c>
      <c r="F90" s="577">
        <f>0.5*(MAX(D90:E90)-MIN(D90:E90))</f>
        <v>4.9999999999999998E-7</v>
      </c>
      <c r="G90" s="545">
        <f>(1.2/100)*(B90-C90)</f>
        <v>1.2E-4</v>
      </c>
      <c r="H90" s="1529"/>
      <c r="I90" s="545">
        <v>0.1</v>
      </c>
      <c r="J90" s="594">
        <v>-1E-3</v>
      </c>
      <c r="K90" s="594">
        <v>-1E-3</v>
      </c>
      <c r="L90" s="576"/>
      <c r="M90" s="595">
        <f>0.5*(MAX(J90:L90)-MIN(J90:L90))</f>
        <v>0</v>
      </c>
      <c r="N90" s="545">
        <f>(1.2/100)*I90</f>
        <v>1.2000000000000001E-3</v>
      </c>
      <c r="O90" s="1529"/>
      <c r="P90" s="545">
        <v>1E-3</v>
      </c>
      <c r="Q90" s="593">
        <v>0</v>
      </c>
      <c r="R90" s="593">
        <v>-1E-3</v>
      </c>
      <c r="S90" s="576"/>
      <c r="T90" s="577">
        <f>0.5*(MAX(Q90:S90)-MIN(Q90:S90))</f>
        <v>5.0000000000000001E-4</v>
      </c>
      <c r="U90" s="545">
        <f>(1.2/100)*P90</f>
        <v>1.2E-5</v>
      </c>
    </row>
    <row r="91" spans="1:21" x14ac:dyDescent="0.25">
      <c r="A91" s="1532"/>
      <c r="B91" s="545">
        <v>0.5</v>
      </c>
      <c r="C91" s="943">
        <v>8.0000000000000002E-3</v>
      </c>
      <c r="D91" s="596">
        <v>3.0000000000000001E-3</v>
      </c>
      <c r="E91" s="596">
        <v>9.9999999999999995E-7</v>
      </c>
      <c r="F91" s="577">
        <f>0.5*(MAX(D91:E91)-MIN(D91:E91))</f>
        <v>1.4995E-3</v>
      </c>
      <c r="G91" s="545">
        <f t="shared" ref="G91:G93" si="53">(1.2/100)*(B91-C91)</f>
        <v>5.9040000000000004E-3</v>
      </c>
      <c r="H91" s="1529"/>
      <c r="I91" s="545">
        <v>0.5</v>
      </c>
      <c r="J91" s="596">
        <v>4.0000000000000001E-3</v>
      </c>
      <c r="K91" s="596">
        <v>-3.0000000000000001E-3</v>
      </c>
      <c r="L91" s="576"/>
      <c r="M91" s="595">
        <f t="shared" ref="M91:M93" si="54">0.5*(MAX(J91:L91)-MIN(J91:L91))</f>
        <v>3.5000000000000001E-3</v>
      </c>
      <c r="N91" s="545">
        <f>(1.2/100)*I91</f>
        <v>6.0000000000000001E-3</v>
      </c>
      <c r="O91" s="1529"/>
      <c r="P91" s="545">
        <v>0.10199999999999999</v>
      </c>
      <c r="Q91" s="545">
        <v>1E-3</v>
      </c>
      <c r="R91" s="545">
        <v>-2E-3</v>
      </c>
      <c r="S91" s="576"/>
      <c r="T91" s="577">
        <f t="shared" ref="T91:T93" si="55">0.5*(MAX(Q91:S91)-MIN(Q91:S91))</f>
        <v>1.5E-3</v>
      </c>
      <c r="U91" s="545">
        <f>(1.2/100)*P91</f>
        <v>1.224E-3</v>
      </c>
    </row>
    <row r="92" spans="1:21" x14ac:dyDescent="0.25">
      <c r="A92" s="1532"/>
      <c r="B92" s="545">
        <v>1</v>
      </c>
      <c r="C92" s="943">
        <v>-6.0000000000000001E-3</v>
      </c>
      <c r="D92" s="596">
        <v>2E-3</v>
      </c>
      <c r="E92" s="596">
        <v>-2E-3</v>
      </c>
      <c r="F92" s="577">
        <f>0.5*(MAX(D92:E92)-MIN(D92:E92))</f>
        <v>2E-3</v>
      </c>
      <c r="G92" s="545">
        <f t="shared" si="53"/>
        <v>1.2072000000000001E-2</v>
      </c>
      <c r="H92" s="1529"/>
      <c r="I92" s="545">
        <v>1</v>
      </c>
      <c r="J92" s="596">
        <v>5.0000000000000001E-3</v>
      </c>
      <c r="K92" s="596">
        <v>1E-3</v>
      </c>
      <c r="L92" s="576"/>
      <c r="M92" s="595">
        <f t="shared" si="54"/>
        <v>2E-3</v>
      </c>
      <c r="N92" s="545">
        <f>(1.2/100)*I92</f>
        <v>1.2E-2</v>
      </c>
      <c r="O92" s="1529"/>
      <c r="P92" s="545">
        <v>0.5</v>
      </c>
      <c r="Q92" s="545">
        <v>4.0000000000000001E-3</v>
      </c>
      <c r="R92" s="545">
        <v>9.9999999999999995E-7</v>
      </c>
      <c r="S92" s="576"/>
      <c r="T92" s="577">
        <f t="shared" si="55"/>
        <v>1.9995E-3</v>
      </c>
      <c r="U92" s="545">
        <f>(1.2/100)*P92</f>
        <v>6.0000000000000001E-3</v>
      </c>
    </row>
    <row r="93" spans="1:21" x14ac:dyDescent="0.25">
      <c r="A93" s="1532"/>
      <c r="B93" s="545">
        <v>2</v>
      </c>
      <c r="C93" s="943">
        <v>-8.0000000000000002E-3</v>
      </c>
      <c r="D93" s="596">
        <v>-1E-3</v>
      </c>
      <c r="E93" s="596">
        <v>9.9999999999999995E-7</v>
      </c>
      <c r="F93" s="577">
        <f>0.5*(MAX(D93:E93)-MIN(D93:E93))</f>
        <v>5.0049999999999997E-4</v>
      </c>
      <c r="G93" s="545">
        <f t="shared" si="53"/>
        <v>2.4095999999999999E-2</v>
      </c>
      <c r="H93" s="1529"/>
      <c r="I93" s="545">
        <v>2</v>
      </c>
      <c r="J93" s="596">
        <v>5.0000000000000001E-3</v>
      </c>
      <c r="K93" s="596">
        <v>-1E-3</v>
      </c>
      <c r="L93" s="576"/>
      <c r="M93" s="595">
        <f t="shared" si="54"/>
        <v>3.0000000000000001E-3</v>
      </c>
      <c r="N93" s="545">
        <f>(1.2/100)*I93</f>
        <v>2.4E-2</v>
      </c>
      <c r="O93" s="1529"/>
      <c r="P93" s="585">
        <v>1</v>
      </c>
      <c r="Q93" s="585">
        <v>0</v>
      </c>
      <c r="R93" s="585">
        <v>-1E-3</v>
      </c>
      <c r="S93" s="576"/>
      <c r="T93" s="586">
        <f t="shared" si="55"/>
        <v>5.0000000000000001E-4</v>
      </c>
      <c r="U93" s="545">
        <f>(1.2/100)*P93</f>
        <v>1.2E-2</v>
      </c>
    </row>
    <row r="94" spans="1:21" ht="15.5" x14ac:dyDescent="0.25">
      <c r="A94" s="597"/>
      <c r="B94" s="588"/>
      <c r="C94" s="588"/>
      <c r="D94" s="589"/>
      <c r="E94" s="598"/>
      <c r="F94" s="599"/>
      <c r="H94" s="590"/>
      <c r="I94" s="588"/>
      <c r="J94" s="588"/>
      <c r="K94" s="589"/>
      <c r="L94" s="589"/>
      <c r="M94" s="589"/>
      <c r="O94" s="590"/>
      <c r="P94" s="588"/>
      <c r="Q94" s="588"/>
      <c r="R94" s="589"/>
      <c r="S94" s="589"/>
      <c r="T94" s="589"/>
    </row>
    <row r="95" spans="1:21" ht="14.5" x14ac:dyDescent="0.25">
      <c r="A95" s="1532" t="s">
        <v>407</v>
      </c>
      <c r="B95" s="1533">
        <v>10</v>
      </c>
      <c r="C95" s="1533"/>
      <c r="D95" s="1533"/>
      <c r="E95" s="1533"/>
      <c r="F95" s="1533"/>
      <c r="G95" s="1533"/>
      <c r="H95" s="1529" t="s">
        <v>408</v>
      </c>
      <c r="I95" s="1530">
        <v>11</v>
      </c>
      <c r="J95" s="1530"/>
      <c r="K95" s="1530"/>
      <c r="L95" s="1530"/>
      <c r="M95" s="1530"/>
      <c r="N95" s="1530"/>
      <c r="O95" s="1529" t="s">
        <v>409</v>
      </c>
      <c r="P95" s="1530">
        <v>12</v>
      </c>
      <c r="Q95" s="1530"/>
      <c r="R95" s="1530"/>
      <c r="S95" s="1530"/>
      <c r="T95" s="1530"/>
      <c r="U95" s="1530"/>
    </row>
    <row r="96" spans="1:21" ht="14" x14ac:dyDescent="0.3">
      <c r="A96" s="1532"/>
      <c r="B96" s="1534" t="s">
        <v>386</v>
      </c>
      <c r="C96" s="1534"/>
      <c r="D96" s="1534"/>
      <c r="E96" s="1534"/>
      <c r="F96" s="1534"/>
      <c r="G96" s="1534"/>
      <c r="H96" s="1529"/>
      <c r="I96" s="1531" t="s">
        <v>386</v>
      </c>
      <c r="J96" s="1531"/>
      <c r="K96" s="1531"/>
      <c r="L96" s="1531"/>
      <c r="M96" s="1531"/>
      <c r="N96" s="1531"/>
      <c r="O96" s="1529"/>
      <c r="P96" s="1531" t="s">
        <v>386</v>
      </c>
      <c r="Q96" s="1531"/>
      <c r="R96" s="1531"/>
      <c r="S96" s="1531"/>
      <c r="T96" s="1531"/>
      <c r="U96" s="1531"/>
    </row>
    <row r="97" spans="1:21" ht="13" x14ac:dyDescent="0.25">
      <c r="A97" s="1532"/>
      <c r="B97" s="1520" t="s">
        <v>387</v>
      </c>
      <c r="C97" s="1520"/>
      <c r="D97" s="1520"/>
      <c r="E97" s="1520"/>
      <c r="F97" s="1520" t="s">
        <v>388</v>
      </c>
      <c r="G97" s="1520" t="s">
        <v>389</v>
      </c>
      <c r="H97" s="1529"/>
      <c r="I97" s="1520" t="str">
        <f>B97</f>
        <v>Setting VAC</v>
      </c>
      <c r="J97" s="1520"/>
      <c r="K97" s="1520"/>
      <c r="L97" s="1520"/>
      <c r="M97" s="1520" t="s">
        <v>388</v>
      </c>
      <c r="N97" s="1520" t="s">
        <v>389</v>
      </c>
      <c r="O97" s="1529"/>
      <c r="P97" s="1520" t="str">
        <f>B97</f>
        <v>Setting VAC</v>
      </c>
      <c r="Q97" s="1520"/>
      <c r="R97" s="1520"/>
      <c r="S97" s="1520"/>
      <c r="T97" s="1520" t="s">
        <v>388</v>
      </c>
      <c r="U97" s="1520" t="s">
        <v>389</v>
      </c>
    </row>
    <row r="98" spans="1:21" ht="14" x14ac:dyDescent="0.25">
      <c r="A98" s="1532"/>
      <c r="B98" s="570" t="s">
        <v>390</v>
      </c>
      <c r="C98" s="572">
        <v>2021</v>
      </c>
      <c r="D98" s="572" t="s">
        <v>128</v>
      </c>
      <c r="E98" s="571">
        <v>2016</v>
      </c>
      <c r="F98" s="1520"/>
      <c r="G98" s="1520"/>
      <c r="H98" s="1529"/>
      <c r="I98" s="570" t="s">
        <v>390</v>
      </c>
      <c r="J98" s="572" t="s">
        <v>128</v>
      </c>
      <c r="K98" s="572" t="s">
        <v>128</v>
      </c>
      <c r="L98" s="571">
        <v>2016</v>
      </c>
      <c r="M98" s="1520"/>
      <c r="N98" s="1520"/>
      <c r="O98" s="1529"/>
      <c r="P98" s="570" t="s">
        <v>390</v>
      </c>
      <c r="Q98" s="572" t="s">
        <v>128</v>
      </c>
      <c r="R98" s="572" t="s">
        <v>128</v>
      </c>
      <c r="S98" s="571">
        <v>2016</v>
      </c>
      <c r="T98" s="1520"/>
      <c r="U98" s="1520"/>
    </row>
    <row r="99" spans="1:21" ht="13" x14ac:dyDescent="0.25">
      <c r="A99" s="1532"/>
      <c r="B99" s="575">
        <v>150</v>
      </c>
      <c r="C99" s="545">
        <v>-0.05</v>
      </c>
      <c r="D99" s="600" t="s">
        <v>128</v>
      </c>
      <c r="E99" s="576"/>
      <c r="F99" s="577">
        <f>0.5*(MAX(C99:E99)-MIN(C99:E99))</f>
        <v>0</v>
      </c>
      <c r="G99" s="600" t="s">
        <v>128</v>
      </c>
      <c r="H99" s="1529"/>
      <c r="I99" s="575">
        <v>150</v>
      </c>
      <c r="J99" s="593">
        <v>9.9999999999999995E-7</v>
      </c>
      <c r="K99" s="600" t="s">
        <v>128</v>
      </c>
      <c r="L99" s="576"/>
      <c r="M99" s="577">
        <f>0.5*(MAX(J99:L99)-MIN(J99:L99))</f>
        <v>0</v>
      </c>
      <c r="N99" s="600" t="s">
        <v>128</v>
      </c>
      <c r="O99" s="1529"/>
      <c r="P99" s="575">
        <v>150</v>
      </c>
      <c r="Q99" s="593">
        <v>9.9999999999999995E-7</v>
      </c>
      <c r="R99" s="600" t="s">
        <v>128</v>
      </c>
      <c r="S99" s="576"/>
      <c r="T99" s="577">
        <f>0.5*(MAX(Q99:S99)-MIN(Q99:S99))</f>
        <v>0</v>
      </c>
      <c r="U99" s="600" t="s">
        <v>128</v>
      </c>
    </row>
    <row r="100" spans="1:21" ht="13" x14ac:dyDescent="0.25">
      <c r="A100" s="1532"/>
      <c r="B100" s="575">
        <v>180</v>
      </c>
      <c r="C100" s="545">
        <v>-0.04</v>
      </c>
      <c r="D100" s="578" t="s">
        <v>128</v>
      </c>
      <c r="E100" s="576"/>
      <c r="F100" s="577">
        <f t="shared" ref="F100:F104" si="56">0.5*(MAX(C100:E100)-MIN(C100:E100))</f>
        <v>0</v>
      </c>
      <c r="G100" s="600" t="s">
        <v>128</v>
      </c>
      <c r="H100" s="1529"/>
      <c r="I100" s="575">
        <v>180</v>
      </c>
      <c r="J100" s="593">
        <v>9.9999999999999995E-7</v>
      </c>
      <c r="K100" s="578" t="s">
        <v>128</v>
      </c>
      <c r="L100" s="576"/>
      <c r="M100" s="577">
        <f t="shared" ref="M100:M104" si="57">0.5*(MAX(J100:L100)-MIN(J100:L100))</f>
        <v>0</v>
      </c>
      <c r="N100" s="578" t="s">
        <v>128</v>
      </c>
      <c r="O100" s="1529"/>
      <c r="P100" s="575">
        <v>180</v>
      </c>
      <c r="Q100" s="593">
        <v>9.9999999999999995E-7</v>
      </c>
      <c r="R100" s="578" t="s">
        <v>128</v>
      </c>
      <c r="S100" s="576"/>
      <c r="T100" s="577">
        <f t="shared" ref="T100:T104" si="58">0.5*(MAX(Q100:S100)-MIN(Q100:S100))</f>
        <v>0</v>
      </c>
      <c r="U100" s="578" t="s">
        <v>128</v>
      </c>
    </row>
    <row r="101" spans="1:21" ht="13" x14ac:dyDescent="0.25">
      <c r="A101" s="1532"/>
      <c r="B101" s="545">
        <v>200</v>
      </c>
      <c r="C101" s="545">
        <v>-0.67</v>
      </c>
      <c r="D101" s="578" t="s">
        <v>128</v>
      </c>
      <c r="E101" s="576"/>
      <c r="F101" s="577">
        <f t="shared" si="56"/>
        <v>0</v>
      </c>
      <c r="G101" s="600" t="s">
        <v>128</v>
      </c>
      <c r="H101" s="1529"/>
      <c r="I101" s="545">
        <v>200</v>
      </c>
      <c r="J101" s="545">
        <v>9.9999999999999995E-7</v>
      </c>
      <c r="K101" s="578" t="s">
        <v>128</v>
      </c>
      <c r="L101" s="576"/>
      <c r="M101" s="577">
        <f t="shared" si="57"/>
        <v>0</v>
      </c>
      <c r="N101" s="578" t="s">
        <v>128</v>
      </c>
      <c r="O101" s="1529"/>
      <c r="P101" s="545">
        <v>200</v>
      </c>
      <c r="Q101" s="593">
        <v>9.9999999999999995E-7</v>
      </c>
      <c r="R101" s="578" t="s">
        <v>128</v>
      </c>
      <c r="S101" s="576"/>
      <c r="T101" s="577">
        <f t="shared" si="58"/>
        <v>0</v>
      </c>
      <c r="U101" s="578" t="s">
        <v>128</v>
      </c>
    </row>
    <row r="102" spans="1:21" ht="13" x14ac:dyDescent="0.25">
      <c r="A102" s="1532"/>
      <c r="B102" s="545">
        <v>220</v>
      </c>
      <c r="C102" s="545">
        <v>9.9999999999999995E-7</v>
      </c>
      <c r="D102" s="578" t="s">
        <v>128</v>
      </c>
      <c r="E102" s="576"/>
      <c r="F102" s="577">
        <f t="shared" si="56"/>
        <v>0</v>
      </c>
      <c r="G102" s="600" t="s">
        <v>128</v>
      </c>
      <c r="H102" s="1529"/>
      <c r="I102" s="545">
        <v>220</v>
      </c>
      <c r="J102" s="545">
        <v>9.9999999999999995E-7</v>
      </c>
      <c r="K102" s="578" t="s">
        <v>128</v>
      </c>
      <c r="L102" s="576"/>
      <c r="M102" s="577">
        <f t="shared" si="57"/>
        <v>0</v>
      </c>
      <c r="N102" s="578" t="s">
        <v>128</v>
      </c>
      <c r="O102" s="1529"/>
      <c r="P102" s="545">
        <v>220</v>
      </c>
      <c r="Q102" s="593">
        <v>9.9999999999999995E-7</v>
      </c>
      <c r="R102" s="578" t="s">
        <v>128</v>
      </c>
      <c r="S102" s="576"/>
      <c r="T102" s="577">
        <f t="shared" si="58"/>
        <v>0</v>
      </c>
      <c r="U102" s="578" t="s">
        <v>128</v>
      </c>
    </row>
    <row r="103" spans="1:21" ht="13" x14ac:dyDescent="0.25">
      <c r="A103" s="1532"/>
      <c r="B103" s="545">
        <v>230</v>
      </c>
      <c r="C103" s="545">
        <v>-0.11</v>
      </c>
      <c r="D103" s="578" t="s">
        <v>128</v>
      </c>
      <c r="E103" s="576"/>
      <c r="F103" s="577">
        <f t="shared" si="56"/>
        <v>0</v>
      </c>
      <c r="G103" s="600" t="s">
        <v>128</v>
      </c>
      <c r="H103" s="1529"/>
      <c r="I103" s="545">
        <v>230</v>
      </c>
      <c r="J103" s="545">
        <v>9.9999999999999995E-7</v>
      </c>
      <c r="K103" s="578" t="s">
        <v>128</v>
      </c>
      <c r="L103" s="576"/>
      <c r="M103" s="577">
        <f t="shared" si="57"/>
        <v>0</v>
      </c>
      <c r="N103" s="578" t="s">
        <v>128</v>
      </c>
      <c r="O103" s="1529"/>
      <c r="P103" s="545">
        <v>230</v>
      </c>
      <c r="Q103" s="593">
        <v>9.9999999999999995E-7</v>
      </c>
      <c r="R103" s="578" t="s">
        <v>128</v>
      </c>
      <c r="S103" s="576"/>
      <c r="T103" s="577">
        <f t="shared" si="58"/>
        <v>0</v>
      </c>
      <c r="U103" s="578" t="s">
        <v>128</v>
      </c>
    </row>
    <row r="104" spans="1:21" ht="13" x14ac:dyDescent="0.25">
      <c r="A104" s="1532"/>
      <c r="B104" s="545">
        <v>250</v>
      </c>
      <c r="C104" s="545">
        <v>-0.11</v>
      </c>
      <c r="D104" s="578" t="s">
        <v>128</v>
      </c>
      <c r="E104" s="576"/>
      <c r="F104" s="577">
        <f t="shared" si="56"/>
        <v>0</v>
      </c>
      <c r="G104" s="600" t="s">
        <v>128</v>
      </c>
      <c r="H104" s="1529"/>
      <c r="I104" s="545">
        <v>250</v>
      </c>
      <c r="J104" s="545">
        <v>9.9999999999999995E-7</v>
      </c>
      <c r="K104" s="578" t="s">
        <v>128</v>
      </c>
      <c r="L104" s="576"/>
      <c r="M104" s="577">
        <f t="shared" si="57"/>
        <v>0</v>
      </c>
      <c r="N104" s="578" t="s">
        <v>128</v>
      </c>
      <c r="O104" s="1529"/>
      <c r="P104" s="545">
        <v>250</v>
      </c>
      <c r="Q104" s="593">
        <v>9.9999999999999995E-7</v>
      </c>
      <c r="R104" s="578" t="s">
        <v>128</v>
      </c>
      <c r="S104" s="576"/>
      <c r="T104" s="577">
        <f t="shared" si="58"/>
        <v>0</v>
      </c>
      <c r="U104" s="578" t="s">
        <v>128</v>
      </c>
    </row>
    <row r="105" spans="1:21" ht="13" customHeight="1" x14ac:dyDescent="0.25">
      <c r="A105" s="1532"/>
      <c r="B105" s="1528" t="s">
        <v>391</v>
      </c>
      <c r="C105" s="1528"/>
      <c r="D105" s="1528"/>
      <c r="E105" s="1528"/>
      <c r="F105" s="1520" t="s">
        <v>388</v>
      </c>
      <c r="G105" s="1520" t="s">
        <v>389</v>
      </c>
      <c r="H105" s="1529"/>
      <c r="I105" s="1528" t="str">
        <f>B105</f>
        <v>Current Leakage</v>
      </c>
      <c r="J105" s="1528"/>
      <c r="K105" s="1528"/>
      <c r="L105" s="1528"/>
      <c r="M105" s="1520" t="s">
        <v>388</v>
      </c>
      <c r="N105" s="1520" t="s">
        <v>389</v>
      </c>
      <c r="O105" s="1529"/>
      <c r="P105" s="1528" t="str">
        <f>B105</f>
        <v>Current Leakage</v>
      </c>
      <c r="Q105" s="1528"/>
      <c r="R105" s="1528"/>
      <c r="S105" s="1528"/>
      <c r="T105" s="1520" t="s">
        <v>388</v>
      </c>
      <c r="U105" s="1520" t="s">
        <v>389</v>
      </c>
    </row>
    <row r="106" spans="1:21" ht="14" x14ac:dyDescent="0.25">
      <c r="A106" s="1532"/>
      <c r="B106" s="570" t="s">
        <v>392</v>
      </c>
      <c r="C106" s="571">
        <f>C98</f>
        <v>2021</v>
      </c>
      <c r="D106" s="571" t="str">
        <f>D98</f>
        <v>-</v>
      </c>
      <c r="E106" s="571">
        <f>E98</f>
        <v>2016</v>
      </c>
      <c r="F106" s="1520"/>
      <c r="G106" s="1520"/>
      <c r="H106" s="1529"/>
      <c r="I106" s="570" t="s">
        <v>392</v>
      </c>
      <c r="J106" s="571" t="str">
        <f>J98</f>
        <v>-</v>
      </c>
      <c r="K106" s="571" t="str">
        <f>K98</f>
        <v>-</v>
      </c>
      <c r="L106" s="571">
        <f>L98</f>
        <v>2016</v>
      </c>
      <c r="M106" s="1520"/>
      <c r="N106" s="1520"/>
      <c r="O106" s="1529"/>
      <c r="P106" s="570" t="s">
        <v>392</v>
      </c>
      <c r="Q106" s="571" t="str">
        <f>Q98</f>
        <v>-</v>
      </c>
      <c r="R106" s="571" t="str">
        <f>R98</f>
        <v>-</v>
      </c>
      <c r="S106" s="571">
        <f>S98</f>
        <v>2016</v>
      </c>
      <c r="T106" s="1520"/>
      <c r="U106" s="1520"/>
    </row>
    <row r="107" spans="1:21" ht="13" x14ac:dyDescent="0.25">
      <c r="A107" s="1532"/>
      <c r="B107" s="545">
        <v>0</v>
      </c>
      <c r="C107" s="545">
        <v>9.9999999999999995E-7</v>
      </c>
      <c r="D107" s="600" t="s">
        <v>128</v>
      </c>
      <c r="E107" s="576"/>
      <c r="F107" s="577">
        <f>0.5*(MAX(C107:E107)-MIN(C107:E107))</f>
        <v>0</v>
      </c>
      <c r="G107" s="600" t="s">
        <v>128</v>
      </c>
      <c r="H107" s="1529"/>
      <c r="I107" s="545">
        <v>0</v>
      </c>
      <c r="J107" s="545">
        <v>9.9999999999999995E-7</v>
      </c>
      <c r="K107" s="600" t="s">
        <v>128</v>
      </c>
      <c r="L107" s="576"/>
      <c r="M107" s="577">
        <f>0.5*(MAX(J107:L107)-MIN(J107:L107))</f>
        <v>0</v>
      </c>
      <c r="N107" s="600" t="s">
        <v>128</v>
      </c>
      <c r="O107" s="1529"/>
      <c r="P107" s="545">
        <v>0</v>
      </c>
      <c r="Q107" s="545">
        <v>9.9999999999999995E-7</v>
      </c>
      <c r="R107" s="600" t="s">
        <v>128</v>
      </c>
      <c r="S107" s="576"/>
      <c r="T107" s="577">
        <f>0.5*(MAX(Q107:S107)-MIN(Q107:S107))</f>
        <v>0</v>
      </c>
      <c r="U107" s="600" t="s">
        <v>128</v>
      </c>
    </row>
    <row r="108" spans="1:21" ht="13" x14ac:dyDescent="0.25">
      <c r="A108" s="1532"/>
      <c r="B108" s="545">
        <v>50</v>
      </c>
      <c r="C108" s="545">
        <v>0.4</v>
      </c>
      <c r="D108" s="578" t="s">
        <v>128</v>
      </c>
      <c r="E108" s="576"/>
      <c r="F108" s="577">
        <f t="shared" ref="F108:F112" si="59">0.5*(MAX(C108:E108)-MIN(C108:E108))</f>
        <v>0</v>
      </c>
      <c r="G108" s="600" t="s">
        <v>128</v>
      </c>
      <c r="H108" s="1529"/>
      <c r="I108" s="545">
        <v>50</v>
      </c>
      <c r="J108" s="545">
        <v>9.9999999999999995E-7</v>
      </c>
      <c r="K108" s="578" t="s">
        <v>128</v>
      </c>
      <c r="L108" s="576"/>
      <c r="M108" s="577">
        <f t="shared" ref="M108:M112" si="60">0.5*(MAX(J108:L108)-MIN(J108:L108))</f>
        <v>0</v>
      </c>
      <c r="N108" s="578" t="s">
        <v>128</v>
      </c>
      <c r="O108" s="1529"/>
      <c r="P108" s="545">
        <v>50</v>
      </c>
      <c r="Q108" s="545">
        <v>9.9999999999999995E-7</v>
      </c>
      <c r="R108" s="578" t="s">
        <v>128</v>
      </c>
      <c r="S108" s="576"/>
      <c r="T108" s="577">
        <f t="shared" ref="T108:T112" si="61">0.5*(MAX(Q108:S108)-MIN(Q108:S108))</f>
        <v>0</v>
      </c>
      <c r="U108" s="578" t="s">
        <v>128</v>
      </c>
    </row>
    <row r="109" spans="1:21" ht="13" x14ac:dyDescent="0.25">
      <c r="A109" s="1532"/>
      <c r="B109" s="545">
        <v>100</v>
      </c>
      <c r="C109" s="545">
        <v>0.4</v>
      </c>
      <c r="D109" s="578" t="s">
        <v>128</v>
      </c>
      <c r="E109" s="576"/>
      <c r="F109" s="577">
        <f t="shared" si="59"/>
        <v>0</v>
      </c>
      <c r="G109" s="600" t="s">
        <v>128</v>
      </c>
      <c r="H109" s="1529"/>
      <c r="I109" s="545">
        <v>100</v>
      </c>
      <c r="J109" s="593">
        <v>9.9999999999999995E-7</v>
      </c>
      <c r="K109" s="578" t="s">
        <v>128</v>
      </c>
      <c r="L109" s="576"/>
      <c r="M109" s="577">
        <f t="shared" si="60"/>
        <v>0</v>
      </c>
      <c r="N109" s="578" t="s">
        <v>128</v>
      </c>
      <c r="O109" s="1529"/>
      <c r="P109" s="545">
        <v>100</v>
      </c>
      <c r="Q109" s="545">
        <v>9.9999999999999995E-7</v>
      </c>
      <c r="R109" s="578" t="s">
        <v>128</v>
      </c>
      <c r="S109" s="576"/>
      <c r="T109" s="577">
        <f t="shared" si="61"/>
        <v>0</v>
      </c>
      <c r="U109" s="578" t="s">
        <v>128</v>
      </c>
    </row>
    <row r="110" spans="1:21" ht="13" x14ac:dyDescent="0.25">
      <c r="A110" s="1532"/>
      <c r="B110" s="545">
        <v>200</v>
      </c>
      <c r="C110" s="545">
        <v>0.4</v>
      </c>
      <c r="D110" s="578" t="s">
        <v>128</v>
      </c>
      <c r="E110" s="576"/>
      <c r="F110" s="577">
        <f t="shared" si="59"/>
        <v>0</v>
      </c>
      <c r="G110" s="600" t="s">
        <v>128</v>
      </c>
      <c r="H110" s="1529"/>
      <c r="I110" s="545">
        <v>200</v>
      </c>
      <c r="J110" s="545">
        <v>9.9999999999999995E-7</v>
      </c>
      <c r="K110" s="578" t="s">
        <v>128</v>
      </c>
      <c r="L110" s="576"/>
      <c r="M110" s="577">
        <f t="shared" si="60"/>
        <v>0</v>
      </c>
      <c r="N110" s="578" t="s">
        <v>128</v>
      </c>
      <c r="O110" s="1529"/>
      <c r="P110" s="545">
        <v>200</v>
      </c>
      <c r="Q110" s="545">
        <v>9.9999999999999995E-7</v>
      </c>
      <c r="R110" s="578" t="s">
        <v>128</v>
      </c>
      <c r="S110" s="576"/>
      <c r="T110" s="577">
        <f t="shared" si="61"/>
        <v>0</v>
      </c>
      <c r="U110" s="578" t="s">
        <v>128</v>
      </c>
    </row>
    <row r="111" spans="1:21" ht="13" x14ac:dyDescent="0.25">
      <c r="A111" s="1532"/>
      <c r="B111" s="545">
        <v>500</v>
      </c>
      <c r="C111" s="545">
        <v>1.5</v>
      </c>
      <c r="D111" s="578" t="s">
        <v>128</v>
      </c>
      <c r="E111" s="576"/>
      <c r="F111" s="577">
        <f t="shared" si="59"/>
        <v>0</v>
      </c>
      <c r="G111" s="600" t="s">
        <v>128</v>
      </c>
      <c r="H111" s="1529"/>
      <c r="I111" s="545">
        <v>500</v>
      </c>
      <c r="J111" s="545">
        <v>9.9999999999999995E-7</v>
      </c>
      <c r="K111" s="578" t="s">
        <v>128</v>
      </c>
      <c r="L111" s="576"/>
      <c r="M111" s="577">
        <f t="shared" si="60"/>
        <v>0</v>
      </c>
      <c r="N111" s="578" t="s">
        <v>128</v>
      </c>
      <c r="O111" s="1529"/>
      <c r="P111" s="545">
        <v>500</v>
      </c>
      <c r="Q111" s="545">
        <v>9.9999999999999995E-7</v>
      </c>
      <c r="R111" s="578" t="s">
        <v>128</v>
      </c>
      <c r="S111" s="576"/>
      <c r="T111" s="577">
        <f t="shared" si="61"/>
        <v>0</v>
      </c>
      <c r="U111" s="578" t="s">
        <v>128</v>
      </c>
    </row>
    <row r="112" spans="1:21" ht="13" x14ac:dyDescent="0.25">
      <c r="A112" s="1532"/>
      <c r="B112" s="545">
        <v>1000</v>
      </c>
      <c r="C112" s="545">
        <v>2</v>
      </c>
      <c r="D112" s="578" t="s">
        <v>128</v>
      </c>
      <c r="E112" s="576"/>
      <c r="F112" s="577">
        <f t="shared" si="59"/>
        <v>0</v>
      </c>
      <c r="G112" s="600" t="s">
        <v>128</v>
      </c>
      <c r="H112" s="1529"/>
      <c r="I112" s="545">
        <v>1000</v>
      </c>
      <c r="J112" s="545">
        <v>9.9999999999999995E-7</v>
      </c>
      <c r="K112" s="578" t="s">
        <v>128</v>
      </c>
      <c r="L112" s="576"/>
      <c r="M112" s="577">
        <f t="shared" si="60"/>
        <v>0</v>
      </c>
      <c r="N112" s="578" t="s">
        <v>128</v>
      </c>
      <c r="O112" s="1529"/>
      <c r="P112" s="545">
        <v>1000</v>
      </c>
      <c r="Q112" s="545">
        <v>9.9999999999999995E-7</v>
      </c>
      <c r="R112" s="578" t="s">
        <v>128</v>
      </c>
      <c r="S112" s="576"/>
      <c r="T112" s="577">
        <f t="shared" si="61"/>
        <v>0</v>
      </c>
      <c r="U112" s="578" t="s">
        <v>128</v>
      </c>
    </row>
    <row r="113" spans="1:21" ht="13" x14ac:dyDescent="0.25">
      <c r="A113" s="1532"/>
      <c r="B113" s="1528" t="s">
        <v>393</v>
      </c>
      <c r="C113" s="1528"/>
      <c r="D113" s="1528"/>
      <c r="E113" s="1528"/>
      <c r="F113" s="1520" t="s">
        <v>388</v>
      </c>
      <c r="G113" s="1520" t="s">
        <v>389</v>
      </c>
      <c r="H113" s="1529"/>
      <c r="I113" s="1528" t="s">
        <v>393</v>
      </c>
      <c r="J113" s="1528"/>
      <c r="K113" s="1528"/>
      <c r="L113" s="1528"/>
      <c r="M113" s="1520" t="s">
        <v>388</v>
      </c>
      <c r="N113" s="1520" t="s">
        <v>389</v>
      </c>
      <c r="O113" s="1529"/>
      <c r="P113" s="1528" t="str">
        <f>B113</f>
        <v>Main-PE</v>
      </c>
      <c r="Q113" s="1528"/>
      <c r="R113" s="1528"/>
      <c r="S113" s="1528"/>
      <c r="T113" s="1520" t="s">
        <v>388</v>
      </c>
      <c r="U113" s="1520" t="s">
        <v>389</v>
      </c>
    </row>
    <row r="114" spans="1:21" ht="14.5" x14ac:dyDescent="0.25">
      <c r="A114" s="1532"/>
      <c r="B114" s="570" t="s">
        <v>394</v>
      </c>
      <c r="C114" s="571">
        <f>C98</f>
        <v>2021</v>
      </c>
      <c r="D114" s="571" t="str">
        <f>D98</f>
        <v>-</v>
      </c>
      <c r="E114" s="571">
        <f>E98</f>
        <v>2016</v>
      </c>
      <c r="F114" s="1520"/>
      <c r="G114" s="1520"/>
      <c r="H114" s="1529"/>
      <c r="I114" s="570" t="s">
        <v>394</v>
      </c>
      <c r="J114" s="571" t="str">
        <f>J98</f>
        <v>-</v>
      </c>
      <c r="K114" s="571" t="str">
        <f>K98</f>
        <v>-</v>
      </c>
      <c r="L114" s="571">
        <f>L98</f>
        <v>2016</v>
      </c>
      <c r="M114" s="1520"/>
      <c r="N114" s="1520"/>
      <c r="O114" s="1529"/>
      <c r="P114" s="570" t="s">
        <v>394</v>
      </c>
      <c r="Q114" s="571" t="str">
        <f>Q98</f>
        <v>-</v>
      </c>
      <c r="R114" s="571" t="str">
        <f>R98</f>
        <v>-</v>
      </c>
      <c r="S114" s="571">
        <f>S98</f>
        <v>2016</v>
      </c>
      <c r="T114" s="1520"/>
      <c r="U114" s="1520"/>
    </row>
    <row r="115" spans="1:21" x14ac:dyDescent="0.25">
      <c r="A115" s="1532"/>
      <c r="B115" s="545">
        <v>10</v>
      </c>
      <c r="C115" s="545">
        <v>9.9999999999999995E-7</v>
      </c>
      <c r="D115" s="578" t="s">
        <v>128</v>
      </c>
      <c r="E115" s="576"/>
      <c r="F115" s="577">
        <f>0.5*(MAX(C115:E115)-MIN(C115:E115))</f>
        <v>0</v>
      </c>
      <c r="G115" s="581" t="s">
        <v>128</v>
      </c>
      <c r="H115" s="1529"/>
      <c r="I115" s="545">
        <v>10</v>
      </c>
      <c r="J115" s="545">
        <v>9.9999999999999995E-7</v>
      </c>
      <c r="K115" s="578" t="s">
        <v>128</v>
      </c>
      <c r="L115" s="576"/>
      <c r="M115" s="577">
        <f>0.5*(MAX(J115:L115)-MIN(J115:L115))</f>
        <v>0</v>
      </c>
      <c r="N115" s="578" t="s">
        <v>128</v>
      </c>
      <c r="O115" s="1529"/>
      <c r="P115" s="545">
        <v>10</v>
      </c>
      <c r="Q115" s="545">
        <v>9.9999999999999995E-7</v>
      </c>
      <c r="R115" s="578" t="s">
        <v>128</v>
      </c>
      <c r="S115" s="576"/>
      <c r="T115" s="577">
        <f>0.5*(MAX(Q115:S115)-MIN(Q115:S115))</f>
        <v>0</v>
      </c>
      <c r="U115" s="578" t="s">
        <v>128</v>
      </c>
    </row>
    <row r="116" spans="1:21" x14ac:dyDescent="0.25">
      <c r="A116" s="1532"/>
      <c r="B116" s="545">
        <v>20</v>
      </c>
      <c r="C116" s="545">
        <v>0.1</v>
      </c>
      <c r="D116" s="578" t="s">
        <v>128</v>
      </c>
      <c r="E116" s="576"/>
      <c r="F116" s="577">
        <f t="shared" ref="F116:F118" si="62">0.5*(MAX(C116:E116)-MIN(C116:E116))</f>
        <v>0</v>
      </c>
      <c r="G116" s="581" t="s">
        <v>128</v>
      </c>
      <c r="H116" s="1529"/>
      <c r="I116" s="545">
        <v>20</v>
      </c>
      <c r="J116" s="545">
        <v>9.9999999999999995E-7</v>
      </c>
      <c r="K116" s="578" t="s">
        <v>128</v>
      </c>
      <c r="L116" s="576"/>
      <c r="M116" s="577">
        <f t="shared" ref="M116:M118" si="63">0.5*(MAX(J116:L116)-MIN(J116:L116))</f>
        <v>0</v>
      </c>
      <c r="N116" s="578" t="s">
        <v>128</v>
      </c>
      <c r="O116" s="1529"/>
      <c r="P116" s="545">
        <v>20</v>
      </c>
      <c r="Q116" s="545">
        <v>9.9999999999999995E-7</v>
      </c>
      <c r="R116" s="578" t="s">
        <v>128</v>
      </c>
      <c r="S116" s="576"/>
      <c r="T116" s="577">
        <f t="shared" ref="T116:T118" si="64">0.5*(MAX(Q116:S116)-MIN(Q116:S116))</f>
        <v>0</v>
      </c>
      <c r="U116" s="578" t="s">
        <v>128</v>
      </c>
    </row>
    <row r="117" spans="1:21" x14ac:dyDescent="0.25">
      <c r="A117" s="1532"/>
      <c r="B117" s="545">
        <v>50</v>
      </c>
      <c r="C117" s="545">
        <v>0.4</v>
      </c>
      <c r="D117" s="581" t="s">
        <v>128</v>
      </c>
      <c r="E117" s="576"/>
      <c r="F117" s="577">
        <f t="shared" si="62"/>
        <v>0</v>
      </c>
      <c r="G117" s="581" t="s">
        <v>128</v>
      </c>
      <c r="H117" s="1529"/>
      <c r="I117" s="545">
        <v>50</v>
      </c>
      <c r="J117" s="545">
        <v>9.9999999999999995E-7</v>
      </c>
      <c r="K117" s="581" t="s">
        <v>128</v>
      </c>
      <c r="L117" s="576"/>
      <c r="M117" s="577">
        <f t="shared" si="63"/>
        <v>0</v>
      </c>
      <c r="N117" s="581" t="s">
        <v>128</v>
      </c>
      <c r="O117" s="1529"/>
      <c r="P117" s="545">
        <v>50</v>
      </c>
      <c r="Q117" s="545">
        <v>9.9999999999999995E-7</v>
      </c>
      <c r="R117" s="581" t="s">
        <v>128</v>
      </c>
      <c r="S117" s="576"/>
      <c r="T117" s="577">
        <f t="shared" si="64"/>
        <v>0</v>
      </c>
      <c r="U117" s="581" t="s">
        <v>128</v>
      </c>
    </row>
    <row r="118" spans="1:21" x14ac:dyDescent="0.25">
      <c r="A118" s="1532"/>
      <c r="B118" s="545">
        <v>100</v>
      </c>
      <c r="C118" s="545">
        <v>1.4</v>
      </c>
      <c r="D118" s="581" t="s">
        <v>128</v>
      </c>
      <c r="E118" s="576"/>
      <c r="F118" s="577">
        <f t="shared" si="62"/>
        <v>0</v>
      </c>
      <c r="G118" s="581" t="s">
        <v>128</v>
      </c>
      <c r="H118" s="1529"/>
      <c r="I118" s="545">
        <v>100</v>
      </c>
      <c r="J118" s="545">
        <v>9.9999999999999995E-7</v>
      </c>
      <c r="K118" s="581" t="s">
        <v>128</v>
      </c>
      <c r="L118" s="576"/>
      <c r="M118" s="577">
        <f t="shared" si="63"/>
        <v>0</v>
      </c>
      <c r="N118" s="581" t="s">
        <v>128</v>
      </c>
      <c r="O118" s="1529"/>
      <c r="P118" s="545">
        <v>100</v>
      </c>
      <c r="Q118" s="545">
        <v>9.9999999999999995E-7</v>
      </c>
      <c r="R118" s="581" t="s">
        <v>128</v>
      </c>
      <c r="S118" s="576"/>
      <c r="T118" s="577">
        <f t="shared" si="64"/>
        <v>0</v>
      </c>
      <c r="U118" s="581" t="s">
        <v>128</v>
      </c>
    </row>
    <row r="119" spans="1:21" ht="13" customHeight="1" x14ac:dyDescent="0.25">
      <c r="A119" s="1532"/>
      <c r="B119" s="1528" t="s">
        <v>395</v>
      </c>
      <c r="C119" s="1528"/>
      <c r="D119" s="1528"/>
      <c r="E119" s="1528"/>
      <c r="F119" s="1520" t="s">
        <v>388</v>
      </c>
      <c r="G119" s="1520" t="s">
        <v>389</v>
      </c>
      <c r="H119" s="1529"/>
      <c r="I119" s="1528" t="s">
        <v>395</v>
      </c>
      <c r="J119" s="1528"/>
      <c r="K119" s="1528"/>
      <c r="L119" s="1528"/>
      <c r="M119" s="1520" t="s">
        <v>388</v>
      </c>
      <c r="N119" s="1520" t="s">
        <v>389</v>
      </c>
      <c r="O119" s="1529"/>
      <c r="P119" s="1528" t="str">
        <f>B119</f>
        <v>Resistance</v>
      </c>
      <c r="Q119" s="1528"/>
      <c r="R119" s="1528"/>
      <c r="S119" s="1528"/>
      <c r="T119" s="1520" t="s">
        <v>388</v>
      </c>
      <c r="U119" s="1520" t="s">
        <v>389</v>
      </c>
    </row>
    <row r="120" spans="1:21" ht="14.5" x14ac:dyDescent="0.25">
      <c r="A120" s="1532"/>
      <c r="B120" s="570" t="s">
        <v>396</v>
      </c>
      <c r="C120" s="571">
        <f>C98</f>
        <v>2021</v>
      </c>
      <c r="D120" s="571" t="str">
        <f>D98</f>
        <v>-</v>
      </c>
      <c r="E120" s="571">
        <f>E98</f>
        <v>2016</v>
      </c>
      <c r="F120" s="1520"/>
      <c r="G120" s="1520"/>
      <c r="H120" s="1529"/>
      <c r="I120" s="570" t="s">
        <v>396</v>
      </c>
      <c r="J120" s="571" t="str">
        <f>J98</f>
        <v>-</v>
      </c>
      <c r="K120" s="571" t="str">
        <f>K98</f>
        <v>-</v>
      </c>
      <c r="L120" s="571">
        <f>L98</f>
        <v>2016</v>
      </c>
      <c r="M120" s="1520"/>
      <c r="N120" s="1520"/>
      <c r="O120" s="1529"/>
      <c r="P120" s="570" t="s">
        <v>396</v>
      </c>
      <c r="Q120" s="571" t="str">
        <f>Q98</f>
        <v>-</v>
      </c>
      <c r="R120" s="571" t="str">
        <f>R98</f>
        <v>-</v>
      </c>
      <c r="S120" s="571">
        <f>S98</f>
        <v>2016</v>
      </c>
      <c r="T120" s="1520"/>
      <c r="U120" s="1520"/>
    </row>
    <row r="121" spans="1:21" x14ac:dyDescent="0.25">
      <c r="A121" s="1532"/>
      <c r="B121" s="545">
        <v>0</v>
      </c>
      <c r="C121" s="545">
        <v>9.9999999999999995E-7</v>
      </c>
      <c r="D121" s="581" t="s">
        <v>128</v>
      </c>
      <c r="E121" s="576"/>
      <c r="F121" s="577">
        <f>0.5*(MAX(C121:E121)-MIN(C121:E121))</f>
        <v>0</v>
      </c>
      <c r="G121" s="581" t="s">
        <v>128</v>
      </c>
      <c r="H121" s="1529"/>
      <c r="I121" s="545">
        <v>0.01</v>
      </c>
      <c r="J121" s="593">
        <v>9.9999999999999995E-7</v>
      </c>
      <c r="K121" s="581" t="s">
        <v>128</v>
      </c>
      <c r="L121" s="576"/>
      <c r="M121" s="577">
        <f>0.5*(MAX(J121:L121)-MIN(J121:L121))</f>
        <v>0</v>
      </c>
      <c r="N121" s="581" t="s">
        <v>128</v>
      </c>
      <c r="O121" s="1529"/>
      <c r="P121" s="545">
        <v>0.01</v>
      </c>
      <c r="Q121" s="593">
        <v>9.9999999999999995E-7</v>
      </c>
      <c r="R121" s="581" t="s">
        <v>128</v>
      </c>
      <c r="S121" s="576"/>
      <c r="T121" s="577">
        <f>0.5*(MAX(Q121:S121)-MIN(Q121:S121))</f>
        <v>0</v>
      </c>
      <c r="U121" s="581" t="s">
        <v>128</v>
      </c>
    </row>
    <row r="122" spans="1:21" x14ac:dyDescent="0.25">
      <c r="A122" s="1532"/>
      <c r="B122" s="545">
        <v>0.1</v>
      </c>
      <c r="C122" s="545">
        <v>-2E-3</v>
      </c>
      <c r="D122" s="578" t="s">
        <v>128</v>
      </c>
      <c r="E122" s="576"/>
      <c r="F122" s="577">
        <f t="shared" ref="F122:F124" si="65">0.5*(MAX(C122:E122)-MIN(C122:E122))</f>
        <v>0</v>
      </c>
      <c r="G122" s="581" t="s">
        <v>128</v>
      </c>
      <c r="H122" s="1529"/>
      <c r="I122" s="545">
        <v>0.1</v>
      </c>
      <c r="J122" s="545">
        <v>9.9999999999999995E-7</v>
      </c>
      <c r="K122" s="578" t="s">
        <v>128</v>
      </c>
      <c r="L122" s="576"/>
      <c r="M122" s="577">
        <f t="shared" ref="M122:M124" si="66">0.5*(MAX(J122:L122)-MIN(J122:L122))</f>
        <v>0</v>
      </c>
      <c r="N122" s="578" t="s">
        <v>128</v>
      </c>
      <c r="O122" s="1529"/>
      <c r="P122" s="545">
        <v>0.1</v>
      </c>
      <c r="Q122" s="593">
        <v>9.9999999999999995E-7</v>
      </c>
      <c r="R122" s="578" t="s">
        <v>128</v>
      </c>
      <c r="S122" s="576"/>
      <c r="T122" s="577">
        <f t="shared" ref="T122:T124" si="67">0.5*(MAX(Q122:S122)-MIN(Q122:S122))</f>
        <v>0</v>
      </c>
      <c r="U122" s="578" t="s">
        <v>128</v>
      </c>
    </row>
    <row r="123" spans="1:21" x14ac:dyDescent="0.25">
      <c r="A123" s="1532"/>
      <c r="B123" s="545">
        <v>1</v>
      </c>
      <c r="C123" s="545">
        <v>-8.0000000000000002E-3</v>
      </c>
      <c r="D123" s="578" t="s">
        <v>128</v>
      </c>
      <c r="E123" s="576"/>
      <c r="F123" s="577">
        <f t="shared" si="65"/>
        <v>0</v>
      </c>
      <c r="G123" s="581" t="s">
        <v>128</v>
      </c>
      <c r="H123" s="1529"/>
      <c r="I123" s="545">
        <v>1</v>
      </c>
      <c r="J123" s="545">
        <v>9.9999999999999995E-7</v>
      </c>
      <c r="K123" s="578" t="s">
        <v>128</v>
      </c>
      <c r="L123" s="576"/>
      <c r="M123" s="577">
        <f t="shared" si="66"/>
        <v>0</v>
      </c>
      <c r="N123" s="578" t="s">
        <v>128</v>
      </c>
      <c r="O123" s="1529"/>
      <c r="P123" s="545">
        <v>1</v>
      </c>
      <c r="Q123" s="593">
        <v>9.9999999999999995E-7</v>
      </c>
      <c r="R123" s="578" t="s">
        <v>128</v>
      </c>
      <c r="S123" s="576"/>
      <c r="T123" s="577">
        <f t="shared" si="67"/>
        <v>0</v>
      </c>
      <c r="U123" s="578" t="s">
        <v>128</v>
      </c>
    </row>
    <row r="124" spans="1:21" x14ac:dyDescent="0.25">
      <c r="A124" s="1532"/>
      <c r="B124" s="545">
        <v>2</v>
      </c>
      <c r="C124" s="545">
        <v>-7.0000000000000001E-3</v>
      </c>
      <c r="D124" s="578" t="s">
        <v>128</v>
      </c>
      <c r="E124" s="576"/>
      <c r="F124" s="577">
        <f t="shared" si="65"/>
        <v>0</v>
      </c>
      <c r="G124" s="581" t="s">
        <v>128</v>
      </c>
      <c r="H124" s="1529"/>
      <c r="I124" s="545">
        <v>2</v>
      </c>
      <c r="J124" s="545">
        <v>9.9999999999999995E-7</v>
      </c>
      <c r="K124" s="578" t="s">
        <v>128</v>
      </c>
      <c r="L124" s="576"/>
      <c r="M124" s="577">
        <f t="shared" si="66"/>
        <v>0</v>
      </c>
      <c r="N124" s="578" t="s">
        <v>128</v>
      </c>
      <c r="O124" s="1529"/>
      <c r="P124" s="545">
        <v>2</v>
      </c>
      <c r="Q124" s="593">
        <v>9.9999999999999995E-7</v>
      </c>
      <c r="R124" s="578" t="s">
        <v>128</v>
      </c>
      <c r="S124" s="576"/>
      <c r="T124" s="577">
        <f t="shared" si="67"/>
        <v>0</v>
      </c>
      <c r="U124" s="578" t="s">
        <v>128</v>
      </c>
    </row>
    <row r="125" spans="1:21" ht="15.5" x14ac:dyDescent="0.25">
      <c r="A125" s="1521"/>
      <c r="B125" s="1522"/>
      <c r="C125" s="1522"/>
      <c r="D125" s="1522"/>
      <c r="E125" s="1522"/>
      <c r="F125" s="1522"/>
      <c r="G125" s="1522"/>
      <c r="H125" s="1522"/>
      <c r="I125" s="1522"/>
      <c r="J125" s="1522"/>
      <c r="K125" s="1522"/>
      <c r="L125" s="1522"/>
      <c r="M125" s="1522"/>
      <c r="N125" s="1522"/>
      <c r="O125" s="1522"/>
      <c r="P125" s="1522"/>
      <c r="Q125" s="1522"/>
      <c r="R125" s="1522"/>
      <c r="S125" s="1522"/>
      <c r="T125" s="1522"/>
      <c r="U125" s="1522"/>
    </row>
    <row r="126" spans="1:21" ht="15.5" x14ac:dyDescent="0.25">
      <c r="A126" s="1521"/>
      <c r="B126" s="1522"/>
      <c r="C126" s="1522"/>
      <c r="D126" s="1522"/>
      <c r="E126" s="1522"/>
      <c r="F126" s="1522"/>
      <c r="G126" s="1522"/>
      <c r="H126" s="1522"/>
      <c r="I126" s="1522"/>
      <c r="J126" s="1522"/>
      <c r="K126" s="1522"/>
      <c r="L126" s="1522"/>
      <c r="M126" s="1522"/>
      <c r="N126" s="1522"/>
      <c r="O126" s="1522"/>
      <c r="P126" s="1522"/>
      <c r="Q126" s="1522"/>
      <c r="R126" s="1522"/>
      <c r="S126" s="1522"/>
      <c r="T126" s="1522"/>
      <c r="U126" s="1522"/>
    </row>
    <row r="127" spans="1:21" x14ac:dyDescent="0.25">
      <c r="A127" s="601"/>
      <c r="B127" s="602"/>
      <c r="C127" s="602"/>
      <c r="D127" s="603"/>
      <c r="E127" s="603"/>
      <c r="F127" s="603"/>
      <c r="G127" s="603"/>
      <c r="H127" s="603"/>
      <c r="I127" s="603"/>
      <c r="J127" s="603"/>
      <c r="K127" s="603"/>
      <c r="L127" s="603"/>
      <c r="M127" s="603"/>
      <c r="N127" s="603"/>
      <c r="O127" s="603"/>
      <c r="P127" s="603"/>
      <c r="Q127" s="603"/>
    </row>
    <row r="128" spans="1:21" ht="14" x14ac:dyDescent="0.3">
      <c r="A128" s="1517" t="s">
        <v>410</v>
      </c>
      <c r="B128" s="1518"/>
      <c r="C128" s="1523" t="s">
        <v>386</v>
      </c>
      <c r="D128" s="1523"/>
      <c r="E128" s="1523"/>
      <c r="F128" s="1523"/>
      <c r="G128" s="1523"/>
      <c r="H128" s="1523"/>
      <c r="J128" s="1517" t="str">
        <f>A128</f>
        <v>No. Urut</v>
      </c>
      <c r="K128" s="1518"/>
      <c r="L128" s="1524" t="s">
        <v>386</v>
      </c>
      <c r="M128" s="1525"/>
      <c r="N128" s="1525"/>
      <c r="O128" s="1526"/>
      <c r="P128" s="604"/>
      <c r="Q128" s="604"/>
    </row>
    <row r="129" spans="1:17" ht="13" customHeight="1" x14ac:dyDescent="0.25">
      <c r="A129" s="1517"/>
      <c r="B129" s="1518"/>
      <c r="C129" s="1527" t="str">
        <f>B4</f>
        <v>Setting VAC</v>
      </c>
      <c r="D129" s="1527"/>
      <c r="E129" s="1527"/>
      <c r="F129" s="1527"/>
      <c r="G129" s="605" t="s">
        <v>388</v>
      </c>
      <c r="H129" s="605" t="s">
        <v>389</v>
      </c>
      <c r="J129" s="1517"/>
      <c r="K129" s="1518"/>
      <c r="L129" s="1519" t="str">
        <f>B12</f>
        <v>Current Leakage</v>
      </c>
      <c r="M129" s="1519"/>
      <c r="N129" s="1519"/>
      <c r="O129" s="1519"/>
      <c r="P129" s="605" t="s">
        <v>388</v>
      </c>
      <c r="Q129" s="605" t="s">
        <v>389</v>
      </c>
    </row>
    <row r="130" spans="1:17" ht="14" x14ac:dyDescent="0.25">
      <c r="A130" s="1517"/>
      <c r="B130" s="1518"/>
      <c r="C130" s="606" t="s">
        <v>390</v>
      </c>
      <c r="D130" s="605"/>
      <c r="E130" s="605"/>
      <c r="F130" s="576"/>
      <c r="G130" s="605"/>
      <c r="H130" s="605"/>
      <c r="J130" s="1517"/>
      <c r="K130" s="1518"/>
      <c r="L130" s="606" t="s">
        <v>392</v>
      </c>
      <c r="M130" s="605"/>
      <c r="N130" s="605"/>
      <c r="O130" s="576"/>
      <c r="P130" s="605"/>
      <c r="Q130" s="605"/>
    </row>
    <row r="131" spans="1:17" ht="14" x14ac:dyDescent="0.25">
      <c r="A131" s="1515" t="s">
        <v>95</v>
      </c>
      <c r="B131" s="607">
        <v>1</v>
      </c>
      <c r="C131" s="607">
        <f t="shared" ref="C131:H131" si="68">B6</f>
        <v>150</v>
      </c>
      <c r="D131" s="607">
        <f t="shared" ref="D131" si="69">C6</f>
        <v>0.35</v>
      </c>
      <c r="E131" s="607">
        <f t="shared" ref="E131" si="70">D6</f>
        <v>0.31</v>
      </c>
      <c r="F131" s="607">
        <f t="shared" ref="F131" si="71">E6</f>
        <v>0.76</v>
      </c>
      <c r="G131" s="607">
        <f t="shared" ref="G131" si="72">F6</f>
        <v>0.22500000000000001</v>
      </c>
      <c r="H131" s="607">
        <f t="shared" si="68"/>
        <v>1.8</v>
      </c>
      <c r="I131" s="607"/>
      <c r="J131" s="607" t="s">
        <v>95</v>
      </c>
      <c r="K131" s="607">
        <v>1</v>
      </c>
      <c r="L131" s="607">
        <f t="shared" ref="L131:Q131" si="73">B14</f>
        <v>0</v>
      </c>
      <c r="M131" s="607">
        <f t="shared" ref="M131" si="74">C14</f>
        <v>0</v>
      </c>
      <c r="N131" s="607">
        <f t="shared" ref="N131" si="75">D14</f>
        <v>9.9999999999999995E-7</v>
      </c>
      <c r="O131" s="607">
        <f t="shared" ref="O131" si="76">E14</f>
        <v>9.9999999999999995E-7</v>
      </c>
      <c r="P131" s="607">
        <f t="shared" ref="P131" si="77">F14</f>
        <v>4.9999999999999998E-7</v>
      </c>
      <c r="Q131" s="607">
        <f t="shared" si="73"/>
        <v>0</v>
      </c>
    </row>
    <row r="132" spans="1:17" ht="14" x14ac:dyDescent="0.25">
      <c r="A132" s="1515"/>
      <c r="B132" s="607">
        <v>2</v>
      </c>
      <c r="C132" s="607">
        <f t="shared" ref="C132:H132" si="78">I6</f>
        <v>150</v>
      </c>
      <c r="D132" s="607">
        <f t="shared" ref="D132" si="79">J6</f>
        <v>0.22</v>
      </c>
      <c r="E132" s="607">
        <f t="shared" ref="E132" si="80">K6</f>
        <v>0.15</v>
      </c>
      <c r="F132" s="607">
        <f t="shared" ref="F132" si="81">L6</f>
        <v>0.23</v>
      </c>
      <c r="G132" s="607">
        <f t="shared" ref="G132" si="82">M6</f>
        <v>4.0000000000000008E-2</v>
      </c>
      <c r="H132" s="607">
        <f t="shared" si="78"/>
        <v>1.8</v>
      </c>
      <c r="I132" s="607"/>
      <c r="J132" s="607"/>
      <c r="K132" s="607">
        <v>2</v>
      </c>
      <c r="L132" s="607">
        <f t="shared" ref="L132:Q132" si="83">I14</f>
        <v>0</v>
      </c>
      <c r="M132" s="607">
        <f t="shared" ref="M132" si="84">J14</f>
        <v>0</v>
      </c>
      <c r="N132" s="607">
        <f t="shared" ref="N132" si="85">K14</f>
        <v>9.9999999999999995E-7</v>
      </c>
      <c r="O132" s="607">
        <f t="shared" ref="O132" si="86">L14</f>
        <v>9.9999999999999995E-7</v>
      </c>
      <c r="P132" s="607">
        <f t="shared" ref="P132" si="87">M14</f>
        <v>0</v>
      </c>
      <c r="Q132" s="607">
        <f t="shared" si="83"/>
        <v>0</v>
      </c>
    </row>
    <row r="133" spans="1:17" ht="14" x14ac:dyDescent="0.25">
      <c r="A133" s="1515"/>
      <c r="B133" s="608">
        <v>3</v>
      </c>
      <c r="C133" s="607">
        <f t="shared" ref="C133:H133" si="88">P6</f>
        <v>150</v>
      </c>
      <c r="D133" s="607">
        <f t="shared" ref="D133" si="89">Q6</f>
        <v>-1.43</v>
      </c>
      <c r="E133" s="607">
        <f t="shared" ref="E133" si="90">R6</f>
        <v>-1.6</v>
      </c>
      <c r="F133" s="607">
        <f t="shared" ref="F133" si="91">S6</f>
        <v>-7.0000000000000007E-2</v>
      </c>
      <c r="G133" s="607">
        <f t="shared" ref="G133" si="92">T6</f>
        <v>0.76500000000000001</v>
      </c>
      <c r="H133" s="607">
        <f t="shared" si="88"/>
        <v>1.8</v>
      </c>
      <c r="I133" s="607"/>
      <c r="J133" s="607"/>
      <c r="K133" s="607">
        <v>3</v>
      </c>
      <c r="L133" s="607">
        <f t="shared" ref="L133:Q133" si="93">P14</f>
        <v>9.9999999999999995E-7</v>
      </c>
      <c r="M133" s="607">
        <f t="shared" ref="M133" si="94">Q14</f>
        <v>9.9999999999999995E-7</v>
      </c>
      <c r="N133" s="607">
        <f t="shared" ref="N133" si="95">R14</f>
        <v>9.9999999999999995E-7</v>
      </c>
      <c r="O133" s="607">
        <f t="shared" ref="O133" si="96">S14</f>
        <v>9.9999999999999995E-7</v>
      </c>
      <c r="P133" s="607">
        <f t="shared" ref="P133" si="97">T14</f>
        <v>0</v>
      </c>
      <c r="Q133" s="607">
        <f t="shared" si="93"/>
        <v>5.8999999999999999E-9</v>
      </c>
    </row>
    <row r="134" spans="1:17" ht="14" x14ac:dyDescent="0.25">
      <c r="A134" s="1515"/>
      <c r="B134" s="608">
        <v>4</v>
      </c>
      <c r="C134" s="607">
        <f t="shared" ref="C134:H134" si="98">B37</f>
        <v>150</v>
      </c>
      <c r="D134" s="607">
        <f t="shared" ref="D134" si="99">C37</f>
        <v>0.08</v>
      </c>
      <c r="E134" s="607">
        <f t="shared" ref="E134" si="100">D37</f>
        <v>-0.05</v>
      </c>
      <c r="F134" s="607">
        <f t="shared" ref="F134" si="101">E37</f>
        <v>0.11</v>
      </c>
      <c r="G134" s="607">
        <f t="shared" ref="G134" si="102">F37</f>
        <v>0.08</v>
      </c>
      <c r="H134" s="607">
        <f t="shared" si="98"/>
        <v>1.8</v>
      </c>
      <c r="I134" s="607"/>
      <c r="J134" s="607"/>
      <c r="K134" s="607">
        <v>4</v>
      </c>
      <c r="L134" s="607">
        <f t="shared" ref="L134:Q134" si="103">B45</f>
        <v>0</v>
      </c>
      <c r="M134" s="607">
        <f t="shared" ref="M134" si="104">C45</f>
        <v>0</v>
      </c>
      <c r="N134" s="607">
        <f t="shared" ref="N134" si="105">D45</f>
        <v>9.9999999999999995E-7</v>
      </c>
      <c r="O134" s="607">
        <f t="shared" ref="O134" si="106">E45</f>
        <v>9.9999999999999995E-7</v>
      </c>
      <c r="P134" s="607">
        <f t="shared" ref="P134" si="107">F45</f>
        <v>0</v>
      </c>
      <c r="Q134" s="607">
        <f t="shared" si="103"/>
        <v>0</v>
      </c>
    </row>
    <row r="135" spans="1:17" ht="14" x14ac:dyDescent="0.25">
      <c r="A135" s="1515"/>
      <c r="B135" s="609">
        <v>5</v>
      </c>
      <c r="C135" s="607">
        <f t="shared" ref="C135:H135" si="108">I37</f>
        <v>150</v>
      </c>
      <c r="D135" s="607">
        <f t="shared" ref="D135" si="109">J37</f>
        <v>0.02</v>
      </c>
      <c r="E135" s="607">
        <f t="shared" ref="E135" si="110">K37</f>
        <v>0.25</v>
      </c>
      <c r="F135" s="607">
        <f t="shared" ref="F135" si="111">L37</f>
        <v>0.02</v>
      </c>
      <c r="G135" s="607">
        <f t="shared" ref="G135" si="112">M37</f>
        <v>0.115</v>
      </c>
      <c r="H135" s="607">
        <f t="shared" si="108"/>
        <v>1.8</v>
      </c>
      <c r="I135" s="607"/>
      <c r="J135" s="607"/>
      <c r="K135" s="607">
        <v>5</v>
      </c>
      <c r="L135" s="607">
        <f t="shared" ref="L135:Q135" si="113">I45</f>
        <v>0</v>
      </c>
      <c r="M135" s="607">
        <f t="shared" ref="M135" si="114">J45</f>
        <v>0</v>
      </c>
      <c r="N135" s="607">
        <f t="shared" ref="N135" si="115">K45</f>
        <v>9.9999999999999995E-7</v>
      </c>
      <c r="O135" s="607">
        <f t="shared" ref="O135" si="116">L45</f>
        <v>9.9999999999999995E-7</v>
      </c>
      <c r="P135" s="607">
        <f t="shared" ref="P135" si="117">M45</f>
        <v>4.9999999999999998E-7</v>
      </c>
      <c r="Q135" s="607">
        <f t="shared" si="113"/>
        <v>0</v>
      </c>
    </row>
    <row r="136" spans="1:17" ht="14" x14ac:dyDescent="0.25">
      <c r="A136" s="1515"/>
      <c r="B136" s="609">
        <v>6</v>
      </c>
      <c r="C136" s="607">
        <f t="shared" ref="C136:H136" si="118">P37</f>
        <v>150</v>
      </c>
      <c r="D136" s="607">
        <f t="shared" ref="D136" si="119">Q37</f>
        <v>0.14000000000000001</v>
      </c>
      <c r="E136" s="607">
        <f t="shared" ref="E136" si="120">R37</f>
        <v>0.15</v>
      </c>
      <c r="F136" s="607">
        <f t="shared" ref="F136" si="121">S37</f>
        <v>-0.15</v>
      </c>
      <c r="G136" s="607">
        <f t="shared" ref="G136" si="122">T37</f>
        <v>0.15</v>
      </c>
      <c r="H136" s="607">
        <f t="shared" si="118"/>
        <v>1.8</v>
      </c>
      <c r="I136" s="607"/>
      <c r="J136" s="607"/>
      <c r="K136" s="607">
        <v>6</v>
      </c>
      <c r="L136" s="607">
        <f t="shared" ref="L136:Q136" si="123">P45</f>
        <v>0</v>
      </c>
      <c r="M136" s="607">
        <f t="shared" ref="M136" si="124">Q45</f>
        <v>0</v>
      </c>
      <c r="N136" s="607">
        <f t="shared" ref="N136" si="125">R45</f>
        <v>0</v>
      </c>
      <c r="O136" s="607">
        <f t="shared" ref="O136" si="126">S45</f>
        <v>9.9999999999999995E-7</v>
      </c>
      <c r="P136" s="607">
        <f t="shared" ref="P136" si="127">T45</f>
        <v>4.9999999999999998E-7</v>
      </c>
      <c r="Q136" s="607">
        <f t="shared" si="123"/>
        <v>0</v>
      </c>
    </row>
    <row r="137" spans="1:17" ht="14" x14ac:dyDescent="0.25">
      <c r="A137" s="1515"/>
      <c r="B137" s="609">
        <v>7</v>
      </c>
      <c r="C137" s="607">
        <f t="shared" ref="C137:H137" si="128">B68</f>
        <v>150</v>
      </c>
      <c r="D137" s="607">
        <f t="shared" ref="D137" si="129">C68</f>
        <v>0.14000000000000001</v>
      </c>
      <c r="E137" s="607">
        <f t="shared" ref="E137" si="130">D68</f>
        <v>0.36</v>
      </c>
      <c r="F137" s="607">
        <f t="shared" ref="F137" si="131">E68</f>
        <v>0.21</v>
      </c>
      <c r="G137" s="607">
        <f t="shared" ref="G137" si="132">F68</f>
        <v>7.4999999999999997E-2</v>
      </c>
      <c r="H137" s="607">
        <f t="shared" si="128"/>
        <v>1.8</v>
      </c>
      <c r="I137" s="607"/>
      <c r="J137" s="607"/>
      <c r="K137" s="607">
        <v>7</v>
      </c>
      <c r="L137" s="607">
        <f t="shared" ref="L137:Q137" si="133">B76</f>
        <v>0</v>
      </c>
      <c r="M137" s="607">
        <f t="shared" ref="M137" si="134">C76</f>
        <v>0</v>
      </c>
      <c r="N137" s="607">
        <f t="shared" ref="N137" si="135">D76</f>
        <v>0</v>
      </c>
      <c r="O137" s="607">
        <f t="shared" ref="O137" si="136">E76</f>
        <v>9.9999999999999995E-7</v>
      </c>
      <c r="P137" s="607">
        <f t="shared" ref="P137" si="137">F76</f>
        <v>4.9999999999999998E-7</v>
      </c>
      <c r="Q137" s="607">
        <f t="shared" si="133"/>
        <v>0</v>
      </c>
    </row>
    <row r="138" spans="1:17" ht="14" x14ac:dyDescent="0.25">
      <c r="A138" s="1515"/>
      <c r="B138" s="609">
        <v>8</v>
      </c>
      <c r="C138" s="607">
        <f t="shared" ref="C138:H138" si="138">I68</f>
        <v>150</v>
      </c>
      <c r="D138" s="607">
        <f t="shared" ref="D138" si="139">J68</f>
        <v>-0.17</v>
      </c>
      <c r="E138" s="607">
        <f t="shared" ref="E138" si="140">K68</f>
        <v>-0.24</v>
      </c>
      <c r="F138" s="607">
        <f t="shared" ref="F138" si="141">L68</f>
        <v>0</v>
      </c>
      <c r="G138" s="607">
        <f t="shared" ref="G138" si="142">M68</f>
        <v>3.4999999999999989E-2</v>
      </c>
      <c r="H138" s="607">
        <f t="shared" si="138"/>
        <v>1.8</v>
      </c>
      <c r="I138" s="607"/>
      <c r="J138" s="607"/>
      <c r="K138" s="607">
        <v>8</v>
      </c>
      <c r="L138" s="607">
        <f t="shared" ref="L138:Q138" si="143">I76</f>
        <v>0</v>
      </c>
      <c r="M138" s="607">
        <f t="shared" ref="M138" si="144">J76</f>
        <v>9.9999999999999995E-7</v>
      </c>
      <c r="N138" s="607">
        <f t="shared" ref="N138" si="145">K76</f>
        <v>9.9999999999999995E-7</v>
      </c>
      <c r="O138" s="607">
        <f t="shared" ref="O138" si="146">L76</f>
        <v>0</v>
      </c>
      <c r="P138" s="607">
        <f t="shared" ref="P138" si="147">M76</f>
        <v>0</v>
      </c>
      <c r="Q138" s="607">
        <f t="shared" si="143"/>
        <v>0</v>
      </c>
    </row>
    <row r="139" spans="1:17" ht="14" x14ac:dyDescent="0.25">
      <c r="A139" s="1515"/>
      <c r="B139" s="609">
        <v>9</v>
      </c>
      <c r="C139" s="607">
        <f t="shared" ref="C139:H139" si="148">P68</f>
        <v>150</v>
      </c>
      <c r="D139" s="607">
        <f t="shared" ref="D139" si="149">Q68</f>
        <v>-0.08</v>
      </c>
      <c r="E139" s="607">
        <f t="shared" ref="E139" si="150">R68</f>
        <v>-0.17</v>
      </c>
      <c r="F139" s="607">
        <f t="shared" ref="F139" si="151">S68</f>
        <v>0</v>
      </c>
      <c r="G139" s="607">
        <f t="shared" ref="G139" si="152">T68</f>
        <v>4.5000000000000005E-2</v>
      </c>
      <c r="H139" s="607">
        <f t="shared" si="148"/>
        <v>1.8</v>
      </c>
      <c r="I139" s="607"/>
      <c r="J139" s="607"/>
      <c r="K139" s="607">
        <v>9</v>
      </c>
      <c r="L139" s="607">
        <f t="shared" ref="L139:Q139" si="153">P76</f>
        <v>0</v>
      </c>
      <c r="M139" s="607">
        <f t="shared" ref="M139" si="154">Q76</f>
        <v>0</v>
      </c>
      <c r="N139" s="607">
        <f t="shared" ref="N139" si="155">R76</f>
        <v>9.9999999999999995E-7</v>
      </c>
      <c r="O139" s="607">
        <f t="shared" ref="O139" si="156">S76</f>
        <v>0</v>
      </c>
      <c r="P139" s="607">
        <f t="shared" ref="P139" si="157">T76</f>
        <v>4.9999999999999998E-7</v>
      </c>
      <c r="Q139" s="607">
        <f t="shared" si="153"/>
        <v>0.12</v>
      </c>
    </row>
    <row r="140" spans="1:17" ht="14" x14ac:dyDescent="0.25">
      <c r="A140" s="1515"/>
      <c r="B140" s="609">
        <v>10</v>
      </c>
      <c r="C140" s="607">
        <f>B99</f>
        <v>150</v>
      </c>
      <c r="D140" s="607">
        <f t="shared" ref="D140:G140" si="158">C99</f>
        <v>-0.05</v>
      </c>
      <c r="E140" s="607" t="str">
        <f t="shared" si="158"/>
        <v>-</v>
      </c>
      <c r="F140" s="607">
        <f t="shared" si="158"/>
        <v>0</v>
      </c>
      <c r="G140" s="607">
        <f t="shared" si="158"/>
        <v>0</v>
      </c>
      <c r="H140" s="607" t="str">
        <f>G99</f>
        <v>-</v>
      </c>
      <c r="I140" s="607"/>
      <c r="J140" s="607"/>
      <c r="K140" s="607">
        <v>10</v>
      </c>
      <c r="L140" s="607">
        <f t="shared" ref="L140:Q140" si="159">B107</f>
        <v>0</v>
      </c>
      <c r="M140" s="607">
        <f t="shared" ref="M140" si="160">C107</f>
        <v>9.9999999999999995E-7</v>
      </c>
      <c r="N140" s="607" t="str">
        <f t="shared" ref="N140" si="161">D107</f>
        <v>-</v>
      </c>
      <c r="O140" s="607">
        <f t="shared" ref="O140" si="162">E107</f>
        <v>0</v>
      </c>
      <c r="P140" s="607">
        <f t="shared" ref="P140" si="163">F107</f>
        <v>0</v>
      </c>
      <c r="Q140" s="607" t="str">
        <f t="shared" si="159"/>
        <v>-</v>
      </c>
    </row>
    <row r="141" spans="1:17" ht="14" x14ac:dyDescent="0.25">
      <c r="A141" s="1515"/>
      <c r="B141" s="609">
        <v>11</v>
      </c>
      <c r="C141" s="607">
        <f>I99</f>
        <v>150</v>
      </c>
      <c r="D141" s="607">
        <f t="shared" ref="D141:G141" si="164">J99</f>
        <v>9.9999999999999995E-7</v>
      </c>
      <c r="E141" s="607" t="str">
        <f t="shared" si="164"/>
        <v>-</v>
      </c>
      <c r="F141" s="607">
        <f t="shared" si="164"/>
        <v>0</v>
      </c>
      <c r="G141" s="607">
        <f t="shared" si="164"/>
        <v>0</v>
      </c>
      <c r="H141" s="607" t="str">
        <f>N99</f>
        <v>-</v>
      </c>
      <c r="I141" s="607"/>
      <c r="J141" s="607"/>
      <c r="K141" s="607">
        <v>11</v>
      </c>
      <c r="L141" s="607">
        <f t="shared" ref="L141:Q141" si="165">I107</f>
        <v>0</v>
      </c>
      <c r="M141" s="607">
        <f t="shared" ref="M141" si="166">J107</f>
        <v>9.9999999999999995E-7</v>
      </c>
      <c r="N141" s="607" t="str">
        <f t="shared" ref="N141" si="167">K107</f>
        <v>-</v>
      </c>
      <c r="O141" s="607">
        <f t="shared" ref="O141" si="168">L107</f>
        <v>0</v>
      </c>
      <c r="P141" s="607">
        <f t="shared" ref="P141" si="169">M107</f>
        <v>0</v>
      </c>
      <c r="Q141" s="607" t="str">
        <f t="shared" si="165"/>
        <v>-</v>
      </c>
    </row>
    <row r="142" spans="1:17" ht="14" x14ac:dyDescent="0.25">
      <c r="A142" s="1515"/>
      <c r="B142" s="609">
        <v>12</v>
      </c>
      <c r="C142" s="607">
        <f>P99</f>
        <v>150</v>
      </c>
      <c r="D142" s="607">
        <f t="shared" ref="D142:G142" si="170">Q99</f>
        <v>9.9999999999999995E-7</v>
      </c>
      <c r="E142" s="607" t="str">
        <f t="shared" si="170"/>
        <v>-</v>
      </c>
      <c r="F142" s="607">
        <f t="shared" si="170"/>
        <v>0</v>
      </c>
      <c r="G142" s="607">
        <f t="shared" si="170"/>
        <v>0</v>
      </c>
      <c r="H142" s="607" t="str">
        <f>U99</f>
        <v>-</v>
      </c>
      <c r="I142" s="607"/>
      <c r="J142" s="607"/>
      <c r="K142" s="607">
        <v>12</v>
      </c>
      <c r="L142" s="607">
        <f t="shared" ref="L142:Q142" si="171">P107</f>
        <v>0</v>
      </c>
      <c r="M142" s="607">
        <f t="shared" ref="M142" si="172">Q107</f>
        <v>9.9999999999999995E-7</v>
      </c>
      <c r="N142" s="607" t="str">
        <f t="shared" ref="N142" si="173">R107</f>
        <v>-</v>
      </c>
      <c r="O142" s="607">
        <f t="shared" ref="O142" si="174">S107</f>
        <v>0</v>
      </c>
      <c r="P142" s="607">
        <f t="shared" ref="P142" si="175">T107</f>
        <v>0</v>
      </c>
      <c r="Q142" s="607" t="str">
        <f t="shared" si="171"/>
        <v>-</v>
      </c>
    </row>
    <row r="143" spans="1:17" s="574" customFormat="1" ht="14" x14ac:dyDescent="0.25">
      <c r="A143" s="213"/>
      <c r="B143" s="213"/>
      <c r="C143" s="607"/>
      <c r="D143" s="607"/>
      <c r="E143" s="607"/>
      <c r="F143" s="607"/>
      <c r="G143" s="607"/>
      <c r="H143" s="607"/>
      <c r="I143" s="607"/>
      <c r="J143" s="607"/>
      <c r="K143" s="607"/>
      <c r="L143" s="607"/>
      <c r="M143" s="607"/>
      <c r="N143" s="607"/>
      <c r="O143" s="607"/>
      <c r="P143" s="607"/>
      <c r="Q143" s="607"/>
    </row>
    <row r="144" spans="1:17" ht="14" x14ac:dyDescent="0.25">
      <c r="A144" s="1515" t="s">
        <v>96</v>
      </c>
      <c r="B144" s="607">
        <v>1</v>
      </c>
      <c r="C144" s="607">
        <f t="shared" ref="C144:H144" si="176">B7</f>
        <v>180</v>
      </c>
      <c r="D144" s="607">
        <f t="shared" ref="D144" si="177">C7</f>
        <v>-0.1</v>
      </c>
      <c r="E144" s="607">
        <f t="shared" ref="E144" si="178">D7</f>
        <v>0.1</v>
      </c>
      <c r="F144" s="607">
        <f t="shared" ref="F144" si="179">E7</f>
        <v>-0.03</v>
      </c>
      <c r="G144" s="607">
        <f t="shared" ref="G144" si="180">F7</f>
        <v>0.1</v>
      </c>
      <c r="H144" s="607">
        <f t="shared" si="176"/>
        <v>2.16</v>
      </c>
      <c r="I144" s="607"/>
      <c r="J144" s="607" t="s">
        <v>96</v>
      </c>
      <c r="K144" s="607">
        <v>1</v>
      </c>
      <c r="L144" s="607">
        <f t="shared" ref="L144:Q144" si="181">B15</f>
        <v>50</v>
      </c>
      <c r="M144" s="607">
        <f t="shared" ref="M144" si="182">C15</f>
        <v>4</v>
      </c>
      <c r="N144" s="607">
        <f t="shared" ref="N144" si="183">D15</f>
        <v>0.1</v>
      </c>
      <c r="O144" s="607">
        <f t="shared" ref="O144" si="184">E15</f>
        <v>-0.06</v>
      </c>
      <c r="P144" s="607">
        <f t="shared" ref="P144" si="185">F15</f>
        <v>2.0299999999999998</v>
      </c>
      <c r="Q144" s="607">
        <f t="shared" si="181"/>
        <v>0.29499999999999998</v>
      </c>
    </row>
    <row r="145" spans="1:17" ht="14" x14ac:dyDescent="0.25">
      <c r="A145" s="1515"/>
      <c r="B145" s="607">
        <v>2</v>
      </c>
      <c r="C145" s="607">
        <f t="shared" ref="C145:H145" si="186">I7</f>
        <v>180</v>
      </c>
      <c r="D145" s="607">
        <f t="shared" ref="D145" si="187">J7</f>
        <v>0.1</v>
      </c>
      <c r="E145" s="607">
        <f t="shared" ref="E145" si="188">K7</f>
        <v>0.12</v>
      </c>
      <c r="F145" s="607">
        <f t="shared" ref="F145" si="189">L7</f>
        <v>-0.06</v>
      </c>
      <c r="G145" s="607">
        <f t="shared" ref="G145" si="190">M7</f>
        <v>0.09</v>
      </c>
      <c r="H145" s="607">
        <f t="shared" si="186"/>
        <v>2.16</v>
      </c>
      <c r="I145" s="607"/>
      <c r="J145" s="607"/>
      <c r="K145" s="607">
        <v>2</v>
      </c>
      <c r="L145" s="607">
        <f t="shared" ref="L145:Q145" si="191">I15</f>
        <v>50</v>
      </c>
      <c r="M145" s="607">
        <f t="shared" ref="M145" si="192">J15</f>
        <v>1</v>
      </c>
      <c r="N145" s="607">
        <f t="shared" ref="N145" si="193">K15</f>
        <v>-0.08</v>
      </c>
      <c r="O145" s="607">
        <f t="shared" ref="O145" si="194">L15</f>
        <v>0.1</v>
      </c>
      <c r="P145" s="607">
        <f t="shared" ref="P145" si="195">M15</f>
        <v>0.09</v>
      </c>
      <c r="Q145" s="607">
        <f t="shared" si="191"/>
        <v>0.29499999999999998</v>
      </c>
    </row>
    <row r="146" spans="1:17" ht="14" x14ac:dyDescent="0.25">
      <c r="A146" s="1515"/>
      <c r="B146" s="608">
        <v>3</v>
      </c>
      <c r="C146" s="607">
        <f t="shared" ref="C146:H146" si="196">P7</f>
        <v>180</v>
      </c>
      <c r="D146" s="607">
        <f t="shared" ref="D146" si="197">Q7</f>
        <v>-1.81</v>
      </c>
      <c r="E146" s="607">
        <f t="shared" ref="E146" si="198">R7</f>
        <v>-1.9</v>
      </c>
      <c r="F146" s="607">
        <f t="shared" ref="F146" si="199">S7</f>
        <v>-0.13</v>
      </c>
      <c r="G146" s="607">
        <f t="shared" ref="G146" si="200">T7</f>
        <v>0.88500000000000001</v>
      </c>
      <c r="H146" s="607">
        <f t="shared" si="196"/>
        <v>2.16</v>
      </c>
      <c r="I146" s="607"/>
      <c r="J146" s="607"/>
      <c r="K146" s="607">
        <v>3</v>
      </c>
      <c r="L146" s="607">
        <f t="shared" ref="L146:Q146" si="201">P15</f>
        <v>50</v>
      </c>
      <c r="M146" s="607">
        <f t="shared" ref="M146" si="202">Q15</f>
        <v>9.1</v>
      </c>
      <c r="N146" s="607">
        <f t="shared" ref="N146" si="203">R15</f>
        <v>-0.62</v>
      </c>
      <c r="O146" s="607">
        <f t="shared" ref="O146" si="204">S15</f>
        <v>2</v>
      </c>
      <c r="P146" s="607">
        <f t="shared" ref="P146" si="205">T15</f>
        <v>4.8599999999999994</v>
      </c>
      <c r="Q146" s="607">
        <f t="shared" si="201"/>
        <v>0.29499999999999998</v>
      </c>
    </row>
    <row r="147" spans="1:17" ht="14" x14ac:dyDescent="0.25">
      <c r="A147" s="1515"/>
      <c r="B147" s="608">
        <v>4</v>
      </c>
      <c r="C147" s="607">
        <f t="shared" ref="C147:H147" si="206">B38</f>
        <v>180</v>
      </c>
      <c r="D147" s="607">
        <f t="shared" ref="D147" si="207">C38</f>
        <v>0.11</v>
      </c>
      <c r="E147" s="607">
        <f t="shared" ref="E147" si="208">D38</f>
        <v>-0.04</v>
      </c>
      <c r="F147" s="607">
        <f t="shared" ref="F147" si="209">E38</f>
        <v>0.03</v>
      </c>
      <c r="G147" s="607">
        <f t="shared" ref="G147" si="210">F38</f>
        <v>3.5000000000000003E-2</v>
      </c>
      <c r="H147" s="607">
        <f t="shared" si="206"/>
        <v>2.16</v>
      </c>
      <c r="I147" s="607"/>
      <c r="J147" s="607"/>
      <c r="K147" s="607">
        <v>4</v>
      </c>
      <c r="L147" s="607">
        <f t="shared" ref="L147:Q147" si="211">B46</f>
        <v>50</v>
      </c>
      <c r="M147" s="607">
        <f t="shared" ref="M147" si="212">C46</f>
        <v>2.2999999999999998</v>
      </c>
      <c r="N147" s="607">
        <f t="shared" ref="N147" si="213">D46</f>
        <v>-0.3</v>
      </c>
      <c r="O147" s="607">
        <f t="shared" ref="O147" si="214">E46</f>
        <v>-0.28999999999999998</v>
      </c>
      <c r="P147" s="607">
        <f t="shared" ref="P147" si="215">F46</f>
        <v>5.0000000000000044E-3</v>
      </c>
      <c r="Q147" s="607">
        <f t="shared" si="211"/>
        <v>0.29499999999999998</v>
      </c>
    </row>
    <row r="148" spans="1:17" ht="14" x14ac:dyDescent="0.25">
      <c r="A148" s="1515"/>
      <c r="B148" s="609">
        <v>5</v>
      </c>
      <c r="C148" s="607">
        <f t="shared" ref="C148:H148" si="216">I38</f>
        <v>180</v>
      </c>
      <c r="D148" s="607">
        <f t="shared" ref="D148" si="217">J38</f>
        <v>-0.08</v>
      </c>
      <c r="E148" s="607">
        <f t="shared" ref="E148" si="218">K38</f>
        <v>0.09</v>
      </c>
      <c r="F148" s="607">
        <f t="shared" ref="F148" si="219">L38</f>
        <v>0.1</v>
      </c>
      <c r="G148" s="607">
        <f t="shared" ref="G148" si="220">M38</f>
        <v>0.09</v>
      </c>
      <c r="H148" s="607">
        <f t="shared" si="216"/>
        <v>2.16</v>
      </c>
      <c r="I148" s="607"/>
      <c r="J148" s="607"/>
      <c r="K148" s="607">
        <v>5</v>
      </c>
      <c r="L148" s="607">
        <f t="shared" ref="L148:Q148" si="221">I46</f>
        <v>50</v>
      </c>
      <c r="M148" s="607">
        <f t="shared" ref="M148" si="222">J46</f>
        <v>4.0999999999999996</v>
      </c>
      <c r="N148" s="607">
        <f t="shared" ref="N148" si="223">K46</f>
        <v>0.3</v>
      </c>
      <c r="O148" s="607">
        <f t="shared" ref="O148" si="224">L46</f>
        <v>-0.33</v>
      </c>
      <c r="P148" s="607">
        <f t="shared" ref="P148" si="225">M46</f>
        <v>2.2149999999999999</v>
      </c>
      <c r="Q148" s="607">
        <f t="shared" si="221"/>
        <v>0.29499999999999998</v>
      </c>
    </row>
    <row r="149" spans="1:17" ht="14" x14ac:dyDescent="0.25">
      <c r="A149" s="1515"/>
      <c r="B149" s="609">
        <v>6</v>
      </c>
      <c r="C149" s="607">
        <f t="shared" ref="C149:H149" si="226">P38</f>
        <v>180</v>
      </c>
      <c r="D149" s="607">
        <f t="shared" ref="D149" si="227">Q38</f>
        <v>0.17</v>
      </c>
      <c r="E149" s="607">
        <f t="shared" ref="E149" si="228">R38</f>
        <v>0.17</v>
      </c>
      <c r="F149" s="607">
        <f t="shared" ref="F149" si="229">S38</f>
        <v>-0.11</v>
      </c>
      <c r="G149" s="607">
        <f t="shared" ref="G149" si="230">T38</f>
        <v>0.14000000000000001</v>
      </c>
      <c r="H149" s="607">
        <f t="shared" si="226"/>
        <v>2.16</v>
      </c>
      <c r="I149" s="607"/>
      <c r="J149" s="607"/>
      <c r="K149" s="607">
        <v>6</v>
      </c>
      <c r="L149" s="607">
        <f t="shared" ref="L149:Q149" si="231">P46</f>
        <v>50</v>
      </c>
      <c r="M149" s="607">
        <f t="shared" ref="M149" si="232">Q46</f>
        <v>4.5</v>
      </c>
      <c r="N149" s="607">
        <f t="shared" ref="N149" si="233">R46</f>
        <v>19.100000000000001</v>
      </c>
      <c r="O149" s="607">
        <f t="shared" ref="O149" si="234">S46</f>
        <v>0.02</v>
      </c>
      <c r="P149" s="607">
        <f t="shared" ref="P149" si="235">T46</f>
        <v>9.5400000000000009</v>
      </c>
      <c r="Q149" s="607">
        <f t="shared" si="231"/>
        <v>0.29499999999999998</v>
      </c>
    </row>
    <row r="150" spans="1:17" ht="14" x14ac:dyDescent="0.25">
      <c r="A150" s="1515"/>
      <c r="B150" s="609">
        <v>7</v>
      </c>
      <c r="C150" s="607">
        <f t="shared" ref="C150:H150" si="236">B69</f>
        <v>180</v>
      </c>
      <c r="D150" s="607">
        <f t="shared" ref="D150" si="237">C69</f>
        <v>0.34</v>
      </c>
      <c r="E150" s="607">
        <f t="shared" ref="E150" si="238">D69</f>
        <v>0.46</v>
      </c>
      <c r="F150" s="607">
        <f t="shared" ref="F150" si="239">E69</f>
        <v>0.33</v>
      </c>
      <c r="G150" s="607">
        <f t="shared" ref="G150" si="240">F69</f>
        <v>6.5000000000000002E-2</v>
      </c>
      <c r="H150" s="607">
        <f t="shared" si="236"/>
        <v>2.16</v>
      </c>
      <c r="I150" s="607"/>
      <c r="J150" s="607"/>
      <c r="K150" s="607">
        <v>7</v>
      </c>
      <c r="L150" s="607">
        <f t="shared" ref="L150:Q150" si="241">B77</f>
        <v>50</v>
      </c>
      <c r="M150" s="607">
        <f t="shared" ref="M150" si="242">C77</f>
        <v>5</v>
      </c>
      <c r="N150" s="607">
        <f t="shared" ref="N150" si="243">D77</f>
        <v>1.9</v>
      </c>
      <c r="O150" s="607">
        <f t="shared" ref="O150" si="244">E77</f>
        <v>1.7</v>
      </c>
      <c r="P150" s="607">
        <f t="shared" ref="P150" si="245">F77</f>
        <v>9.9999999999999978E-2</v>
      </c>
      <c r="Q150" s="607">
        <f t="shared" si="241"/>
        <v>0.29499999999999998</v>
      </c>
    </row>
    <row r="151" spans="1:17" ht="14" x14ac:dyDescent="0.25">
      <c r="A151" s="1515"/>
      <c r="B151" s="609">
        <v>8</v>
      </c>
      <c r="C151" s="607">
        <f t="shared" ref="C151:H151" si="246">I69</f>
        <v>180</v>
      </c>
      <c r="D151" s="607">
        <f t="shared" ref="D151" si="247">J69</f>
        <v>-0.39</v>
      </c>
      <c r="E151" s="607">
        <f t="shared" ref="E151" si="248">K69</f>
        <v>-0.14000000000000001</v>
      </c>
      <c r="F151" s="607">
        <f t="shared" ref="F151" si="249">L69</f>
        <v>0</v>
      </c>
      <c r="G151" s="607">
        <f t="shared" ref="G151" si="250">M69</f>
        <v>0.125</v>
      </c>
      <c r="H151" s="607">
        <f t="shared" si="246"/>
        <v>2.16</v>
      </c>
      <c r="I151" s="607"/>
      <c r="J151" s="607"/>
      <c r="K151" s="607">
        <v>8</v>
      </c>
      <c r="L151" s="607">
        <f t="shared" ref="L151:Q151" si="251">I77</f>
        <v>20</v>
      </c>
      <c r="M151" s="607">
        <f t="shared" ref="M151" si="252">J77</f>
        <v>6.6</v>
      </c>
      <c r="N151" s="607">
        <f t="shared" ref="N151" si="253">K77</f>
        <v>0.9</v>
      </c>
      <c r="O151" s="607">
        <f t="shared" ref="O151" si="254">L77</f>
        <v>0</v>
      </c>
      <c r="P151" s="607">
        <f t="shared" ref="P151" si="255">M77</f>
        <v>2.8499999999999996</v>
      </c>
      <c r="Q151" s="607">
        <f t="shared" si="251"/>
        <v>0.11799999999999999</v>
      </c>
    </row>
    <row r="152" spans="1:17" ht="14" x14ac:dyDescent="0.25">
      <c r="A152" s="1515"/>
      <c r="B152" s="609">
        <v>9</v>
      </c>
      <c r="C152" s="607">
        <f t="shared" ref="C152:H152" si="256">P69</f>
        <v>180</v>
      </c>
      <c r="D152" s="607">
        <f t="shared" ref="D152" si="257">Q69</f>
        <v>-0.2</v>
      </c>
      <c r="E152" s="607">
        <f t="shared" ref="E152" si="258">R69</f>
        <v>-0.22</v>
      </c>
      <c r="F152" s="607">
        <f t="shared" ref="F152" si="259">S69</f>
        <v>0</v>
      </c>
      <c r="G152" s="607">
        <f t="shared" ref="G152" si="260">T69</f>
        <v>9.999999999999995E-3</v>
      </c>
      <c r="H152" s="607">
        <f t="shared" si="256"/>
        <v>2.16</v>
      </c>
      <c r="I152" s="607"/>
      <c r="J152" s="607"/>
      <c r="K152" s="607">
        <v>9</v>
      </c>
      <c r="L152" s="607">
        <f t="shared" ref="L152:Q152" si="261">P77</f>
        <v>20</v>
      </c>
      <c r="M152" s="607">
        <f t="shared" ref="M152" si="262">Q77</f>
        <v>4.9000000000000004</v>
      </c>
      <c r="N152" s="607">
        <f t="shared" ref="N152" si="263">R77</f>
        <v>0.8</v>
      </c>
      <c r="O152" s="607">
        <f t="shared" ref="O152" si="264">S77</f>
        <v>0</v>
      </c>
      <c r="P152" s="607">
        <f t="shared" ref="P152" si="265">T77</f>
        <v>2.0500000000000003</v>
      </c>
      <c r="Q152" s="607">
        <f t="shared" si="261"/>
        <v>0.11799999999999999</v>
      </c>
    </row>
    <row r="153" spans="1:17" ht="14" x14ac:dyDescent="0.25">
      <c r="A153" s="1515"/>
      <c r="B153" s="609">
        <v>10</v>
      </c>
      <c r="C153" s="607">
        <f>B100</f>
        <v>180</v>
      </c>
      <c r="D153" s="607">
        <f t="shared" ref="D153:G153" si="266">C100</f>
        <v>-0.04</v>
      </c>
      <c r="E153" s="607" t="str">
        <f t="shared" si="266"/>
        <v>-</v>
      </c>
      <c r="F153" s="607">
        <f t="shared" si="266"/>
        <v>0</v>
      </c>
      <c r="G153" s="607">
        <f t="shared" si="266"/>
        <v>0</v>
      </c>
      <c r="H153" s="607" t="str">
        <f>G100</f>
        <v>-</v>
      </c>
      <c r="I153" s="607"/>
      <c r="J153" s="607"/>
      <c r="K153" s="607">
        <v>10</v>
      </c>
      <c r="L153" s="607">
        <f t="shared" ref="L153:Q153" si="267">B108</f>
        <v>50</v>
      </c>
      <c r="M153" s="607">
        <f t="shared" ref="M153" si="268">C108</f>
        <v>0.4</v>
      </c>
      <c r="N153" s="607" t="str">
        <f t="shared" ref="N153" si="269">D108</f>
        <v>-</v>
      </c>
      <c r="O153" s="607">
        <f t="shared" ref="O153" si="270">E108</f>
        <v>0</v>
      </c>
      <c r="P153" s="607">
        <f t="shared" ref="P153" si="271">F108</f>
        <v>0</v>
      </c>
      <c r="Q153" s="607" t="str">
        <f t="shared" si="267"/>
        <v>-</v>
      </c>
    </row>
    <row r="154" spans="1:17" ht="14" x14ac:dyDescent="0.25">
      <c r="A154" s="1515"/>
      <c r="B154" s="609">
        <v>11</v>
      </c>
      <c r="C154" s="607">
        <f>I100</f>
        <v>180</v>
      </c>
      <c r="D154" s="607">
        <f t="shared" ref="D154:G154" si="272">J100</f>
        <v>9.9999999999999995E-7</v>
      </c>
      <c r="E154" s="607" t="str">
        <f t="shared" si="272"/>
        <v>-</v>
      </c>
      <c r="F154" s="607">
        <f t="shared" si="272"/>
        <v>0</v>
      </c>
      <c r="G154" s="607">
        <f t="shared" si="272"/>
        <v>0</v>
      </c>
      <c r="H154" s="607" t="str">
        <f>N100</f>
        <v>-</v>
      </c>
      <c r="I154" s="607"/>
      <c r="J154" s="607"/>
      <c r="K154" s="607">
        <v>11</v>
      </c>
      <c r="L154" s="607">
        <f t="shared" ref="L154:Q154" si="273">I108</f>
        <v>50</v>
      </c>
      <c r="M154" s="607">
        <f t="shared" ref="M154" si="274">J108</f>
        <v>9.9999999999999995E-7</v>
      </c>
      <c r="N154" s="607" t="str">
        <f t="shared" ref="N154" si="275">K108</f>
        <v>-</v>
      </c>
      <c r="O154" s="607">
        <f t="shared" ref="O154" si="276">L108</f>
        <v>0</v>
      </c>
      <c r="P154" s="607">
        <f t="shared" ref="P154" si="277">M108</f>
        <v>0</v>
      </c>
      <c r="Q154" s="607" t="str">
        <f t="shared" si="273"/>
        <v>-</v>
      </c>
    </row>
    <row r="155" spans="1:17" ht="14" x14ac:dyDescent="0.25">
      <c r="A155" s="1515"/>
      <c r="B155" s="609">
        <v>12</v>
      </c>
      <c r="C155" s="607">
        <f>P100</f>
        <v>180</v>
      </c>
      <c r="D155" s="607">
        <f t="shared" ref="D155:G155" si="278">Q100</f>
        <v>9.9999999999999995E-7</v>
      </c>
      <c r="E155" s="607" t="str">
        <f t="shared" si="278"/>
        <v>-</v>
      </c>
      <c r="F155" s="607">
        <f t="shared" si="278"/>
        <v>0</v>
      </c>
      <c r="G155" s="607">
        <f t="shared" si="278"/>
        <v>0</v>
      </c>
      <c r="H155" s="607" t="str">
        <f>U100</f>
        <v>-</v>
      </c>
      <c r="I155" s="607"/>
      <c r="J155" s="607"/>
      <c r="K155" s="607">
        <v>12</v>
      </c>
      <c r="L155" s="607">
        <f t="shared" ref="L155:Q155" si="279">P108</f>
        <v>50</v>
      </c>
      <c r="M155" s="607">
        <f t="shared" ref="M155" si="280">Q108</f>
        <v>9.9999999999999995E-7</v>
      </c>
      <c r="N155" s="607" t="str">
        <f t="shared" ref="N155" si="281">R108</f>
        <v>-</v>
      </c>
      <c r="O155" s="607">
        <f t="shared" ref="O155" si="282">S108</f>
        <v>0</v>
      </c>
      <c r="P155" s="607">
        <f t="shared" ref="P155" si="283">T108</f>
        <v>0</v>
      </c>
      <c r="Q155" s="607" t="str">
        <f t="shared" si="279"/>
        <v>-</v>
      </c>
    </row>
    <row r="156" spans="1:17" s="574" customFormat="1" ht="14" x14ac:dyDescent="0.25">
      <c r="A156" s="213"/>
      <c r="B156" s="213"/>
      <c r="C156" s="607"/>
      <c r="D156" s="607"/>
      <c r="E156" s="607"/>
      <c r="F156" s="607"/>
      <c r="G156" s="607"/>
      <c r="H156" s="607"/>
      <c r="I156" s="607"/>
      <c r="J156" s="607"/>
      <c r="K156" s="607"/>
      <c r="L156" s="607"/>
      <c r="M156" s="607"/>
      <c r="N156" s="607"/>
      <c r="O156" s="607"/>
      <c r="P156" s="607"/>
      <c r="Q156" s="607"/>
    </row>
    <row r="157" spans="1:17" ht="14" x14ac:dyDescent="0.25">
      <c r="A157" s="1515" t="s">
        <v>97</v>
      </c>
      <c r="B157" s="607">
        <v>1</v>
      </c>
      <c r="C157" s="607">
        <f t="shared" ref="C157:H157" si="284">B8</f>
        <v>200</v>
      </c>
      <c r="D157" s="607">
        <f t="shared" ref="D157" si="285">C8</f>
        <v>-0.17</v>
      </c>
      <c r="E157" s="607">
        <f t="shared" ref="E157" si="286">D8</f>
        <v>-0.04</v>
      </c>
      <c r="F157" s="607">
        <f t="shared" ref="F157" si="287">E8</f>
        <v>-0.16</v>
      </c>
      <c r="G157" s="607">
        <f t="shared" ref="G157" si="288">F8</f>
        <v>6.5000000000000002E-2</v>
      </c>
      <c r="H157" s="607">
        <f t="shared" si="284"/>
        <v>2.4</v>
      </c>
      <c r="I157" s="607"/>
      <c r="J157" s="607" t="s">
        <v>97</v>
      </c>
      <c r="K157" s="607">
        <v>1</v>
      </c>
      <c r="L157" s="607">
        <f t="shared" ref="L157:Q157" si="289">B16</f>
        <v>100</v>
      </c>
      <c r="M157" s="607">
        <f t="shared" ref="M157" si="290">C16</f>
        <v>3.6</v>
      </c>
      <c r="N157" s="607">
        <f t="shared" ref="N157" si="291">D16</f>
        <v>0.2</v>
      </c>
      <c r="O157" s="607">
        <f t="shared" ref="O157" si="292">E16</f>
        <v>-0.06</v>
      </c>
      <c r="P157" s="607">
        <f t="shared" ref="P157" si="293">F16</f>
        <v>1.83</v>
      </c>
      <c r="Q157" s="607">
        <f t="shared" si="289"/>
        <v>0.59</v>
      </c>
    </row>
    <row r="158" spans="1:17" ht="14" x14ac:dyDescent="0.25">
      <c r="A158" s="1515"/>
      <c r="B158" s="607">
        <v>2</v>
      </c>
      <c r="C158" s="607">
        <f t="shared" ref="C158:H158" si="294">I8</f>
        <v>200</v>
      </c>
      <c r="D158" s="607">
        <f t="shared" ref="D158" si="295">J8</f>
        <v>0.09</v>
      </c>
      <c r="E158" s="607">
        <f t="shared" ref="E158" si="296">K8</f>
        <v>0.06</v>
      </c>
      <c r="F158" s="607">
        <f t="shared" ref="F158" si="297">L8</f>
        <v>-0.18</v>
      </c>
      <c r="G158" s="607">
        <f t="shared" ref="G158" si="298">M8</f>
        <v>0.12</v>
      </c>
      <c r="H158" s="607">
        <f t="shared" si="294"/>
        <v>2.4</v>
      </c>
      <c r="I158" s="607"/>
      <c r="J158" s="607"/>
      <c r="K158" s="607">
        <v>2</v>
      </c>
      <c r="L158" s="607">
        <f t="shared" ref="L158:Q158" si="299">I16</f>
        <v>100</v>
      </c>
      <c r="M158" s="607">
        <f t="shared" ref="M158" si="300">J16</f>
        <v>-0.9</v>
      </c>
      <c r="N158" s="607">
        <f t="shared" ref="N158" si="301">K16</f>
        <v>-7.0000000000000007E-2</v>
      </c>
      <c r="O158" s="607">
        <f t="shared" ref="O158" si="302">L16</f>
        <v>2.2000000000000002</v>
      </c>
      <c r="P158" s="607">
        <f t="shared" ref="P158" si="303">M16</f>
        <v>1.135</v>
      </c>
      <c r="Q158" s="607">
        <f t="shared" si="299"/>
        <v>0.59</v>
      </c>
    </row>
    <row r="159" spans="1:17" ht="14" x14ac:dyDescent="0.25">
      <c r="A159" s="1515"/>
      <c r="B159" s="608">
        <v>3</v>
      </c>
      <c r="C159" s="607">
        <f t="shared" ref="C159:H159" si="304">P8</f>
        <v>200</v>
      </c>
      <c r="D159" s="607">
        <f t="shared" ref="D159" si="305">Q8</f>
        <v>-2.0499999999999998</v>
      </c>
      <c r="E159" s="607">
        <f t="shared" ref="E159" si="306">R8</f>
        <v>-2.14</v>
      </c>
      <c r="F159" s="607">
        <f t="shared" ref="F159" si="307">S8</f>
        <v>-0.26</v>
      </c>
      <c r="G159" s="607">
        <f t="shared" ref="G159" si="308">T8</f>
        <v>0.94000000000000006</v>
      </c>
      <c r="H159" s="607">
        <f t="shared" si="304"/>
        <v>2.4</v>
      </c>
      <c r="I159" s="607"/>
      <c r="J159" s="607"/>
      <c r="K159" s="607">
        <v>3</v>
      </c>
      <c r="L159" s="607">
        <f t="shared" ref="L159:Q159" si="309">P16</f>
        <v>100</v>
      </c>
      <c r="M159" s="607">
        <f t="shared" ref="M159" si="310">Q16</f>
        <v>6</v>
      </c>
      <c r="N159" s="607">
        <f t="shared" ref="N159" si="311">R16</f>
        <v>-0.22</v>
      </c>
      <c r="O159" s="607">
        <f t="shared" ref="O159" si="312">S16</f>
        <v>2</v>
      </c>
      <c r="P159" s="607">
        <f t="shared" ref="P159" si="313">T16</f>
        <v>3.11</v>
      </c>
      <c r="Q159" s="607">
        <f t="shared" si="309"/>
        <v>0.59</v>
      </c>
    </row>
    <row r="160" spans="1:17" ht="14" x14ac:dyDescent="0.25">
      <c r="A160" s="1515"/>
      <c r="B160" s="608">
        <v>4</v>
      </c>
      <c r="C160" s="607">
        <f t="shared" ref="C160:H160" si="314">B39</f>
        <v>200</v>
      </c>
      <c r="D160" s="607">
        <f t="shared" ref="D160" si="315">C39</f>
        <v>0.11</v>
      </c>
      <c r="E160" s="607">
        <f t="shared" ref="E160" si="316">D39</f>
        <v>-0.67</v>
      </c>
      <c r="F160" s="607">
        <f t="shared" ref="F160" si="317">E39</f>
        <v>0.05</v>
      </c>
      <c r="G160" s="607">
        <f t="shared" ref="G160" si="318">F39</f>
        <v>0.36000000000000004</v>
      </c>
      <c r="H160" s="607">
        <f t="shared" si="314"/>
        <v>2.4</v>
      </c>
      <c r="I160" s="607"/>
      <c r="J160" s="607"/>
      <c r="K160" s="607">
        <v>4</v>
      </c>
      <c r="L160" s="607">
        <f t="shared" ref="L160:Q160" si="319">B47</f>
        <v>100</v>
      </c>
      <c r="M160" s="607">
        <f t="shared" ref="M160" si="320">C47</f>
        <v>4.0999999999999996</v>
      </c>
      <c r="N160" s="607">
        <f t="shared" ref="N160" si="321">D47</f>
        <v>-0.4</v>
      </c>
      <c r="O160" s="607">
        <f t="shared" ref="O160" si="322">E47</f>
        <v>-0.35</v>
      </c>
      <c r="P160" s="607">
        <f t="shared" ref="P160" si="323">F47</f>
        <v>2.5000000000000022E-2</v>
      </c>
      <c r="Q160" s="607">
        <f t="shared" si="319"/>
        <v>0.59</v>
      </c>
    </row>
    <row r="161" spans="1:17" ht="14" x14ac:dyDescent="0.25">
      <c r="A161" s="1515"/>
      <c r="B161" s="609">
        <v>5</v>
      </c>
      <c r="C161" s="607">
        <f t="shared" ref="C161:H161" si="324">I39</f>
        <v>200</v>
      </c>
      <c r="D161" s="607">
        <f t="shared" ref="D161" si="325">J39</f>
        <v>-0.12</v>
      </c>
      <c r="E161" s="607">
        <f t="shared" ref="E161" si="326">K39</f>
        <v>0.18</v>
      </c>
      <c r="F161" s="607">
        <f t="shared" ref="F161" si="327">L39</f>
        <v>-0.03</v>
      </c>
      <c r="G161" s="607">
        <f t="shared" ref="G161" si="328">M39</f>
        <v>0.15</v>
      </c>
      <c r="H161" s="607">
        <f t="shared" si="324"/>
        <v>2.4</v>
      </c>
      <c r="I161" s="607"/>
      <c r="J161" s="607"/>
      <c r="K161" s="607">
        <v>5</v>
      </c>
      <c r="L161" s="607">
        <f t="shared" ref="L161:Q161" si="329">I47</f>
        <v>100</v>
      </c>
      <c r="M161" s="607">
        <f t="shared" ref="M161" si="330">J47</f>
        <v>5</v>
      </c>
      <c r="N161" s="607">
        <f t="shared" ref="N161" si="331">K47</f>
        <v>-0.1</v>
      </c>
      <c r="O161" s="607">
        <f t="shared" ref="O161" si="332">L47</f>
        <v>-0.42</v>
      </c>
      <c r="P161" s="607">
        <f t="shared" ref="P161" si="333">M47</f>
        <v>2.71</v>
      </c>
      <c r="Q161" s="607">
        <f t="shared" si="329"/>
        <v>0.59</v>
      </c>
    </row>
    <row r="162" spans="1:17" ht="14" x14ac:dyDescent="0.25">
      <c r="A162" s="1515"/>
      <c r="B162" s="609">
        <v>6</v>
      </c>
      <c r="C162" s="607">
        <f t="shared" ref="C162:H162" si="334">P39</f>
        <v>200</v>
      </c>
      <c r="D162" s="607">
        <f t="shared" ref="D162" si="335">Q39</f>
        <v>0.08</v>
      </c>
      <c r="E162" s="607">
        <f t="shared" ref="E162" si="336">R39</f>
        <v>0.1</v>
      </c>
      <c r="F162" s="607">
        <f t="shared" ref="F162" si="337">S39</f>
        <v>-0.1</v>
      </c>
      <c r="G162" s="607">
        <f t="shared" ref="G162" si="338">T39</f>
        <v>0.1</v>
      </c>
      <c r="H162" s="607">
        <f t="shared" si="334"/>
        <v>2.4</v>
      </c>
      <c r="I162" s="607"/>
      <c r="J162" s="607"/>
      <c r="K162" s="607">
        <v>6</v>
      </c>
      <c r="L162" s="607">
        <f t="shared" ref="L162:Q162" si="339">P47</f>
        <v>100</v>
      </c>
      <c r="M162" s="607">
        <f t="shared" ref="M162" si="340">Q47</f>
        <v>6.2</v>
      </c>
      <c r="N162" s="607">
        <f t="shared" ref="N162" si="341">R47</f>
        <v>18.399999999999999</v>
      </c>
      <c r="O162" s="607">
        <f t="shared" ref="O162" si="342">S47</f>
        <v>0.22</v>
      </c>
      <c r="P162" s="607">
        <f t="shared" ref="P162" si="343">T47</f>
        <v>9.09</v>
      </c>
      <c r="Q162" s="607">
        <f t="shared" si="339"/>
        <v>0.59</v>
      </c>
    </row>
    <row r="163" spans="1:17" ht="14" x14ac:dyDescent="0.25">
      <c r="A163" s="1515"/>
      <c r="B163" s="609">
        <v>7</v>
      </c>
      <c r="C163" s="607">
        <f t="shared" ref="C163:H163" si="344">B70</f>
        <v>200</v>
      </c>
      <c r="D163" s="607">
        <f t="shared" ref="D163" si="345">C70</f>
        <v>0.42</v>
      </c>
      <c r="E163" s="607">
        <f t="shared" ref="E163" si="346">D70</f>
        <v>0.52</v>
      </c>
      <c r="F163" s="607">
        <f t="shared" ref="F163" si="347">E70</f>
        <v>0.34</v>
      </c>
      <c r="G163" s="607">
        <f t="shared" ref="G163" si="348">F70</f>
        <v>0.09</v>
      </c>
      <c r="H163" s="607">
        <f t="shared" si="344"/>
        <v>2.4</v>
      </c>
      <c r="I163" s="607"/>
      <c r="J163" s="607"/>
      <c r="K163" s="607">
        <v>7</v>
      </c>
      <c r="L163" s="607">
        <f t="shared" ref="L163:Q163" si="349">B78</f>
        <v>100</v>
      </c>
      <c r="M163" s="607">
        <f t="shared" ref="M163" si="350">C78</f>
        <v>6.2</v>
      </c>
      <c r="N163" s="607">
        <f t="shared" ref="N163" si="351">D78</f>
        <v>1.7</v>
      </c>
      <c r="O163" s="607">
        <f t="shared" ref="O163" si="352">E78</f>
        <v>1.7</v>
      </c>
      <c r="P163" s="607">
        <f t="shared" ref="P163" si="353">F78</f>
        <v>0</v>
      </c>
      <c r="Q163" s="607">
        <f t="shared" si="349"/>
        <v>0.59</v>
      </c>
    </row>
    <row r="164" spans="1:17" ht="14" x14ac:dyDescent="0.25">
      <c r="A164" s="1515"/>
      <c r="B164" s="609">
        <v>8</v>
      </c>
      <c r="C164" s="607">
        <f t="shared" ref="C164:H164" si="354">I70</f>
        <v>200</v>
      </c>
      <c r="D164" s="607">
        <f t="shared" ref="D164" si="355">J70</f>
        <v>-0.23</v>
      </c>
      <c r="E164" s="607">
        <f t="shared" ref="E164" si="356">K70</f>
        <v>-0.33</v>
      </c>
      <c r="F164" s="607">
        <f t="shared" ref="F164" si="357">L70</f>
        <v>0</v>
      </c>
      <c r="G164" s="607">
        <f t="shared" ref="G164" si="358">M70</f>
        <v>0.05</v>
      </c>
      <c r="H164" s="607">
        <f t="shared" si="354"/>
        <v>2.4</v>
      </c>
      <c r="I164" s="607"/>
      <c r="J164" s="607"/>
      <c r="K164" s="607">
        <v>8</v>
      </c>
      <c r="L164" s="607">
        <f t="shared" ref="L164:Q164" si="359">I78</f>
        <v>50</v>
      </c>
      <c r="M164" s="607">
        <f t="shared" ref="M164" si="360">J78</f>
        <v>5</v>
      </c>
      <c r="N164" s="607">
        <f t="shared" ref="N164" si="361">K78</f>
        <v>2.1</v>
      </c>
      <c r="O164" s="607">
        <f t="shared" ref="O164" si="362">L78</f>
        <v>0</v>
      </c>
      <c r="P164" s="607">
        <f t="shared" ref="P164" si="363">M78</f>
        <v>1.45</v>
      </c>
      <c r="Q164" s="607">
        <f t="shared" si="359"/>
        <v>0.29499999999999998</v>
      </c>
    </row>
    <row r="165" spans="1:17" ht="14" x14ac:dyDescent="0.25">
      <c r="A165" s="1515"/>
      <c r="B165" s="609">
        <v>9</v>
      </c>
      <c r="C165" s="607">
        <f t="shared" ref="C165:H165" si="364">P70</f>
        <v>200</v>
      </c>
      <c r="D165" s="607">
        <f t="shared" ref="D165" si="365">Q70</f>
        <v>-0.25</v>
      </c>
      <c r="E165" s="607">
        <f t="shared" ref="E165" si="366">R70</f>
        <v>-0.33</v>
      </c>
      <c r="F165" s="607">
        <f t="shared" ref="F165" si="367">S70</f>
        <v>0</v>
      </c>
      <c r="G165" s="607">
        <f t="shared" ref="G165" si="368">T70</f>
        <v>4.0000000000000008E-2</v>
      </c>
      <c r="H165" s="607">
        <f t="shared" si="364"/>
        <v>2.4</v>
      </c>
      <c r="I165" s="607"/>
      <c r="J165" s="607"/>
      <c r="K165" s="607">
        <v>9</v>
      </c>
      <c r="L165" s="607">
        <f t="shared" ref="L165:Q165" si="369">P78</f>
        <v>50</v>
      </c>
      <c r="M165" s="607">
        <f t="shared" ref="M165" si="370">Q78</f>
        <v>9.1999999999999993</v>
      </c>
      <c r="N165" s="607">
        <f t="shared" ref="N165" si="371">R78</f>
        <v>1.7</v>
      </c>
      <c r="O165" s="607">
        <f t="shared" ref="O165" si="372">S78</f>
        <v>0</v>
      </c>
      <c r="P165" s="607">
        <f t="shared" ref="P165" si="373">T78</f>
        <v>3.7499999999999996</v>
      </c>
      <c r="Q165" s="607">
        <f t="shared" si="369"/>
        <v>0.29499999999999998</v>
      </c>
    </row>
    <row r="166" spans="1:17" ht="14" x14ac:dyDescent="0.25">
      <c r="A166" s="1515"/>
      <c r="B166" s="609">
        <v>10</v>
      </c>
      <c r="C166" s="607">
        <f>B101</f>
        <v>200</v>
      </c>
      <c r="D166" s="607">
        <f t="shared" ref="D166:G166" si="374">C101</f>
        <v>-0.67</v>
      </c>
      <c r="E166" s="607" t="str">
        <f t="shared" si="374"/>
        <v>-</v>
      </c>
      <c r="F166" s="607">
        <f t="shared" si="374"/>
        <v>0</v>
      </c>
      <c r="G166" s="607">
        <f t="shared" si="374"/>
        <v>0</v>
      </c>
      <c r="H166" s="607" t="str">
        <f>G101</f>
        <v>-</v>
      </c>
      <c r="I166" s="607"/>
      <c r="J166" s="607"/>
      <c r="K166" s="607">
        <v>10</v>
      </c>
      <c r="L166" s="607">
        <f t="shared" ref="L166:Q166" si="375">B109</f>
        <v>100</v>
      </c>
      <c r="M166" s="607">
        <f t="shared" ref="M166" si="376">C109</f>
        <v>0.4</v>
      </c>
      <c r="N166" s="607" t="str">
        <f t="shared" ref="N166" si="377">D109</f>
        <v>-</v>
      </c>
      <c r="O166" s="607">
        <f t="shared" ref="O166" si="378">E109</f>
        <v>0</v>
      </c>
      <c r="P166" s="607">
        <f t="shared" ref="P166" si="379">F109</f>
        <v>0</v>
      </c>
      <c r="Q166" s="607" t="str">
        <f t="shared" si="375"/>
        <v>-</v>
      </c>
    </row>
    <row r="167" spans="1:17" ht="14" x14ac:dyDescent="0.25">
      <c r="A167" s="1515"/>
      <c r="B167" s="609">
        <v>11</v>
      </c>
      <c r="C167" s="607">
        <f>I101</f>
        <v>200</v>
      </c>
      <c r="D167" s="607">
        <f t="shared" ref="D167:G167" si="380">J101</f>
        <v>9.9999999999999995E-7</v>
      </c>
      <c r="E167" s="607" t="str">
        <f t="shared" si="380"/>
        <v>-</v>
      </c>
      <c r="F167" s="607">
        <f t="shared" si="380"/>
        <v>0</v>
      </c>
      <c r="G167" s="607">
        <f t="shared" si="380"/>
        <v>0</v>
      </c>
      <c r="H167" s="607" t="str">
        <f>N101</f>
        <v>-</v>
      </c>
      <c r="I167" s="607"/>
      <c r="J167" s="607"/>
      <c r="K167" s="607">
        <v>11</v>
      </c>
      <c r="L167" s="607">
        <f t="shared" ref="L167:Q167" si="381">I109</f>
        <v>100</v>
      </c>
      <c r="M167" s="607">
        <f t="shared" ref="M167" si="382">J109</f>
        <v>9.9999999999999995E-7</v>
      </c>
      <c r="N167" s="607" t="str">
        <f t="shared" ref="N167" si="383">K109</f>
        <v>-</v>
      </c>
      <c r="O167" s="607">
        <f t="shared" ref="O167" si="384">L109</f>
        <v>0</v>
      </c>
      <c r="P167" s="607">
        <f t="shared" ref="P167" si="385">M109</f>
        <v>0</v>
      </c>
      <c r="Q167" s="607" t="str">
        <f t="shared" si="381"/>
        <v>-</v>
      </c>
    </row>
    <row r="168" spans="1:17" ht="14" x14ac:dyDescent="0.25">
      <c r="A168" s="1515"/>
      <c r="B168" s="609">
        <v>12</v>
      </c>
      <c r="C168" s="607">
        <f>P101</f>
        <v>200</v>
      </c>
      <c r="D168" s="607">
        <f t="shared" ref="D168:G168" si="386">Q101</f>
        <v>9.9999999999999995E-7</v>
      </c>
      <c r="E168" s="607" t="str">
        <f t="shared" si="386"/>
        <v>-</v>
      </c>
      <c r="F168" s="607">
        <f t="shared" si="386"/>
        <v>0</v>
      </c>
      <c r="G168" s="607">
        <f t="shared" si="386"/>
        <v>0</v>
      </c>
      <c r="H168" s="607" t="str">
        <f>U101</f>
        <v>-</v>
      </c>
      <c r="I168" s="607"/>
      <c r="J168" s="607"/>
      <c r="K168" s="607">
        <v>12</v>
      </c>
      <c r="L168" s="607">
        <f t="shared" ref="L168:Q168" si="387">P109</f>
        <v>100</v>
      </c>
      <c r="M168" s="607">
        <f t="shared" ref="M168" si="388">Q109</f>
        <v>9.9999999999999995E-7</v>
      </c>
      <c r="N168" s="607" t="str">
        <f t="shared" ref="N168" si="389">R109</f>
        <v>-</v>
      </c>
      <c r="O168" s="607">
        <f t="shared" ref="O168" si="390">S109</f>
        <v>0</v>
      </c>
      <c r="P168" s="607">
        <f t="shared" ref="P168" si="391">T109</f>
        <v>0</v>
      </c>
      <c r="Q168" s="607" t="str">
        <f t="shared" si="387"/>
        <v>-</v>
      </c>
    </row>
    <row r="169" spans="1:17" s="574" customFormat="1" ht="14" x14ac:dyDescent="0.25">
      <c r="A169" s="213"/>
      <c r="B169" s="213"/>
      <c r="C169" s="607"/>
      <c r="D169" s="607"/>
      <c r="E169" s="607"/>
      <c r="F169" s="607"/>
      <c r="G169" s="607"/>
      <c r="H169" s="607"/>
      <c r="I169" s="607"/>
      <c r="J169" s="607"/>
      <c r="K169" s="607"/>
      <c r="L169" s="607"/>
      <c r="M169" s="607"/>
      <c r="N169" s="607"/>
      <c r="O169" s="607"/>
      <c r="P169" s="607"/>
      <c r="Q169" s="607"/>
    </row>
    <row r="170" spans="1:17" ht="14" x14ac:dyDescent="0.25">
      <c r="A170" s="1515" t="s">
        <v>98</v>
      </c>
      <c r="B170" s="607">
        <v>1</v>
      </c>
      <c r="C170" s="607">
        <f t="shared" ref="C170:H170" si="392">B9</f>
        <v>220</v>
      </c>
      <c r="D170" s="607">
        <f t="shared" ref="D170" si="393">C9</f>
        <v>-0.27</v>
      </c>
      <c r="E170" s="607">
        <f t="shared" ref="E170" si="394">D9</f>
        <v>-0.28000000000000003</v>
      </c>
      <c r="F170" s="607">
        <f t="shared" ref="F170" si="395">E9</f>
        <v>-0.18</v>
      </c>
      <c r="G170" s="607">
        <f t="shared" ref="G170" si="396">F9</f>
        <v>5.0000000000000017E-2</v>
      </c>
      <c r="H170" s="607">
        <f t="shared" si="392"/>
        <v>2.64</v>
      </c>
      <c r="I170" s="607"/>
      <c r="J170" s="607" t="s">
        <v>98</v>
      </c>
      <c r="K170" s="607">
        <v>1</v>
      </c>
      <c r="L170" s="607">
        <f t="shared" ref="L170:Q170" si="397">B17</f>
        <v>200</v>
      </c>
      <c r="M170" s="607">
        <f t="shared" ref="M170" si="398">C17</f>
        <v>2.2000000000000002</v>
      </c>
      <c r="N170" s="607">
        <f t="shared" ref="N170" si="399">D17</f>
        <v>0.4</v>
      </c>
      <c r="O170" s="607">
        <f t="shared" ref="O170" si="400">E17</f>
        <v>9.9999999999999995E-7</v>
      </c>
      <c r="P170" s="607">
        <f t="shared" ref="P170" si="401">F17</f>
        <v>1.0999995</v>
      </c>
      <c r="Q170" s="607">
        <f t="shared" si="397"/>
        <v>1.18</v>
      </c>
    </row>
    <row r="171" spans="1:17" ht="14" x14ac:dyDescent="0.25">
      <c r="A171" s="1515"/>
      <c r="B171" s="607">
        <v>2</v>
      </c>
      <c r="C171" s="607">
        <f t="shared" ref="C171:H171" si="402">I9</f>
        <v>220</v>
      </c>
      <c r="D171" s="607">
        <f t="shared" ref="D171" si="403">J9</f>
        <v>0.53</v>
      </c>
      <c r="E171" s="607">
        <f t="shared" ref="E171" si="404">K9</f>
        <v>0.05</v>
      </c>
      <c r="F171" s="607">
        <f t="shared" ref="F171" si="405">L9</f>
        <v>-0.03</v>
      </c>
      <c r="G171" s="607">
        <f t="shared" ref="G171" si="406">M9</f>
        <v>0.04</v>
      </c>
      <c r="H171" s="607">
        <f t="shared" si="402"/>
        <v>2.64</v>
      </c>
      <c r="I171" s="607"/>
      <c r="J171" s="607"/>
      <c r="K171" s="607">
        <v>2</v>
      </c>
      <c r="L171" s="607">
        <f t="shared" ref="L171:Q171" si="407">I17</f>
        <v>200</v>
      </c>
      <c r="M171" s="607">
        <f t="shared" ref="M171" si="408">J17</f>
        <v>-6.4</v>
      </c>
      <c r="N171" s="607">
        <f t="shared" ref="N171" si="409">K17</f>
        <v>-0.1</v>
      </c>
      <c r="O171" s="607">
        <f t="shared" ref="O171" si="410">L17</f>
        <v>3.3</v>
      </c>
      <c r="P171" s="607">
        <f t="shared" ref="P171" si="411">M17</f>
        <v>1.7</v>
      </c>
      <c r="Q171" s="607">
        <f t="shared" si="407"/>
        <v>1.18</v>
      </c>
    </row>
    <row r="172" spans="1:17" ht="14" x14ac:dyDescent="0.25">
      <c r="A172" s="1515"/>
      <c r="B172" s="608">
        <v>3</v>
      </c>
      <c r="C172" s="607">
        <f t="shared" ref="C172:H172" si="412">P9</f>
        <v>220</v>
      </c>
      <c r="D172" s="607">
        <f t="shared" ref="D172" si="413">Q9</f>
        <v>-2.29</v>
      </c>
      <c r="E172" s="607">
        <f t="shared" ref="E172" si="414">R9</f>
        <v>-3.44</v>
      </c>
      <c r="F172" s="607">
        <f t="shared" ref="F172" si="415">S9</f>
        <v>-0.28999999999999998</v>
      </c>
      <c r="G172" s="607">
        <f t="shared" ref="G172" si="416">T9</f>
        <v>1.575</v>
      </c>
      <c r="H172" s="607">
        <f t="shared" si="412"/>
        <v>2.64</v>
      </c>
      <c r="I172" s="607"/>
      <c r="J172" s="607"/>
      <c r="K172" s="607">
        <v>3</v>
      </c>
      <c r="L172" s="607">
        <f t="shared" ref="L172:Q172" si="417">P17</f>
        <v>200</v>
      </c>
      <c r="M172" s="607">
        <f t="shared" ref="M172" si="418">Q17</f>
        <v>-3.6</v>
      </c>
      <c r="N172" s="607">
        <f t="shared" ref="N172" si="419">R17</f>
        <v>-0.1</v>
      </c>
      <c r="O172" s="607">
        <f t="shared" ref="O172" si="420">S17</f>
        <v>3.6</v>
      </c>
      <c r="P172" s="607">
        <f t="shared" ref="P172" si="421">T17</f>
        <v>3.6</v>
      </c>
      <c r="Q172" s="607">
        <f t="shared" si="417"/>
        <v>1.18</v>
      </c>
    </row>
    <row r="173" spans="1:17" ht="14" x14ac:dyDescent="0.25">
      <c r="A173" s="1515"/>
      <c r="B173" s="608">
        <v>4</v>
      </c>
      <c r="C173" s="607">
        <f t="shared" ref="C173:H173" si="422">B40</f>
        <v>220</v>
      </c>
      <c r="D173" s="607">
        <f t="shared" ref="D173" si="423">C40</f>
        <v>0.13</v>
      </c>
      <c r="E173" s="607">
        <f t="shared" ref="E173" si="424">D40</f>
        <v>9.9999999999999995E-7</v>
      </c>
      <c r="F173" s="607">
        <f t="shared" ref="F173" si="425">E40</f>
        <v>0.1</v>
      </c>
      <c r="G173" s="607">
        <f t="shared" ref="G173" si="426">F40</f>
        <v>4.9999500000000002E-2</v>
      </c>
      <c r="H173" s="607">
        <f t="shared" si="422"/>
        <v>2.64</v>
      </c>
      <c r="I173" s="607"/>
      <c r="J173" s="607"/>
      <c r="K173" s="607">
        <v>4</v>
      </c>
      <c r="L173" s="607">
        <f t="shared" ref="L173:Q173" si="427">B48</f>
        <v>200</v>
      </c>
      <c r="M173" s="607">
        <f t="shared" ref="M173" si="428">C48</f>
        <v>5</v>
      </c>
      <c r="N173" s="607">
        <f t="shared" ref="N173" si="429">D48</f>
        <v>0.3</v>
      </c>
      <c r="O173" s="607">
        <f t="shared" ref="O173" si="430">E48</f>
        <v>0.8</v>
      </c>
      <c r="P173" s="607">
        <f t="shared" ref="P173" si="431">F48</f>
        <v>0.25</v>
      </c>
      <c r="Q173" s="607">
        <f t="shared" si="427"/>
        <v>1.18</v>
      </c>
    </row>
    <row r="174" spans="1:17" ht="14" x14ac:dyDescent="0.25">
      <c r="A174" s="1515"/>
      <c r="B174" s="609">
        <v>5</v>
      </c>
      <c r="C174" s="607">
        <f t="shared" ref="C174:H174" si="432">I40</f>
        <v>220</v>
      </c>
      <c r="D174" s="607">
        <f t="shared" ref="D174" si="433">J40</f>
        <v>-0.17</v>
      </c>
      <c r="E174" s="607">
        <f t="shared" ref="E174" si="434">K40</f>
        <v>0.56000000000000005</v>
      </c>
      <c r="F174" s="607">
        <f t="shared" ref="F174" si="435">L40</f>
        <v>0.38</v>
      </c>
      <c r="G174" s="607">
        <f t="shared" ref="G174" si="436">M40</f>
        <v>0.36500000000000005</v>
      </c>
      <c r="H174" s="607">
        <f t="shared" si="432"/>
        <v>2.64</v>
      </c>
      <c r="I174" s="607"/>
      <c r="J174" s="607"/>
      <c r="K174" s="607">
        <v>5</v>
      </c>
      <c r="L174" s="607">
        <f t="shared" ref="L174:Q174" si="437">I48</f>
        <v>200</v>
      </c>
      <c r="M174" s="607">
        <f t="shared" ref="M174" si="438">J48</f>
        <v>7.7</v>
      </c>
      <c r="N174" s="607">
        <f t="shared" ref="N174" si="439">K48</f>
        <v>1.3</v>
      </c>
      <c r="O174" s="607">
        <f t="shared" ref="O174" si="440">L48</f>
        <v>1.3</v>
      </c>
      <c r="P174" s="607">
        <f t="shared" ref="P174" si="441">M48</f>
        <v>3.2</v>
      </c>
      <c r="Q174" s="607">
        <f t="shared" si="437"/>
        <v>1.18</v>
      </c>
    </row>
    <row r="175" spans="1:17" ht="14" x14ac:dyDescent="0.25">
      <c r="A175" s="1515"/>
      <c r="B175" s="609">
        <v>6</v>
      </c>
      <c r="C175" s="607">
        <f t="shared" ref="C175:H175" si="442">P40</f>
        <v>220</v>
      </c>
      <c r="D175" s="607">
        <f t="shared" ref="D175" si="443">Q40</f>
        <v>0.06</v>
      </c>
      <c r="E175" s="607">
        <f t="shared" ref="E175" si="444">R40</f>
        <v>7.0000000000000007E-2</v>
      </c>
      <c r="F175" s="607">
        <f t="shared" ref="F175" si="445">S40</f>
        <v>-0.13</v>
      </c>
      <c r="G175" s="607">
        <f t="shared" ref="G175" si="446">T40</f>
        <v>0.1</v>
      </c>
      <c r="H175" s="607">
        <f t="shared" si="442"/>
        <v>2.64</v>
      </c>
      <c r="I175" s="607"/>
      <c r="J175" s="607"/>
      <c r="K175" s="607">
        <v>6</v>
      </c>
      <c r="L175" s="607">
        <f t="shared" ref="L175:Q175" si="447">P48</f>
        <v>200</v>
      </c>
      <c r="M175" s="607">
        <f t="shared" ref="M175" si="448">Q48</f>
        <v>9.4</v>
      </c>
      <c r="N175" s="607">
        <f t="shared" ref="N175" si="449">R48</f>
        <v>14.4</v>
      </c>
      <c r="O175" s="607">
        <f t="shared" ref="O175" si="450">S48</f>
        <v>0.8</v>
      </c>
      <c r="P175" s="607">
        <f t="shared" ref="P175" si="451">T48</f>
        <v>6.8</v>
      </c>
      <c r="Q175" s="607">
        <f t="shared" si="447"/>
        <v>1.18</v>
      </c>
    </row>
    <row r="176" spans="1:17" ht="14" x14ac:dyDescent="0.25">
      <c r="A176" s="1515"/>
      <c r="B176" s="609">
        <v>7</v>
      </c>
      <c r="C176" s="607">
        <f t="shared" ref="C176:H176" si="452">B71</f>
        <v>220</v>
      </c>
      <c r="D176" s="607">
        <f t="shared" ref="D176" si="453">C71</f>
        <v>0.32</v>
      </c>
      <c r="E176" s="607">
        <f t="shared" ref="E176" si="454">D71</f>
        <v>0.57999999999999996</v>
      </c>
      <c r="F176" s="607">
        <f t="shared" ref="F176" si="455">E71</f>
        <v>0.37</v>
      </c>
      <c r="G176" s="607">
        <f t="shared" ref="G176" si="456">F71</f>
        <v>0.10499999999999998</v>
      </c>
      <c r="H176" s="607">
        <f t="shared" si="452"/>
        <v>2.64</v>
      </c>
      <c r="I176" s="607"/>
      <c r="J176" s="607"/>
      <c r="K176" s="607">
        <v>7</v>
      </c>
      <c r="L176" s="607">
        <f t="shared" ref="L176:Q176" si="457">B79</f>
        <v>200</v>
      </c>
      <c r="M176" s="607">
        <f t="shared" ref="M176" si="458">C79</f>
        <v>8.6</v>
      </c>
      <c r="N176" s="607">
        <f t="shared" ref="N176" si="459">D79</f>
        <v>1.5</v>
      </c>
      <c r="O176" s="607">
        <f t="shared" ref="O176" si="460">E79</f>
        <v>0.4</v>
      </c>
      <c r="P176" s="607">
        <f t="shared" ref="P176" si="461">F79</f>
        <v>0.55000000000000004</v>
      </c>
      <c r="Q176" s="607">
        <f t="shared" si="457"/>
        <v>1.18</v>
      </c>
    </row>
    <row r="177" spans="1:17" ht="14" x14ac:dyDescent="0.25">
      <c r="A177" s="1515"/>
      <c r="B177" s="609">
        <v>8</v>
      </c>
      <c r="C177" s="607">
        <f t="shared" ref="C177:H177" si="462">I71</f>
        <v>220</v>
      </c>
      <c r="D177" s="607">
        <f t="shared" ref="D177" si="463">J71</f>
        <v>-0.16</v>
      </c>
      <c r="E177" s="607">
        <f t="shared" ref="E177" si="464">K71</f>
        <v>-0.45</v>
      </c>
      <c r="F177" s="607">
        <f t="shared" ref="F177" si="465">L71</f>
        <v>0</v>
      </c>
      <c r="G177" s="607">
        <f t="shared" ref="G177" si="466">M71</f>
        <v>0.14500000000000002</v>
      </c>
      <c r="H177" s="607">
        <f t="shared" si="462"/>
        <v>2.64</v>
      </c>
      <c r="I177" s="607"/>
      <c r="J177" s="607"/>
      <c r="K177" s="607">
        <v>8</v>
      </c>
      <c r="L177" s="607">
        <f t="shared" ref="L177:Q177" si="467">I79</f>
        <v>200</v>
      </c>
      <c r="M177" s="607">
        <f t="shared" ref="M177" si="468">J79</f>
        <v>-8.1999999999999993</v>
      </c>
      <c r="N177" s="607">
        <f t="shared" ref="N177" si="469">K79</f>
        <v>3.7</v>
      </c>
      <c r="O177" s="607">
        <f t="shared" ref="O177" si="470">L79</f>
        <v>0</v>
      </c>
      <c r="P177" s="607">
        <f t="shared" ref="P177" si="471">M79</f>
        <v>5.9499999999999993</v>
      </c>
      <c r="Q177" s="607">
        <f t="shared" si="467"/>
        <v>1.18</v>
      </c>
    </row>
    <row r="178" spans="1:17" ht="14" x14ac:dyDescent="0.25">
      <c r="A178" s="1515"/>
      <c r="B178" s="609">
        <v>9</v>
      </c>
      <c r="C178" s="607">
        <f t="shared" ref="C178:H178" si="472">P71</f>
        <v>220</v>
      </c>
      <c r="D178" s="607">
        <f t="shared" ref="D178" si="473">Q71</f>
        <v>-0.28999999999999998</v>
      </c>
      <c r="E178" s="607">
        <f t="shared" ref="E178" si="474">R71</f>
        <v>-0.39</v>
      </c>
      <c r="F178" s="607">
        <f t="shared" ref="F178" si="475">S71</f>
        <v>0</v>
      </c>
      <c r="G178" s="607">
        <f t="shared" ref="G178" si="476">T71</f>
        <v>5.0000000000000017E-2</v>
      </c>
      <c r="H178" s="607">
        <f t="shared" si="472"/>
        <v>2.64</v>
      </c>
      <c r="I178" s="607"/>
      <c r="J178" s="607"/>
      <c r="K178" s="607">
        <v>9</v>
      </c>
      <c r="L178" s="607">
        <f t="shared" ref="L178:Q178" si="477">P79</f>
        <v>200</v>
      </c>
      <c r="M178" s="607">
        <f t="shared" ref="M178" si="478">Q79</f>
        <v>-0.2</v>
      </c>
      <c r="N178" s="607">
        <f t="shared" ref="N178" si="479">R79</f>
        <v>3.4</v>
      </c>
      <c r="O178" s="607">
        <f t="shared" ref="O178" si="480">S79</f>
        <v>0</v>
      </c>
      <c r="P178" s="607">
        <f t="shared" ref="P178" si="481">T79</f>
        <v>1.8</v>
      </c>
      <c r="Q178" s="607">
        <f t="shared" si="477"/>
        <v>1.18</v>
      </c>
    </row>
    <row r="179" spans="1:17" ht="14" x14ac:dyDescent="0.25">
      <c r="A179" s="1515"/>
      <c r="B179" s="609">
        <v>10</v>
      </c>
      <c r="C179" s="607">
        <f>B102</f>
        <v>220</v>
      </c>
      <c r="D179" s="607">
        <f t="shared" ref="D179:G179" si="482">C102</f>
        <v>9.9999999999999995E-7</v>
      </c>
      <c r="E179" s="607" t="str">
        <f t="shared" si="482"/>
        <v>-</v>
      </c>
      <c r="F179" s="607">
        <f t="shared" si="482"/>
        <v>0</v>
      </c>
      <c r="G179" s="607">
        <f t="shared" si="482"/>
        <v>0</v>
      </c>
      <c r="H179" s="607" t="str">
        <f>G102</f>
        <v>-</v>
      </c>
      <c r="I179" s="607"/>
      <c r="J179" s="607"/>
      <c r="K179" s="607">
        <v>10</v>
      </c>
      <c r="L179" s="607">
        <f t="shared" ref="L179:Q179" si="483">B110</f>
        <v>200</v>
      </c>
      <c r="M179" s="607">
        <f t="shared" ref="M179" si="484">C110</f>
        <v>0.4</v>
      </c>
      <c r="N179" s="607" t="str">
        <f t="shared" ref="N179" si="485">D110</f>
        <v>-</v>
      </c>
      <c r="O179" s="607">
        <f t="shared" ref="O179" si="486">E110</f>
        <v>0</v>
      </c>
      <c r="P179" s="607">
        <f t="shared" ref="P179" si="487">F110</f>
        <v>0</v>
      </c>
      <c r="Q179" s="607" t="str">
        <f t="shared" si="483"/>
        <v>-</v>
      </c>
    </row>
    <row r="180" spans="1:17" ht="14" x14ac:dyDescent="0.25">
      <c r="A180" s="1515"/>
      <c r="B180" s="609">
        <v>11</v>
      </c>
      <c r="C180" s="607">
        <f>I102</f>
        <v>220</v>
      </c>
      <c r="D180" s="607">
        <f t="shared" ref="D180:G180" si="488">J102</f>
        <v>9.9999999999999995E-7</v>
      </c>
      <c r="E180" s="607" t="str">
        <f t="shared" si="488"/>
        <v>-</v>
      </c>
      <c r="F180" s="607">
        <f t="shared" si="488"/>
        <v>0</v>
      </c>
      <c r="G180" s="607">
        <f t="shared" si="488"/>
        <v>0</v>
      </c>
      <c r="H180" s="607" t="str">
        <f>N102</f>
        <v>-</v>
      </c>
      <c r="I180" s="607"/>
      <c r="J180" s="607"/>
      <c r="K180" s="607">
        <v>11</v>
      </c>
      <c r="L180" s="607">
        <f t="shared" ref="L180:Q180" si="489">I110</f>
        <v>200</v>
      </c>
      <c r="M180" s="607">
        <f t="shared" ref="M180" si="490">J110</f>
        <v>9.9999999999999995E-7</v>
      </c>
      <c r="N180" s="607" t="str">
        <f t="shared" ref="N180" si="491">K110</f>
        <v>-</v>
      </c>
      <c r="O180" s="607">
        <f t="shared" ref="O180" si="492">L110</f>
        <v>0</v>
      </c>
      <c r="P180" s="607">
        <f t="shared" ref="P180" si="493">M110</f>
        <v>0</v>
      </c>
      <c r="Q180" s="607" t="str">
        <f t="shared" si="489"/>
        <v>-</v>
      </c>
    </row>
    <row r="181" spans="1:17" ht="14" x14ac:dyDescent="0.25">
      <c r="A181" s="1515"/>
      <c r="B181" s="609">
        <v>12</v>
      </c>
      <c r="C181" s="607">
        <f>P102</f>
        <v>220</v>
      </c>
      <c r="D181" s="607">
        <f t="shared" ref="D181:G181" si="494">Q102</f>
        <v>9.9999999999999995E-7</v>
      </c>
      <c r="E181" s="607" t="str">
        <f t="shared" si="494"/>
        <v>-</v>
      </c>
      <c r="F181" s="607">
        <f t="shared" si="494"/>
        <v>0</v>
      </c>
      <c r="G181" s="607">
        <f t="shared" si="494"/>
        <v>0</v>
      </c>
      <c r="H181" s="607" t="str">
        <f>U102</f>
        <v>-</v>
      </c>
      <c r="I181" s="607"/>
      <c r="J181" s="607"/>
      <c r="K181" s="607">
        <v>12</v>
      </c>
      <c r="L181" s="607">
        <f t="shared" ref="L181:Q181" si="495">P110</f>
        <v>200</v>
      </c>
      <c r="M181" s="607">
        <f t="shared" ref="M181" si="496">Q110</f>
        <v>9.9999999999999995E-7</v>
      </c>
      <c r="N181" s="607" t="str">
        <f t="shared" ref="N181" si="497">R110</f>
        <v>-</v>
      </c>
      <c r="O181" s="607">
        <f t="shared" ref="O181" si="498">S110</f>
        <v>0</v>
      </c>
      <c r="P181" s="607">
        <f t="shared" ref="P181" si="499">T110</f>
        <v>0</v>
      </c>
      <c r="Q181" s="607" t="str">
        <f t="shared" si="495"/>
        <v>-</v>
      </c>
    </row>
    <row r="182" spans="1:17" s="574" customFormat="1" ht="14" x14ac:dyDescent="0.25">
      <c r="A182" s="213"/>
      <c r="B182" s="213"/>
      <c r="C182" s="607"/>
      <c r="D182" s="607"/>
      <c r="E182" s="607"/>
      <c r="F182" s="607"/>
      <c r="G182" s="607"/>
      <c r="H182" s="607"/>
      <c r="I182" s="607"/>
      <c r="J182" s="607"/>
      <c r="K182" s="607"/>
      <c r="L182" s="607"/>
      <c r="M182" s="607"/>
      <c r="N182" s="607"/>
      <c r="O182" s="607"/>
      <c r="P182" s="607"/>
      <c r="Q182" s="607"/>
    </row>
    <row r="183" spans="1:17" ht="14" x14ac:dyDescent="0.25">
      <c r="A183" s="1515" t="s">
        <v>99</v>
      </c>
      <c r="B183" s="607">
        <v>1</v>
      </c>
      <c r="C183" s="607">
        <f t="shared" ref="C183:H183" si="500">B10</f>
        <v>230</v>
      </c>
      <c r="D183" s="607">
        <f t="shared" ref="D183" si="501">C10</f>
        <v>0.64</v>
      </c>
      <c r="E183" s="607">
        <f t="shared" ref="E183" si="502">D10</f>
        <v>-0.2</v>
      </c>
      <c r="F183" s="607">
        <f t="shared" ref="F183" si="503">E10</f>
        <v>-0.26</v>
      </c>
      <c r="G183" s="607">
        <f t="shared" ref="G183" si="504">F10</f>
        <v>0.45</v>
      </c>
      <c r="H183" s="607">
        <f t="shared" si="500"/>
        <v>2.7600000000000002</v>
      </c>
      <c r="I183" s="607"/>
      <c r="J183" s="607" t="s">
        <v>99</v>
      </c>
      <c r="K183" s="607">
        <v>1</v>
      </c>
      <c r="L183" s="607">
        <f t="shared" ref="L183:Q183" si="505">B18</f>
        <v>500</v>
      </c>
      <c r="M183" s="607">
        <f t="shared" ref="M183" si="506">C18</f>
        <v>-2</v>
      </c>
      <c r="N183" s="607">
        <f t="shared" ref="N183" si="507">D18</f>
        <v>3.8</v>
      </c>
      <c r="O183" s="607">
        <f t="shared" ref="O183" si="508">E18</f>
        <v>-0.9</v>
      </c>
      <c r="P183" s="607">
        <f t="shared" ref="P183" si="509">F18</f>
        <v>2.9</v>
      </c>
      <c r="Q183" s="607">
        <f t="shared" si="505"/>
        <v>2.9499999999999997</v>
      </c>
    </row>
    <row r="184" spans="1:17" ht="14" x14ac:dyDescent="0.25">
      <c r="A184" s="1515"/>
      <c r="B184" s="607">
        <v>2</v>
      </c>
      <c r="C184" s="607">
        <f t="shared" ref="C184:H184" si="510">I10</f>
        <v>230</v>
      </c>
      <c r="D184" s="607">
        <f t="shared" ref="D184" si="511">J10</f>
        <v>1.08</v>
      </c>
      <c r="E184" s="607">
        <f t="shared" ref="E184" si="512">K10</f>
        <v>9.9999999999999995E-7</v>
      </c>
      <c r="F184" s="607">
        <f t="shared" ref="F184" si="513">L10</f>
        <v>0.05</v>
      </c>
      <c r="G184" s="607">
        <f t="shared" ref="G184" si="514">M10</f>
        <v>2.4999500000000001E-2</v>
      </c>
      <c r="H184" s="607">
        <f t="shared" si="510"/>
        <v>2.7600000000000002</v>
      </c>
      <c r="I184" s="607"/>
      <c r="J184" s="607"/>
      <c r="K184" s="607">
        <v>2</v>
      </c>
      <c r="L184" s="607">
        <f t="shared" ref="L184:Q184" si="515">I18</f>
        <v>500</v>
      </c>
      <c r="M184" s="607">
        <f t="shared" ref="M184" si="516">J18</f>
        <v>-21.7</v>
      </c>
      <c r="N184" s="607">
        <f t="shared" ref="N184" si="517">K18</f>
        <v>0.8</v>
      </c>
      <c r="O184" s="607">
        <f t="shared" ref="O184" si="518">L18</f>
        <v>2</v>
      </c>
      <c r="P184" s="607">
        <f t="shared" ref="P184" si="519">M18</f>
        <v>0.6</v>
      </c>
      <c r="Q184" s="607">
        <f t="shared" si="515"/>
        <v>2.9499999999999997</v>
      </c>
    </row>
    <row r="185" spans="1:17" ht="14" x14ac:dyDescent="0.25">
      <c r="A185" s="1515"/>
      <c r="B185" s="608">
        <v>3</v>
      </c>
      <c r="C185" s="607">
        <f t="shared" ref="C185:H185" si="520">P10</f>
        <v>230</v>
      </c>
      <c r="D185" s="607">
        <f t="shared" ref="D185" si="521">Q10</f>
        <v>-11.79</v>
      </c>
      <c r="E185" s="607">
        <f t="shared" ref="E185" si="522">R10</f>
        <v>-2.52</v>
      </c>
      <c r="F185" s="607">
        <f t="shared" ref="F185" si="523">S10</f>
        <v>-0.23</v>
      </c>
      <c r="G185" s="607">
        <f t="shared" ref="G185" si="524">T10</f>
        <v>5.7799999999999994</v>
      </c>
      <c r="H185" s="607">
        <f t="shared" si="520"/>
        <v>2.7600000000000002</v>
      </c>
      <c r="I185" s="607"/>
      <c r="J185" s="607"/>
      <c r="K185" s="607">
        <v>3</v>
      </c>
      <c r="L185" s="607">
        <f t="shared" ref="L185:Q185" si="525">P18</f>
        <v>500</v>
      </c>
      <c r="M185" s="607">
        <f t="shared" ref="M185" si="526">Q18</f>
        <v>-18.8</v>
      </c>
      <c r="N185" s="607">
        <f t="shared" ref="N185" si="527">R18</f>
        <v>-1.1000000000000001</v>
      </c>
      <c r="O185" s="607">
        <f t="shared" ref="O185" si="528">S18</f>
        <v>2.9</v>
      </c>
      <c r="P185" s="607">
        <f t="shared" ref="P185" si="529">T18</f>
        <v>10.85</v>
      </c>
      <c r="Q185" s="607">
        <f t="shared" si="525"/>
        <v>2.9499999999999997</v>
      </c>
    </row>
    <row r="186" spans="1:17" ht="14" x14ac:dyDescent="0.25">
      <c r="A186" s="1515"/>
      <c r="B186" s="608">
        <v>4</v>
      </c>
      <c r="C186" s="607">
        <f t="shared" ref="C186:H186" si="530">B41</f>
        <v>230</v>
      </c>
      <c r="D186" s="607">
        <f t="shared" ref="D186" si="531">C41</f>
        <v>0.11</v>
      </c>
      <c r="E186" s="607">
        <f t="shared" ref="E186" si="532">D41</f>
        <v>-0.11</v>
      </c>
      <c r="F186" s="607">
        <f t="shared" ref="F186" si="533">E41</f>
        <v>1.1100000000000001</v>
      </c>
      <c r="G186" s="607">
        <f t="shared" ref="G186" si="534">F41</f>
        <v>0.6100000000000001</v>
      </c>
      <c r="H186" s="607">
        <f t="shared" si="530"/>
        <v>2.7600000000000002</v>
      </c>
      <c r="I186" s="607"/>
      <c r="J186" s="607"/>
      <c r="K186" s="607">
        <v>4</v>
      </c>
      <c r="L186" s="607">
        <f t="shared" ref="L186:Q186" si="535">B49</f>
        <v>500</v>
      </c>
      <c r="M186" s="607">
        <f t="shared" ref="M186" si="536">C49</f>
        <v>3.5</v>
      </c>
      <c r="N186" s="607">
        <f t="shared" ref="N186" si="537">D49</f>
        <v>0.2</v>
      </c>
      <c r="O186" s="607">
        <f t="shared" ref="O186" si="538">E49</f>
        <v>1.2</v>
      </c>
      <c r="P186" s="607">
        <f t="shared" ref="P186" si="539">F49</f>
        <v>0.5</v>
      </c>
      <c r="Q186" s="607">
        <f t="shared" si="535"/>
        <v>2.9499999999999997</v>
      </c>
    </row>
    <row r="187" spans="1:17" ht="14" x14ac:dyDescent="0.25">
      <c r="A187" s="1515"/>
      <c r="B187" s="609">
        <v>5</v>
      </c>
      <c r="C187" s="607">
        <f t="shared" ref="C187:H187" si="540">I41</f>
        <v>230</v>
      </c>
      <c r="D187" s="607">
        <f t="shared" ref="D187" si="541">J41</f>
        <v>-0.14000000000000001</v>
      </c>
      <c r="E187" s="607">
        <f t="shared" ref="E187" si="542">K41</f>
        <v>0.73</v>
      </c>
      <c r="F187" s="607">
        <f t="shared" ref="F187" si="543">L41</f>
        <v>-0.16</v>
      </c>
      <c r="G187" s="607">
        <f t="shared" ref="G187" si="544">M41</f>
        <v>0.44500000000000001</v>
      </c>
      <c r="H187" s="607">
        <f t="shared" si="540"/>
        <v>2.7600000000000002</v>
      </c>
      <c r="I187" s="607"/>
      <c r="J187" s="607"/>
      <c r="K187" s="607">
        <v>5</v>
      </c>
      <c r="L187" s="607">
        <f t="shared" ref="L187:Q187" si="545">I49</f>
        <v>500</v>
      </c>
      <c r="M187" s="607">
        <f t="shared" ref="M187" si="546">J49</f>
        <v>5.7</v>
      </c>
      <c r="N187" s="607">
        <f t="shared" ref="N187" si="547">K49</f>
        <v>0.7</v>
      </c>
      <c r="O187" s="607">
        <f t="shared" ref="O187" si="548">L49</f>
        <v>0.7</v>
      </c>
      <c r="P187" s="607">
        <f t="shared" ref="P187" si="549">M49</f>
        <v>2.5</v>
      </c>
      <c r="Q187" s="607">
        <f t="shared" si="545"/>
        <v>2.9499999999999997</v>
      </c>
    </row>
    <row r="188" spans="1:17" ht="14" x14ac:dyDescent="0.25">
      <c r="A188" s="1515"/>
      <c r="B188" s="609">
        <v>6</v>
      </c>
      <c r="C188" s="607">
        <f t="shared" ref="C188:H188" si="550">P41</f>
        <v>230</v>
      </c>
      <c r="D188" s="607">
        <f t="shared" ref="D188" si="551">Q41</f>
        <v>0.04</v>
      </c>
      <c r="E188" s="607">
        <f t="shared" ref="E188" si="552">R41</f>
        <v>0.08</v>
      </c>
      <c r="F188" s="607">
        <f t="shared" ref="F188" si="553">S41</f>
        <v>-0.15</v>
      </c>
      <c r="G188" s="607">
        <f t="shared" ref="G188" si="554">T41</f>
        <v>0.11499999999999999</v>
      </c>
      <c r="H188" s="607">
        <f t="shared" si="550"/>
        <v>2.7600000000000002</v>
      </c>
      <c r="I188" s="607"/>
      <c r="J188" s="607"/>
      <c r="K188" s="607">
        <v>6</v>
      </c>
      <c r="L188" s="607">
        <f t="shared" ref="L188:Q188" si="555">P49</f>
        <v>500</v>
      </c>
      <c r="M188" s="607">
        <f t="shared" ref="M188" si="556">Q49</f>
        <v>10.8</v>
      </c>
      <c r="N188" s="607">
        <f t="shared" ref="N188" si="557">R49</f>
        <v>6.2</v>
      </c>
      <c r="O188" s="607">
        <f t="shared" ref="O188" si="558">S49</f>
        <v>1.1000000000000001</v>
      </c>
      <c r="P188" s="607">
        <f t="shared" ref="P188" si="559">T49</f>
        <v>2.5499999999999998</v>
      </c>
      <c r="Q188" s="607">
        <f t="shared" si="555"/>
        <v>2.9499999999999997</v>
      </c>
    </row>
    <row r="189" spans="1:17" ht="14" x14ac:dyDescent="0.25">
      <c r="A189" s="1515"/>
      <c r="B189" s="609">
        <v>7</v>
      </c>
      <c r="C189" s="607">
        <f t="shared" ref="C189:H189" si="560">B72</f>
        <v>230</v>
      </c>
      <c r="D189" s="607">
        <f t="shared" ref="D189" si="561">C72</f>
        <v>0.38</v>
      </c>
      <c r="E189" s="607">
        <f t="shared" ref="E189" si="562">D72</f>
        <v>0.47</v>
      </c>
      <c r="F189" s="607">
        <f t="shared" ref="F189" si="563">E72</f>
        <v>0.47</v>
      </c>
      <c r="G189" s="607">
        <f t="shared" ref="G189" si="564">F72</f>
        <v>0</v>
      </c>
      <c r="H189" s="607">
        <f t="shared" si="560"/>
        <v>2.7600000000000002</v>
      </c>
      <c r="I189" s="607"/>
      <c r="J189" s="607"/>
      <c r="K189" s="607">
        <v>7</v>
      </c>
      <c r="L189" s="607">
        <f t="shared" ref="L189:Q189" si="565">B80</f>
        <v>500</v>
      </c>
      <c r="M189" s="607">
        <f t="shared" ref="M189" si="566">C80</f>
        <v>9.3000000000000007</v>
      </c>
      <c r="N189" s="607">
        <f t="shared" ref="N189" si="567">D80</f>
        <v>0.9</v>
      </c>
      <c r="O189" s="607">
        <f t="shared" ref="O189" si="568">E80</f>
        <v>3</v>
      </c>
      <c r="P189" s="607">
        <f t="shared" ref="P189" si="569">F80</f>
        <v>1.05</v>
      </c>
      <c r="Q189" s="607">
        <f t="shared" si="565"/>
        <v>2.9499999999999997</v>
      </c>
    </row>
    <row r="190" spans="1:17" ht="14" x14ac:dyDescent="0.25">
      <c r="A190" s="1515"/>
      <c r="B190" s="609">
        <v>8</v>
      </c>
      <c r="C190" s="607">
        <f t="shared" ref="C190:H190" si="570">I72</f>
        <v>230</v>
      </c>
      <c r="D190" s="607">
        <f t="shared" ref="D190" si="571">J72</f>
        <v>-0.15</v>
      </c>
      <c r="E190" s="607">
        <f t="shared" ref="E190" si="572">K72</f>
        <v>-0.54</v>
      </c>
      <c r="F190" s="607">
        <f t="shared" ref="F190" si="573">L72</f>
        <v>0</v>
      </c>
      <c r="G190" s="607">
        <f t="shared" ref="G190" si="574">M72</f>
        <v>0.19500000000000001</v>
      </c>
      <c r="H190" s="607">
        <f t="shared" si="570"/>
        <v>2.7600000000000002</v>
      </c>
      <c r="I190" s="607"/>
      <c r="J190" s="607"/>
      <c r="K190" s="607">
        <v>8</v>
      </c>
      <c r="L190" s="607">
        <f t="shared" ref="L190:Q190" si="575">I80</f>
        <v>500</v>
      </c>
      <c r="M190" s="607">
        <f t="shared" ref="M190" si="576">J80</f>
        <v>-31.8</v>
      </c>
      <c r="N190" s="607">
        <f t="shared" ref="N190" si="577">K80</f>
        <v>8.3000000000000007</v>
      </c>
      <c r="O190" s="607">
        <f t="shared" ref="O190" si="578">L80</f>
        <v>0</v>
      </c>
      <c r="P190" s="607">
        <f t="shared" ref="P190" si="579">M80</f>
        <v>20.05</v>
      </c>
      <c r="Q190" s="607">
        <f t="shared" si="575"/>
        <v>2.9499999999999997</v>
      </c>
    </row>
    <row r="191" spans="1:17" ht="14" x14ac:dyDescent="0.25">
      <c r="A191" s="1515"/>
      <c r="B191" s="609">
        <v>9</v>
      </c>
      <c r="C191" s="607">
        <f t="shared" ref="C191:H191" si="580">P72</f>
        <v>230</v>
      </c>
      <c r="D191" s="607">
        <f t="shared" ref="D191" si="581">Q72</f>
        <v>-0.34</v>
      </c>
      <c r="E191" s="607">
        <f t="shared" ref="E191" si="582">R72</f>
        <v>-0.39</v>
      </c>
      <c r="F191" s="607">
        <f t="shared" ref="F191" si="583">S72</f>
        <v>0</v>
      </c>
      <c r="G191" s="607">
        <f t="shared" ref="G191" si="584">T72</f>
        <v>2.4999999999999994E-2</v>
      </c>
      <c r="H191" s="607">
        <f t="shared" si="580"/>
        <v>2.7600000000000002</v>
      </c>
      <c r="I191" s="607"/>
      <c r="J191" s="607"/>
      <c r="K191" s="607">
        <v>9</v>
      </c>
      <c r="L191" s="607">
        <f t="shared" ref="L191:Q191" si="585">P80</f>
        <v>500</v>
      </c>
      <c r="M191" s="607">
        <f t="shared" ref="M191" si="586">Q80</f>
        <v>-25.1</v>
      </c>
      <c r="N191" s="607">
        <f t="shared" ref="N191" si="587">R80</f>
        <v>7.2</v>
      </c>
      <c r="O191" s="607">
        <f t="shared" ref="O191" si="588">S80</f>
        <v>0</v>
      </c>
      <c r="P191" s="607">
        <f t="shared" ref="P191" si="589">T80</f>
        <v>16.150000000000002</v>
      </c>
      <c r="Q191" s="607">
        <f t="shared" si="585"/>
        <v>2.9499999999999997</v>
      </c>
    </row>
    <row r="192" spans="1:17" ht="14" x14ac:dyDescent="0.25">
      <c r="A192" s="1515"/>
      <c r="B192" s="609">
        <v>10</v>
      </c>
      <c r="C192" s="607">
        <f>B103</f>
        <v>230</v>
      </c>
      <c r="D192" s="607">
        <f t="shared" ref="D192:G192" si="590">C103</f>
        <v>-0.11</v>
      </c>
      <c r="E192" s="607" t="str">
        <f t="shared" si="590"/>
        <v>-</v>
      </c>
      <c r="F192" s="607">
        <f t="shared" si="590"/>
        <v>0</v>
      </c>
      <c r="G192" s="607">
        <f t="shared" si="590"/>
        <v>0</v>
      </c>
      <c r="H192" s="607" t="str">
        <f>G103</f>
        <v>-</v>
      </c>
      <c r="I192" s="607"/>
      <c r="J192" s="607"/>
      <c r="K192" s="607">
        <v>10</v>
      </c>
      <c r="L192" s="607">
        <f t="shared" ref="L192:Q192" si="591">B111</f>
        <v>500</v>
      </c>
      <c r="M192" s="607">
        <f t="shared" ref="M192" si="592">C111</f>
        <v>1.5</v>
      </c>
      <c r="N192" s="607" t="str">
        <f t="shared" ref="N192" si="593">D111</f>
        <v>-</v>
      </c>
      <c r="O192" s="607">
        <f t="shared" ref="O192" si="594">E111</f>
        <v>0</v>
      </c>
      <c r="P192" s="607">
        <f t="shared" ref="P192" si="595">F111</f>
        <v>0</v>
      </c>
      <c r="Q192" s="607" t="str">
        <f t="shared" si="591"/>
        <v>-</v>
      </c>
    </row>
    <row r="193" spans="1:17" ht="14" x14ac:dyDescent="0.25">
      <c r="A193" s="1515"/>
      <c r="B193" s="609">
        <v>11</v>
      </c>
      <c r="C193" s="607">
        <f>I103</f>
        <v>230</v>
      </c>
      <c r="D193" s="607">
        <f t="shared" ref="D193:G193" si="596">J103</f>
        <v>9.9999999999999995E-7</v>
      </c>
      <c r="E193" s="607" t="str">
        <f t="shared" si="596"/>
        <v>-</v>
      </c>
      <c r="F193" s="607">
        <f t="shared" si="596"/>
        <v>0</v>
      </c>
      <c r="G193" s="607">
        <f t="shared" si="596"/>
        <v>0</v>
      </c>
      <c r="H193" s="607" t="str">
        <f>N103</f>
        <v>-</v>
      </c>
      <c r="I193" s="607"/>
      <c r="J193" s="607"/>
      <c r="K193" s="607">
        <v>11</v>
      </c>
      <c r="L193" s="607">
        <f t="shared" ref="L193:Q193" si="597">I111</f>
        <v>500</v>
      </c>
      <c r="M193" s="607">
        <f t="shared" ref="M193" si="598">J111</f>
        <v>9.9999999999999995E-7</v>
      </c>
      <c r="N193" s="607" t="str">
        <f t="shared" ref="N193" si="599">K111</f>
        <v>-</v>
      </c>
      <c r="O193" s="607">
        <f t="shared" ref="O193" si="600">L111</f>
        <v>0</v>
      </c>
      <c r="P193" s="607">
        <f t="shared" ref="P193" si="601">M111</f>
        <v>0</v>
      </c>
      <c r="Q193" s="607" t="str">
        <f t="shared" si="597"/>
        <v>-</v>
      </c>
    </row>
    <row r="194" spans="1:17" ht="14" x14ac:dyDescent="0.25">
      <c r="A194" s="1515"/>
      <c r="B194" s="609">
        <v>12</v>
      </c>
      <c r="C194" s="607">
        <f>P103</f>
        <v>230</v>
      </c>
      <c r="D194" s="607">
        <f t="shared" ref="D194:G194" si="602">Q103</f>
        <v>9.9999999999999995E-7</v>
      </c>
      <c r="E194" s="607" t="str">
        <f t="shared" si="602"/>
        <v>-</v>
      </c>
      <c r="F194" s="607">
        <f t="shared" si="602"/>
        <v>0</v>
      </c>
      <c r="G194" s="607">
        <f t="shared" si="602"/>
        <v>0</v>
      </c>
      <c r="H194" s="607" t="str">
        <f>U103</f>
        <v>-</v>
      </c>
      <c r="I194" s="607"/>
      <c r="J194" s="607"/>
      <c r="K194" s="607">
        <v>12</v>
      </c>
      <c r="L194" s="607">
        <f t="shared" ref="L194:Q194" si="603">P111</f>
        <v>500</v>
      </c>
      <c r="M194" s="607">
        <f t="shared" ref="M194" si="604">Q111</f>
        <v>9.9999999999999995E-7</v>
      </c>
      <c r="N194" s="607" t="str">
        <f t="shared" ref="N194" si="605">R111</f>
        <v>-</v>
      </c>
      <c r="O194" s="607">
        <f t="shared" ref="O194" si="606">S111</f>
        <v>0</v>
      </c>
      <c r="P194" s="607">
        <f t="shared" ref="P194" si="607">T111</f>
        <v>0</v>
      </c>
      <c r="Q194" s="607" t="str">
        <f t="shared" si="603"/>
        <v>-</v>
      </c>
    </row>
    <row r="195" spans="1:17" s="574" customFormat="1" ht="14" x14ac:dyDescent="0.25">
      <c r="A195" s="213"/>
      <c r="B195" s="213"/>
      <c r="C195" s="607"/>
      <c r="D195" s="607"/>
      <c r="E195" s="607"/>
      <c r="F195" s="607"/>
      <c r="G195" s="607"/>
      <c r="H195" s="607"/>
      <c r="I195" s="607"/>
      <c r="J195" s="607"/>
      <c r="K195" s="607"/>
      <c r="L195" s="607"/>
      <c r="M195" s="607"/>
      <c r="N195" s="607"/>
      <c r="O195" s="607"/>
      <c r="P195" s="607"/>
      <c r="Q195" s="607"/>
    </row>
    <row r="196" spans="1:17" ht="14" x14ac:dyDescent="0.25">
      <c r="A196" s="1515" t="s">
        <v>100</v>
      </c>
      <c r="B196" s="607">
        <v>1</v>
      </c>
      <c r="C196" s="607">
        <f t="shared" ref="C196:H196" si="608">B11</f>
        <v>250</v>
      </c>
      <c r="D196" s="607">
        <f t="shared" ref="D196" si="609">C11</f>
        <v>-0.36</v>
      </c>
      <c r="E196" s="607">
        <f t="shared" ref="E196" si="610">D11</f>
        <v>-0.32</v>
      </c>
      <c r="F196" s="607">
        <f t="shared" ref="F196" si="611">E11</f>
        <v>9.9999999999999995E-7</v>
      </c>
      <c r="G196" s="607">
        <f t="shared" ref="G196" si="612">F11</f>
        <v>0.18000049999999998</v>
      </c>
      <c r="H196" s="607">
        <f t="shared" si="608"/>
        <v>3</v>
      </c>
      <c r="I196" s="607"/>
      <c r="J196" s="607" t="s">
        <v>100</v>
      </c>
      <c r="K196" s="607">
        <v>1</v>
      </c>
      <c r="L196" s="607">
        <f t="shared" ref="L196:Q196" si="613">B19</f>
        <v>1000</v>
      </c>
      <c r="M196" s="607">
        <f t="shared" ref="M196" si="614">C19</f>
        <v>-26</v>
      </c>
      <c r="N196" s="607">
        <f t="shared" ref="N196" si="615">D19</f>
        <v>9.9999999999999995E-7</v>
      </c>
      <c r="O196" s="607">
        <f t="shared" ref="O196" si="616">E19</f>
        <v>9.9999999999999995E-7</v>
      </c>
      <c r="P196" s="607">
        <f t="shared" ref="P196" si="617">F19</f>
        <v>13.000000500000001</v>
      </c>
      <c r="Q196" s="607">
        <f t="shared" si="613"/>
        <v>5.8999999999999995</v>
      </c>
    </row>
    <row r="197" spans="1:17" ht="14" x14ac:dyDescent="0.25">
      <c r="A197" s="1515"/>
      <c r="B197" s="607">
        <v>2</v>
      </c>
      <c r="C197" s="607">
        <f t="shared" ref="C197:H197" si="618">I11</f>
        <v>250</v>
      </c>
      <c r="D197" s="607">
        <f t="shared" ref="D197" si="619">J11</f>
        <v>-0.01</v>
      </c>
      <c r="E197" s="607">
        <f t="shared" ref="E197" si="620">K11</f>
        <v>9.9999999999999995E-7</v>
      </c>
      <c r="F197" s="607">
        <f t="shared" ref="F197" si="621">L11</f>
        <v>9.9999999999999995E-7</v>
      </c>
      <c r="G197" s="607">
        <f t="shared" ref="G197" si="622">M11</f>
        <v>0</v>
      </c>
      <c r="H197" s="607">
        <f t="shared" si="618"/>
        <v>2.76</v>
      </c>
      <c r="I197" s="607"/>
      <c r="J197" s="607"/>
      <c r="K197" s="607">
        <v>2</v>
      </c>
      <c r="L197" s="607">
        <f t="shared" ref="L197:Q197" si="623">I19</f>
        <v>1000</v>
      </c>
      <c r="M197" s="607">
        <f t="shared" ref="M197" si="624">J19</f>
        <v>-6.7000000000000004E-2</v>
      </c>
      <c r="N197" s="607">
        <f t="shared" ref="N197" si="625">K19</f>
        <v>9.9999999999999995E-7</v>
      </c>
      <c r="O197" s="607">
        <f t="shared" ref="O197" si="626">L19</f>
        <v>9.9999999999999995E-7</v>
      </c>
      <c r="P197" s="607">
        <f t="shared" ref="P197" si="627">M19</f>
        <v>0</v>
      </c>
      <c r="Q197" s="607">
        <f t="shared" si="623"/>
        <v>5.8999999999999995</v>
      </c>
    </row>
    <row r="198" spans="1:17" ht="14" x14ac:dyDescent="0.25">
      <c r="A198" s="1515"/>
      <c r="B198" s="608">
        <v>3</v>
      </c>
      <c r="C198" s="607">
        <f t="shared" ref="C198:H198" si="628">P11</f>
        <v>250</v>
      </c>
      <c r="D198" s="607">
        <f t="shared" ref="D198" si="629">Q11</f>
        <v>9.9999999999999995E-7</v>
      </c>
      <c r="E198" s="607">
        <f t="shared" ref="E198" si="630">R11</f>
        <v>9.9999999999999995E-7</v>
      </c>
      <c r="F198" s="607">
        <f t="shared" ref="F198" si="631">S11</f>
        <v>9.9999999999999995E-7</v>
      </c>
      <c r="G198" s="607">
        <f t="shared" ref="G198" si="632">T11</f>
        <v>0</v>
      </c>
      <c r="H198" s="607">
        <f t="shared" si="628"/>
        <v>3</v>
      </c>
      <c r="I198" s="607"/>
      <c r="J198" s="607"/>
      <c r="K198" s="607">
        <v>3</v>
      </c>
      <c r="L198" s="607">
        <f t="shared" ref="L198:Q198" si="633">P19</f>
        <v>1000</v>
      </c>
      <c r="M198" s="607">
        <f t="shared" ref="M198" si="634">Q19</f>
        <v>-47</v>
      </c>
      <c r="N198" s="607">
        <f t="shared" ref="N198" si="635">R19</f>
        <v>3</v>
      </c>
      <c r="O198" s="607">
        <f t="shared" ref="O198" si="636">S19</f>
        <v>3</v>
      </c>
      <c r="P198" s="607">
        <f t="shared" ref="P198" si="637">T19</f>
        <v>25</v>
      </c>
      <c r="Q198" s="607">
        <f t="shared" si="633"/>
        <v>5.8999999999999995</v>
      </c>
    </row>
    <row r="199" spans="1:17" ht="14" x14ac:dyDescent="0.25">
      <c r="A199" s="1515"/>
      <c r="B199" s="608">
        <v>4</v>
      </c>
      <c r="C199" s="607">
        <f t="shared" ref="C199:H199" si="638">B42</f>
        <v>250</v>
      </c>
      <c r="D199" s="607">
        <f t="shared" ref="D199" si="639">C42</f>
        <v>0</v>
      </c>
      <c r="E199" s="607">
        <f t="shared" ref="E199" si="640">D42</f>
        <v>9.9999999999999995E-7</v>
      </c>
      <c r="F199" s="607">
        <f t="shared" ref="F199" si="641">E42</f>
        <v>9.9999999999999995E-7</v>
      </c>
      <c r="G199" s="607">
        <f t="shared" ref="G199" si="642">F42</f>
        <v>0</v>
      </c>
      <c r="H199" s="607">
        <f t="shared" si="638"/>
        <v>3</v>
      </c>
      <c r="I199" s="607"/>
      <c r="J199" s="607"/>
      <c r="K199" s="607">
        <v>4</v>
      </c>
      <c r="L199" s="607">
        <f t="shared" ref="L199:Q199" si="643">B50</f>
        <v>1000</v>
      </c>
      <c r="M199" s="607">
        <f t="shared" ref="M199" si="644">C50</f>
        <v>-1</v>
      </c>
      <c r="N199" s="607">
        <f t="shared" ref="N199" si="645">D50</f>
        <v>2</v>
      </c>
      <c r="O199" s="607">
        <f t="shared" ref="O199" si="646">E50</f>
        <v>2</v>
      </c>
      <c r="P199" s="607">
        <f t="shared" ref="P199" si="647">F50</f>
        <v>0</v>
      </c>
      <c r="Q199" s="607">
        <f t="shared" si="643"/>
        <v>5.8999999999999995</v>
      </c>
    </row>
    <row r="200" spans="1:17" ht="14" x14ac:dyDescent="0.25">
      <c r="A200" s="1515"/>
      <c r="B200" s="609">
        <v>5</v>
      </c>
      <c r="C200" s="607">
        <f t="shared" ref="C200:H200" si="648">I42</f>
        <v>240</v>
      </c>
      <c r="D200" s="607">
        <f t="shared" ref="D200" si="649">J42</f>
        <v>-0.31</v>
      </c>
      <c r="E200" s="607">
        <f t="shared" ref="E200" si="650">K42</f>
        <v>9.9999999999999995E-7</v>
      </c>
      <c r="F200" s="607">
        <f t="shared" ref="F200" si="651">L42</f>
        <v>9.9999999999999995E-7</v>
      </c>
      <c r="G200" s="607">
        <f t="shared" ref="G200" si="652">M42</f>
        <v>0.15500049999999999</v>
      </c>
      <c r="H200" s="607">
        <f t="shared" si="648"/>
        <v>2.88</v>
      </c>
      <c r="I200" s="607"/>
      <c r="J200" s="607"/>
      <c r="K200" s="607">
        <v>5</v>
      </c>
      <c r="L200" s="607">
        <f t="shared" ref="L200:Q200" si="653">I50</f>
        <v>1000</v>
      </c>
      <c r="M200" s="607">
        <f t="shared" ref="M200" si="654">J50</f>
        <v>-88</v>
      </c>
      <c r="N200" s="607">
        <f t="shared" ref="N200" si="655">K50</f>
        <v>9.9999999999999995E-7</v>
      </c>
      <c r="O200" s="607">
        <f t="shared" ref="O200" si="656">L50</f>
        <v>9.9999999999999995E-7</v>
      </c>
      <c r="P200" s="607">
        <f t="shared" ref="P200" si="657">M50</f>
        <v>44.000000499999999</v>
      </c>
      <c r="Q200" s="607">
        <f t="shared" si="653"/>
        <v>5.8999999999999995</v>
      </c>
    </row>
    <row r="201" spans="1:17" ht="14" x14ac:dyDescent="0.25">
      <c r="A201" s="1515"/>
      <c r="B201" s="609">
        <v>6</v>
      </c>
      <c r="C201" s="607">
        <f t="shared" ref="C201:H201" si="658">P42</f>
        <v>250</v>
      </c>
      <c r="D201" s="607">
        <f t="shared" ref="D201" si="659">Q42</f>
        <v>0</v>
      </c>
      <c r="E201" s="607">
        <f t="shared" ref="E201" si="660">R42</f>
        <v>0</v>
      </c>
      <c r="F201" s="607">
        <f t="shared" ref="F201" si="661">S42</f>
        <v>9.9999999999999995E-7</v>
      </c>
      <c r="G201" s="607">
        <f t="shared" ref="G201" si="662">T42</f>
        <v>4.9999999999999998E-7</v>
      </c>
      <c r="H201" s="607">
        <f t="shared" si="658"/>
        <v>0</v>
      </c>
      <c r="I201" s="607"/>
      <c r="J201" s="607"/>
      <c r="K201" s="607">
        <v>6</v>
      </c>
      <c r="L201" s="607">
        <f t="shared" ref="L201:Q201" si="663">P50</f>
        <v>1000</v>
      </c>
      <c r="M201" s="607">
        <f t="shared" ref="M201" si="664">Q50</f>
        <v>-88</v>
      </c>
      <c r="N201" s="607">
        <f t="shared" ref="N201" si="665">R50</f>
        <v>0</v>
      </c>
      <c r="O201" s="607">
        <f t="shared" ref="O201" si="666">S50</f>
        <v>9.9999999999999995E-7</v>
      </c>
      <c r="P201" s="607">
        <f t="shared" ref="P201" si="667">T50</f>
        <v>4.9999999999999998E-7</v>
      </c>
      <c r="Q201" s="607">
        <f t="shared" si="663"/>
        <v>5.8999999999999995</v>
      </c>
    </row>
    <row r="202" spans="1:17" ht="14" x14ac:dyDescent="0.25">
      <c r="A202" s="1515"/>
      <c r="B202" s="609">
        <v>7</v>
      </c>
      <c r="C202" s="607">
        <f t="shared" ref="C202:H202" si="668">B73</f>
        <v>240</v>
      </c>
      <c r="D202" s="607">
        <f t="shared" ref="D202" si="669">C73</f>
        <v>0.44</v>
      </c>
      <c r="E202" s="607">
        <f t="shared" ref="E202" si="670">D73</f>
        <v>0</v>
      </c>
      <c r="F202" s="607">
        <f t="shared" ref="F202" si="671">E73</f>
        <v>0.38</v>
      </c>
      <c r="G202" s="607">
        <f t="shared" ref="G202" si="672">F73</f>
        <v>0.19</v>
      </c>
      <c r="H202" s="607">
        <f t="shared" si="668"/>
        <v>2.88</v>
      </c>
      <c r="I202" s="607"/>
      <c r="J202" s="607"/>
      <c r="K202" s="607">
        <v>7</v>
      </c>
      <c r="L202" s="607">
        <f t="shared" ref="L202:Q202" si="673">B81</f>
        <v>1000</v>
      </c>
      <c r="M202" s="607">
        <f t="shared" ref="M202" si="674">C81</f>
        <v>-88</v>
      </c>
      <c r="N202" s="607">
        <f t="shared" ref="N202" si="675">D81</f>
        <v>0</v>
      </c>
      <c r="O202" s="607">
        <f t="shared" ref="O202" si="676">E81</f>
        <v>9.9999999999999995E-7</v>
      </c>
      <c r="P202" s="607">
        <f t="shared" ref="P202" si="677">F81</f>
        <v>4.9999999999999998E-7</v>
      </c>
      <c r="Q202" s="607">
        <f t="shared" si="673"/>
        <v>5.8999999999999995</v>
      </c>
    </row>
    <row r="203" spans="1:17" ht="14" x14ac:dyDescent="0.25">
      <c r="A203" s="1515"/>
      <c r="B203" s="609">
        <v>8</v>
      </c>
      <c r="C203" s="607">
        <f t="shared" ref="C203:H203" si="678">I73</f>
        <v>250</v>
      </c>
      <c r="D203" s="607">
        <f t="shared" ref="D203" si="679">J73</f>
        <v>9.9999999999999995E-7</v>
      </c>
      <c r="E203" s="607">
        <f t="shared" ref="E203" si="680">K73</f>
        <v>-0.49</v>
      </c>
      <c r="F203" s="607">
        <f t="shared" ref="F203" si="681">L73</f>
        <v>0</v>
      </c>
      <c r="G203" s="607">
        <f t="shared" ref="G203" si="682">M73</f>
        <v>0.24500049999999998</v>
      </c>
      <c r="H203" s="607">
        <f t="shared" si="678"/>
        <v>3</v>
      </c>
      <c r="I203" s="607"/>
      <c r="J203" s="607"/>
      <c r="K203" s="607">
        <v>8</v>
      </c>
      <c r="L203" s="607">
        <f t="shared" ref="L203:Q203" si="683">I81</f>
        <v>1000</v>
      </c>
      <c r="M203" s="607">
        <f t="shared" ref="M203" si="684">J81</f>
        <v>-74</v>
      </c>
      <c r="N203" s="607">
        <f t="shared" ref="N203" si="685">K81</f>
        <v>9.9999999999999995E-7</v>
      </c>
      <c r="O203" s="607">
        <f t="shared" ref="O203" si="686">L81</f>
        <v>0</v>
      </c>
      <c r="P203" s="607">
        <f t="shared" ref="P203" si="687">M81</f>
        <v>37.000000499999999</v>
      </c>
      <c r="Q203" s="607">
        <f t="shared" si="683"/>
        <v>5.8999999999999995</v>
      </c>
    </row>
    <row r="204" spans="1:17" ht="14" x14ac:dyDescent="0.25">
      <c r="A204" s="1515"/>
      <c r="B204" s="609">
        <v>9</v>
      </c>
      <c r="C204" s="607">
        <f t="shared" ref="C204:H204" si="688">P73</f>
        <v>250</v>
      </c>
      <c r="D204" s="607">
        <f t="shared" ref="D204" si="689">Q73</f>
        <v>0</v>
      </c>
      <c r="E204" s="607">
        <f t="shared" ref="E204" si="690">R73</f>
        <v>-0.39</v>
      </c>
      <c r="F204" s="607">
        <f t="shared" ref="F204" si="691">S73</f>
        <v>0</v>
      </c>
      <c r="G204" s="607">
        <f t="shared" ref="G204" si="692">T73</f>
        <v>0.19500000000000001</v>
      </c>
      <c r="H204" s="607">
        <f t="shared" si="688"/>
        <v>3</v>
      </c>
      <c r="I204" s="607"/>
      <c r="J204" s="607"/>
      <c r="K204" s="607">
        <v>9</v>
      </c>
      <c r="L204" s="607">
        <f t="shared" ref="L204:Q204" si="693">P81</f>
        <v>1000</v>
      </c>
      <c r="M204" s="607">
        <f t="shared" ref="M204" si="694">Q81</f>
        <v>-6.6000000000000003E-2</v>
      </c>
      <c r="N204" s="607">
        <f t="shared" ref="N204" si="695">R81</f>
        <v>9.9999999999999995E-7</v>
      </c>
      <c r="O204" s="607">
        <f t="shared" ref="O204" si="696">S81</f>
        <v>0</v>
      </c>
      <c r="P204" s="607">
        <f t="shared" ref="P204" si="697">T81</f>
        <v>3.3000500000000002E-2</v>
      </c>
      <c r="Q204" s="607">
        <f t="shared" si="693"/>
        <v>2.99</v>
      </c>
    </row>
    <row r="205" spans="1:17" ht="14" x14ac:dyDescent="0.25">
      <c r="A205" s="1515"/>
      <c r="B205" s="609">
        <v>10</v>
      </c>
      <c r="C205" s="607">
        <f>B104</f>
        <v>250</v>
      </c>
      <c r="D205" s="607">
        <f t="shared" ref="D205:G205" si="698">C104</f>
        <v>-0.11</v>
      </c>
      <c r="E205" s="607" t="str">
        <f t="shared" si="698"/>
        <v>-</v>
      </c>
      <c r="F205" s="607">
        <f t="shared" si="698"/>
        <v>0</v>
      </c>
      <c r="G205" s="607">
        <f t="shared" si="698"/>
        <v>0</v>
      </c>
      <c r="H205" s="607" t="str">
        <f>G104</f>
        <v>-</v>
      </c>
      <c r="I205" s="607"/>
      <c r="J205" s="607"/>
      <c r="K205" s="607">
        <v>10</v>
      </c>
      <c r="L205" s="607">
        <f t="shared" ref="L205:Q205" si="699">B112</f>
        <v>1000</v>
      </c>
      <c r="M205" s="607">
        <f t="shared" ref="M205" si="700">C112</f>
        <v>2</v>
      </c>
      <c r="N205" s="607" t="str">
        <f t="shared" ref="N205" si="701">D112</f>
        <v>-</v>
      </c>
      <c r="O205" s="607">
        <f t="shared" ref="O205" si="702">E112</f>
        <v>0</v>
      </c>
      <c r="P205" s="607">
        <f t="shared" ref="P205" si="703">F112</f>
        <v>0</v>
      </c>
      <c r="Q205" s="607" t="str">
        <f t="shared" si="699"/>
        <v>-</v>
      </c>
    </row>
    <row r="206" spans="1:17" ht="14" x14ac:dyDescent="0.25">
      <c r="A206" s="1515"/>
      <c r="B206" s="609">
        <v>11</v>
      </c>
      <c r="C206" s="607">
        <f>I104</f>
        <v>250</v>
      </c>
      <c r="D206" s="607">
        <f t="shared" ref="D206:G206" si="704">J104</f>
        <v>9.9999999999999995E-7</v>
      </c>
      <c r="E206" s="607" t="str">
        <f t="shared" si="704"/>
        <v>-</v>
      </c>
      <c r="F206" s="607">
        <f t="shared" si="704"/>
        <v>0</v>
      </c>
      <c r="G206" s="607">
        <f t="shared" si="704"/>
        <v>0</v>
      </c>
      <c r="H206" s="607" t="str">
        <f>N104</f>
        <v>-</v>
      </c>
      <c r="I206" s="607"/>
      <c r="J206" s="607"/>
      <c r="K206" s="607">
        <v>11</v>
      </c>
      <c r="L206" s="607">
        <f t="shared" ref="L206:Q206" si="705">I112</f>
        <v>1000</v>
      </c>
      <c r="M206" s="607">
        <f t="shared" ref="M206" si="706">J112</f>
        <v>9.9999999999999995E-7</v>
      </c>
      <c r="N206" s="607" t="str">
        <f t="shared" ref="N206" si="707">K112</f>
        <v>-</v>
      </c>
      <c r="O206" s="607">
        <f t="shared" ref="O206" si="708">L112</f>
        <v>0</v>
      </c>
      <c r="P206" s="607">
        <f t="shared" ref="P206" si="709">M112</f>
        <v>0</v>
      </c>
      <c r="Q206" s="607" t="str">
        <f t="shared" si="705"/>
        <v>-</v>
      </c>
    </row>
    <row r="207" spans="1:17" ht="14" x14ac:dyDescent="0.25">
      <c r="A207" s="1515"/>
      <c r="B207" s="609">
        <v>12</v>
      </c>
      <c r="C207" s="607">
        <f>P104</f>
        <v>250</v>
      </c>
      <c r="D207" s="607">
        <f t="shared" ref="D207:G207" si="710">Q104</f>
        <v>9.9999999999999995E-7</v>
      </c>
      <c r="E207" s="607" t="str">
        <f t="shared" si="710"/>
        <v>-</v>
      </c>
      <c r="F207" s="607">
        <f t="shared" si="710"/>
        <v>0</v>
      </c>
      <c r="G207" s="607">
        <f t="shared" si="710"/>
        <v>0</v>
      </c>
      <c r="H207" s="607" t="str">
        <f>U104</f>
        <v>-</v>
      </c>
      <c r="I207" s="607"/>
      <c r="J207" s="607"/>
      <c r="K207" s="607">
        <v>12</v>
      </c>
      <c r="L207" s="607">
        <f t="shared" ref="L207:Q207" si="711">P112</f>
        <v>1000</v>
      </c>
      <c r="M207" s="607">
        <f t="shared" ref="M207" si="712">Q112</f>
        <v>9.9999999999999995E-7</v>
      </c>
      <c r="N207" s="607" t="str">
        <f t="shared" ref="N207" si="713">R112</f>
        <v>-</v>
      </c>
      <c r="O207" s="607">
        <f t="shared" ref="O207" si="714">S112</f>
        <v>0</v>
      </c>
      <c r="P207" s="607">
        <f t="shared" ref="P207" si="715">T112</f>
        <v>0</v>
      </c>
      <c r="Q207" s="607" t="str">
        <f t="shared" si="711"/>
        <v>-</v>
      </c>
    </row>
    <row r="208" spans="1:17" ht="14" x14ac:dyDescent="0.25">
      <c r="A208" s="611"/>
      <c r="B208" s="593"/>
      <c r="C208" s="607"/>
      <c r="D208" s="607"/>
      <c r="E208" s="607"/>
      <c r="F208" s="607"/>
      <c r="G208" s="607"/>
      <c r="H208" s="607"/>
      <c r="I208" s="607"/>
      <c r="J208" s="607"/>
      <c r="K208" s="607"/>
      <c r="L208" s="607"/>
      <c r="M208" s="607"/>
      <c r="N208" s="607"/>
      <c r="O208" s="607"/>
      <c r="P208" s="607"/>
      <c r="Q208" s="607"/>
    </row>
    <row r="209" spans="1:17" ht="14" customHeight="1" x14ac:dyDescent="0.25">
      <c r="A209" s="1517" t="s">
        <v>410</v>
      </c>
      <c r="B209" s="1518"/>
      <c r="C209" s="607" t="s">
        <v>386</v>
      </c>
      <c r="D209" s="607"/>
      <c r="E209" s="607"/>
      <c r="F209" s="607"/>
      <c r="G209" s="607"/>
      <c r="H209" s="607"/>
      <c r="I209" s="607"/>
      <c r="J209" s="607" t="s">
        <v>410</v>
      </c>
      <c r="K209" s="607"/>
      <c r="L209" s="607" t="s">
        <v>386</v>
      </c>
      <c r="M209" s="607"/>
      <c r="N209" s="607"/>
      <c r="O209" s="607"/>
      <c r="P209" s="607"/>
      <c r="Q209" s="607"/>
    </row>
    <row r="210" spans="1:17" ht="13" customHeight="1" x14ac:dyDescent="0.25">
      <c r="A210" s="1517"/>
      <c r="B210" s="1518"/>
      <c r="C210" s="607" t="str">
        <f>B20</f>
        <v>Main-PE</v>
      </c>
      <c r="D210" s="607" t="s">
        <v>527</v>
      </c>
      <c r="E210" s="607" t="s">
        <v>528</v>
      </c>
      <c r="F210" s="607" t="s">
        <v>529</v>
      </c>
      <c r="G210" s="607" t="s">
        <v>530</v>
      </c>
      <c r="H210" s="607" t="s">
        <v>389</v>
      </c>
      <c r="I210" s="607"/>
      <c r="J210" s="607"/>
      <c r="K210" s="607"/>
      <c r="L210" s="607" t="str">
        <f>B26</f>
        <v>Resistance</v>
      </c>
      <c r="M210" s="607" t="s">
        <v>527</v>
      </c>
      <c r="N210" s="607" t="s">
        <v>528</v>
      </c>
      <c r="O210" s="607" t="s">
        <v>529</v>
      </c>
      <c r="P210" s="607" t="s">
        <v>530</v>
      </c>
      <c r="Q210" s="607" t="s">
        <v>389</v>
      </c>
    </row>
    <row r="211" spans="1:17" ht="14.5" x14ac:dyDescent="0.25">
      <c r="A211" s="1517"/>
      <c r="B211" s="1518"/>
      <c r="C211" s="607" t="s">
        <v>394</v>
      </c>
      <c r="D211" s="607"/>
      <c r="E211" s="607"/>
      <c r="F211" s="607"/>
      <c r="G211" s="607"/>
      <c r="H211" s="607"/>
      <c r="I211" s="607"/>
      <c r="J211" s="607"/>
      <c r="K211" s="607"/>
      <c r="L211" s="607" t="s">
        <v>396</v>
      </c>
      <c r="M211" s="607"/>
      <c r="N211" s="607"/>
      <c r="O211" s="607"/>
      <c r="P211" s="607"/>
      <c r="Q211" s="607"/>
    </row>
    <row r="212" spans="1:17" ht="14" x14ac:dyDescent="0.25">
      <c r="A212" s="1516" t="s">
        <v>95</v>
      </c>
      <c r="B212" s="609">
        <v>1</v>
      </c>
      <c r="C212" s="607">
        <f t="shared" ref="C212:H212" si="716">B22</f>
        <v>10</v>
      </c>
      <c r="D212" s="607">
        <f t="shared" ref="D212" si="717">C22</f>
        <v>0</v>
      </c>
      <c r="E212" s="607">
        <f t="shared" ref="E212" si="718">D22</f>
        <v>-1E-3</v>
      </c>
      <c r="F212" s="607">
        <f t="shared" ref="F212" si="719">E22</f>
        <v>9.9999999999999995E-7</v>
      </c>
      <c r="G212" s="607">
        <f t="shared" ref="G212" si="720">F22</f>
        <v>5.0049999999999997E-4</v>
      </c>
      <c r="H212" s="607">
        <f t="shared" si="716"/>
        <v>0.17</v>
      </c>
      <c r="I212" s="607"/>
      <c r="J212" s="607" t="s">
        <v>95</v>
      </c>
      <c r="K212" s="607">
        <v>1</v>
      </c>
      <c r="L212" s="607">
        <f t="shared" ref="L212:Q212" si="721">B28</f>
        <v>0</v>
      </c>
      <c r="M212" s="607">
        <f t="shared" ref="M212" si="722">C28</f>
        <v>-2E-3</v>
      </c>
      <c r="N212" s="607">
        <f t="shared" ref="N212" si="723">D28</f>
        <v>9.9999999999999995E-7</v>
      </c>
      <c r="O212" s="607">
        <f t="shared" ref="O212" si="724">E28</f>
        <v>9.9999999999999995E-7</v>
      </c>
      <c r="P212" s="607">
        <f t="shared" ref="P212" si="725">F28</f>
        <v>1.0005000000000001E-3</v>
      </c>
      <c r="Q212" s="607">
        <f t="shared" si="721"/>
        <v>2.4000000000000001E-5</v>
      </c>
    </row>
    <row r="213" spans="1:17" ht="14" x14ac:dyDescent="0.25">
      <c r="A213" s="1516"/>
      <c r="B213" s="609">
        <v>2</v>
      </c>
      <c r="C213" s="607">
        <f t="shared" ref="C213:H213" si="726">I22</f>
        <v>10</v>
      </c>
      <c r="D213" s="607">
        <f t="shared" ref="D213" si="727">J22</f>
        <v>0</v>
      </c>
      <c r="E213" s="607">
        <f t="shared" ref="E213" si="728">K22</f>
        <v>0.1</v>
      </c>
      <c r="F213" s="607">
        <f t="shared" ref="F213" si="729">L22</f>
        <v>9.9999999999999995E-7</v>
      </c>
      <c r="G213" s="607">
        <f t="shared" ref="G213" si="730">M22</f>
        <v>4.9999500000000002E-2</v>
      </c>
      <c r="H213" s="607">
        <f t="shared" si="726"/>
        <v>0.17</v>
      </c>
      <c r="I213" s="607"/>
      <c r="J213" s="607"/>
      <c r="K213" s="607">
        <v>2</v>
      </c>
      <c r="L213" s="607">
        <f t="shared" ref="L213:Q213" si="731">I28</f>
        <v>0.01</v>
      </c>
      <c r="M213" s="607">
        <f t="shared" ref="M213" si="732">J28</f>
        <v>0</v>
      </c>
      <c r="N213" s="607">
        <f t="shared" ref="N213" si="733">K28</f>
        <v>9.9999999999999995E-7</v>
      </c>
      <c r="O213" s="607">
        <f t="shared" ref="O213" si="734">L28</f>
        <v>9.9999999999999995E-7</v>
      </c>
      <c r="P213" s="607">
        <f t="shared" ref="P213" si="735">M28</f>
        <v>0</v>
      </c>
      <c r="Q213" s="607">
        <f t="shared" si="731"/>
        <v>1.2E-4</v>
      </c>
    </row>
    <row r="214" spans="1:17" ht="14" x14ac:dyDescent="0.25">
      <c r="A214" s="1516"/>
      <c r="B214" s="609">
        <v>3</v>
      </c>
      <c r="C214" s="607">
        <f t="shared" ref="C214:H214" si="736">P22</f>
        <v>5</v>
      </c>
      <c r="D214" s="607">
        <f t="shared" ref="D214" si="737">Q22</f>
        <v>9.9999999999999995E-7</v>
      </c>
      <c r="E214" s="607">
        <f t="shared" ref="E214" si="738">R22</f>
        <v>9.9999999999999995E-7</v>
      </c>
      <c r="F214" s="607">
        <f t="shared" ref="F214" si="739">S22</f>
        <v>9.9999999999999995E-7</v>
      </c>
      <c r="G214" s="607">
        <f t="shared" ref="G214" si="740">T22</f>
        <v>0</v>
      </c>
      <c r="H214" s="607">
        <f t="shared" si="736"/>
        <v>8.5000000000000006E-2</v>
      </c>
      <c r="I214" s="607"/>
      <c r="J214" s="607"/>
      <c r="K214" s="607">
        <v>3</v>
      </c>
      <c r="L214" s="607">
        <f t="shared" ref="L214:Q214" si="741">P28</f>
        <v>0</v>
      </c>
      <c r="M214" s="607">
        <f t="shared" ref="M214" si="742">Q28</f>
        <v>-1E-3</v>
      </c>
      <c r="N214" s="607">
        <f t="shared" ref="N214" si="743">R28</f>
        <v>9.9999999999999995E-7</v>
      </c>
      <c r="O214" s="607">
        <f t="shared" ref="O214" si="744">S28</f>
        <v>9.9999999999999995E-7</v>
      </c>
      <c r="P214" s="607">
        <f t="shared" ref="P214" si="745">T28</f>
        <v>5.0049999999999997E-4</v>
      </c>
      <c r="Q214" s="607">
        <f t="shared" si="741"/>
        <v>0</v>
      </c>
    </row>
    <row r="215" spans="1:17" ht="14" x14ac:dyDescent="0.25">
      <c r="A215" s="1516"/>
      <c r="B215" s="609">
        <v>4</v>
      </c>
      <c r="C215" s="607">
        <f t="shared" ref="C215:H215" si="746">B53</f>
        <v>10</v>
      </c>
      <c r="D215" s="607">
        <f t="shared" ref="D215" si="747">C53</f>
        <v>0</v>
      </c>
      <c r="E215" s="607">
        <f t="shared" ref="E215" si="748">D53</f>
        <v>9.9999999999999995E-7</v>
      </c>
      <c r="F215" s="607">
        <f t="shared" ref="F215" si="749">E53</f>
        <v>0.1</v>
      </c>
      <c r="G215" s="607">
        <f t="shared" ref="G215" si="750">F53</f>
        <v>4.9999500000000002E-2</v>
      </c>
      <c r="H215" s="607">
        <f t="shared" si="746"/>
        <v>0.17</v>
      </c>
      <c r="I215" s="607"/>
      <c r="J215" s="607"/>
      <c r="K215" s="607">
        <v>4</v>
      </c>
      <c r="L215" s="607">
        <f t="shared" ref="L215:Q215" si="751">B59</f>
        <v>0.01</v>
      </c>
      <c r="M215" s="607">
        <f t="shared" ref="M215" si="752">C59</f>
        <v>0</v>
      </c>
      <c r="N215" s="607">
        <f t="shared" ref="N215" si="753">D59</f>
        <v>9.9999999999999995E-7</v>
      </c>
      <c r="O215" s="607">
        <f t="shared" ref="O215" si="754">E59</f>
        <v>9.9999999999999995E-7</v>
      </c>
      <c r="P215" s="607">
        <f t="shared" ref="P215" si="755">F59</f>
        <v>0</v>
      </c>
      <c r="Q215" s="607">
        <f t="shared" si="751"/>
        <v>1.2E-4</v>
      </c>
    </row>
    <row r="216" spans="1:17" ht="14" x14ac:dyDescent="0.25">
      <c r="A216" s="1516"/>
      <c r="B216" s="609">
        <v>5</v>
      </c>
      <c r="C216" s="607">
        <f t="shared" ref="C216:H216" si="756">I53</f>
        <v>10</v>
      </c>
      <c r="D216" s="607">
        <f t="shared" ref="D216" si="757">J53</f>
        <v>0</v>
      </c>
      <c r="E216" s="607">
        <f t="shared" ref="E216" si="758">K53</f>
        <v>9.9999999999999995E-7</v>
      </c>
      <c r="F216" s="607">
        <f t="shared" ref="F216" si="759">L53</f>
        <v>0.1</v>
      </c>
      <c r="G216" s="607">
        <f t="shared" ref="G216" si="760">M53</f>
        <v>0.05</v>
      </c>
      <c r="H216" s="607">
        <f t="shared" si="756"/>
        <v>0.17</v>
      </c>
      <c r="I216" s="607"/>
      <c r="J216" s="607"/>
      <c r="K216" s="607">
        <v>5</v>
      </c>
      <c r="L216" s="607">
        <f t="shared" ref="L216:Q216" si="761">I59</f>
        <v>0.01</v>
      </c>
      <c r="M216" s="607">
        <f t="shared" ref="M216" si="762">J59</f>
        <v>0</v>
      </c>
      <c r="N216" s="607">
        <f t="shared" ref="N216" si="763">K59</f>
        <v>9.9999999999999995E-7</v>
      </c>
      <c r="O216" s="607">
        <f t="shared" ref="O216" si="764">L59</f>
        <v>9.9999999999999995E-7</v>
      </c>
      <c r="P216" s="607">
        <f t="shared" ref="P216" si="765">M59</f>
        <v>4.9999999999999998E-7</v>
      </c>
      <c r="Q216" s="607">
        <f t="shared" si="761"/>
        <v>1.2E-4</v>
      </c>
    </row>
    <row r="217" spans="1:17" ht="14" x14ac:dyDescent="0.25">
      <c r="A217" s="1516"/>
      <c r="B217" s="609">
        <v>6</v>
      </c>
      <c r="C217" s="607">
        <f t="shared" ref="C217:H217" si="766">P53</f>
        <v>10</v>
      </c>
      <c r="D217" s="607">
        <f t="shared" ref="D217" si="767">Q53</f>
        <v>0</v>
      </c>
      <c r="E217" s="607">
        <f t="shared" ref="E217" si="768">R53</f>
        <v>0.1</v>
      </c>
      <c r="F217" s="607">
        <f t="shared" ref="F217" si="769">S53</f>
        <v>0.1</v>
      </c>
      <c r="G217" s="607">
        <f t="shared" ref="G217" si="770">T53</f>
        <v>0</v>
      </c>
      <c r="H217" s="607">
        <f t="shared" si="766"/>
        <v>0.17</v>
      </c>
      <c r="I217" s="607"/>
      <c r="J217" s="607"/>
      <c r="K217" s="607">
        <v>6</v>
      </c>
      <c r="L217" s="607">
        <f t="shared" ref="L217:Q217" si="771">P59</f>
        <v>0.01</v>
      </c>
      <c r="M217" s="607">
        <f t="shared" ref="M217" si="772">Q59</f>
        <v>0</v>
      </c>
      <c r="N217" s="607">
        <f t="shared" ref="N217" si="773">R59</f>
        <v>0</v>
      </c>
      <c r="O217" s="607">
        <f t="shared" ref="O217" si="774">S59</f>
        <v>9.9999999999999995E-7</v>
      </c>
      <c r="P217" s="607">
        <f t="shared" ref="P217" si="775">T59</f>
        <v>4.9999999999999998E-7</v>
      </c>
      <c r="Q217" s="607">
        <f t="shared" si="771"/>
        <v>1.2E-4</v>
      </c>
    </row>
    <row r="218" spans="1:17" ht="14" x14ac:dyDescent="0.25">
      <c r="A218" s="1516"/>
      <c r="B218" s="609">
        <v>7</v>
      </c>
      <c r="C218" s="607">
        <f t="shared" ref="C218:H218" si="776">B84</f>
        <v>10</v>
      </c>
      <c r="D218" s="607">
        <f t="shared" ref="D218" si="777">C84</f>
        <v>0</v>
      </c>
      <c r="E218" s="607">
        <f t="shared" ref="E218" si="778">D84</f>
        <v>0</v>
      </c>
      <c r="F218" s="607">
        <f t="shared" ref="F218" si="779">E84</f>
        <v>9.9999999999999995E-7</v>
      </c>
      <c r="G218" s="607">
        <f t="shared" ref="G218" si="780">F84</f>
        <v>4.9999999999999998E-7</v>
      </c>
      <c r="H218" s="607">
        <f t="shared" si="776"/>
        <v>0.17</v>
      </c>
      <c r="I218" s="607"/>
      <c r="J218" s="607"/>
      <c r="K218" s="607">
        <v>7</v>
      </c>
      <c r="L218" s="607">
        <f t="shared" ref="L218:Q218" si="781">B90</f>
        <v>0.01</v>
      </c>
      <c r="M218" s="607">
        <f t="shared" ref="M218" si="782">C90</f>
        <v>0</v>
      </c>
      <c r="N218" s="607">
        <f t="shared" ref="N218" si="783">D90</f>
        <v>0</v>
      </c>
      <c r="O218" s="607">
        <f t="shared" ref="O218" si="784">E90</f>
        <v>9.9999999999999995E-7</v>
      </c>
      <c r="P218" s="607">
        <f t="shared" ref="P218" si="785">F90</f>
        <v>4.9999999999999998E-7</v>
      </c>
      <c r="Q218" s="607">
        <f t="shared" si="781"/>
        <v>1.2E-4</v>
      </c>
    </row>
    <row r="219" spans="1:17" ht="14" x14ac:dyDescent="0.25">
      <c r="A219" s="1516"/>
      <c r="B219" s="609">
        <v>8</v>
      </c>
      <c r="C219" s="607">
        <f t="shared" ref="C219:H219" si="786">I84</f>
        <v>10</v>
      </c>
      <c r="D219" s="607">
        <f t="shared" ref="D219" si="787">J84</f>
        <v>9.9999999999999995E-7</v>
      </c>
      <c r="E219" s="607">
        <f t="shared" ref="E219" si="788">K84</f>
        <v>9.9999999999999995E-7</v>
      </c>
      <c r="F219" s="607">
        <f t="shared" ref="F219" si="789">L84</f>
        <v>0</v>
      </c>
      <c r="G219" s="607">
        <f t="shared" ref="G219" si="790">M84</f>
        <v>0</v>
      </c>
      <c r="H219" s="607">
        <f t="shared" si="786"/>
        <v>0.17</v>
      </c>
      <c r="I219" s="607"/>
      <c r="J219" s="607"/>
      <c r="K219" s="607">
        <v>8</v>
      </c>
      <c r="L219" s="607">
        <f t="shared" ref="L219:Q219" si="791">I90</f>
        <v>0.1</v>
      </c>
      <c r="M219" s="607">
        <f t="shared" ref="M219" si="792">J90</f>
        <v>-1E-3</v>
      </c>
      <c r="N219" s="607">
        <f t="shared" ref="N219" si="793">K90</f>
        <v>-1E-3</v>
      </c>
      <c r="O219" s="607">
        <f t="shared" ref="O219" si="794">L90</f>
        <v>0</v>
      </c>
      <c r="P219" s="607">
        <f t="shared" ref="P219" si="795">M90</f>
        <v>0</v>
      </c>
      <c r="Q219" s="607">
        <f t="shared" si="791"/>
        <v>1.2000000000000001E-3</v>
      </c>
    </row>
    <row r="220" spans="1:17" ht="14" x14ac:dyDescent="0.25">
      <c r="A220" s="1516"/>
      <c r="B220" s="609">
        <v>9</v>
      </c>
      <c r="C220" s="607">
        <f t="shared" ref="C220:H220" si="796">P84</f>
        <v>10</v>
      </c>
      <c r="D220" s="607">
        <f t="shared" ref="D220" si="797">Q84</f>
        <v>0</v>
      </c>
      <c r="E220" s="607">
        <f t="shared" ref="E220" si="798">R84</f>
        <v>9.9999999999999995E-7</v>
      </c>
      <c r="F220" s="607">
        <f t="shared" ref="F220" si="799">S84</f>
        <v>0</v>
      </c>
      <c r="G220" s="607">
        <f t="shared" ref="G220" si="800">T84</f>
        <v>4.9999999999999998E-7</v>
      </c>
      <c r="H220" s="607">
        <f t="shared" si="796"/>
        <v>0</v>
      </c>
      <c r="I220" s="607"/>
      <c r="J220" s="607"/>
      <c r="K220" s="607">
        <v>9</v>
      </c>
      <c r="L220" s="607">
        <f t="shared" ref="L220:Q220" si="801">P90</f>
        <v>1E-3</v>
      </c>
      <c r="M220" s="607">
        <f t="shared" ref="M220" si="802">Q90</f>
        <v>0</v>
      </c>
      <c r="N220" s="607">
        <f t="shared" ref="N220" si="803">R90</f>
        <v>-1E-3</v>
      </c>
      <c r="O220" s="607">
        <f t="shared" ref="O220" si="804">S90</f>
        <v>0</v>
      </c>
      <c r="P220" s="607">
        <f t="shared" ref="P220" si="805">T90</f>
        <v>5.0000000000000001E-4</v>
      </c>
      <c r="Q220" s="607">
        <f t="shared" si="801"/>
        <v>1.2E-5</v>
      </c>
    </row>
    <row r="221" spans="1:17" ht="14" x14ac:dyDescent="0.25">
      <c r="A221" s="1516"/>
      <c r="B221" s="609">
        <v>10</v>
      </c>
      <c r="C221" s="607">
        <f>B115</f>
        <v>10</v>
      </c>
      <c r="D221" s="607">
        <f t="shared" ref="D221:G221" si="806">C115</f>
        <v>9.9999999999999995E-7</v>
      </c>
      <c r="E221" s="607" t="str">
        <f t="shared" si="806"/>
        <v>-</v>
      </c>
      <c r="F221" s="607">
        <f t="shared" si="806"/>
        <v>0</v>
      </c>
      <c r="G221" s="607">
        <f t="shared" si="806"/>
        <v>0</v>
      </c>
      <c r="H221" s="607" t="str">
        <f>G115</f>
        <v>-</v>
      </c>
      <c r="I221" s="607"/>
      <c r="J221" s="607"/>
      <c r="K221" s="607">
        <v>10</v>
      </c>
      <c r="L221" s="607">
        <f t="shared" ref="L221:Q221" si="807">B121</f>
        <v>0</v>
      </c>
      <c r="M221" s="607">
        <f t="shared" ref="M221" si="808">C121</f>
        <v>9.9999999999999995E-7</v>
      </c>
      <c r="N221" s="607" t="str">
        <f t="shared" ref="N221" si="809">D121</f>
        <v>-</v>
      </c>
      <c r="O221" s="607">
        <f t="shared" ref="O221" si="810">E121</f>
        <v>0</v>
      </c>
      <c r="P221" s="607">
        <f t="shared" ref="P221" si="811">F121</f>
        <v>0</v>
      </c>
      <c r="Q221" s="607" t="str">
        <f t="shared" si="807"/>
        <v>-</v>
      </c>
    </row>
    <row r="222" spans="1:17" ht="14" x14ac:dyDescent="0.25">
      <c r="A222" s="1516"/>
      <c r="B222" s="609">
        <v>11</v>
      </c>
      <c r="C222" s="607">
        <f>I115</f>
        <v>10</v>
      </c>
      <c r="D222" s="607">
        <f t="shared" ref="D222:G222" si="812">J115</f>
        <v>9.9999999999999995E-7</v>
      </c>
      <c r="E222" s="607" t="str">
        <f t="shared" si="812"/>
        <v>-</v>
      </c>
      <c r="F222" s="607">
        <f t="shared" si="812"/>
        <v>0</v>
      </c>
      <c r="G222" s="607">
        <f t="shared" si="812"/>
        <v>0</v>
      </c>
      <c r="H222" s="607" t="str">
        <f>N115</f>
        <v>-</v>
      </c>
      <c r="I222" s="607"/>
      <c r="J222" s="607"/>
      <c r="K222" s="607">
        <v>11</v>
      </c>
      <c r="L222" s="607">
        <f t="shared" ref="L222:Q222" si="813">I121</f>
        <v>0.01</v>
      </c>
      <c r="M222" s="607">
        <f t="shared" ref="M222" si="814">J121</f>
        <v>9.9999999999999995E-7</v>
      </c>
      <c r="N222" s="607" t="str">
        <f t="shared" ref="N222" si="815">K121</f>
        <v>-</v>
      </c>
      <c r="O222" s="607">
        <f t="shared" ref="O222" si="816">L121</f>
        <v>0</v>
      </c>
      <c r="P222" s="607">
        <f t="shared" ref="P222" si="817">M121</f>
        <v>0</v>
      </c>
      <c r="Q222" s="607" t="str">
        <f t="shared" si="813"/>
        <v>-</v>
      </c>
    </row>
    <row r="223" spans="1:17" ht="14" x14ac:dyDescent="0.25">
      <c r="A223" s="1516"/>
      <c r="B223" s="609">
        <v>12</v>
      </c>
      <c r="C223" s="607">
        <f>P115</f>
        <v>10</v>
      </c>
      <c r="D223" s="607">
        <f t="shared" ref="D223:G223" si="818">Q115</f>
        <v>9.9999999999999995E-7</v>
      </c>
      <c r="E223" s="607" t="str">
        <f t="shared" si="818"/>
        <v>-</v>
      </c>
      <c r="F223" s="607">
        <f t="shared" si="818"/>
        <v>0</v>
      </c>
      <c r="G223" s="607">
        <f t="shared" si="818"/>
        <v>0</v>
      </c>
      <c r="H223" s="607" t="str">
        <f>U115</f>
        <v>-</v>
      </c>
      <c r="I223" s="607"/>
      <c r="J223" s="607"/>
      <c r="K223" s="607">
        <v>12</v>
      </c>
      <c r="L223" s="607">
        <f t="shared" ref="L223:Q223" si="819">P121</f>
        <v>0.01</v>
      </c>
      <c r="M223" s="607">
        <f t="shared" ref="M223" si="820">Q121</f>
        <v>9.9999999999999995E-7</v>
      </c>
      <c r="N223" s="607" t="str">
        <f t="shared" ref="N223" si="821">R121</f>
        <v>-</v>
      </c>
      <c r="O223" s="607">
        <f t="shared" ref="O223" si="822">S121</f>
        <v>0</v>
      </c>
      <c r="P223" s="607">
        <f t="shared" ref="P223" si="823">T121</f>
        <v>0</v>
      </c>
      <c r="Q223" s="607" t="str">
        <f t="shared" si="819"/>
        <v>-</v>
      </c>
    </row>
    <row r="224" spans="1:17" s="574" customFormat="1" ht="14" x14ac:dyDescent="0.25">
      <c r="A224" s="612"/>
      <c r="B224" s="213"/>
      <c r="C224" s="607"/>
      <c r="D224" s="607"/>
      <c r="E224" s="607"/>
      <c r="F224" s="607"/>
      <c r="G224" s="607"/>
      <c r="H224" s="607"/>
      <c r="I224" s="607"/>
      <c r="J224" s="607"/>
      <c r="K224" s="607"/>
      <c r="L224" s="607"/>
      <c r="M224" s="607"/>
      <c r="N224" s="607"/>
      <c r="O224" s="607"/>
      <c r="P224" s="607"/>
      <c r="Q224" s="607"/>
    </row>
    <row r="225" spans="1:17" ht="14" x14ac:dyDescent="0.25">
      <c r="A225" s="1516" t="s">
        <v>96</v>
      </c>
      <c r="B225" s="609">
        <v>1</v>
      </c>
      <c r="C225" s="607">
        <f t="shared" ref="C225:H225" si="824">B23</f>
        <v>20</v>
      </c>
      <c r="D225" s="607">
        <f t="shared" ref="D225" si="825">C23</f>
        <v>0.1</v>
      </c>
      <c r="E225" s="607">
        <f t="shared" ref="E225" si="826">D23</f>
        <v>9.9999999999999995E-7</v>
      </c>
      <c r="F225" s="607">
        <f t="shared" ref="F225" si="827">E23</f>
        <v>9.9999999999999995E-7</v>
      </c>
      <c r="G225" s="607">
        <f t="shared" ref="G225" si="828">F23</f>
        <v>4.9999500000000002E-2</v>
      </c>
      <c r="H225" s="607">
        <f t="shared" si="824"/>
        <v>0.33829999999999999</v>
      </c>
      <c r="I225" s="607"/>
      <c r="J225" s="607" t="s">
        <v>96</v>
      </c>
      <c r="K225" s="607">
        <v>1</v>
      </c>
      <c r="L225" s="607">
        <f t="shared" ref="L225:Q225" si="829">B29</f>
        <v>0.1</v>
      </c>
      <c r="M225" s="607">
        <f t="shared" ref="M225" si="830">C29</f>
        <v>1E-3</v>
      </c>
      <c r="N225" s="607">
        <f t="shared" ref="N225" si="831">D29</f>
        <v>-1E-3</v>
      </c>
      <c r="O225" s="607">
        <f t="shared" ref="O225" si="832">E29</f>
        <v>2E-3</v>
      </c>
      <c r="P225" s="607">
        <f t="shared" ref="P225" si="833">F29</f>
        <v>1.5E-3</v>
      </c>
      <c r="Q225" s="607">
        <f t="shared" si="829"/>
        <v>1.188E-3</v>
      </c>
    </row>
    <row r="226" spans="1:17" ht="14" x14ac:dyDescent="0.25">
      <c r="A226" s="1516"/>
      <c r="B226" s="609">
        <v>2</v>
      </c>
      <c r="C226" s="607">
        <f t="shared" ref="C226:H226" si="834">I23</f>
        <v>20</v>
      </c>
      <c r="D226" s="607">
        <f t="shared" ref="D226" si="835">J23</f>
        <v>0.1</v>
      </c>
      <c r="E226" s="607">
        <f t="shared" ref="E226" si="836">K23</f>
        <v>0.2</v>
      </c>
      <c r="F226" s="607">
        <f t="shared" ref="F226" si="837">L23</f>
        <v>0.1</v>
      </c>
      <c r="G226" s="607">
        <f t="shared" ref="G226" si="838">M23</f>
        <v>0.05</v>
      </c>
      <c r="H226" s="607">
        <f t="shared" si="834"/>
        <v>0.33829999999999999</v>
      </c>
      <c r="I226" s="607"/>
      <c r="J226" s="607"/>
      <c r="K226" s="607">
        <v>2</v>
      </c>
      <c r="L226" s="607">
        <f t="shared" ref="L226:Q226" si="839">I29</f>
        <v>0.1</v>
      </c>
      <c r="M226" s="607">
        <f t="shared" ref="M226" si="840">J29</f>
        <v>5.0000000000000001E-3</v>
      </c>
      <c r="N226" s="607">
        <f t="shared" ref="N226" si="841">K29</f>
        <v>6.0000000000000001E-3</v>
      </c>
      <c r="O226" s="607">
        <f t="shared" ref="O226" si="842">L29</f>
        <v>5.0000000000000001E-3</v>
      </c>
      <c r="P226" s="607">
        <f t="shared" ref="P226" si="843">M29</f>
        <v>5.0000000000000001E-4</v>
      </c>
      <c r="Q226" s="607">
        <f t="shared" si="839"/>
        <v>1.14E-3</v>
      </c>
    </row>
    <row r="227" spans="1:17" ht="14" x14ac:dyDescent="0.25">
      <c r="A227" s="1516"/>
      <c r="B227" s="609">
        <v>3</v>
      </c>
      <c r="C227" s="607">
        <f t="shared" ref="C227:H227" si="844">P23</f>
        <v>10</v>
      </c>
      <c r="D227" s="607">
        <f t="shared" ref="D227" si="845">Q23</f>
        <v>9.9999999999999995E-7</v>
      </c>
      <c r="E227" s="607">
        <f t="shared" ref="E227" si="846">R23</f>
        <v>9.9999999999999995E-7</v>
      </c>
      <c r="F227" s="607">
        <f t="shared" ref="F227" si="847">S23</f>
        <v>9.9999999999999995E-7</v>
      </c>
      <c r="G227" s="607">
        <f t="shared" ref="G227" si="848">T23</f>
        <v>0</v>
      </c>
      <c r="H227" s="607">
        <f t="shared" si="844"/>
        <v>0.17</v>
      </c>
      <c r="I227" s="607"/>
      <c r="J227" s="607"/>
      <c r="K227" s="607">
        <v>3</v>
      </c>
      <c r="L227" s="607">
        <f t="shared" ref="L227:Q227" si="849">P29</f>
        <v>0.5</v>
      </c>
      <c r="M227" s="607">
        <f t="shared" ref="M227" si="850">Q29</f>
        <v>-2E-3</v>
      </c>
      <c r="N227" s="607">
        <f t="shared" ref="N227" si="851">R29</f>
        <v>-1E-3</v>
      </c>
      <c r="O227" s="607">
        <f t="shared" ref="O227" si="852">S29</f>
        <v>9.9999999999999995E-7</v>
      </c>
      <c r="P227" s="607">
        <f t="shared" ref="P227" si="853">T29</f>
        <v>1.0005000000000001E-3</v>
      </c>
      <c r="Q227" s="607">
        <f t="shared" si="849"/>
        <v>6.0000000000000001E-3</v>
      </c>
    </row>
    <row r="228" spans="1:17" ht="14" x14ac:dyDescent="0.25">
      <c r="A228" s="1516"/>
      <c r="B228" s="609">
        <v>4</v>
      </c>
      <c r="C228" s="607">
        <f t="shared" ref="C228:H228" si="854">B54</f>
        <v>20</v>
      </c>
      <c r="D228" s="607">
        <f t="shared" ref="D228" si="855">C54</f>
        <v>0.1</v>
      </c>
      <c r="E228" s="607">
        <f t="shared" ref="E228" si="856">D54</f>
        <v>0.1</v>
      </c>
      <c r="F228" s="607">
        <f t="shared" ref="F228" si="857">E54</f>
        <v>0.2</v>
      </c>
      <c r="G228" s="607">
        <f t="shared" ref="G228" si="858">F54</f>
        <v>0.05</v>
      </c>
      <c r="H228" s="607">
        <f t="shared" si="854"/>
        <v>0.33829999999999999</v>
      </c>
      <c r="I228" s="607"/>
      <c r="J228" s="607"/>
      <c r="K228" s="607">
        <v>4</v>
      </c>
      <c r="L228" s="607">
        <f t="shared" ref="L228:Q228" si="859">B60</f>
        <v>0.1</v>
      </c>
      <c r="M228" s="607">
        <f t="shared" ref="M228" si="860">C60</f>
        <v>0</v>
      </c>
      <c r="N228" s="607">
        <f t="shared" ref="N228" si="861">D60</f>
        <v>-2E-3</v>
      </c>
      <c r="O228" s="607">
        <f t="shared" ref="O228" si="862">E60</f>
        <v>9.9999999999999995E-7</v>
      </c>
      <c r="P228" s="607">
        <f t="shared" ref="P228" si="863">F60</f>
        <v>1.0005000000000001E-3</v>
      </c>
      <c r="Q228" s="607">
        <f t="shared" si="859"/>
        <v>1.2000000000000001E-3</v>
      </c>
    </row>
    <row r="229" spans="1:17" ht="14" x14ac:dyDescent="0.25">
      <c r="A229" s="1516"/>
      <c r="B229" s="609">
        <v>5</v>
      </c>
      <c r="C229" s="607">
        <f t="shared" ref="C229:H229" si="864">I54</f>
        <v>20</v>
      </c>
      <c r="D229" s="607">
        <f t="shared" ref="D229" si="865">J54</f>
        <v>0.1</v>
      </c>
      <c r="E229" s="607">
        <f t="shared" ref="E229" si="866">K54</f>
        <v>0.1</v>
      </c>
      <c r="F229" s="607">
        <f t="shared" ref="F229" si="867">L54</f>
        <v>0.1</v>
      </c>
      <c r="G229" s="607">
        <f t="shared" ref="G229" si="868">M54</f>
        <v>0</v>
      </c>
      <c r="H229" s="607">
        <f t="shared" si="864"/>
        <v>0.33829999999999999</v>
      </c>
      <c r="I229" s="607"/>
      <c r="J229" s="607"/>
      <c r="K229" s="607">
        <v>5</v>
      </c>
      <c r="L229" s="607">
        <f t="shared" ref="L229:Q229" si="869">I60</f>
        <v>0.1</v>
      </c>
      <c r="M229" s="607">
        <f t="shared" ref="M229" si="870">J60</f>
        <v>-6.0000000000000001E-3</v>
      </c>
      <c r="N229" s="607">
        <f t="shared" ref="N229" si="871">K60</f>
        <v>5.0000000000000001E-3</v>
      </c>
      <c r="O229" s="607">
        <f t="shared" ref="O229" si="872">L60</f>
        <v>2E-3</v>
      </c>
      <c r="P229" s="607">
        <f t="shared" ref="P229" si="873">M60</f>
        <v>5.4999999999999997E-3</v>
      </c>
      <c r="Q229" s="607">
        <f t="shared" si="869"/>
        <v>1.2720000000000001E-3</v>
      </c>
    </row>
    <row r="230" spans="1:17" ht="14" x14ac:dyDescent="0.25">
      <c r="A230" s="1516"/>
      <c r="B230" s="609">
        <v>6</v>
      </c>
      <c r="C230" s="607">
        <f t="shared" ref="C230:H230" si="874">P54</f>
        <v>20</v>
      </c>
      <c r="D230" s="607">
        <f t="shared" ref="D230" si="875">Q54</f>
        <v>0.1</v>
      </c>
      <c r="E230" s="607">
        <f t="shared" ref="E230" si="876">R54</f>
        <v>0.1</v>
      </c>
      <c r="F230" s="607">
        <f t="shared" ref="F230" si="877">S54</f>
        <v>0.1</v>
      </c>
      <c r="G230" s="607">
        <f t="shared" ref="G230" si="878">T54</f>
        <v>0</v>
      </c>
      <c r="H230" s="607">
        <f t="shared" si="874"/>
        <v>0.33829999999999999</v>
      </c>
      <c r="I230" s="607"/>
      <c r="J230" s="607"/>
      <c r="K230" s="607">
        <v>6</v>
      </c>
      <c r="L230" s="607">
        <f t="shared" ref="L230:Q230" si="879">P60</f>
        <v>0.1</v>
      </c>
      <c r="M230" s="607">
        <f t="shared" ref="M230" si="880">Q60</f>
        <v>0</v>
      </c>
      <c r="N230" s="607">
        <f t="shared" ref="N230" si="881">R60</f>
        <v>-3.0000000000000001E-3</v>
      </c>
      <c r="O230" s="607">
        <f t="shared" ref="O230" si="882">S60</f>
        <v>-2E-3</v>
      </c>
      <c r="P230" s="607">
        <f t="shared" ref="P230" si="883">T60</f>
        <v>5.0000000000000001E-4</v>
      </c>
      <c r="Q230" s="607">
        <f t="shared" si="879"/>
        <v>1.2000000000000001E-3</v>
      </c>
    </row>
    <row r="231" spans="1:17" ht="14" x14ac:dyDescent="0.25">
      <c r="A231" s="1516"/>
      <c r="B231" s="609">
        <v>7</v>
      </c>
      <c r="C231" s="607">
        <f t="shared" ref="C231:H231" si="884">B85</f>
        <v>20</v>
      </c>
      <c r="D231" s="607">
        <f t="shared" ref="D231" si="885">C85</f>
        <v>0.1</v>
      </c>
      <c r="E231" s="607">
        <f t="shared" ref="E231" si="886">D85</f>
        <v>0.1</v>
      </c>
      <c r="F231" s="607">
        <f t="shared" ref="F231" si="887">E85</f>
        <v>9.9999999999999995E-7</v>
      </c>
      <c r="G231" s="607">
        <f t="shared" ref="G231" si="888">F85</f>
        <v>4.9999500000000002E-2</v>
      </c>
      <c r="H231" s="607">
        <f t="shared" si="884"/>
        <v>0.33829999999999999</v>
      </c>
      <c r="I231" s="607"/>
      <c r="J231" s="607"/>
      <c r="K231" s="607">
        <v>7</v>
      </c>
      <c r="L231" s="607">
        <f t="shared" ref="L231:Q231" si="889">B91</f>
        <v>0.5</v>
      </c>
      <c r="M231" s="607">
        <f t="shared" ref="M231" si="890">C91</f>
        <v>8.0000000000000002E-3</v>
      </c>
      <c r="N231" s="607">
        <f t="shared" ref="N231" si="891">D91</f>
        <v>3.0000000000000001E-3</v>
      </c>
      <c r="O231" s="607">
        <f t="shared" ref="O231" si="892">E91</f>
        <v>9.9999999999999995E-7</v>
      </c>
      <c r="P231" s="607">
        <f t="shared" ref="P231" si="893">F91</f>
        <v>1.4995E-3</v>
      </c>
      <c r="Q231" s="607">
        <f t="shared" si="889"/>
        <v>5.9040000000000004E-3</v>
      </c>
    </row>
    <row r="232" spans="1:17" ht="14" x14ac:dyDescent="0.25">
      <c r="A232" s="1516"/>
      <c r="B232" s="609">
        <v>8</v>
      </c>
      <c r="C232" s="607">
        <f t="shared" ref="C232:H232" si="894">I85</f>
        <v>20</v>
      </c>
      <c r="D232" s="607">
        <f t="shared" ref="D232" si="895">J85</f>
        <v>9.9999999999999995E-7</v>
      </c>
      <c r="E232" s="607">
        <f t="shared" ref="E232" si="896">K85</f>
        <v>9.9999999999999995E-7</v>
      </c>
      <c r="F232" s="607">
        <f t="shared" ref="F232" si="897">L85</f>
        <v>0</v>
      </c>
      <c r="G232" s="607">
        <f t="shared" ref="G232" si="898">M85</f>
        <v>0</v>
      </c>
      <c r="H232" s="607">
        <f t="shared" si="894"/>
        <v>0.34</v>
      </c>
      <c r="I232" s="607"/>
      <c r="J232" s="607"/>
      <c r="K232" s="607">
        <v>8</v>
      </c>
      <c r="L232" s="607">
        <f t="shared" ref="L232:Q232" si="899">I91</f>
        <v>0.5</v>
      </c>
      <c r="M232" s="607">
        <f t="shared" ref="M232" si="900">J91</f>
        <v>4.0000000000000001E-3</v>
      </c>
      <c r="N232" s="607">
        <f t="shared" ref="N232" si="901">K91</f>
        <v>-3.0000000000000001E-3</v>
      </c>
      <c r="O232" s="607">
        <f t="shared" ref="O232" si="902">L91</f>
        <v>0</v>
      </c>
      <c r="P232" s="607">
        <f t="shared" ref="P232" si="903">M91</f>
        <v>3.5000000000000001E-3</v>
      </c>
      <c r="Q232" s="607">
        <f t="shared" si="899"/>
        <v>6.0000000000000001E-3</v>
      </c>
    </row>
    <row r="233" spans="1:17" ht="14" x14ac:dyDescent="0.25">
      <c r="A233" s="1516"/>
      <c r="B233" s="609">
        <v>9</v>
      </c>
      <c r="C233" s="607">
        <f t="shared" ref="C233:H233" si="904">P85</f>
        <v>20</v>
      </c>
      <c r="D233" s="607">
        <f t="shared" ref="D233" si="905">Q85</f>
        <v>0</v>
      </c>
      <c r="E233" s="607">
        <f t="shared" ref="E233" si="906">R85</f>
        <v>9.9999999999999995E-7</v>
      </c>
      <c r="F233" s="607">
        <f t="shared" ref="F233" si="907">S85</f>
        <v>0</v>
      </c>
      <c r="G233" s="607">
        <f t="shared" ref="G233" si="908">T85</f>
        <v>4.9999999999999998E-7</v>
      </c>
      <c r="H233" s="607">
        <f t="shared" si="904"/>
        <v>0</v>
      </c>
      <c r="I233" s="607"/>
      <c r="J233" s="607"/>
      <c r="K233" s="607">
        <v>9</v>
      </c>
      <c r="L233" s="607">
        <f t="shared" ref="L233:Q233" si="909">P91</f>
        <v>0.10199999999999999</v>
      </c>
      <c r="M233" s="607">
        <f t="shared" ref="M233" si="910">Q91</f>
        <v>1E-3</v>
      </c>
      <c r="N233" s="607">
        <f t="shared" ref="N233" si="911">R91</f>
        <v>-2E-3</v>
      </c>
      <c r="O233" s="607">
        <f t="shared" ref="O233" si="912">S91</f>
        <v>0</v>
      </c>
      <c r="P233" s="607">
        <f t="shared" ref="P233" si="913">T91</f>
        <v>1.5E-3</v>
      </c>
      <c r="Q233" s="607">
        <f t="shared" si="909"/>
        <v>1.224E-3</v>
      </c>
    </row>
    <row r="234" spans="1:17" ht="14" x14ac:dyDescent="0.25">
      <c r="A234" s="1516"/>
      <c r="B234" s="609">
        <v>10</v>
      </c>
      <c r="C234" s="607">
        <f>B116</f>
        <v>20</v>
      </c>
      <c r="D234" s="607">
        <f t="shared" ref="D234:G234" si="914">C116</f>
        <v>0.1</v>
      </c>
      <c r="E234" s="607" t="str">
        <f t="shared" si="914"/>
        <v>-</v>
      </c>
      <c r="F234" s="607">
        <f t="shared" si="914"/>
        <v>0</v>
      </c>
      <c r="G234" s="607">
        <f t="shared" si="914"/>
        <v>0</v>
      </c>
      <c r="H234" s="607" t="str">
        <f>G116</f>
        <v>-</v>
      </c>
      <c r="I234" s="607"/>
      <c r="J234" s="607"/>
      <c r="K234" s="607">
        <v>10</v>
      </c>
      <c r="L234" s="607">
        <f t="shared" ref="L234:Q234" si="915">B122</f>
        <v>0.1</v>
      </c>
      <c r="M234" s="607">
        <f t="shared" ref="M234" si="916">C122</f>
        <v>-2E-3</v>
      </c>
      <c r="N234" s="607" t="str">
        <f t="shared" ref="N234" si="917">D122</f>
        <v>-</v>
      </c>
      <c r="O234" s="607">
        <f t="shared" ref="O234" si="918">E122</f>
        <v>0</v>
      </c>
      <c r="P234" s="607">
        <f t="shared" ref="P234" si="919">F122</f>
        <v>0</v>
      </c>
      <c r="Q234" s="607" t="str">
        <f t="shared" si="915"/>
        <v>-</v>
      </c>
    </row>
    <row r="235" spans="1:17" ht="14" x14ac:dyDescent="0.25">
      <c r="A235" s="1516"/>
      <c r="B235" s="609">
        <v>11</v>
      </c>
      <c r="C235" s="607">
        <f>I116</f>
        <v>20</v>
      </c>
      <c r="D235" s="607">
        <f t="shared" ref="D235:G235" si="920">J116</f>
        <v>9.9999999999999995E-7</v>
      </c>
      <c r="E235" s="607" t="str">
        <f t="shared" si="920"/>
        <v>-</v>
      </c>
      <c r="F235" s="607">
        <f t="shared" si="920"/>
        <v>0</v>
      </c>
      <c r="G235" s="607">
        <f t="shared" si="920"/>
        <v>0</v>
      </c>
      <c r="H235" s="607" t="str">
        <f>N116</f>
        <v>-</v>
      </c>
      <c r="I235" s="607"/>
      <c r="J235" s="607"/>
      <c r="K235" s="607">
        <v>11</v>
      </c>
      <c r="L235" s="607">
        <f t="shared" ref="L235:Q235" si="921">I122</f>
        <v>0.1</v>
      </c>
      <c r="M235" s="607">
        <f t="shared" ref="M235" si="922">J122</f>
        <v>9.9999999999999995E-7</v>
      </c>
      <c r="N235" s="607" t="str">
        <f t="shared" ref="N235" si="923">K122</f>
        <v>-</v>
      </c>
      <c r="O235" s="607">
        <f t="shared" ref="O235" si="924">L122</f>
        <v>0</v>
      </c>
      <c r="P235" s="607">
        <f t="shared" ref="P235" si="925">M122</f>
        <v>0</v>
      </c>
      <c r="Q235" s="607" t="str">
        <f t="shared" si="921"/>
        <v>-</v>
      </c>
    </row>
    <row r="236" spans="1:17" ht="14" x14ac:dyDescent="0.25">
      <c r="A236" s="1516"/>
      <c r="B236" s="609">
        <v>12</v>
      </c>
      <c r="C236" s="607">
        <f>P116</f>
        <v>20</v>
      </c>
      <c r="D236" s="607">
        <f t="shared" ref="D236:G236" si="926">Q116</f>
        <v>9.9999999999999995E-7</v>
      </c>
      <c r="E236" s="607" t="str">
        <f t="shared" si="926"/>
        <v>-</v>
      </c>
      <c r="F236" s="607">
        <f t="shared" si="926"/>
        <v>0</v>
      </c>
      <c r="G236" s="607">
        <f t="shared" si="926"/>
        <v>0</v>
      </c>
      <c r="H236" s="607" t="str">
        <f>U116</f>
        <v>-</v>
      </c>
      <c r="I236" s="607"/>
      <c r="J236" s="607"/>
      <c r="K236" s="607">
        <v>12</v>
      </c>
      <c r="L236" s="607">
        <f t="shared" ref="L236:Q236" si="927">P122</f>
        <v>0.1</v>
      </c>
      <c r="M236" s="607">
        <f t="shared" ref="M236" si="928">Q122</f>
        <v>9.9999999999999995E-7</v>
      </c>
      <c r="N236" s="607" t="str">
        <f t="shared" ref="N236" si="929">R122</f>
        <v>-</v>
      </c>
      <c r="O236" s="607">
        <f t="shared" ref="O236" si="930">S122</f>
        <v>0</v>
      </c>
      <c r="P236" s="607">
        <f t="shared" ref="P236" si="931">T122</f>
        <v>0</v>
      </c>
      <c r="Q236" s="607" t="str">
        <f t="shared" si="927"/>
        <v>-</v>
      </c>
    </row>
    <row r="237" spans="1:17" s="574" customFormat="1" ht="14" x14ac:dyDescent="0.25">
      <c r="A237" s="612"/>
      <c r="B237" s="213"/>
      <c r="C237" s="607"/>
      <c r="D237" s="607"/>
      <c r="E237" s="607"/>
      <c r="F237" s="607"/>
      <c r="G237" s="607"/>
      <c r="H237" s="607"/>
      <c r="I237" s="607"/>
      <c r="J237" s="607"/>
      <c r="K237" s="607"/>
      <c r="L237" s="607"/>
      <c r="M237" s="607"/>
      <c r="N237" s="607"/>
      <c r="O237" s="607"/>
      <c r="P237" s="607"/>
      <c r="Q237" s="607"/>
    </row>
    <row r="238" spans="1:17" ht="14" x14ac:dyDescent="0.25">
      <c r="A238" s="1516" t="s">
        <v>97</v>
      </c>
      <c r="B238" s="609">
        <v>1</v>
      </c>
      <c r="C238" s="607">
        <f t="shared" ref="C238:H238" si="932">B24</f>
        <v>50</v>
      </c>
      <c r="D238" s="607">
        <f t="shared" ref="D238" si="933">C24</f>
        <v>0.3</v>
      </c>
      <c r="E238" s="607">
        <f t="shared" ref="E238" si="934">D24</f>
        <v>9.9999999999999995E-7</v>
      </c>
      <c r="F238" s="607">
        <f t="shared" ref="F238" si="935">E24</f>
        <v>9.9999999999999995E-7</v>
      </c>
      <c r="G238" s="607">
        <f t="shared" ref="G238" si="936">F24</f>
        <v>0.14999950000000001</v>
      </c>
      <c r="H238" s="607">
        <f t="shared" si="932"/>
        <v>0.8449000000000001</v>
      </c>
      <c r="I238" s="607"/>
      <c r="J238" s="607" t="s">
        <v>97</v>
      </c>
      <c r="K238" s="607">
        <v>1</v>
      </c>
      <c r="L238" s="607">
        <f t="shared" ref="L238:Q238" si="937">B30</f>
        <v>1</v>
      </c>
      <c r="M238" s="607">
        <f t="shared" ref="M238" si="938">C30</f>
        <v>4.0000000000000001E-3</v>
      </c>
      <c r="N238" s="607">
        <f t="shared" ref="N238" si="939">D30</f>
        <v>4.0000000000000001E-3</v>
      </c>
      <c r="O238" s="607">
        <f t="shared" ref="O238" si="940">E30</f>
        <v>1.2E-2</v>
      </c>
      <c r="P238" s="607">
        <f t="shared" ref="P238" si="941">F30</f>
        <v>4.0000000000000001E-3</v>
      </c>
      <c r="Q238" s="607">
        <f t="shared" si="937"/>
        <v>1.1952000000000001E-2</v>
      </c>
    </row>
    <row r="239" spans="1:17" ht="14" x14ac:dyDescent="0.25">
      <c r="A239" s="1516"/>
      <c r="B239" s="609">
        <v>2</v>
      </c>
      <c r="C239" s="607">
        <f t="shared" ref="C239:H239" si="942">I24</f>
        <v>50</v>
      </c>
      <c r="D239" s="607">
        <f t="shared" ref="D239" si="943">J24</f>
        <v>0.2</v>
      </c>
      <c r="E239" s="607">
        <f t="shared" ref="E239" si="944">K24</f>
        <v>0.3</v>
      </c>
      <c r="F239" s="607">
        <f t="shared" ref="F239" si="945">L24</f>
        <v>0.1</v>
      </c>
      <c r="G239" s="607">
        <f t="shared" ref="G239" si="946">M24</f>
        <v>9.9999999999999992E-2</v>
      </c>
      <c r="H239" s="607">
        <f t="shared" si="942"/>
        <v>0.84660000000000002</v>
      </c>
      <c r="I239" s="607"/>
      <c r="J239" s="607"/>
      <c r="K239" s="607">
        <v>2</v>
      </c>
      <c r="L239" s="607">
        <f t="shared" ref="L239:Q239" si="947">I30</f>
        <v>1</v>
      </c>
      <c r="M239" s="607">
        <f t="shared" ref="M239" si="948">J30</f>
        <v>5.8000000000000003E-2</v>
      </c>
      <c r="N239" s="607">
        <f t="shared" ref="N239" si="949">K30</f>
        <v>4.4999999999999998E-2</v>
      </c>
      <c r="O239" s="607">
        <f t="shared" ref="O239" si="950">L30</f>
        <v>5.5E-2</v>
      </c>
      <c r="P239" s="607">
        <f t="shared" ref="P239" si="951">M30</f>
        <v>5.000000000000001E-3</v>
      </c>
      <c r="Q239" s="607">
        <f t="shared" si="947"/>
        <v>1.1304E-2</v>
      </c>
    </row>
    <row r="240" spans="1:17" ht="14" x14ac:dyDescent="0.25">
      <c r="A240" s="1516"/>
      <c r="B240" s="609">
        <v>3</v>
      </c>
      <c r="C240" s="607">
        <f t="shared" ref="C240:H240" si="952">P24</f>
        <v>20</v>
      </c>
      <c r="D240" s="607">
        <f t="shared" ref="D240" si="953">Q24</f>
        <v>9.9999999999999995E-7</v>
      </c>
      <c r="E240" s="607">
        <f t="shared" ref="E240" si="954">R24</f>
        <v>0.4</v>
      </c>
      <c r="F240" s="607">
        <f t="shared" ref="F240" si="955">S24</f>
        <v>0.3</v>
      </c>
      <c r="G240" s="607">
        <f t="shared" ref="G240" si="956">T24</f>
        <v>0.19999950000000002</v>
      </c>
      <c r="H240" s="607">
        <f t="shared" si="952"/>
        <v>0.34</v>
      </c>
      <c r="I240" s="607"/>
      <c r="J240" s="607"/>
      <c r="K240" s="607">
        <v>3</v>
      </c>
      <c r="L240" s="607">
        <f t="shared" ref="L240:Q240" si="957">P30</f>
        <v>1</v>
      </c>
      <c r="M240" s="607">
        <f t="shared" ref="M240" si="958">Q30</f>
        <v>-1.2E-2</v>
      </c>
      <c r="N240" s="607">
        <f t="shared" ref="N240" si="959">R30</f>
        <v>5.0000000000000001E-3</v>
      </c>
      <c r="O240" s="607">
        <f t="shared" ref="O240" si="960">S30</f>
        <v>9.9999999999999995E-7</v>
      </c>
      <c r="P240" s="607">
        <f t="shared" ref="P240" si="961">T30</f>
        <v>8.5000000000000006E-3</v>
      </c>
      <c r="Q240" s="607">
        <f t="shared" si="957"/>
        <v>1.2E-2</v>
      </c>
    </row>
    <row r="241" spans="1:17" ht="14" x14ac:dyDescent="0.25">
      <c r="A241" s="1516"/>
      <c r="B241" s="609">
        <v>4</v>
      </c>
      <c r="C241" s="607">
        <f t="shared" ref="C241:H241" si="962">B55</f>
        <v>50</v>
      </c>
      <c r="D241" s="607">
        <f t="shared" ref="D241" si="963">C55</f>
        <v>0.4</v>
      </c>
      <c r="E241" s="607">
        <f t="shared" ref="E241" si="964">D55</f>
        <v>0.4</v>
      </c>
      <c r="F241" s="607">
        <f t="shared" ref="F241" si="965">E55</f>
        <v>0.5</v>
      </c>
      <c r="G241" s="607">
        <f t="shared" ref="G241" si="966">F55</f>
        <v>4.9999999999999989E-2</v>
      </c>
      <c r="H241" s="607">
        <f t="shared" si="962"/>
        <v>0.84320000000000006</v>
      </c>
      <c r="I241" s="607"/>
      <c r="J241" s="607"/>
      <c r="K241" s="607">
        <v>4</v>
      </c>
      <c r="L241" s="607">
        <f t="shared" ref="L241:Q241" si="967">B61</f>
        <v>1</v>
      </c>
      <c r="M241" s="607">
        <f t="shared" ref="M241" si="968">C61</f>
        <v>-2E-3</v>
      </c>
      <c r="N241" s="607">
        <f t="shared" ref="N241" si="969">D61</f>
        <v>-8.0000000000000002E-3</v>
      </c>
      <c r="O241" s="607">
        <f t="shared" ref="O241" si="970">E61</f>
        <v>-1E-3</v>
      </c>
      <c r="P241" s="607">
        <f t="shared" ref="P241" si="971">F61</f>
        <v>3.5000000000000001E-3</v>
      </c>
      <c r="Q241" s="607">
        <f t="shared" si="967"/>
        <v>1.2024E-2</v>
      </c>
    </row>
    <row r="242" spans="1:17" ht="14" x14ac:dyDescent="0.25">
      <c r="A242" s="1516"/>
      <c r="B242" s="609">
        <v>5</v>
      </c>
      <c r="C242" s="607">
        <f t="shared" ref="C242:H242" si="972">I55</f>
        <v>50</v>
      </c>
      <c r="D242" s="607">
        <f t="shared" ref="D242" si="973">J55</f>
        <v>0.3</v>
      </c>
      <c r="E242" s="607">
        <f t="shared" ref="E242" si="974">K55</f>
        <v>0.6</v>
      </c>
      <c r="F242" s="607">
        <f t="shared" ref="F242" si="975">L55</f>
        <v>0.4</v>
      </c>
      <c r="G242" s="607">
        <f t="shared" ref="G242" si="976">M55</f>
        <v>0.15</v>
      </c>
      <c r="H242" s="607">
        <f t="shared" si="972"/>
        <v>0.8449000000000001</v>
      </c>
      <c r="I242" s="607"/>
      <c r="J242" s="607"/>
      <c r="K242" s="607">
        <v>5</v>
      </c>
      <c r="L242" s="607">
        <f t="shared" ref="L242:Q242" si="977">I61</f>
        <v>1</v>
      </c>
      <c r="M242" s="607">
        <f t="shared" ref="M242" si="978">J61</f>
        <v>-2E-3</v>
      </c>
      <c r="N242" s="607">
        <f t="shared" ref="N242" si="979">K61</f>
        <v>1.7999999999999999E-2</v>
      </c>
      <c r="O242" s="607">
        <f t="shared" ref="O242" si="980">L61</f>
        <v>1.2E-2</v>
      </c>
      <c r="P242" s="607">
        <f t="shared" ref="P242" si="981">M61</f>
        <v>9.9999999999999985E-3</v>
      </c>
      <c r="Q242" s="607">
        <f t="shared" si="977"/>
        <v>1.2024E-2</v>
      </c>
    </row>
    <row r="243" spans="1:17" ht="14" x14ac:dyDescent="0.25">
      <c r="A243" s="1516"/>
      <c r="B243" s="609">
        <v>6</v>
      </c>
      <c r="C243" s="607">
        <f t="shared" ref="C243:H243" si="982">P55</f>
        <v>50</v>
      </c>
      <c r="D243" s="607">
        <f t="shared" ref="D243" si="983">Q55</f>
        <v>0.1</v>
      </c>
      <c r="E243" s="607">
        <f t="shared" ref="E243" si="984">R55</f>
        <v>0.3</v>
      </c>
      <c r="F243" s="607">
        <f t="shared" ref="F243" si="985">S55</f>
        <v>0.3</v>
      </c>
      <c r="G243" s="607">
        <f t="shared" ref="G243" si="986">T55</f>
        <v>0</v>
      </c>
      <c r="H243" s="607">
        <f t="shared" si="982"/>
        <v>0.84830000000000005</v>
      </c>
      <c r="I243" s="607"/>
      <c r="J243" s="607"/>
      <c r="K243" s="607">
        <v>6</v>
      </c>
      <c r="L243" s="607">
        <f t="shared" ref="L243:Q243" si="987">P61</f>
        <v>1</v>
      </c>
      <c r="M243" s="607">
        <f t="shared" ref="M243" si="988">Q61</f>
        <v>-6.0000000000000001E-3</v>
      </c>
      <c r="N243" s="607">
        <f t="shared" ref="N243" si="989">R61</f>
        <v>-7.0000000000000001E-3</v>
      </c>
      <c r="O243" s="607">
        <f t="shared" ref="O243" si="990">S61</f>
        <v>-1E-3</v>
      </c>
      <c r="P243" s="607">
        <f t="shared" ref="P243" si="991">T61</f>
        <v>3.0000000000000001E-3</v>
      </c>
      <c r="Q243" s="607">
        <f t="shared" si="987"/>
        <v>1.2072000000000001E-2</v>
      </c>
    </row>
    <row r="244" spans="1:17" ht="14" x14ac:dyDescent="0.25">
      <c r="A244" s="1516"/>
      <c r="B244" s="609">
        <v>7</v>
      </c>
      <c r="C244" s="607">
        <f t="shared" ref="C244:H244" si="992">B86</f>
        <v>50</v>
      </c>
      <c r="D244" s="607">
        <f t="shared" ref="D244" si="993">C86</f>
        <v>0.3</v>
      </c>
      <c r="E244" s="607">
        <f t="shared" ref="E244" si="994">D86</f>
        <v>0.5</v>
      </c>
      <c r="F244" s="607">
        <f t="shared" ref="F244" si="995">E86</f>
        <v>9.9999999999999995E-7</v>
      </c>
      <c r="G244" s="607">
        <f t="shared" ref="G244" si="996">F86</f>
        <v>0.24999950000000001</v>
      </c>
      <c r="H244" s="607">
        <f t="shared" si="992"/>
        <v>0.8449000000000001</v>
      </c>
      <c r="I244" s="607"/>
      <c r="J244" s="607"/>
      <c r="K244" s="607">
        <v>7</v>
      </c>
      <c r="L244" s="607">
        <f t="shared" ref="L244:Q244" si="997">B92</f>
        <v>1</v>
      </c>
      <c r="M244" s="607">
        <f t="shared" ref="M244" si="998">C92</f>
        <v>-6.0000000000000001E-3</v>
      </c>
      <c r="N244" s="607">
        <f t="shared" ref="N244" si="999">D92</f>
        <v>2E-3</v>
      </c>
      <c r="O244" s="607">
        <f t="shared" ref="O244" si="1000">E92</f>
        <v>-2E-3</v>
      </c>
      <c r="P244" s="607">
        <f t="shared" ref="P244" si="1001">F92</f>
        <v>2E-3</v>
      </c>
      <c r="Q244" s="607">
        <f t="shared" si="997"/>
        <v>1.2072000000000001E-2</v>
      </c>
    </row>
    <row r="245" spans="1:17" ht="14" x14ac:dyDescent="0.25">
      <c r="A245" s="1516"/>
      <c r="B245" s="609">
        <v>8</v>
      </c>
      <c r="C245" s="607">
        <f t="shared" ref="C245:H245" si="1002">I86</f>
        <v>50</v>
      </c>
      <c r="D245" s="607">
        <f t="shared" ref="D245" si="1003">J86</f>
        <v>0.2</v>
      </c>
      <c r="E245" s="607">
        <f t="shared" ref="E245" si="1004">K86</f>
        <v>9.9999999999999995E-7</v>
      </c>
      <c r="F245" s="607">
        <f t="shared" ref="F245" si="1005">L86</f>
        <v>0</v>
      </c>
      <c r="G245" s="607">
        <f t="shared" ref="G245" si="1006">M86</f>
        <v>9.9999500000000005E-2</v>
      </c>
      <c r="H245" s="607">
        <f t="shared" si="1002"/>
        <v>0.85000000000000009</v>
      </c>
      <c r="I245" s="607"/>
      <c r="J245" s="607"/>
      <c r="K245" s="607">
        <v>8</v>
      </c>
      <c r="L245" s="607">
        <f t="shared" ref="L245:Q245" si="1007">I92</f>
        <v>1</v>
      </c>
      <c r="M245" s="607">
        <f t="shared" ref="M245" si="1008">J92</f>
        <v>5.0000000000000001E-3</v>
      </c>
      <c r="N245" s="607">
        <f t="shared" ref="N245" si="1009">K92</f>
        <v>1E-3</v>
      </c>
      <c r="O245" s="607">
        <f t="shared" ref="O245" si="1010">L92</f>
        <v>0</v>
      </c>
      <c r="P245" s="607">
        <f t="shared" ref="P245" si="1011">M92</f>
        <v>2E-3</v>
      </c>
      <c r="Q245" s="607">
        <f t="shared" si="1007"/>
        <v>1.2E-2</v>
      </c>
    </row>
    <row r="246" spans="1:17" ht="14" x14ac:dyDescent="0.25">
      <c r="A246" s="1516"/>
      <c r="B246" s="609">
        <v>9</v>
      </c>
      <c r="C246" s="607">
        <f t="shared" ref="C246:H246" si="1012">P86</f>
        <v>50</v>
      </c>
      <c r="D246" s="607">
        <f t="shared" ref="D246" si="1013">Q86</f>
        <v>0.2</v>
      </c>
      <c r="E246" s="607">
        <f t="shared" ref="E246" si="1014">R86</f>
        <v>9.9999999999999995E-7</v>
      </c>
      <c r="F246" s="607">
        <f t="shared" ref="F246" si="1015">S86</f>
        <v>0</v>
      </c>
      <c r="G246" s="607">
        <f t="shared" ref="G246" si="1016">T86</f>
        <v>9.9999500000000005E-2</v>
      </c>
      <c r="H246" s="607">
        <f t="shared" si="1012"/>
        <v>0</v>
      </c>
      <c r="I246" s="607"/>
      <c r="J246" s="607"/>
      <c r="K246" s="607">
        <v>9</v>
      </c>
      <c r="L246" s="607">
        <f t="shared" ref="L246:Q246" si="1017">P92</f>
        <v>0.5</v>
      </c>
      <c r="M246" s="607">
        <f t="shared" ref="M246" si="1018">Q92</f>
        <v>4.0000000000000001E-3</v>
      </c>
      <c r="N246" s="607">
        <f t="shared" ref="N246" si="1019">R92</f>
        <v>9.9999999999999995E-7</v>
      </c>
      <c r="O246" s="607">
        <f t="shared" ref="O246" si="1020">S92</f>
        <v>0</v>
      </c>
      <c r="P246" s="607">
        <f t="shared" ref="P246" si="1021">T92</f>
        <v>1.9995E-3</v>
      </c>
      <c r="Q246" s="607">
        <f t="shared" si="1017"/>
        <v>6.0000000000000001E-3</v>
      </c>
    </row>
    <row r="247" spans="1:17" ht="14" x14ac:dyDescent="0.25">
      <c r="A247" s="1516"/>
      <c r="B247" s="609">
        <v>10</v>
      </c>
      <c r="C247" s="607">
        <f>B117</f>
        <v>50</v>
      </c>
      <c r="D247" s="607">
        <f t="shared" ref="D247:G247" si="1022">C117</f>
        <v>0.4</v>
      </c>
      <c r="E247" s="607" t="str">
        <f t="shared" si="1022"/>
        <v>-</v>
      </c>
      <c r="F247" s="607">
        <f t="shared" si="1022"/>
        <v>0</v>
      </c>
      <c r="G247" s="607">
        <f t="shared" si="1022"/>
        <v>0</v>
      </c>
      <c r="H247" s="607" t="str">
        <f>G117</f>
        <v>-</v>
      </c>
      <c r="I247" s="607"/>
      <c r="J247" s="607"/>
      <c r="K247" s="607">
        <v>10</v>
      </c>
      <c r="L247" s="607">
        <f t="shared" ref="L247:Q247" si="1023">B123</f>
        <v>1</v>
      </c>
      <c r="M247" s="607">
        <f t="shared" ref="M247" si="1024">C123</f>
        <v>-8.0000000000000002E-3</v>
      </c>
      <c r="N247" s="607" t="str">
        <f t="shared" ref="N247" si="1025">D123</f>
        <v>-</v>
      </c>
      <c r="O247" s="607">
        <f t="shared" ref="O247" si="1026">E123</f>
        <v>0</v>
      </c>
      <c r="P247" s="607">
        <f t="shared" ref="P247" si="1027">F123</f>
        <v>0</v>
      </c>
      <c r="Q247" s="607" t="str">
        <f t="shared" si="1023"/>
        <v>-</v>
      </c>
    </row>
    <row r="248" spans="1:17" ht="14" x14ac:dyDescent="0.25">
      <c r="A248" s="1516"/>
      <c r="B248" s="609">
        <v>11</v>
      </c>
      <c r="C248" s="607">
        <f>I117</f>
        <v>50</v>
      </c>
      <c r="D248" s="607">
        <f t="shared" ref="D248:G248" si="1028">J117</f>
        <v>9.9999999999999995E-7</v>
      </c>
      <c r="E248" s="607" t="str">
        <f t="shared" si="1028"/>
        <v>-</v>
      </c>
      <c r="F248" s="607">
        <f t="shared" si="1028"/>
        <v>0</v>
      </c>
      <c r="G248" s="607">
        <f t="shared" si="1028"/>
        <v>0</v>
      </c>
      <c r="H248" s="607" t="str">
        <f>N117</f>
        <v>-</v>
      </c>
      <c r="I248" s="607"/>
      <c r="J248" s="607"/>
      <c r="K248" s="607">
        <v>11</v>
      </c>
      <c r="L248" s="607">
        <f t="shared" ref="L248:Q248" si="1029">I123</f>
        <v>1</v>
      </c>
      <c r="M248" s="607">
        <f t="shared" ref="M248" si="1030">J123</f>
        <v>9.9999999999999995E-7</v>
      </c>
      <c r="N248" s="607" t="str">
        <f t="shared" ref="N248" si="1031">K123</f>
        <v>-</v>
      </c>
      <c r="O248" s="607">
        <f t="shared" ref="O248" si="1032">L123</f>
        <v>0</v>
      </c>
      <c r="P248" s="607">
        <f t="shared" ref="P248" si="1033">M123</f>
        <v>0</v>
      </c>
      <c r="Q248" s="607" t="str">
        <f t="shared" si="1029"/>
        <v>-</v>
      </c>
    </row>
    <row r="249" spans="1:17" ht="14" x14ac:dyDescent="0.25">
      <c r="A249" s="1516"/>
      <c r="B249" s="609">
        <v>12</v>
      </c>
      <c r="C249" s="607">
        <f>P117</f>
        <v>50</v>
      </c>
      <c r="D249" s="607">
        <f t="shared" ref="D249:G249" si="1034">Q117</f>
        <v>9.9999999999999995E-7</v>
      </c>
      <c r="E249" s="607" t="str">
        <f t="shared" si="1034"/>
        <v>-</v>
      </c>
      <c r="F249" s="607">
        <f t="shared" si="1034"/>
        <v>0</v>
      </c>
      <c r="G249" s="607">
        <f t="shared" si="1034"/>
        <v>0</v>
      </c>
      <c r="H249" s="607" t="str">
        <f>U117</f>
        <v>-</v>
      </c>
      <c r="I249" s="607"/>
      <c r="J249" s="607"/>
      <c r="K249" s="607">
        <v>12</v>
      </c>
      <c r="L249" s="607">
        <f t="shared" ref="L249:Q249" si="1035">P123</f>
        <v>1</v>
      </c>
      <c r="M249" s="607">
        <f t="shared" ref="M249" si="1036">Q123</f>
        <v>9.9999999999999995E-7</v>
      </c>
      <c r="N249" s="607" t="str">
        <f t="shared" ref="N249" si="1037">R123</f>
        <v>-</v>
      </c>
      <c r="O249" s="607">
        <f t="shared" ref="O249" si="1038">S123</f>
        <v>0</v>
      </c>
      <c r="P249" s="607">
        <f t="shared" ref="P249" si="1039">T123</f>
        <v>0</v>
      </c>
      <c r="Q249" s="607" t="str">
        <f t="shared" si="1035"/>
        <v>-</v>
      </c>
    </row>
    <row r="250" spans="1:17" s="574" customFormat="1" ht="14" x14ac:dyDescent="0.25">
      <c r="A250" s="612"/>
      <c r="B250" s="213"/>
      <c r="C250" s="607"/>
      <c r="D250" s="607"/>
      <c r="E250" s="607"/>
      <c r="F250" s="607"/>
      <c r="G250" s="607"/>
      <c r="H250" s="607"/>
      <c r="I250" s="607"/>
      <c r="J250" s="607"/>
      <c r="K250" s="607"/>
      <c r="L250" s="607"/>
      <c r="M250" s="607"/>
      <c r="N250" s="607"/>
      <c r="O250" s="607"/>
      <c r="P250" s="607"/>
      <c r="Q250" s="607"/>
    </row>
    <row r="251" spans="1:17" ht="14" x14ac:dyDescent="0.25">
      <c r="A251" s="1516" t="s">
        <v>98</v>
      </c>
      <c r="B251" s="609">
        <v>1</v>
      </c>
      <c r="C251" s="607">
        <f t="shared" ref="C251:H251" si="1040">B25</f>
        <v>100</v>
      </c>
      <c r="D251" s="607">
        <f t="shared" ref="D251" si="1041">C25</f>
        <v>0.4</v>
      </c>
      <c r="E251" s="607">
        <f t="shared" ref="E251" si="1042">D25</f>
        <v>9.9999999999999995E-7</v>
      </c>
      <c r="F251" s="607">
        <f t="shared" ref="F251" si="1043">E25</f>
        <v>9.9999999999999995E-7</v>
      </c>
      <c r="G251" s="607">
        <f t="shared" ref="G251" si="1044">F25</f>
        <v>0.19999950000000002</v>
      </c>
      <c r="H251" s="607">
        <f t="shared" si="1040"/>
        <v>1.6932</v>
      </c>
      <c r="I251" s="607"/>
      <c r="J251" s="607" t="s">
        <v>98</v>
      </c>
      <c r="K251" s="607">
        <v>1</v>
      </c>
      <c r="L251" s="607">
        <f t="shared" ref="L251:Q251" si="1045">B31</f>
        <v>2</v>
      </c>
      <c r="M251" s="607">
        <f t="shared" ref="M251" si="1046">C31</f>
        <v>1.2E-2</v>
      </c>
      <c r="N251" s="607">
        <f t="shared" ref="N251" si="1047">D31</f>
        <v>7.0000000000000001E-3</v>
      </c>
      <c r="O251" s="607">
        <f t="shared" ref="O251" si="1048">E31</f>
        <v>9.9999999999999995E-7</v>
      </c>
      <c r="P251" s="607">
        <f t="shared" ref="P251" si="1049">F31</f>
        <v>5.9995000000000005E-3</v>
      </c>
      <c r="Q251" s="607">
        <f t="shared" si="1045"/>
        <v>2.3855999999999999E-2</v>
      </c>
    </row>
    <row r="252" spans="1:17" ht="14" x14ac:dyDescent="0.25">
      <c r="A252" s="1516"/>
      <c r="B252" s="609">
        <v>2</v>
      </c>
      <c r="C252" s="607">
        <f t="shared" ref="C252:H252" si="1050">I25</f>
        <v>100</v>
      </c>
      <c r="D252" s="607">
        <f t="shared" ref="D252" si="1051">J25</f>
        <v>0.2</v>
      </c>
      <c r="E252" s="607">
        <f t="shared" ref="E252" si="1052">K25</f>
        <v>0.3</v>
      </c>
      <c r="F252" s="607">
        <f t="shared" ref="F252" si="1053">L25</f>
        <v>9.9999999999999995E-7</v>
      </c>
      <c r="G252" s="607">
        <f t="shared" ref="G252" si="1054">M25</f>
        <v>0.14999950000000001</v>
      </c>
      <c r="H252" s="607">
        <f t="shared" si="1050"/>
        <v>1.6966000000000001</v>
      </c>
      <c r="I252" s="607"/>
      <c r="J252" s="607"/>
      <c r="K252" s="607">
        <v>2</v>
      </c>
      <c r="L252" s="607">
        <f t="shared" ref="L252:Q252" si="1055">I31</f>
        <v>2</v>
      </c>
      <c r="M252" s="607">
        <f t="shared" ref="M252" si="1056">J31</f>
        <v>0.113</v>
      </c>
      <c r="N252" s="607">
        <f t="shared" ref="N252" si="1057">K31</f>
        <v>9.9999999999999995E-7</v>
      </c>
      <c r="O252" s="607">
        <f t="shared" ref="O252" si="1058">L31</f>
        <v>9.9999999999999995E-7</v>
      </c>
      <c r="P252" s="607">
        <f t="shared" ref="P252" si="1059">M31</f>
        <v>0</v>
      </c>
      <c r="Q252" s="607">
        <f t="shared" si="1055"/>
        <v>2.2644000000000001E-2</v>
      </c>
    </row>
    <row r="253" spans="1:17" ht="14" x14ac:dyDescent="0.25">
      <c r="A253" s="1516"/>
      <c r="B253" s="609">
        <v>3</v>
      </c>
      <c r="C253" s="607">
        <f t="shared" ref="C253:H253" si="1060">P25</f>
        <v>50</v>
      </c>
      <c r="D253" s="607">
        <f t="shared" ref="D253" si="1061">Q25</f>
        <v>0.1</v>
      </c>
      <c r="E253" s="607">
        <f t="shared" ref="E253" si="1062">R25</f>
        <v>1.1000000000000001</v>
      </c>
      <c r="F253" s="607">
        <f t="shared" ref="F253" si="1063">S25</f>
        <v>0.6</v>
      </c>
      <c r="G253" s="607">
        <f t="shared" ref="G253" si="1064">T25</f>
        <v>0.5</v>
      </c>
      <c r="H253" s="607">
        <f t="shared" si="1060"/>
        <v>0.85000000000000009</v>
      </c>
      <c r="I253" s="607"/>
      <c r="J253" s="607"/>
      <c r="K253" s="607">
        <v>3</v>
      </c>
      <c r="L253" s="607">
        <f t="shared" ref="L253:Q253" si="1065">P31</f>
        <v>2</v>
      </c>
      <c r="M253" s="607">
        <f t="shared" ref="M253" si="1066">Q31</f>
        <v>-8.0000000000000002E-3</v>
      </c>
      <c r="N253" s="607">
        <f t="shared" ref="N253" si="1067">R31</f>
        <v>1.4E-2</v>
      </c>
      <c r="O253" s="607">
        <f t="shared" ref="O253" si="1068">S31</f>
        <v>9.9999999999999995E-7</v>
      </c>
      <c r="P253" s="607">
        <f t="shared" ref="P253" si="1069">T31</f>
        <v>1.0999999999999999E-2</v>
      </c>
      <c r="Q253" s="607">
        <f t="shared" si="1065"/>
        <v>2.4E-2</v>
      </c>
    </row>
    <row r="254" spans="1:17" ht="14" x14ac:dyDescent="0.25">
      <c r="A254" s="1516"/>
      <c r="B254" s="609">
        <v>4</v>
      </c>
      <c r="C254" s="607">
        <f t="shared" ref="C254:H254" si="1070">B56</f>
        <v>100</v>
      </c>
      <c r="D254" s="607">
        <f t="shared" ref="D254" si="1071">C56</f>
        <v>0.8</v>
      </c>
      <c r="E254" s="607">
        <f t="shared" ref="E254" si="1072">D56</f>
        <v>1.4</v>
      </c>
      <c r="F254" s="607">
        <f t="shared" ref="F254" si="1073">E56</f>
        <v>1</v>
      </c>
      <c r="G254" s="607">
        <f t="shared" ref="G254" si="1074">F56</f>
        <v>0.19999999999999996</v>
      </c>
      <c r="H254" s="607">
        <f t="shared" si="1070"/>
        <v>1.6864000000000001</v>
      </c>
      <c r="I254" s="607"/>
      <c r="J254" s="607"/>
      <c r="K254" s="607">
        <v>4</v>
      </c>
      <c r="L254" s="607">
        <f t="shared" ref="L254:Q254" si="1075">B62</f>
        <v>2</v>
      </c>
      <c r="M254" s="607">
        <f t="shared" ref="M254" si="1076">C62</f>
        <v>-6.0000000000000001E-3</v>
      </c>
      <c r="N254" s="607">
        <f t="shared" ref="N254" si="1077">D62</f>
        <v>-7.0000000000000001E-3</v>
      </c>
      <c r="O254" s="607">
        <f t="shared" ref="O254" si="1078">E62</f>
        <v>9.9999999999999995E-7</v>
      </c>
      <c r="P254" s="607">
        <f t="shared" ref="P254" si="1079">F62</f>
        <v>3.5005000000000001E-3</v>
      </c>
      <c r="Q254" s="607">
        <f t="shared" si="1075"/>
        <v>2.4071999999999996E-2</v>
      </c>
    </row>
    <row r="255" spans="1:17" ht="14" x14ac:dyDescent="0.25">
      <c r="A255" s="1516"/>
      <c r="B255" s="609">
        <v>5</v>
      </c>
      <c r="C255" s="607">
        <f t="shared" ref="C255:H255" si="1080">I56</f>
        <v>100</v>
      </c>
      <c r="D255" s="607">
        <f t="shared" ref="D255" si="1081">J56</f>
        <v>0.4</v>
      </c>
      <c r="E255" s="607">
        <f t="shared" ref="E255" si="1082">K56</f>
        <v>1.5</v>
      </c>
      <c r="F255" s="607">
        <f t="shared" ref="F255" si="1083">L56</f>
        <v>0.8</v>
      </c>
      <c r="G255" s="607">
        <f t="shared" ref="G255" si="1084">M56</f>
        <v>0.55000000000000004</v>
      </c>
      <c r="H255" s="607">
        <f t="shared" si="1080"/>
        <v>1.6932</v>
      </c>
      <c r="I255" s="607"/>
      <c r="J255" s="607"/>
      <c r="K255" s="607">
        <v>5</v>
      </c>
      <c r="L255" s="607">
        <f t="shared" ref="L255:Q255" si="1085">I62</f>
        <v>2</v>
      </c>
      <c r="M255" s="607">
        <f t="shared" ref="M255" si="1086">J62</f>
        <v>-4.0000000000000001E-3</v>
      </c>
      <c r="N255" s="607">
        <f t="shared" ref="N255" si="1087">K62</f>
        <v>0.113</v>
      </c>
      <c r="O255" s="607">
        <f t="shared" ref="O255" si="1088">L62</f>
        <v>9.9999999999999995E-7</v>
      </c>
      <c r="P255" s="607">
        <f t="shared" ref="P255" si="1089">M62</f>
        <v>5.8500000000000003E-2</v>
      </c>
      <c r="Q255" s="607">
        <f t="shared" si="1085"/>
        <v>2.4048E-2</v>
      </c>
    </row>
    <row r="256" spans="1:17" ht="14" x14ac:dyDescent="0.25">
      <c r="A256" s="1516"/>
      <c r="B256" s="609">
        <v>6</v>
      </c>
      <c r="C256" s="607">
        <f t="shared" ref="C256:H256" si="1090">P56</f>
        <v>100</v>
      </c>
      <c r="D256" s="607">
        <f t="shared" ref="D256" si="1091">Q56</f>
        <v>2</v>
      </c>
      <c r="E256" s="607">
        <f t="shared" ref="E256" si="1092">R56</f>
        <v>0.6</v>
      </c>
      <c r="F256" s="607">
        <f t="shared" ref="F256" si="1093">S56</f>
        <v>0.6</v>
      </c>
      <c r="G256" s="607">
        <f t="shared" ref="G256" si="1094">T56</f>
        <v>0</v>
      </c>
      <c r="H256" s="607">
        <f t="shared" si="1090"/>
        <v>1.6660000000000001</v>
      </c>
      <c r="I256" s="607"/>
      <c r="J256" s="607"/>
      <c r="K256" s="607">
        <v>6</v>
      </c>
      <c r="L256" s="607">
        <f t="shared" ref="L256:Q256" si="1095">P62</f>
        <v>2</v>
      </c>
      <c r="M256" s="607">
        <f t="shared" ref="M256" si="1096">Q62</f>
        <v>-7.0000000000000001E-3</v>
      </c>
      <c r="N256" s="607">
        <f t="shared" ref="N256" si="1097">R62</f>
        <v>-7.0000000000000001E-3</v>
      </c>
      <c r="O256" s="607">
        <f t="shared" ref="O256" si="1098">S62</f>
        <v>9.9999999999999995E-7</v>
      </c>
      <c r="P256" s="607">
        <f t="shared" ref="P256" si="1099">T62</f>
        <v>3.5005000000000001E-3</v>
      </c>
      <c r="Q256" s="607">
        <f t="shared" si="1095"/>
        <v>2.4084000000000001E-2</v>
      </c>
    </row>
    <row r="257" spans="1:20" ht="14" x14ac:dyDescent="0.25">
      <c r="A257" s="1516"/>
      <c r="B257" s="609">
        <v>7</v>
      </c>
      <c r="C257" s="607">
        <f t="shared" ref="C257:H257" si="1100">B87</f>
        <v>100</v>
      </c>
      <c r="D257" s="607">
        <f t="shared" ref="D257" si="1101">C87</f>
        <v>0.8</v>
      </c>
      <c r="E257" s="607">
        <f t="shared" ref="E257" si="1102">D87</f>
        <v>0.9</v>
      </c>
      <c r="F257" s="607">
        <f t="shared" ref="F257" si="1103">E87</f>
        <v>9.9999999999999995E-7</v>
      </c>
      <c r="G257" s="607">
        <f t="shared" ref="G257" si="1104">F87</f>
        <v>0.4499995</v>
      </c>
      <c r="H257" s="607">
        <f t="shared" si="1100"/>
        <v>1.6864000000000001</v>
      </c>
      <c r="I257" s="607"/>
      <c r="J257" s="607"/>
      <c r="K257" s="607">
        <v>7</v>
      </c>
      <c r="L257" s="607">
        <f t="shared" ref="L257:Q257" si="1105">B93</f>
        <v>2</v>
      </c>
      <c r="M257" s="607">
        <f t="shared" ref="M257" si="1106">C93</f>
        <v>-8.0000000000000002E-3</v>
      </c>
      <c r="N257" s="607">
        <f t="shared" ref="N257" si="1107">D93</f>
        <v>-1E-3</v>
      </c>
      <c r="O257" s="607">
        <f t="shared" ref="O257" si="1108">E93</f>
        <v>9.9999999999999995E-7</v>
      </c>
      <c r="P257" s="607">
        <f t="shared" ref="P257" si="1109">F93</f>
        <v>5.0049999999999997E-4</v>
      </c>
      <c r="Q257" s="607">
        <f t="shared" si="1105"/>
        <v>2.4095999999999999E-2</v>
      </c>
    </row>
    <row r="258" spans="1:20" ht="14" x14ac:dyDescent="0.25">
      <c r="A258" s="1516"/>
      <c r="B258" s="609">
        <v>8</v>
      </c>
      <c r="C258" s="607">
        <f t="shared" ref="C258:H258" si="1110">I87</f>
        <v>100</v>
      </c>
      <c r="D258" s="607">
        <f t="shared" ref="D258" si="1111">J87</f>
        <v>0.4</v>
      </c>
      <c r="E258" s="607">
        <f t="shared" ref="E258" si="1112">K87</f>
        <v>9.9999999999999995E-7</v>
      </c>
      <c r="F258" s="607">
        <f t="shared" ref="F258" si="1113">L87</f>
        <v>0</v>
      </c>
      <c r="G258" s="607">
        <f t="shared" ref="G258" si="1114">M87</f>
        <v>0.19999950000000002</v>
      </c>
      <c r="H258" s="607">
        <f t="shared" si="1110"/>
        <v>1.7000000000000002</v>
      </c>
      <c r="I258" s="607"/>
      <c r="J258" s="607"/>
      <c r="K258" s="607">
        <v>8</v>
      </c>
      <c r="L258" s="607">
        <f t="shared" ref="L258:Q258" si="1115">I93</f>
        <v>2</v>
      </c>
      <c r="M258" s="607">
        <f t="shared" ref="M258" si="1116">J93</f>
        <v>5.0000000000000001E-3</v>
      </c>
      <c r="N258" s="607">
        <f t="shared" ref="N258" si="1117">K93</f>
        <v>-1E-3</v>
      </c>
      <c r="O258" s="607">
        <f t="shared" ref="O258" si="1118">L93</f>
        <v>0</v>
      </c>
      <c r="P258" s="607">
        <f t="shared" ref="P258" si="1119">M93</f>
        <v>3.0000000000000001E-3</v>
      </c>
      <c r="Q258" s="607">
        <f t="shared" si="1115"/>
        <v>2.4E-2</v>
      </c>
    </row>
    <row r="259" spans="1:20" ht="14" x14ac:dyDescent="0.25">
      <c r="A259" s="1516"/>
      <c r="B259" s="609">
        <v>9</v>
      </c>
      <c r="C259" s="607">
        <f t="shared" ref="C259:H259" si="1120">P87</f>
        <v>100</v>
      </c>
      <c r="D259" s="607">
        <f t="shared" ref="D259" si="1121">Q87</f>
        <v>0.6</v>
      </c>
      <c r="E259" s="607">
        <f t="shared" ref="E259" si="1122">R87</f>
        <v>9.9999999999999995E-7</v>
      </c>
      <c r="F259" s="607">
        <f t="shared" ref="F259" si="1123">S87</f>
        <v>0</v>
      </c>
      <c r="G259" s="607">
        <f t="shared" ref="G259" si="1124">T87</f>
        <v>0.29999949999999997</v>
      </c>
      <c r="H259" s="607">
        <f t="shared" si="1120"/>
        <v>0</v>
      </c>
      <c r="I259" s="607"/>
      <c r="J259" s="607"/>
      <c r="K259" s="607">
        <v>9</v>
      </c>
      <c r="L259" s="607">
        <f t="shared" ref="L259:Q259" si="1125">P93</f>
        <v>1</v>
      </c>
      <c r="M259" s="607">
        <f t="shared" ref="M259" si="1126">Q93</f>
        <v>0</v>
      </c>
      <c r="N259" s="607">
        <f t="shared" ref="N259" si="1127">R93</f>
        <v>-1E-3</v>
      </c>
      <c r="O259" s="607">
        <f t="shared" ref="O259" si="1128">S93</f>
        <v>0</v>
      </c>
      <c r="P259" s="607">
        <f t="shared" ref="P259" si="1129">T93</f>
        <v>5.0000000000000001E-4</v>
      </c>
      <c r="Q259" s="607">
        <f t="shared" si="1125"/>
        <v>1.2E-2</v>
      </c>
    </row>
    <row r="260" spans="1:20" ht="14" x14ac:dyDescent="0.25">
      <c r="A260" s="1516"/>
      <c r="B260" s="609">
        <v>10</v>
      </c>
      <c r="C260" s="607">
        <f>B118</f>
        <v>100</v>
      </c>
      <c r="D260" s="607">
        <f t="shared" ref="D260:G260" si="1130">C118</f>
        <v>1.4</v>
      </c>
      <c r="E260" s="607" t="str">
        <f t="shared" si="1130"/>
        <v>-</v>
      </c>
      <c r="F260" s="607">
        <f t="shared" si="1130"/>
        <v>0</v>
      </c>
      <c r="G260" s="607">
        <f t="shared" si="1130"/>
        <v>0</v>
      </c>
      <c r="H260" s="607" t="str">
        <f>G118</f>
        <v>-</v>
      </c>
      <c r="I260" s="607"/>
      <c r="J260" s="607"/>
      <c r="K260" s="607">
        <v>10</v>
      </c>
      <c r="L260" s="607">
        <f t="shared" ref="L260:Q260" si="1131">B124</f>
        <v>2</v>
      </c>
      <c r="M260" s="607">
        <f t="shared" ref="M260" si="1132">C124</f>
        <v>-7.0000000000000001E-3</v>
      </c>
      <c r="N260" s="607" t="str">
        <f t="shared" ref="N260" si="1133">D124</f>
        <v>-</v>
      </c>
      <c r="O260" s="607">
        <f t="shared" ref="O260" si="1134">E124</f>
        <v>0</v>
      </c>
      <c r="P260" s="607">
        <f t="shared" ref="P260" si="1135">F124</f>
        <v>0</v>
      </c>
      <c r="Q260" s="607" t="str">
        <f t="shared" si="1131"/>
        <v>-</v>
      </c>
    </row>
    <row r="261" spans="1:20" ht="14" x14ac:dyDescent="0.25">
      <c r="A261" s="1516"/>
      <c r="B261" s="609">
        <v>11</v>
      </c>
      <c r="C261" s="607">
        <f>I118</f>
        <v>100</v>
      </c>
      <c r="D261" s="607">
        <f t="shared" ref="D261:G261" si="1136">J118</f>
        <v>9.9999999999999995E-7</v>
      </c>
      <c r="E261" s="607" t="str">
        <f t="shared" si="1136"/>
        <v>-</v>
      </c>
      <c r="F261" s="607">
        <f t="shared" si="1136"/>
        <v>0</v>
      </c>
      <c r="G261" s="607">
        <f t="shared" si="1136"/>
        <v>0</v>
      </c>
      <c r="H261" s="607" t="str">
        <f>N118</f>
        <v>-</v>
      </c>
      <c r="I261" s="607"/>
      <c r="J261" s="607"/>
      <c r="K261" s="607">
        <v>11</v>
      </c>
      <c r="L261" s="607">
        <f t="shared" ref="L261:Q261" si="1137">I124</f>
        <v>2</v>
      </c>
      <c r="M261" s="607">
        <f t="shared" ref="M261" si="1138">J124</f>
        <v>9.9999999999999995E-7</v>
      </c>
      <c r="N261" s="607" t="str">
        <f t="shared" ref="N261" si="1139">K124</f>
        <v>-</v>
      </c>
      <c r="O261" s="607">
        <f t="shared" ref="O261" si="1140">L124</f>
        <v>0</v>
      </c>
      <c r="P261" s="607">
        <f t="shared" ref="P261" si="1141">M124</f>
        <v>0</v>
      </c>
      <c r="Q261" s="607" t="str">
        <f t="shared" si="1137"/>
        <v>-</v>
      </c>
    </row>
    <row r="262" spans="1:20" ht="14" x14ac:dyDescent="0.25">
      <c r="A262" s="1516"/>
      <c r="B262" s="609">
        <v>12</v>
      </c>
      <c r="C262" s="607">
        <f>P118</f>
        <v>100</v>
      </c>
      <c r="D262" s="607">
        <f t="shared" ref="D262:G262" si="1142">Q118</f>
        <v>9.9999999999999995E-7</v>
      </c>
      <c r="E262" s="607" t="str">
        <f t="shared" si="1142"/>
        <v>-</v>
      </c>
      <c r="F262" s="607">
        <f t="shared" si="1142"/>
        <v>0</v>
      </c>
      <c r="G262" s="607">
        <f t="shared" si="1142"/>
        <v>0</v>
      </c>
      <c r="H262" s="607" t="str">
        <f>U118</f>
        <v>-</v>
      </c>
      <c r="I262" s="607"/>
      <c r="J262" s="607"/>
      <c r="K262" s="607">
        <v>12</v>
      </c>
      <c r="L262" s="607">
        <f t="shared" ref="L262:Q262" si="1143">P124</f>
        <v>2</v>
      </c>
      <c r="M262" s="607">
        <f t="shared" ref="M262" si="1144">Q124</f>
        <v>9.9999999999999995E-7</v>
      </c>
      <c r="N262" s="607" t="str">
        <f t="shared" ref="N262" si="1145">R124</f>
        <v>-</v>
      </c>
      <c r="O262" s="607">
        <f t="shared" ref="O262" si="1146">S124</f>
        <v>0</v>
      </c>
      <c r="P262" s="607">
        <f t="shared" ref="P262" si="1147">T124</f>
        <v>0</v>
      </c>
      <c r="Q262" s="607" t="str">
        <f t="shared" si="1143"/>
        <v>-</v>
      </c>
    </row>
    <row r="263" spans="1:20" s="574" customFormat="1" x14ac:dyDescent="0.25">
      <c r="A263" s="613"/>
      <c r="B263" s="290"/>
      <c r="C263" s="228"/>
      <c r="D263" s="228"/>
      <c r="E263" s="228"/>
      <c r="F263" s="228"/>
      <c r="G263" s="228"/>
      <c r="H263" s="614"/>
      <c r="I263" s="613"/>
      <c r="J263" s="290"/>
      <c r="K263" s="290"/>
      <c r="L263" s="290"/>
      <c r="M263" s="290"/>
      <c r="N263" s="290"/>
      <c r="O263" s="290"/>
      <c r="P263" s="614"/>
      <c r="Q263" s="614"/>
    </row>
    <row r="264" spans="1:20" ht="13" thickBot="1" x14ac:dyDescent="0.3">
      <c r="A264" s="601"/>
      <c r="B264" s="602"/>
      <c r="C264" s="602"/>
      <c r="D264" s="603"/>
      <c r="E264" s="603"/>
      <c r="F264" s="603"/>
      <c r="G264" s="603"/>
      <c r="H264" s="603"/>
      <c r="P264" s="603"/>
      <c r="Q264" s="603"/>
    </row>
    <row r="265" spans="1:20" ht="43.5" customHeight="1" x14ac:dyDescent="0.25">
      <c r="A265" s="615">
        <f>A311</f>
        <v>9</v>
      </c>
      <c r="B265" s="1504" t="str">
        <f>A298</f>
        <v>Electrical Safety Analyzer, Merek : Fluke, Model : ESA 615, SN : 4670010</v>
      </c>
      <c r="C265" s="1504"/>
      <c r="D265" s="1504"/>
      <c r="E265" s="1504"/>
      <c r="F265" s="1504"/>
      <c r="H265" s="616" t="s">
        <v>411</v>
      </c>
      <c r="I265" s="616" t="s">
        <v>412</v>
      </c>
      <c r="J265" s="616" t="s">
        <v>413</v>
      </c>
      <c r="K265" s="616" t="s">
        <v>414</v>
      </c>
      <c r="L265" s="617"/>
      <c r="M265" s="1505" t="s">
        <v>103</v>
      </c>
      <c r="N265" s="1508" t="s">
        <v>415</v>
      </c>
      <c r="O265" s="1511" t="s">
        <v>416</v>
      </c>
      <c r="Q265" s="4"/>
      <c r="R265" s="4"/>
      <c r="S265" s="4"/>
      <c r="T265" s="4"/>
    </row>
    <row r="266" spans="1:20" ht="14.5" customHeight="1" x14ac:dyDescent="0.25">
      <c r="A266" s="1514" t="s">
        <v>386</v>
      </c>
      <c r="B266" s="1514"/>
      <c r="C266" s="1514"/>
      <c r="D266" s="1514"/>
      <c r="E266" s="1514"/>
      <c r="F266" s="1514"/>
      <c r="H266" s="618">
        <f>FORECAST(M268,B269:B274,A269:A274)</f>
        <v>-0.19568447837150127</v>
      </c>
      <c r="I266" s="618" t="str">
        <f>IFERROR(FORECAST(M269,B285:B288,A285:A288),"-")</f>
        <v>-</v>
      </c>
      <c r="J266" s="618">
        <f>FORECAST(M270,B291:B294,A291:A294)</f>
        <v>1.2204694882021157E-3</v>
      </c>
      <c r="K266" s="618" t="str">
        <f>IFERROR(FORECAST(M271,B277:B282,A277:A282),"-")</f>
        <v>-</v>
      </c>
      <c r="L266" s="614"/>
      <c r="M266" s="1506"/>
      <c r="N266" s="1509"/>
      <c r="O266" s="1512"/>
      <c r="Q266" s="4"/>
      <c r="R266" s="4"/>
      <c r="S266" s="4"/>
      <c r="T266" s="4"/>
    </row>
    <row r="267" spans="1:20" ht="13.5" thickBot="1" x14ac:dyDescent="0.3">
      <c r="A267" s="1446" t="str">
        <f>B4</f>
        <v>Setting VAC</v>
      </c>
      <c r="B267" s="1446"/>
      <c r="C267" s="1446"/>
      <c r="D267" s="1446"/>
      <c r="E267" s="1446" t="s">
        <v>388</v>
      </c>
      <c r="F267" s="1446" t="s">
        <v>389</v>
      </c>
      <c r="H267" s="4"/>
      <c r="I267" s="4"/>
      <c r="J267" s="4"/>
      <c r="K267" s="4"/>
      <c r="L267" s="614"/>
      <c r="M267" s="1507"/>
      <c r="N267" s="1510"/>
      <c r="O267" s="1513"/>
      <c r="Q267" s="4"/>
      <c r="R267" s="4"/>
      <c r="S267" s="4"/>
      <c r="T267" s="4"/>
    </row>
    <row r="268" spans="1:20" ht="31.5" x14ac:dyDescent="0.25">
      <c r="A268" s="619" t="s">
        <v>390</v>
      </c>
      <c r="B268" s="620">
        <f>VLOOKUP(B265,A299:L310,9,FALSE)</f>
        <v>2022</v>
      </c>
      <c r="C268" s="620">
        <f>VLOOKUP(B265,A299:L310,10,FALSE)</f>
        <v>2020</v>
      </c>
      <c r="D268" s="620">
        <f>VLOOKUP(B265,A299:L310,11,FALSE)</f>
        <v>2016</v>
      </c>
      <c r="E268" s="1446"/>
      <c r="F268" s="1446"/>
      <c r="H268" s="616" t="s">
        <v>417</v>
      </c>
      <c r="I268" s="616" t="s">
        <v>418</v>
      </c>
      <c r="J268" s="4"/>
      <c r="K268" s="4"/>
      <c r="L268" s="614"/>
      <c r="M268" s="621">
        <f>ID!E20</f>
        <v>212</v>
      </c>
      <c r="N268" s="622">
        <f>M268+H266</f>
        <v>211.8043155216285</v>
      </c>
      <c r="O268" s="623">
        <f>IF(M268="-","-",IF(M268=M268,N268,))</f>
        <v>211.8043155216285</v>
      </c>
      <c r="Q268" s="4"/>
      <c r="R268" s="4"/>
      <c r="S268" s="4"/>
      <c r="T268" s="4"/>
    </row>
    <row r="269" spans="1:20" ht="15.5" x14ac:dyDescent="0.25">
      <c r="A269" s="624">
        <f>VLOOKUP($A265,$B131:$H142,2,(FALSE))</f>
        <v>150</v>
      </c>
      <c r="B269" s="625">
        <f>VLOOKUP($A$265,$B$131:$H$142,3,(FALSE))</f>
        <v>-0.08</v>
      </c>
      <c r="C269" s="625">
        <f>VLOOKUP($A$265,$B$131:$H$142,4,(FALSE))</f>
        <v>-0.17</v>
      </c>
      <c r="D269" s="625">
        <f>VLOOKUP($A$265,$B$131:$H$142,5,(FALSE))</f>
        <v>0</v>
      </c>
      <c r="E269" s="625">
        <f>VLOOKUP($A$265,$B$131:$H$142,6,(FALSE))</f>
        <v>4.5000000000000005E-2</v>
      </c>
      <c r="F269" s="624">
        <f>VLOOKUP($A$265,$B$131:$H$142,7,(FALSE))</f>
        <v>1.8</v>
      </c>
      <c r="H269" s="626">
        <f>FORECAST(M272,B277:B282,A277:A282)</f>
        <v>1.3668887014812414</v>
      </c>
      <c r="I269" s="626">
        <f>FORECAST(N268,F269:F274,A269:A274)</f>
        <v>2.5416517862595422</v>
      </c>
      <c r="J269" s="627"/>
      <c r="K269" s="627"/>
      <c r="L269" s="614"/>
      <c r="M269" s="628" t="str">
        <f>ID!I28</f>
        <v>OL</v>
      </c>
      <c r="N269" s="629" t="str">
        <f>IFERROR(M269+I266,"-")</f>
        <v>-</v>
      </c>
      <c r="O269" s="630" t="str">
        <f>IF(M269="OL","OL",IF(M269="NC","NC",IF(M269="OR","OR",IFERROR(N269,"-"))))</f>
        <v>OL</v>
      </c>
      <c r="Q269" s="603"/>
      <c r="R269" s="631"/>
    </row>
    <row r="270" spans="1:20" ht="14.5" thickBot="1" x14ac:dyDescent="0.3">
      <c r="A270" s="632">
        <f>VLOOKUP($A$265,$B$144:$H$155,2,(FALSE))</f>
        <v>180</v>
      </c>
      <c r="B270" s="633">
        <f>VLOOKUP($A$265,$B$144:$H$155,3,(FALSE))</f>
        <v>-0.2</v>
      </c>
      <c r="C270" s="633">
        <f>VLOOKUP($A$265,$B$144:$H$155,4,(FALSE))</f>
        <v>-0.22</v>
      </c>
      <c r="D270" s="633">
        <f>VLOOKUP($A$265,$B$144:$H$155,5,(FALSE))</f>
        <v>0</v>
      </c>
      <c r="E270" s="633">
        <f>VLOOKUP($A$265,$B$144:$H$155,6,(FALSE))</f>
        <v>9.999999999999995E-3</v>
      </c>
      <c r="F270" s="624">
        <f>VLOOKUP($A$265,$B$144:$H$155,7,(FALSE))</f>
        <v>2.16</v>
      </c>
      <c r="H270" s="4"/>
      <c r="I270" s="4"/>
      <c r="J270" s="4"/>
      <c r="K270" s="4"/>
      <c r="L270" s="614"/>
      <c r="M270" s="628">
        <f>ID!I29</f>
        <v>0.215</v>
      </c>
      <c r="N270" s="629">
        <f>M270+J266</f>
        <v>0.21622046948820212</v>
      </c>
      <c r="O270" s="630">
        <f>IF(M270="OL","OL",IF(M270="NC","NC",IF(M270="OR","OR",IFERROR(N270,"-"))))</f>
        <v>0.21622046948820212</v>
      </c>
    </row>
    <row r="271" spans="1:20" ht="14" x14ac:dyDescent="0.25">
      <c r="A271" s="632">
        <f>VLOOKUP($A$265,$B$157:$H$168,2,(FALSE))</f>
        <v>200</v>
      </c>
      <c r="B271" s="633">
        <f>VLOOKUP($A$265,$B$157:$H$168,3,(FALSE))</f>
        <v>-0.25</v>
      </c>
      <c r="C271" s="633">
        <f>VLOOKUP($A$265,$B$157:$H$168,4,(FALSE))</f>
        <v>-0.33</v>
      </c>
      <c r="D271" s="633">
        <f>VLOOKUP($A$265,$B$157:$H$168,5,(FALSE))</f>
        <v>0</v>
      </c>
      <c r="E271" s="633">
        <f>VLOOKUP($A$265,$B$157:$H$168,6,(FALSE))</f>
        <v>4.0000000000000008E-2</v>
      </c>
      <c r="F271" s="624">
        <f>VLOOKUP($A$265,$B$157:$H$168,7,(FALSE))</f>
        <v>2.4</v>
      </c>
      <c r="H271" s="1253" t="s">
        <v>276</v>
      </c>
      <c r="I271" s="1254"/>
      <c r="J271" s="1255"/>
      <c r="K271" s="4"/>
      <c r="L271" s="634" t="s">
        <v>419</v>
      </c>
      <c r="M271" s="635" t="str">
        <f>ID!I30</f>
        <v>-</v>
      </c>
      <c r="N271" s="636" t="str">
        <f>IFERROR(M271+K266,"-")</f>
        <v>-</v>
      </c>
      <c r="O271" s="637" t="str">
        <f>IFERROR(N271,"-")</f>
        <v>-</v>
      </c>
      <c r="P271" s="603"/>
    </row>
    <row r="272" spans="1:20" ht="16" thickBot="1" x14ac:dyDescent="0.3">
      <c r="A272" s="213">
        <f>VLOOKUP($A$265,$B$170:$H$181,2,(FALSE))</f>
        <v>220</v>
      </c>
      <c r="B272" s="286">
        <f>VLOOKUP($A$265,$B$170:$H$181,3,(FALSE))</f>
        <v>-0.28999999999999998</v>
      </c>
      <c r="C272" s="286">
        <f>VLOOKUP($A$265,$B$170:$H$181,4,(FALSE))</f>
        <v>-0.39</v>
      </c>
      <c r="D272" s="286">
        <f>VLOOKUP($A$265,$B$170:$H$181,5,(FALSE))</f>
        <v>0</v>
      </c>
      <c r="E272" s="286">
        <f>VLOOKUP($A$265,$B$170:$H$181,6,(FALSE))</f>
        <v>5.0000000000000017E-2</v>
      </c>
      <c r="F272" s="624">
        <f>VLOOKUP($A$265,$B$170:$H$181,7,(FALSE))</f>
        <v>2.64</v>
      </c>
      <c r="H272" s="638" t="str">
        <f>TEXT(O268,"0.0")</f>
        <v>211.8</v>
      </c>
      <c r="I272" s="624" t="str">
        <f>TEXT(I269,"0.0")</f>
        <v>2.5</v>
      </c>
      <c r="J272" s="639" t="s">
        <v>278</v>
      </c>
      <c r="K272" s="4"/>
      <c r="L272" s="634" t="s">
        <v>420</v>
      </c>
      <c r="M272" s="640">
        <f>ID!R32</f>
        <v>10</v>
      </c>
      <c r="N272" s="641">
        <f>M272+H269</f>
        <v>11.366888701481241</v>
      </c>
      <c r="O272" s="642">
        <f>IFERROR(N272,"-")</f>
        <v>11.366888701481241</v>
      </c>
    </row>
    <row r="273" spans="1:18" ht="15.75" customHeight="1" thickBot="1" x14ac:dyDescent="0.35">
      <c r="A273" s="213">
        <f>VLOOKUP($A$265,$B$183:$H$194,2,(FALSE))</f>
        <v>230</v>
      </c>
      <c r="B273" s="286">
        <f>VLOOKUP($A$265,$B$183:$H$194,3,(FALSE))</f>
        <v>-0.34</v>
      </c>
      <c r="C273" s="286">
        <f>VLOOKUP($A$265,$B$183:$H$194,4,(FALSE))</f>
        <v>-0.39</v>
      </c>
      <c r="D273" s="286">
        <f>VLOOKUP($A$265,$B$183:$H$194,5,(FALSE))</f>
        <v>0</v>
      </c>
      <c r="E273" s="286">
        <f>VLOOKUP($A$265,$B$183:$H$194,6,(FALSE))</f>
        <v>2.4999999999999994E-2</v>
      </c>
      <c r="F273" s="624">
        <f>VLOOKUP($A$265,$B$183:$H$194,7,(FALSE))</f>
        <v>2.7600000000000002</v>
      </c>
      <c r="H273" s="643" t="s">
        <v>280</v>
      </c>
      <c r="I273" s="644" t="s">
        <v>281</v>
      </c>
      <c r="J273" s="645" t="s">
        <v>282</v>
      </c>
      <c r="K273" s="627"/>
      <c r="L273" s="614"/>
      <c r="M273" s="646"/>
      <c r="N273" s="647"/>
      <c r="O273" s="648"/>
    </row>
    <row r="274" spans="1:18" ht="17.5" x14ac:dyDescent="0.25">
      <c r="A274" s="213">
        <f>VLOOKUP($A$265,$B$196:$H$207,2,(FALSE))</f>
        <v>250</v>
      </c>
      <c r="B274" s="286">
        <f>VLOOKUP($A$265,$B$196:$H$207,3,(FALSE))</f>
        <v>0</v>
      </c>
      <c r="C274" s="286">
        <f>VLOOKUP($A$265,$B$196:$H$207,4,(FALSE))</f>
        <v>-0.39</v>
      </c>
      <c r="D274" s="286">
        <f>VLOOKUP($A$265,$B$196:$H$207,5,(FALSE))</f>
        <v>0</v>
      </c>
      <c r="E274" s="286">
        <f>VLOOKUP($A$265,$B$196:$H$207,6,(FALSE))</f>
        <v>0.19500000000000001</v>
      </c>
      <c r="F274" s="624">
        <f>VLOOKUP($A$265,$B$196:$H$207,7,(FALSE))</f>
        <v>3</v>
      </c>
      <c r="H274" s="1500" t="str">
        <f>H273&amp;H272&amp;I273&amp;I272&amp;J273&amp;J272</f>
        <v>( 211.8 ± 2.5 ) Volt</v>
      </c>
      <c r="I274" s="1501"/>
      <c r="J274" s="1502"/>
      <c r="K274" s="4"/>
      <c r="L274" s="614"/>
      <c r="M274" s="646"/>
      <c r="N274" s="647"/>
      <c r="O274" s="648"/>
    </row>
    <row r="275" spans="1:18" ht="13" customHeight="1" x14ac:dyDescent="0.25">
      <c r="A275" s="1447" t="str">
        <f>B12</f>
        <v>Current Leakage</v>
      </c>
      <c r="B275" s="1447"/>
      <c r="C275" s="1447"/>
      <c r="D275" s="1447"/>
      <c r="E275" s="649" t="s">
        <v>388</v>
      </c>
      <c r="F275" s="649" t="s">
        <v>389</v>
      </c>
      <c r="H275" s="4"/>
      <c r="I275" s="4"/>
      <c r="J275" s="4"/>
      <c r="K275" s="4"/>
      <c r="L275" s="614"/>
      <c r="M275" s="646"/>
      <c r="N275" s="647"/>
      <c r="O275" s="648"/>
      <c r="Q275" s="603"/>
    </row>
    <row r="276" spans="1:18" ht="14" x14ac:dyDescent="0.25">
      <c r="A276" s="619" t="s">
        <v>392</v>
      </c>
      <c r="B276" s="620">
        <f>B268</f>
        <v>2022</v>
      </c>
      <c r="C276" s="620">
        <f>C268</f>
        <v>2020</v>
      </c>
      <c r="D276" s="620">
        <f>D268</f>
        <v>2016</v>
      </c>
      <c r="E276" s="649"/>
      <c r="F276" s="649"/>
      <c r="H276" s="4"/>
      <c r="I276" s="4"/>
      <c r="J276" s="4"/>
      <c r="K276" s="4"/>
      <c r="L276" s="614"/>
      <c r="M276" s="646"/>
      <c r="N276" s="647"/>
      <c r="O276" s="648"/>
      <c r="Q276" s="603"/>
    </row>
    <row r="277" spans="1:18" ht="15.75" customHeight="1" x14ac:dyDescent="0.25">
      <c r="A277" s="610">
        <f>VLOOKUP($A$265,$K$131:$Q$142,2,(FALSE))</f>
        <v>0</v>
      </c>
      <c r="B277" s="546">
        <f>VLOOKUP($A$265,$K$131:$Q$142,3,(FALSE))</f>
        <v>0</v>
      </c>
      <c r="C277" s="546">
        <f>VLOOKUP($A$265,$K$131:$Q$142,4,(FALSE))</f>
        <v>9.9999999999999995E-7</v>
      </c>
      <c r="D277" s="546">
        <f>VLOOKUP($A$265,$K$131:$Q$142,5,(FALSE))</f>
        <v>0</v>
      </c>
      <c r="E277" s="546">
        <f>VLOOKUP($A$265,$K$131:$Q$142,6,(FALSE))</f>
        <v>4.9999999999999998E-7</v>
      </c>
      <c r="F277" s="546">
        <f>VLOOKUP($A$265,$K$131:$Q$142,7,(FALSE))</f>
        <v>0.12</v>
      </c>
      <c r="H277" s="1503"/>
      <c r="I277" s="1503"/>
      <c r="J277" s="1503"/>
      <c r="K277" s="1503"/>
      <c r="L277" s="614"/>
      <c r="M277" s="650"/>
      <c r="N277" s="650"/>
      <c r="O277" s="651"/>
      <c r="Q277" s="603"/>
      <c r="R277" s="603"/>
    </row>
    <row r="278" spans="1:18" x14ac:dyDescent="0.25">
      <c r="A278" s="610">
        <f>VLOOKUP($A$265,$K$144:$Q$155,2,(FALSE))</f>
        <v>20</v>
      </c>
      <c r="B278" s="546">
        <f>VLOOKUP($A$265,$K$144:$Q$155,3,(FALSE))</f>
        <v>4.9000000000000004</v>
      </c>
      <c r="C278" s="546">
        <f>VLOOKUP($A$265,$K$144:$Q$155,4,(FALSE))</f>
        <v>0.8</v>
      </c>
      <c r="D278" s="546">
        <f>VLOOKUP($A$265,$K$144:$Q$155,5,(FALSE))</f>
        <v>0</v>
      </c>
      <c r="E278" s="546">
        <f>VLOOKUP($A$265,$K$144:$Q$155,6,(FALSE))</f>
        <v>2.0500000000000003</v>
      </c>
      <c r="F278" s="546">
        <f>VLOOKUP($A$265,$K$144:$Q$155,7,(FALSE))</f>
        <v>0.11799999999999999</v>
      </c>
      <c r="H278" s="4"/>
      <c r="I278" s="4"/>
      <c r="J278" s="4"/>
      <c r="K278" s="4"/>
      <c r="L278" s="614"/>
      <c r="M278" s="652"/>
      <c r="N278" s="652"/>
      <c r="O278" s="648"/>
      <c r="Q278" s="603"/>
      <c r="R278" s="603"/>
    </row>
    <row r="279" spans="1:18" x14ac:dyDescent="0.25">
      <c r="A279" s="610">
        <f>VLOOKUP($A$265,$K$157:$Q$168,2,(FALSE))</f>
        <v>50</v>
      </c>
      <c r="B279" s="546">
        <f>VLOOKUP($A$265,$K$157:$Q$168,3,(FALSE))</f>
        <v>9.1999999999999993</v>
      </c>
      <c r="C279" s="546">
        <f>VLOOKUP($A$265,$K$157:$Q$168,4,(FALSE))</f>
        <v>1.7</v>
      </c>
      <c r="D279" s="546">
        <f>VLOOKUP($A$265,$K$157:$Q$168,5,(FALSE))</f>
        <v>0</v>
      </c>
      <c r="E279" s="546">
        <f>VLOOKUP($A$265,$K$157:$Q$168,6,(FALSE))</f>
        <v>3.7499999999999996</v>
      </c>
      <c r="F279" s="546">
        <f>VLOOKUP($A$265,$K$157:$Q$168,7,(FALSE))</f>
        <v>0.29499999999999998</v>
      </c>
      <c r="H279" s="4"/>
      <c r="I279" s="4"/>
      <c r="J279" s="4"/>
      <c r="K279" s="4"/>
      <c r="L279" s="614"/>
      <c r="M279" s="574"/>
      <c r="N279" s="574"/>
      <c r="O279" s="653"/>
      <c r="Q279" s="603"/>
      <c r="R279" s="603"/>
    </row>
    <row r="280" spans="1:18" x14ac:dyDescent="0.25">
      <c r="A280" s="610">
        <f>VLOOKUP($A$265,$K$170:$Q$181,2,(FALSE))</f>
        <v>200</v>
      </c>
      <c r="B280" s="546">
        <f>VLOOKUP($A$265,$K$170:$Q$181,3,(FALSE))</f>
        <v>-0.2</v>
      </c>
      <c r="C280" s="546">
        <f>VLOOKUP($A$265,$K$170:$Q$181,4,(FALSE))</f>
        <v>3.4</v>
      </c>
      <c r="D280" s="546">
        <f>VLOOKUP($A$265,$K$170:$Q$181,5,(FALSE))</f>
        <v>0</v>
      </c>
      <c r="E280" s="546">
        <f>VLOOKUP($A$265,$K$170:$Q$181,6,(FALSE))</f>
        <v>1.8</v>
      </c>
      <c r="F280" s="546">
        <f>VLOOKUP($A$265,$K$170:$Q$181,7,(FALSE))</f>
        <v>1.18</v>
      </c>
      <c r="H280" s="4"/>
      <c r="I280" s="4"/>
      <c r="J280" s="4"/>
      <c r="K280" s="4"/>
      <c r="L280" s="614"/>
      <c r="M280" s="574"/>
      <c r="N280" s="574"/>
      <c r="O280" s="653"/>
      <c r="Q280" s="603"/>
      <c r="R280" s="603"/>
    </row>
    <row r="281" spans="1:18" ht="16.5" customHeight="1" x14ac:dyDescent="0.3">
      <c r="A281" s="610">
        <f>VLOOKUP($A$265,$K$183:$Q$194,2,(FALSE))</f>
        <v>500</v>
      </c>
      <c r="B281" s="546">
        <f>VLOOKUP($A$265,$K$183:$Q$194,3,(FALSE))</f>
        <v>-25.1</v>
      </c>
      <c r="C281" s="546">
        <f>VLOOKUP($A$265,$K$183:$Q$194,4,(FALSE))</f>
        <v>7.2</v>
      </c>
      <c r="D281" s="546">
        <f>VLOOKUP($A$265,$K$183:$Q$194,5,(FALSE))</f>
        <v>0</v>
      </c>
      <c r="E281" s="546">
        <f>VLOOKUP($A$265,$K$183:$Q$194,6,(FALSE))</f>
        <v>16.150000000000002</v>
      </c>
      <c r="F281" s="546">
        <f>VLOOKUP($A$265,$K$183:$Q$194,7,(FALSE))</f>
        <v>2.9499999999999997</v>
      </c>
      <c r="H281" s="1503"/>
      <c r="I281" s="1503"/>
      <c r="J281" s="1503"/>
      <c r="K281" s="1503"/>
      <c r="L281" s="614"/>
      <c r="M281" s="654"/>
      <c r="N281" s="654"/>
      <c r="O281" s="655"/>
      <c r="P281" s="656"/>
      <c r="Q281" s="603"/>
      <c r="R281" s="603"/>
    </row>
    <row r="282" spans="1:18" x14ac:dyDescent="0.25">
      <c r="A282" s="610">
        <f>VLOOKUP($A$265,$K$196:$Q$207,2,(FALSE))</f>
        <v>1000</v>
      </c>
      <c r="B282" s="546">
        <f>VLOOKUP($A$265,$K$196:$Q$207,3,(FALSE))</f>
        <v>-6.6000000000000003E-2</v>
      </c>
      <c r="C282" s="546">
        <f>VLOOKUP($A$265,$K$196:$Q$207,4,(FALSE))</f>
        <v>9.9999999999999995E-7</v>
      </c>
      <c r="D282" s="546">
        <f>VLOOKUP($A$265,$K$196:$Q$207,5,(FALSE))</f>
        <v>0</v>
      </c>
      <c r="E282" s="546">
        <f>VLOOKUP($A$265,$K$196:$Q$207,6,(FALSE))</f>
        <v>3.3000500000000002E-2</v>
      </c>
      <c r="F282" s="546">
        <f>VLOOKUP($A$265,$K$196:$Q$207,7,(FALSE))</f>
        <v>2.99</v>
      </c>
      <c r="H282" s="4"/>
      <c r="I282" s="4"/>
      <c r="J282" s="4"/>
      <c r="K282" s="4"/>
      <c r="L282" s="614"/>
      <c r="M282" s="4"/>
      <c r="N282" s="4"/>
      <c r="O282" s="657"/>
      <c r="P282" s="658"/>
      <c r="Q282" s="603"/>
      <c r="R282" s="603"/>
    </row>
    <row r="283" spans="1:18" ht="13" x14ac:dyDescent="0.25">
      <c r="A283" s="1447" t="str">
        <f>B20</f>
        <v>Main-PE</v>
      </c>
      <c r="B283" s="1447"/>
      <c r="C283" s="1447"/>
      <c r="D283" s="1447"/>
      <c r="E283" s="649" t="s">
        <v>388</v>
      </c>
      <c r="F283" s="649" t="s">
        <v>389</v>
      </c>
      <c r="H283" s="4"/>
      <c r="I283" s="4"/>
      <c r="J283" s="4"/>
      <c r="K283" s="4"/>
      <c r="L283" s="614"/>
      <c r="M283" s="4"/>
      <c r="N283" s="4"/>
      <c r="O283" s="657"/>
      <c r="P283" s="658"/>
      <c r="Q283" s="603"/>
      <c r="R283" s="603"/>
    </row>
    <row r="284" spans="1:18" ht="14.5" x14ac:dyDescent="0.25">
      <c r="A284" s="619" t="s">
        <v>394</v>
      </c>
      <c r="B284" s="620">
        <f>B276</f>
        <v>2022</v>
      </c>
      <c r="C284" s="620">
        <f>C276</f>
        <v>2020</v>
      </c>
      <c r="D284" s="620">
        <f>D276</f>
        <v>2016</v>
      </c>
      <c r="E284" s="649"/>
      <c r="F284" s="649"/>
      <c r="H284" s="4"/>
      <c r="I284" s="4"/>
      <c r="J284" s="4"/>
      <c r="K284" s="4"/>
      <c r="L284" s="614"/>
      <c r="M284" s="4"/>
      <c r="N284" s="4"/>
      <c r="O284" s="657"/>
      <c r="P284" s="658"/>
      <c r="Q284" s="603"/>
      <c r="R284" s="603"/>
    </row>
    <row r="285" spans="1:18" ht="15.75" customHeight="1" x14ac:dyDescent="0.25">
      <c r="A285" s="610">
        <f>VLOOKUP($A$265,$B$212:$H$223,2,(FALSE))</f>
        <v>10</v>
      </c>
      <c r="B285" s="546">
        <f>VLOOKUP($A$265,$B$212:$H$223,3,(FALSE))</f>
        <v>0</v>
      </c>
      <c r="C285" s="546">
        <f>VLOOKUP($A$265,$B$212:$H$223,4,(FALSE))</f>
        <v>9.9999999999999995E-7</v>
      </c>
      <c r="D285" s="546">
        <f>VLOOKUP($A$265,$B$212:$H$223,5,(FALSE))</f>
        <v>0</v>
      </c>
      <c r="E285" s="546">
        <f>VLOOKUP($A$265,$B$212:$H$223,6,(FALSE))</f>
        <v>4.9999999999999998E-7</v>
      </c>
      <c r="F285" s="546">
        <f>VLOOKUP($A$265,$B$212:$H$223,7,(FALSE))</f>
        <v>0</v>
      </c>
      <c r="H285" s="1493"/>
      <c r="I285" s="1493"/>
      <c r="J285" s="1493"/>
      <c r="K285" s="1493"/>
      <c r="L285" s="574"/>
      <c r="M285" s="574"/>
      <c r="N285" s="574"/>
      <c r="O285" s="653"/>
      <c r="Q285" s="603"/>
      <c r="R285" s="603"/>
    </row>
    <row r="286" spans="1:18" x14ac:dyDescent="0.25">
      <c r="A286" s="610">
        <f>VLOOKUP($A$265,$B$225:$H$236,2,(FALSE))</f>
        <v>20</v>
      </c>
      <c r="B286" s="546">
        <f>VLOOKUP($A$265,$B$225:$H$236,3,(FALSE))</f>
        <v>0</v>
      </c>
      <c r="C286" s="546">
        <f>VLOOKUP($A$265,$B$225:$H$236,4,(FALSE))</f>
        <v>9.9999999999999995E-7</v>
      </c>
      <c r="D286" s="546">
        <f>VLOOKUP($A$265,$B$225:$H$236,5,(FALSE))</f>
        <v>0</v>
      </c>
      <c r="E286" s="546">
        <f>VLOOKUP($A$265,$B$225:$H$236,6,(FALSE))</f>
        <v>4.9999999999999998E-7</v>
      </c>
      <c r="F286" s="546">
        <f>VLOOKUP($A$265,$B$225:$H$236,7,(FALSE))</f>
        <v>0</v>
      </c>
      <c r="H286" s="659"/>
      <c r="I286" s="659"/>
      <c r="J286" s="659"/>
      <c r="K286" s="659"/>
      <c r="L286" s="574"/>
      <c r="M286" s="574"/>
      <c r="N286" s="574"/>
      <c r="O286" s="653"/>
      <c r="Q286" s="603"/>
      <c r="R286" s="603"/>
    </row>
    <row r="287" spans="1:18" x14ac:dyDescent="0.25">
      <c r="A287" s="610">
        <f>VLOOKUP($A$265,$B$238:$H$249,2,(FALSE))</f>
        <v>50</v>
      </c>
      <c r="B287" s="546">
        <f>VLOOKUP($A$265,$B$238:$H$249,3,(FALSE))</f>
        <v>0.2</v>
      </c>
      <c r="C287" s="546">
        <f>VLOOKUP($A$265,$B$238:$H$249,4,(FALSE))</f>
        <v>9.9999999999999995E-7</v>
      </c>
      <c r="D287" s="546">
        <f>VLOOKUP($A$265,$B$238:$H$249,5,(FALSE))</f>
        <v>0</v>
      </c>
      <c r="E287" s="546">
        <f>VLOOKUP($A$265,$B$238:$H$249,6,(FALSE))</f>
        <v>9.9999500000000005E-2</v>
      </c>
      <c r="F287" s="546">
        <f>VLOOKUP($A$265,$B$238:$H$249,7,(FALSE))</f>
        <v>0</v>
      </c>
      <c r="H287" s="659"/>
      <c r="I287" s="659"/>
      <c r="J287" s="659"/>
      <c r="K287" s="659"/>
      <c r="L287" s="574"/>
      <c r="M287" s="574"/>
      <c r="N287" s="574"/>
      <c r="O287" s="653"/>
      <c r="Q287" s="603"/>
      <c r="R287" s="603"/>
    </row>
    <row r="288" spans="1:18" x14ac:dyDescent="0.25">
      <c r="A288" s="610">
        <f>VLOOKUP($A$265,$B$251:$H$262,2,(FALSE))</f>
        <v>100</v>
      </c>
      <c r="B288" s="546">
        <f>VLOOKUP($A$265,$B$251:$H$262,3,(FALSE))</f>
        <v>0.6</v>
      </c>
      <c r="C288" s="546">
        <f>VLOOKUP($A$265,$B$251:$H$262,4,(FALSE))</f>
        <v>9.9999999999999995E-7</v>
      </c>
      <c r="D288" s="546">
        <f>VLOOKUP($A$265,$B$251:$H$262,5,(FALSE))</f>
        <v>0</v>
      </c>
      <c r="E288" s="546">
        <f>VLOOKUP($A$265,$B$251:$H$262,6,(FALSE))</f>
        <v>0.29999949999999997</v>
      </c>
      <c r="F288" s="546">
        <f>VLOOKUP($A$265,$B$251:$H$262,7,(FALSE))</f>
        <v>0</v>
      </c>
      <c r="H288" s="659"/>
      <c r="I288" s="659"/>
      <c r="J288" s="659"/>
      <c r="K288" s="659"/>
      <c r="L288" s="574"/>
      <c r="M288" s="574"/>
      <c r="N288" s="574"/>
      <c r="O288" s="653"/>
      <c r="Q288" s="603"/>
      <c r="R288" s="603"/>
    </row>
    <row r="289" spans="1:25" ht="15.75" customHeight="1" x14ac:dyDescent="0.25">
      <c r="A289" s="1447" t="str">
        <f>B26</f>
        <v>Resistance</v>
      </c>
      <c r="B289" s="1447"/>
      <c r="C289" s="1447"/>
      <c r="D289" s="1447"/>
      <c r="E289" s="649" t="s">
        <v>388</v>
      </c>
      <c r="F289" s="649" t="s">
        <v>389</v>
      </c>
      <c r="H289" s="1493"/>
      <c r="I289" s="1493"/>
      <c r="J289" s="1493"/>
      <c r="K289" s="1493"/>
      <c r="L289" s="574"/>
      <c r="M289" s="574"/>
      <c r="N289" s="574"/>
      <c r="O289" s="653"/>
      <c r="Q289" s="603"/>
      <c r="R289" s="603"/>
    </row>
    <row r="290" spans="1:25" ht="14.5" x14ac:dyDescent="0.25">
      <c r="A290" s="619" t="s">
        <v>396</v>
      </c>
      <c r="B290" s="620">
        <f>B284</f>
        <v>2022</v>
      </c>
      <c r="C290" s="620">
        <f>C284</f>
        <v>2020</v>
      </c>
      <c r="D290" s="620">
        <f>D284</f>
        <v>2016</v>
      </c>
      <c r="E290" s="649"/>
      <c r="F290" s="649"/>
      <c r="H290" s="659"/>
      <c r="I290" s="659"/>
      <c r="J290" s="659"/>
      <c r="K290" s="659"/>
      <c r="L290" s="574"/>
      <c r="M290" s="574"/>
      <c r="N290" s="574"/>
      <c r="O290" s="653"/>
      <c r="Q290" s="603"/>
      <c r="R290" s="603"/>
    </row>
    <row r="291" spans="1:25" ht="14" x14ac:dyDescent="0.25">
      <c r="A291" s="624">
        <f>VLOOKUP($A$265,$K$212:$Q$223,2,(FALSE))</f>
        <v>1E-3</v>
      </c>
      <c r="B291" s="625">
        <f>VLOOKUP($A$265,$K$212:$Q$223,3,(FALSE))</f>
        <v>0</v>
      </c>
      <c r="C291" s="625">
        <f>VLOOKUP($A$265,$K$212:$Q$223,4,(FALSE))</f>
        <v>-1E-3</v>
      </c>
      <c r="D291" s="625">
        <f>VLOOKUP($A$265,$K$212:$Q$223,5,(FALSE))</f>
        <v>0</v>
      </c>
      <c r="E291" s="625">
        <f>VLOOKUP($A$265,$K$212:$Q$223,6,(FALSE))</f>
        <v>5.0000000000000001E-4</v>
      </c>
      <c r="F291" s="625">
        <f>VLOOKUP($A$265,$K$212:$Q$223,7,(FALSE))</f>
        <v>1.2E-5</v>
      </c>
      <c r="H291" s="659"/>
      <c r="I291" s="659"/>
      <c r="J291" s="659"/>
      <c r="K291" s="659"/>
      <c r="L291" s="574"/>
      <c r="M291" s="574"/>
      <c r="N291" s="574"/>
      <c r="O291" s="653"/>
      <c r="Q291" s="603"/>
      <c r="R291" s="603"/>
    </row>
    <row r="292" spans="1:25" ht="14" x14ac:dyDescent="0.25">
      <c r="A292" s="624">
        <f>VLOOKUP($A$265,$K$225:$Q$236,2,(FALSE))</f>
        <v>0.10199999999999999</v>
      </c>
      <c r="B292" s="625">
        <f>VLOOKUP($A$265,$K$225:$Q$236,3,(FALSE))</f>
        <v>1E-3</v>
      </c>
      <c r="C292" s="625">
        <f>VLOOKUP($A$265,$K$225:$Q$236,4,(FALSE))</f>
        <v>-2E-3</v>
      </c>
      <c r="D292" s="625">
        <f>VLOOKUP($A$265,$K$225:$Q$236,5,(FALSE))</f>
        <v>0</v>
      </c>
      <c r="E292" s="625">
        <f>VLOOKUP($A$265,$K$225:$Q$236,6,(FALSE))</f>
        <v>1.5E-3</v>
      </c>
      <c r="F292" s="625">
        <f>VLOOKUP($A$265,$K$225:$Q$236,7,(FALSE))</f>
        <v>1.224E-3</v>
      </c>
      <c r="H292" s="659"/>
      <c r="I292" s="659"/>
      <c r="J292" s="659"/>
      <c r="K292" s="659"/>
      <c r="L292" s="574"/>
      <c r="M292" s="574"/>
      <c r="N292" s="574"/>
      <c r="O292" s="653"/>
      <c r="Q292" s="603"/>
      <c r="R292" s="603"/>
    </row>
    <row r="293" spans="1:25" ht="15.75" customHeight="1" x14ac:dyDescent="0.25">
      <c r="A293" s="624">
        <f>VLOOKUP($A$265,$K$238:$Q$249,2,(FALSE))</f>
        <v>0.5</v>
      </c>
      <c r="B293" s="625">
        <f>VLOOKUP($A$265,$K$238:$Q$249,3,(FALSE))</f>
        <v>4.0000000000000001E-3</v>
      </c>
      <c r="C293" s="625">
        <f>VLOOKUP($A$265,$K$238:$Q$249,4,(FALSE))</f>
        <v>9.9999999999999995E-7</v>
      </c>
      <c r="D293" s="625">
        <f>VLOOKUP($A$265,$K$238:$Q$249,5,(FALSE))</f>
        <v>0</v>
      </c>
      <c r="E293" s="625">
        <f>VLOOKUP($A$265,$K$238:$Q$249,6,(FALSE))</f>
        <v>1.9995E-3</v>
      </c>
      <c r="F293" s="625">
        <f>VLOOKUP($A$265,$K$238:$Q$249,7,(FALSE))</f>
        <v>6.0000000000000001E-3</v>
      </c>
      <c r="H293" s="1493"/>
      <c r="I293" s="1493"/>
      <c r="J293" s="1493"/>
      <c r="K293" s="1493"/>
      <c r="L293" s="574"/>
      <c r="M293" s="574"/>
      <c r="N293" s="574"/>
      <c r="O293" s="653"/>
      <c r="Q293" s="603"/>
      <c r="R293" s="603"/>
    </row>
    <row r="294" spans="1:25" ht="14" x14ac:dyDescent="0.25">
      <c r="A294" s="624">
        <f>VLOOKUP($A$265,$K$251:$Q$262,2,(FALSE))</f>
        <v>1</v>
      </c>
      <c r="B294" s="625">
        <f>VLOOKUP($A$265,$K$251:$Q$262,3,(FALSE))</f>
        <v>0</v>
      </c>
      <c r="C294" s="625">
        <f>VLOOKUP($A$265,$K$251:$Q$262,4,(FALSE))</f>
        <v>-1E-3</v>
      </c>
      <c r="D294" s="625">
        <f>VLOOKUP($A$265,$K$251:$Q$262,5,(FALSE))</f>
        <v>0</v>
      </c>
      <c r="E294" s="625">
        <f>VLOOKUP($A$265,$K$251:$Q$262,6,(FALSE))</f>
        <v>5.0000000000000001E-4</v>
      </c>
      <c r="F294" s="625">
        <f>VLOOKUP($A$265,$K$251:$Q$262,7,(FALSE))</f>
        <v>1.2E-2</v>
      </c>
      <c r="H294" s="659"/>
      <c r="I294" s="659"/>
      <c r="J294" s="659"/>
      <c r="K294" s="659"/>
      <c r="L294" s="574"/>
      <c r="M294" s="574"/>
      <c r="N294" s="574"/>
      <c r="O294" s="653"/>
      <c r="Q294" s="603"/>
      <c r="R294" s="603"/>
    </row>
    <row r="297" spans="1:25" ht="13" thickBot="1" x14ac:dyDescent="0.3"/>
    <row r="298" spans="1:25" ht="13.5" thickBot="1" x14ac:dyDescent="0.35">
      <c r="A298" s="945" t="str">
        <f>ID!B57</f>
        <v>Electrical Safety Analyzer, Merek : Fluke, Model : ESA 615, SN : 4670010</v>
      </c>
      <c r="B298" s="946"/>
      <c r="C298" s="946"/>
      <c r="D298" s="946"/>
      <c r="E298" s="946"/>
      <c r="F298" s="946"/>
      <c r="G298" s="946"/>
      <c r="H298" s="946"/>
      <c r="I298" s="946"/>
      <c r="J298" s="946"/>
      <c r="K298" s="946"/>
      <c r="L298" s="947"/>
      <c r="N298" s="1494">
        <f>A311</f>
        <v>9</v>
      </c>
      <c r="O298" s="1495"/>
      <c r="P298" s="1495"/>
      <c r="Q298" s="1495"/>
      <c r="R298" s="1495"/>
      <c r="S298" s="1495"/>
      <c r="T298" s="1495"/>
      <c r="U298" s="1495"/>
      <c r="V298" s="1495"/>
      <c r="W298" s="1495"/>
      <c r="X298" s="1495"/>
      <c r="Y298" s="1496"/>
    </row>
    <row r="299" spans="1:25" ht="13" x14ac:dyDescent="0.3">
      <c r="A299" s="948" t="s">
        <v>421</v>
      </c>
      <c r="B299" s="949"/>
      <c r="C299" s="949"/>
      <c r="D299" s="950"/>
      <c r="E299" s="950"/>
      <c r="F299" s="950"/>
      <c r="G299" s="950"/>
      <c r="H299" s="950"/>
      <c r="I299" s="951">
        <f>C5</f>
        <v>2022</v>
      </c>
      <c r="J299" s="952">
        <f>D5</f>
        <v>2020</v>
      </c>
      <c r="K299" s="952">
        <f>E5</f>
        <v>2019</v>
      </c>
      <c r="L299" s="953">
        <v>1</v>
      </c>
      <c r="N299" s="954">
        <v>1</v>
      </c>
      <c r="O299" s="955" t="s">
        <v>422</v>
      </c>
      <c r="P299" s="956"/>
      <c r="Q299" s="956"/>
      <c r="R299" s="956"/>
      <c r="S299" s="956"/>
      <c r="T299" s="956"/>
      <c r="U299" s="956"/>
      <c r="V299" s="956"/>
      <c r="W299" s="956"/>
      <c r="X299" s="956"/>
      <c r="Y299" s="957"/>
    </row>
    <row r="300" spans="1:25" ht="13" x14ac:dyDescent="0.3">
      <c r="A300" s="958" t="s">
        <v>423</v>
      </c>
      <c r="B300" s="660"/>
      <c r="C300" s="660"/>
      <c r="D300" s="661"/>
      <c r="E300" s="661"/>
      <c r="F300" s="661"/>
      <c r="G300" s="661"/>
      <c r="H300" s="661"/>
      <c r="I300" s="662">
        <f>J5</f>
        <v>2022</v>
      </c>
      <c r="J300" s="663">
        <f>K5</f>
        <v>2019</v>
      </c>
      <c r="K300" s="663">
        <f>L5</f>
        <v>2017</v>
      </c>
      <c r="L300" s="664">
        <v>2</v>
      </c>
      <c r="N300" s="665">
        <v>2</v>
      </c>
      <c r="O300" s="666" t="s">
        <v>422</v>
      </c>
      <c r="P300" s="667"/>
      <c r="Q300" s="667"/>
      <c r="R300" s="667"/>
      <c r="S300" s="667"/>
      <c r="T300" s="667"/>
      <c r="U300" s="667"/>
      <c r="V300" s="667"/>
      <c r="W300" s="667"/>
      <c r="X300" s="667"/>
      <c r="Y300" s="668"/>
    </row>
    <row r="301" spans="1:25" ht="13" x14ac:dyDescent="0.3">
      <c r="A301" s="958" t="s">
        <v>424</v>
      </c>
      <c r="B301" s="660"/>
      <c r="C301" s="660"/>
      <c r="D301" s="661"/>
      <c r="E301" s="661"/>
      <c r="F301" s="661"/>
      <c r="G301" s="661"/>
      <c r="H301" s="661"/>
      <c r="I301" s="662">
        <f>Q5</f>
        <v>2022</v>
      </c>
      <c r="J301" s="663">
        <f>R5</f>
        <v>2021</v>
      </c>
      <c r="K301" s="663">
        <f>S5</f>
        <v>2018</v>
      </c>
      <c r="L301" s="664">
        <v>3</v>
      </c>
      <c r="N301" s="665">
        <v>3</v>
      </c>
      <c r="O301" s="666" t="s">
        <v>422</v>
      </c>
      <c r="P301" s="667"/>
      <c r="Q301" s="667"/>
      <c r="R301" s="667"/>
      <c r="S301" s="667"/>
      <c r="T301" s="667"/>
      <c r="U301" s="667"/>
      <c r="V301" s="667"/>
      <c r="W301" s="667"/>
      <c r="X301" s="667"/>
      <c r="Y301" s="668"/>
    </row>
    <row r="302" spans="1:25" ht="13" x14ac:dyDescent="0.3">
      <c r="A302" s="958" t="s">
        <v>425</v>
      </c>
      <c r="B302" s="660"/>
      <c r="C302" s="660"/>
      <c r="D302" s="661"/>
      <c r="E302" s="661"/>
      <c r="F302" s="661"/>
      <c r="G302" s="661"/>
      <c r="H302" s="661"/>
      <c r="I302" s="662">
        <f>C36</f>
        <v>2022</v>
      </c>
      <c r="J302" s="663">
        <f>D36</f>
        <v>2021</v>
      </c>
      <c r="K302" s="663">
        <f>E36</f>
        <v>2019</v>
      </c>
      <c r="L302" s="664">
        <v>4</v>
      </c>
      <c r="N302" s="665">
        <v>4</v>
      </c>
      <c r="O302" s="666" t="s">
        <v>422</v>
      </c>
      <c r="P302" s="667"/>
      <c r="Q302" s="667"/>
      <c r="R302" s="667"/>
      <c r="S302" s="667"/>
      <c r="T302" s="667"/>
      <c r="U302" s="667"/>
      <c r="V302" s="667"/>
      <c r="W302" s="667"/>
      <c r="X302" s="667"/>
      <c r="Y302" s="668"/>
    </row>
    <row r="303" spans="1:25" ht="13" x14ac:dyDescent="0.3">
      <c r="A303" s="958" t="s">
        <v>426</v>
      </c>
      <c r="B303" s="660"/>
      <c r="C303" s="660"/>
      <c r="D303" s="661"/>
      <c r="E303" s="661"/>
      <c r="F303" s="661"/>
      <c r="G303" s="661"/>
      <c r="H303" s="661"/>
      <c r="I303" s="662">
        <f>J36</f>
        <v>2022</v>
      </c>
      <c r="J303" s="663">
        <f>K36</f>
        <v>2021</v>
      </c>
      <c r="K303" s="663">
        <f>L36</f>
        <v>2019</v>
      </c>
      <c r="L303" s="664">
        <v>5</v>
      </c>
      <c r="N303" s="665">
        <v>5</v>
      </c>
      <c r="O303" s="666" t="s">
        <v>422</v>
      </c>
      <c r="P303" s="667"/>
      <c r="Q303" s="667"/>
      <c r="R303" s="667"/>
      <c r="S303" s="667"/>
      <c r="T303" s="667"/>
      <c r="U303" s="667"/>
      <c r="V303" s="667"/>
      <c r="W303" s="667"/>
      <c r="X303" s="667"/>
      <c r="Y303" s="668"/>
    </row>
    <row r="304" spans="1:25" ht="13" x14ac:dyDescent="0.3">
      <c r="A304" s="958" t="s">
        <v>427</v>
      </c>
      <c r="B304" s="660"/>
      <c r="C304" s="660"/>
      <c r="D304" s="661"/>
      <c r="E304" s="661"/>
      <c r="F304" s="661"/>
      <c r="G304" s="661"/>
      <c r="H304" s="661"/>
      <c r="I304" s="662">
        <f>Q36</f>
        <v>2023</v>
      </c>
      <c r="J304" s="663">
        <f>R36</f>
        <v>2022</v>
      </c>
      <c r="K304" s="663">
        <f>S36</f>
        <v>2019</v>
      </c>
      <c r="L304" s="664">
        <v>6</v>
      </c>
      <c r="N304" s="665">
        <v>6</v>
      </c>
      <c r="O304" s="666" t="s">
        <v>422</v>
      </c>
      <c r="P304" s="667"/>
      <c r="Q304" s="667"/>
      <c r="R304" s="667"/>
      <c r="S304" s="667"/>
      <c r="T304" s="667"/>
      <c r="U304" s="667"/>
      <c r="V304" s="667"/>
      <c r="W304" s="667"/>
      <c r="X304" s="667"/>
      <c r="Y304" s="668"/>
    </row>
    <row r="305" spans="1:25" ht="13" x14ac:dyDescent="0.3">
      <c r="A305" s="958" t="s">
        <v>428</v>
      </c>
      <c r="B305" s="660"/>
      <c r="C305" s="660"/>
      <c r="D305" s="661"/>
      <c r="E305" s="661"/>
      <c r="F305" s="661"/>
      <c r="G305" s="661"/>
      <c r="H305" s="661"/>
      <c r="I305" s="662">
        <f>C67</f>
        <v>2023</v>
      </c>
      <c r="J305" s="663">
        <f>D67</f>
        <v>2022</v>
      </c>
      <c r="K305" s="663">
        <f>E67</f>
        <v>2020</v>
      </c>
      <c r="L305" s="664">
        <v>7</v>
      </c>
      <c r="N305" s="665">
        <v>7</v>
      </c>
      <c r="O305" s="666" t="s">
        <v>422</v>
      </c>
      <c r="P305" s="667"/>
      <c r="Q305" s="667"/>
      <c r="R305" s="667"/>
      <c r="S305" s="667"/>
      <c r="T305" s="667"/>
      <c r="U305" s="667"/>
      <c r="V305" s="667"/>
      <c r="W305" s="667"/>
      <c r="X305" s="667"/>
      <c r="Y305" s="668"/>
    </row>
    <row r="306" spans="1:25" ht="13" x14ac:dyDescent="0.3">
      <c r="A306" s="958" t="s">
        <v>429</v>
      </c>
      <c r="B306" s="660"/>
      <c r="C306" s="660"/>
      <c r="D306" s="661"/>
      <c r="E306" s="661"/>
      <c r="F306" s="661"/>
      <c r="G306" s="661"/>
      <c r="H306" s="661"/>
      <c r="I306" s="669">
        <f>J67</f>
        <v>2022</v>
      </c>
      <c r="J306" s="663">
        <f>K67</f>
        <v>2020</v>
      </c>
      <c r="K306" s="663">
        <f>L67</f>
        <v>2016</v>
      </c>
      <c r="L306" s="664">
        <v>8</v>
      </c>
      <c r="N306" s="665">
        <v>8</v>
      </c>
      <c r="O306" s="666" t="s">
        <v>422</v>
      </c>
      <c r="P306" s="667"/>
      <c r="Q306" s="667"/>
      <c r="R306" s="667"/>
      <c r="S306" s="667"/>
      <c r="T306" s="667"/>
      <c r="U306" s="667"/>
      <c r="V306" s="667"/>
      <c r="W306" s="667"/>
      <c r="X306" s="667"/>
      <c r="Y306" s="668"/>
    </row>
    <row r="307" spans="1:25" ht="13" x14ac:dyDescent="0.3">
      <c r="A307" s="958" t="s">
        <v>160</v>
      </c>
      <c r="B307" s="660"/>
      <c r="C307" s="660"/>
      <c r="D307" s="661"/>
      <c r="E307" s="661"/>
      <c r="F307" s="661"/>
      <c r="G307" s="661"/>
      <c r="H307" s="661"/>
      <c r="I307" s="669">
        <f>Q67</f>
        <v>2022</v>
      </c>
      <c r="J307" s="663">
        <f>R67</f>
        <v>2020</v>
      </c>
      <c r="K307" s="663">
        <f>S67</f>
        <v>2016</v>
      </c>
      <c r="L307" s="664">
        <v>9</v>
      </c>
      <c r="N307" s="665">
        <v>9</v>
      </c>
      <c r="O307" s="666" t="s">
        <v>422</v>
      </c>
      <c r="P307" s="667"/>
      <c r="Q307" s="667"/>
      <c r="R307" s="667"/>
      <c r="S307" s="667"/>
      <c r="T307" s="667"/>
      <c r="U307" s="667"/>
      <c r="V307" s="667"/>
      <c r="W307" s="667"/>
      <c r="X307" s="667"/>
      <c r="Y307" s="668"/>
    </row>
    <row r="308" spans="1:25" ht="13" x14ac:dyDescent="0.3">
      <c r="A308" s="958" t="s">
        <v>430</v>
      </c>
      <c r="B308" s="660"/>
      <c r="C308" s="660"/>
      <c r="D308" s="661"/>
      <c r="E308" s="661"/>
      <c r="F308" s="661"/>
      <c r="G308" s="661"/>
      <c r="H308" s="661"/>
      <c r="I308" s="669">
        <f>C98</f>
        <v>2021</v>
      </c>
      <c r="J308" s="663" t="str">
        <f>D98</f>
        <v>-</v>
      </c>
      <c r="K308" s="663">
        <f>E98</f>
        <v>2016</v>
      </c>
      <c r="L308" s="664">
        <v>10</v>
      </c>
      <c r="N308" s="665">
        <v>10</v>
      </c>
      <c r="O308" s="666" t="s">
        <v>422</v>
      </c>
      <c r="P308" s="670"/>
      <c r="Q308" s="670"/>
      <c r="R308" s="670"/>
      <c r="S308" s="670"/>
      <c r="T308" s="670"/>
      <c r="U308" s="670"/>
      <c r="V308" s="670"/>
      <c r="W308" s="670"/>
      <c r="X308" s="670"/>
      <c r="Y308" s="671"/>
    </row>
    <row r="309" spans="1:25" ht="13" x14ac:dyDescent="0.3">
      <c r="A309" s="958" t="s">
        <v>431</v>
      </c>
      <c r="B309" s="660"/>
      <c r="C309" s="660"/>
      <c r="D309" s="661"/>
      <c r="E309" s="661"/>
      <c r="F309" s="661"/>
      <c r="G309" s="661"/>
      <c r="H309" s="661"/>
      <c r="I309" s="669" t="str">
        <f>J98</f>
        <v>-</v>
      </c>
      <c r="J309" s="663" t="str">
        <f>K98</f>
        <v>-</v>
      </c>
      <c r="K309" s="663">
        <f>L98</f>
        <v>2016</v>
      </c>
      <c r="L309" s="664">
        <v>11</v>
      </c>
      <c r="N309" s="665">
        <v>11</v>
      </c>
      <c r="O309" s="666" t="s">
        <v>422</v>
      </c>
      <c r="P309" s="670"/>
      <c r="Q309" s="670"/>
      <c r="R309" s="670"/>
      <c r="S309" s="670"/>
      <c r="T309" s="670"/>
      <c r="U309" s="670"/>
      <c r="V309" s="670"/>
      <c r="W309" s="670"/>
      <c r="X309" s="670"/>
      <c r="Y309" s="671"/>
    </row>
    <row r="310" spans="1:25" ht="13" x14ac:dyDescent="0.3">
      <c r="A310" s="958" t="s">
        <v>432</v>
      </c>
      <c r="B310" s="660"/>
      <c r="C310" s="660"/>
      <c r="D310" s="661"/>
      <c r="E310" s="661"/>
      <c r="F310" s="661"/>
      <c r="G310" s="661"/>
      <c r="H310" s="661"/>
      <c r="I310" s="669" t="str">
        <f>Q98</f>
        <v>-</v>
      </c>
      <c r="J310" s="663" t="str">
        <f>R98</f>
        <v>-</v>
      </c>
      <c r="K310" s="663">
        <f>S98</f>
        <v>2016</v>
      </c>
      <c r="L310" s="664">
        <v>12</v>
      </c>
      <c r="N310" s="665">
        <v>12</v>
      </c>
      <c r="O310" s="666" t="s">
        <v>422</v>
      </c>
      <c r="P310" s="670"/>
      <c r="Q310" s="670"/>
      <c r="R310" s="670"/>
      <c r="S310" s="670"/>
      <c r="T310" s="670"/>
      <c r="U310" s="670"/>
      <c r="V310" s="670"/>
      <c r="W310" s="670"/>
      <c r="X310" s="670"/>
      <c r="Y310" s="671"/>
    </row>
    <row r="311" spans="1:25" ht="13.5" thickBot="1" x14ac:dyDescent="0.35">
      <c r="A311" s="1497">
        <f>VLOOKUP(A298,A299:L310,12,(FALSE))</f>
        <v>9</v>
      </c>
      <c r="B311" s="1498"/>
      <c r="C311" s="1498"/>
      <c r="D311" s="1498"/>
      <c r="E311" s="1498"/>
      <c r="F311" s="1498"/>
      <c r="G311" s="1498"/>
      <c r="H311" s="1498"/>
      <c r="I311" s="1498"/>
      <c r="J311" s="1498"/>
      <c r="K311" s="1498"/>
      <c r="L311" s="1499"/>
      <c r="N311" s="672" t="str">
        <f>VLOOKUP(N298,N299:Y310,2,FALSE)</f>
        <v>Hasil pengukuran keselamatan listrik tertelusur ke Satuan Internasional ( SI ) melalui PT. Kaliman (LK-032-IDN)</v>
      </c>
      <c r="O311" s="673"/>
      <c r="P311" s="673"/>
      <c r="Q311" s="673"/>
      <c r="R311" s="673"/>
      <c r="S311" s="673"/>
      <c r="T311" s="673"/>
      <c r="U311" s="673"/>
      <c r="V311" s="673"/>
      <c r="W311" s="673"/>
      <c r="X311" s="673"/>
      <c r="Y311" s="959"/>
    </row>
  </sheetData>
  <mergeCells count="223"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L129:O129"/>
    <mergeCell ref="A131:A142"/>
    <mergeCell ref="A144:A155"/>
    <mergeCell ref="A157:A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A170:A181"/>
    <mergeCell ref="A183:A194"/>
    <mergeCell ref="A196:A207"/>
    <mergeCell ref="A212:A223"/>
    <mergeCell ref="A225:A236"/>
    <mergeCell ref="A238:A249"/>
    <mergeCell ref="A209:A211"/>
    <mergeCell ref="B209:B211"/>
    <mergeCell ref="A251:A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H285:K285"/>
    <mergeCell ref="A289:D289"/>
    <mergeCell ref="H289:K289"/>
    <mergeCell ref="H293:K293"/>
    <mergeCell ref="N298:Y298"/>
    <mergeCell ref="A311:L311"/>
    <mergeCell ref="H271:J271"/>
    <mergeCell ref="H274:J274"/>
    <mergeCell ref="A275:D275"/>
    <mergeCell ref="H277:K277"/>
    <mergeCell ref="H281:K281"/>
    <mergeCell ref="A283:D283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FCC1-3BE6-4147-B051-334ACDC1F782}">
  <dimension ref="A1:AL410"/>
  <sheetViews>
    <sheetView topLeftCell="F137" workbookViewId="0">
      <selection activeCell="S143" sqref="S143"/>
    </sheetView>
  </sheetViews>
  <sheetFormatPr defaultColWidth="8.7265625" defaultRowHeight="12.5" x14ac:dyDescent="0.25"/>
  <cols>
    <col min="1" max="16384" width="8.7265625" style="569"/>
  </cols>
  <sheetData>
    <row r="1" spans="1:24" ht="18" thickBot="1" x14ac:dyDescent="0.3">
      <c r="A1" s="1584" t="s">
        <v>433</v>
      </c>
      <c r="B1" s="1585"/>
      <c r="C1" s="1585"/>
      <c r="D1" s="1585"/>
      <c r="E1" s="1585"/>
      <c r="F1" s="1585"/>
      <c r="G1" s="1585"/>
      <c r="H1" s="1585"/>
      <c r="I1" s="1585"/>
      <c r="J1" s="1585"/>
      <c r="K1" s="1585"/>
      <c r="L1" s="1585"/>
      <c r="M1" s="1585"/>
      <c r="N1" s="1585"/>
      <c r="O1" s="1585"/>
      <c r="P1" s="1585"/>
      <c r="Q1" s="1585"/>
      <c r="R1" s="1585"/>
      <c r="S1" s="1585"/>
      <c r="T1" s="1585"/>
      <c r="U1" s="1585"/>
    </row>
    <row r="2" spans="1:24" x14ac:dyDescent="0.25">
      <c r="A2" s="1568">
        <v>1</v>
      </c>
      <c r="B2" s="1569" t="s">
        <v>434</v>
      </c>
      <c r="C2" s="1569"/>
      <c r="D2" s="1569"/>
      <c r="E2" s="1569"/>
      <c r="F2" s="1569"/>
      <c r="G2" s="1569"/>
      <c r="I2" s="1569" t="str">
        <f>B2</f>
        <v>KOREKSI KIMO THERMOHYGROMETER 15062873</v>
      </c>
      <c r="J2" s="1569"/>
      <c r="K2" s="1569"/>
      <c r="L2" s="1569"/>
      <c r="M2" s="1569"/>
      <c r="N2" s="1569"/>
      <c r="P2" s="1569" t="str">
        <f>I2</f>
        <v>KOREKSI KIMO THERMOHYGROMETER 15062873</v>
      </c>
      <c r="Q2" s="1569"/>
      <c r="R2" s="1569"/>
      <c r="S2" s="1569"/>
      <c r="T2" s="1569"/>
      <c r="U2" s="1569"/>
      <c r="W2" s="1575" t="s">
        <v>389</v>
      </c>
      <c r="X2" s="1576"/>
    </row>
    <row r="3" spans="1:24" ht="13" x14ac:dyDescent="0.25">
      <c r="A3" s="1568"/>
      <c r="B3" s="1577" t="s">
        <v>435</v>
      </c>
      <c r="C3" s="1577"/>
      <c r="D3" s="1577" t="s">
        <v>298</v>
      </c>
      <c r="E3" s="1577"/>
      <c r="F3" s="1577"/>
      <c r="G3" s="1577" t="s">
        <v>294</v>
      </c>
      <c r="I3" s="1577" t="s">
        <v>436</v>
      </c>
      <c r="J3" s="1577"/>
      <c r="K3" s="1577" t="s">
        <v>298</v>
      </c>
      <c r="L3" s="1577"/>
      <c r="M3" s="1577"/>
      <c r="N3" s="1577" t="s">
        <v>294</v>
      </c>
      <c r="P3" s="1577" t="s">
        <v>437</v>
      </c>
      <c r="Q3" s="1577"/>
      <c r="R3" s="1577" t="s">
        <v>298</v>
      </c>
      <c r="S3" s="1577"/>
      <c r="T3" s="1577"/>
      <c r="U3" s="1577" t="s">
        <v>294</v>
      </c>
      <c r="W3" s="674" t="s">
        <v>435</v>
      </c>
      <c r="X3" s="675">
        <v>0.6</v>
      </c>
    </row>
    <row r="4" spans="1:24" ht="14.5" x14ac:dyDescent="0.25">
      <c r="A4" s="1568"/>
      <c r="B4" s="1567" t="s">
        <v>438</v>
      </c>
      <c r="C4" s="1567"/>
      <c r="D4" s="565">
        <v>2020</v>
      </c>
      <c r="E4" s="565">
        <v>2017</v>
      </c>
      <c r="F4" s="565">
        <v>2016</v>
      </c>
      <c r="G4" s="1577"/>
      <c r="I4" s="1566" t="s">
        <v>68</v>
      </c>
      <c r="J4" s="1567"/>
      <c r="K4" s="565">
        <f>D4</f>
        <v>2020</v>
      </c>
      <c r="L4" s="565">
        <f>E4</f>
        <v>2017</v>
      </c>
      <c r="M4" s="565">
        <v>2016</v>
      </c>
      <c r="N4" s="1577"/>
      <c r="P4" s="1566" t="s">
        <v>439</v>
      </c>
      <c r="Q4" s="1567"/>
      <c r="R4" s="565">
        <f>K4</f>
        <v>2020</v>
      </c>
      <c r="S4" s="565">
        <f>L4</f>
        <v>2017</v>
      </c>
      <c r="T4" s="565">
        <v>2016</v>
      </c>
      <c r="U4" s="1577"/>
      <c r="W4" s="674" t="s">
        <v>68</v>
      </c>
      <c r="X4" s="675">
        <v>3.1</v>
      </c>
    </row>
    <row r="5" spans="1:24" ht="13.5" thickBot="1" x14ac:dyDescent="0.3">
      <c r="A5" s="1568"/>
      <c r="B5" s="676">
        <v>1</v>
      </c>
      <c r="C5" s="226">
        <v>15</v>
      </c>
      <c r="D5" s="209">
        <v>-0.5</v>
      </c>
      <c r="E5" s="209">
        <v>0.3</v>
      </c>
      <c r="F5" s="226">
        <v>0</v>
      </c>
      <c r="G5" s="677">
        <f>0.5*(MAX(D5:F5)-MIN(D5:F5))</f>
        <v>0.4</v>
      </c>
      <c r="I5" s="676">
        <v>1</v>
      </c>
      <c r="J5" s="226">
        <v>35</v>
      </c>
      <c r="K5" s="209">
        <v>-6</v>
      </c>
      <c r="L5" s="209">
        <v>-9.4</v>
      </c>
      <c r="M5" s="678"/>
      <c r="N5" s="677">
        <f>0.5*(MAX(K5:M5)-MIN(K5:M5))</f>
        <v>1.7000000000000002</v>
      </c>
      <c r="P5" s="676">
        <v>1</v>
      </c>
      <c r="Q5" s="226">
        <v>750</v>
      </c>
      <c r="R5" s="210" t="s">
        <v>128</v>
      </c>
      <c r="S5" s="210" t="s">
        <v>128</v>
      </c>
      <c r="T5" s="679"/>
      <c r="U5" s="677">
        <f>0.5*(MAX(R5:T5)-MIN(R5:T5))</f>
        <v>0</v>
      </c>
      <c r="W5" s="680" t="s">
        <v>439</v>
      </c>
      <c r="X5" s="681">
        <v>0</v>
      </c>
    </row>
    <row r="6" spans="1:24" ht="13" x14ac:dyDescent="0.25">
      <c r="A6" s="1568"/>
      <c r="B6" s="676">
        <v>2</v>
      </c>
      <c r="C6" s="226">
        <v>20</v>
      </c>
      <c r="D6" s="209">
        <v>-0.2</v>
      </c>
      <c r="E6" s="209">
        <v>0.2</v>
      </c>
      <c r="F6" s="226">
        <v>0</v>
      </c>
      <c r="G6" s="677">
        <f t="shared" ref="G6:G11" si="0">0.5*(MAX(D6:F6)-MIN(D6:F6))</f>
        <v>0.2</v>
      </c>
      <c r="I6" s="676">
        <v>2</v>
      </c>
      <c r="J6" s="226">
        <v>40</v>
      </c>
      <c r="K6" s="209">
        <v>-6</v>
      </c>
      <c r="L6" s="209">
        <v>-8.6</v>
      </c>
      <c r="M6" s="678"/>
      <c r="N6" s="677">
        <f t="shared" ref="N6:N11" si="1">0.5*(MAX(K6:M6)-MIN(K6:M6))</f>
        <v>1.2999999999999998</v>
      </c>
      <c r="P6" s="676">
        <v>2</v>
      </c>
      <c r="Q6" s="226">
        <v>800</v>
      </c>
      <c r="R6" s="210" t="s">
        <v>128</v>
      </c>
      <c r="S6" s="210" t="s">
        <v>128</v>
      </c>
      <c r="T6" s="679"/>
      <c r="U6" s="677">
        <f t="shared" ref="U6:U11" si="2">0.5*(MAX(R6:T6)-MIN(R6:T6))</f>
        <v>0</v>
      </c>
    </row>
    <row r="7" spans="1:24" ht="13" x14ac:dyDescent="0.25">
      <c r="A7" s="1568"/>
      <c r="B7" s="676">
        <v>3</v>
      </c>
      <c r="C7" s="226">
        <v>25</v>
      </c>
      <c r="D7" s="209">
        <v>9.9999999999999995E-7</v>
      </c>
      <c r="E7" s="209">
        <v>0.1</v>
      </c>
      <c r="F7" s="226">
        <v>0</v>
      </c>
      <c r="G7" s="677">
        <f t="shared" si="0"/>
        <v>0.05</v>
      </c>
      <c r="I7" s="676">
        <v>3</v>
      </c>
      <c r="J7" s="226">
        <v>50</v>
      </c>
      <c r="K7" s="209">
        <v>-5.8</v>
      </c>
      <c r="L7" s="209">
        <v>-7.2</v>
      </c>
      <c r="M7" s="678"/>
      <c r="N7" s="677">
        <f t="shared" si="1"/>
        <v>0.70000000000000018</v>
      </c>
      <c r="P7" s="676">
        <v>3</v>
      </c>
      <c r="Q7" s="226">
        <v>850</v>
      </c>
      <c r="R7" s="210" t="s">
        <v>128</v>
      </c>
      <c r="S7" s="210" t="s">
        <v>128</v>
      </c>
      <c r="T7" s="679"/>
      <c r="U7" s="677">
        <f t="shared" si="2"/>
        <v>0</v>
      </c>
    </row>
    <row r="8" spans="1:24" ht="13" x14ac:dyDescent="0.25">
      <c r="A8" s="1568"/>
      <c r="B8" s="676">
        <v>4</v>
      </c>
      <c r="C8" s="682">
        <v>30</v>
      </c>
      <c r="D8" s="209">
        <v>9.9999999999999995E-7</v>
      </c>
      <c r="E8" s="683">
        <v>-0.2</v>
      </c>
      <c r="F8" s="226">
        <v>0</v>
      </c>
      <c r="G8" s="677">
        <f t="shared" si="0"/>
        <v>0.10000050000000001</v>
      </c>
      <c r="I8" s="676">
        <v>4</v>
      </c>
      <c r="J8" s="682">
        <v>60</v>
      </c>
      <c r="K8" s="683">
        <v>-5.3</v>
      </c>
      <c r="L8" s="683">
        <v>-5.2</v>
      </c>
      <c r="M8" s="678"/>
      <c r="N8" s="677">
        <f t="shared" si="1"/>
        <v>4.9999999999999822E-2</v>
      </c>
      <c r="P8" s="676">
        <v>4</v>
      </c>
      <c r="Q8" s="682">
        <v>900</v>
      </c>
      <c r="R8" s="683" t="s">
        <v>128</v>
      </c>
      <c r="S8" s="683" t="s">
        <v>128</v>
      </c>
      <c r="T8" s="679"/>
      <c r="U8" s="677">
        <f t="shared" si="2"/>
        <v>0</v>
      </c>
    </row>
    <row r="9" spans="1:24" ht="13" x14ac:dyDescent="0.25">
      <c r="A9" s="1568"/>
      <c r="B9" s="676">
        <v>5</v>
      </c>
      <c r="C9" s="682">
        <v>35</v>
      </c>
      <c r="D9" s="683">
        <v>-0.1</v>
      </c>
      <c r="E9" s="683">
        <v>-0.5</v>
      </c>
      <c r="F9" s="226">
        <v>0</v>
      </c>
      <c r="G9" s="677">
        <f t="shared" si="0"/>
        <v>0.25</v>
      </c>
      <c r="I9" s="676">
        <v>5</v>
      </c>
      <c r="J9" s="682">
        <v>70</v>
      </c>
      <c r="K9" s="683">
        <v>-4.4000000000000004</v>
      </c>
      <c r="L9" s="683">
        <v>-2.6</v>
      </c>
      <c r="M9" s="678"/>
      <c r="N9" s="677">
        <f t="shared" si="1"/>
        <v>0.90000000000000013</v>
      </c>
      <c r="P9" s="676">
        <v>5</v>
      </c>
      <c r="Q9" s="682">
        <v>1000</v>
      </c>
      <c r="R9" s="683" t="s">
        <v>128</v>
      </c>
      <c r="S9" s="683" t="s">
        <v>128</v>
      </c>
      <c r="T9" s="679"/>
      <c r="U9" s="677">
        <f t="shared" si="2"/>
        <v>0</v>
      </c>
    </row>
    <row r="10" spans="1:24" ht="13" x14ac:dyDescent="0.25">
      <c r="A10" s="1568"/>
      <c r="B10" s="676">
        <v>6</v>
      </c>
      <c r="C10" s="682">
        <v>37</v>
      </c>
      <c r="D10" s="683">
        <v>-0.2</v>
      </c>
      <c r="E10" s="683">
        <v>-0.6</v>
      </c>
      <c r="F10" s="226">
        <v>0</v>
      </c>
      <c r="G10" s="677">
        <f t="shared" si="0"/>
        <v>0.3</v>
      </c>
      <c r="I10" s="676">
        <v>6</v>
      </c>
      <c r="J10" s="682">
        <v>80</v>
      </c>
      <c r="K10" s="683">
        <v>-3.2</v>
      </c>
      <c r="L10" s="683">
        <v>0.7</v>
      </c>
      <c r="M10" s="678"/>
      <c r="N10" s="677">
        <f t="shared" si="1"/>
        <v>1.9500000000000002</v>
      </c>
      <c r="P10" s="676">
        <v>6</v>
      </c>
      <c r="Q10" s="682">
        <v>1005</v>
      </c>
      <c r="R10" s="683" t="s">
        <v>128</v>
      </c>
      <c r="S10" s="683" t="s">
        <v>128</v>
      </c>
      <c r="T10" s="679"/>
      <c r="U10" s="677">
        <f t="shared" si="2"/>
        <v>0</v>
      </c>
    </row>
    <row r="11" spans="1:24" ht="13.5" thickBot="1" x14ac:dyDescent="0.3">
      <c r="A11" s="1568"/>
      <c r="B11" s="676">
        <v>7</v>
      </c>
      <c r="C11" s="682">
        <v>40</v>
      </c>
      <c r="D11" s="683">
        <v>-0.3</v>
      </c>
      <c r="E11" s="683">
        <v>-0.8</v>
      </c>
      <c r="F11" s="226">
        <v>0</v>
      </c>
      <c r="G11" s="677">
        <f t="shared" si="0"/>
        <v>0.4</v>
      </c>
      <c r="I11" s="676">
        <v>7</v>
      </c>
      <c r="J11" s="682">
        <v>90</v>
      </c>
      <c r="K11" s="683">
        <v>-1.6</v>
      </c>
      <c r="L11" s="683">
        <v>4.5</v>
      </c>
      <c r="M11" s="678"/>
      <c r="N11" s="677">
        <f t="shared" si="1"/>
        <v>3.05</v>
      </c>
      <c r="P11" s="676">
        <v>7</v>
      </c>
      <c r="Q11" s="682">
        <v>1020</v>
      </c>
      <c r="R11" s="683" t="s">
        <v>128</v>
      </c>
      <c r="S11" s="683" t="s">
        <v>128</v>
      </c>
      <c r="T11" s="679"/>
      <c r="U11" s="677">
        <f t="shared" si="2"/>
        <v>0</v>
      </c>
    </row>
    <row r="12" spans="1:24" ht="13.5" thickBot="1" x14ac:dyDescent="0.35">
      <c r="A12" s="684"/>
      <c r="B12" s="684"/>
      <c r="O12" s="685"/>
      <c r="P12" s="686"/>
    </row>
    <row r="13" spans="1:24" x14ac:dyDescent="0.25">
      <c r="A13" s="1568">
        <v>2</v>
      </c>
      <c r="B13" s="1569" t="s">
        <v>440</v>
      </c>
      <c r="C13" s="1569"/>
      <c r="D13" s="1569"/>
      <c r="E13" s="1569"/>
      <c r="F13" s="1569"/>
      <c r="G13" s="1569"/>
      <c r="I13" s="1569" t="str">
        <f>B13</f>
        <v>KOREKSI KIMO THERMOHYGROMETER 15062874</v>
      </c>
      <c r="J13" s="1569"/>
      <c r="K13" s="1569"/>
      <c r="L13" s="1569"/>
      <c r="M13" s="1569"/>
      <c r="N13" s="1569"/>
      <c r="P13" s="1569" t="str">
        <f>I13</f>
        <v>KOREKSI KIMO THERMOHYGROMETER 15062874</v>
      </c>
      <c r="Q13" s="1569"/>
      <c r="R13" s="1569"/>
      <c r="S13" s="1569"/>
      <c r="T13" s="1569"/>
      <c r="U13" s="1569"/>
      <c r="W13" s="1575" t="s">
        <v>389</v>
      </c>
      <c r="X13" s="1576"/>
    </row>
    <row r="14" spans="1:24" ht="13" x14ac:dyDescent="0.25">
      <c r="A14" s="1568"/>
      <c r="B14" s="1577" t="s">
        <v>435</v>
      </c>
      <c r="C14" s="1577"/>
      <c r="D14" s="1577" t="s">
        <v>298</v>
      </c>
      <c r="E14" s="1577"/>
      <c r="F14" s="1577"/>
      <c r="G14" s="1577" t="s">
        <v>294</v>
      </c>
      <c r="I14" s="1577" t="s">
        <v>436</v>
      </c>
      <c r="J14" s="1577"/>
      <c r="K14" s="1577" t="s">
        <v>298</v>
      </c>
      <c r="L14" s="1577"/>
      <c r="M14" s="1577"/>
      <c r="N14" s="1577" t="s">
        <v>294</v>
      </c>
      <c r="P14" s="1577" t="s">
        <v>437</v>
      </c>
      <c r="Q14" s="1577"/>
      <c r="R14" s="1577" t="s">
        <v>298</v>
      </c>
      <c r="S14" s="1577"/>
      <c r="T14" s="1577"/>
      <c r="U14" s="1577" t="s">
        <v>294</v>
      </c>
      <c r="W14" s="674" t="s">
        <v>435</v>
      </c>
      <c r="X14" s="675">
        <v>0.5</v>
      </c>
    </row>
    <row r="15" spans="1:24" ht="14.5" x14ac:dyDescent="0.25">
      <c r="A15" s="1568"/>
      <c r="B15" s="1567" t="s">
        <v>438</v>
      </c>
      <c r="C15" s="1567"/>
      <c r="D15" s="565">
        <v>2023</v>
      </c>
      <c r="E15" s="565">
        <v>2021</v>
      </c>
      <c r="F15" s="565">
        <v>2018</v>
      </c>
      <c r="G15" s="1577"/>
      <c r="I15" s="1566" t="s">
        <v>68</v>
      </c>
      <c r="J15" s="1567"/>
      <c r="K15" s="565">
        <f>D15</f>
        <v>2023</v>
      </c>
      <c r="L15" s="565">
        <f>E15</f>
        <v>2021</v>
      </c>
      <c r="M15" s="565">
        <v>2016</v>
      </c>
      <c r="N15" s="1577"/>
      <c r="P15" s="1566" t="s">
        <v>439</v>
      </c>
      <c r="Q15" s="1567"/>
      <c r="R15" s="565">
        <f>K15</f>
        <v>2023</v>
      </c>
      <c r="S15" s="565">
        <f>L15</f>
        <v>2021</v>
      </c>
      <c r="T15" s="565">
        <v>2016</v>
      </c>
      <c r="U15" s="1577"/>
      <c r="W15" s="674" t="s">
        <v>68</v>
      </c>
      <c r="X15" s="675">
        <v>3.3</v>
      </c>
    </row>
    <row r="16" spans="1:24" ht="13.5" thickBot="1" x14ac:dyDescent="0.3">
      <c r="A16" s="1568"/>
      <c r="B16" s="676">
        <v>1</v>
      </c>
      <c r="C16" s="226">
        <v>15</v>
      </c>
      <c r="D16" s="209">
        <v>0.2</v>
      </c>
      <c r="E16" s="209">
        <v>0.4</v>
      </c>
      <c r="F16" s="209">
        <v>9.9999999999999995E-7</v>
      </c>
      <c r="G16" s="677">
        <f>0.5*(MAX(D16:F16)-MIN(D16:F16))</f>
        <v>0.19999950000000002</v>
      </c>
      <c r="I16" s="676">
        <v>1</v>
      </c>
      <c r="J16" s="226">
        <v>35</v>
      </c>
      <c r="K16" s="209">
        <v>-12.6</v>
      </c>
      <c r="L16" s="209">
        <v>-6.9</v>
      </c>
      <c r="M16" s="209">
        <v>-1.6</v>
      </c>
      <c r="N16" s="677">
        <f>0.5*(MAX(K16:M16)-MIN(K16:M16))</f>
        <v>5.5</v>
      </c>
      <c r="P16" s="676">
        <v>1</v>
      </c>
      <c r="Q16" s="226">
        <v>750</v>
      </c>
      <c r="R16" s="210" t="s">
        <v>128</v>
      </c>
      <c r="S16" s="210" t="s">
        <v>128</v>
      </c>
      <c r="T16" s="679"/>
      <c r="U16" s="677">
        <f>0.5*(MAX(R16:T16)-MIN(R16:T16))</f>
        <v>0</v>
      </c>
      <c r="W16" s="680" t="s">
        <v>439</v>
      </c>
      <c r="X16" s="681">
        <v>0</v>
      </c>
    </row>
    <row r="17" spans="1:24" ht="13" x14ac:dyDescent="0.25">
      <c r="A17" s="1568"/>
      <c r="B17" s="676">
        <v>2</v>
      </c>
      <c r="C17" s="226">
        <v>20</v>
      </c>
      <c r="D17" s="209">
        <v>0.2</v>
      </c>
      <c r="E17" s="209">
        <v>0.7</v>
      </c>
      <c r="F17" s="209">
        <v>-0.1</v>
      </c>
      <c r="G17" s="677">
        <f t="shared" ref="G17:G22" si="3">0.5*(MAX(D17:F17)-MIN(D17:F17))</f>
        <v>0.39999999999999997</v>
      </c>
      <c r="I17" s="676">
        <v>2</v>
      </c>
      <c r="J17" s="226">
        <v>40</v>
      </c>
      <c r="K17" s="209">
        <v>-10.3</v>
      </c>
      <c r="L17" s="209">
        <v>-6.2</v>
      </c>
      <c r="M17" s="209">
        <v>-1.6</v>
      </c>
      <c r="N17" s="677">
        <f t="shared" ref="N17:N22" si="4">0.5*(MAX(K17:M17)-MIN(K17:M17))</f>
        <v>4.3500000000000005</v>
      </c>
      <c r="P17" s="676">
        <v>2</v>
      </c>
      <c r="Q17" s="226">
        <v>800</v>
      </c>
      <c r="R17" s="210" t="s">
        <v>128</v>
      </c>
      <c r="S17" s="210" t="s">
        <v>128</v>
      </c>
      <c r="T17" s="679"/>
      <c r="U17" s="677">
        <f t="shared" ref="U17:U22" si="5">0.5*(MAX(R17:T17)-MIN(R17:T17))</f>
        <v>0</v>
      </c>
    </row>
    <row r="18" spans="1:24" ht="13" x14ac:dyDescent="0.25">
      <c r="A18" s="1568"/>
      <c r="B18" s="676">
        <v>3</v>
      </c>
      <c r="C18" s="226">
        <v>25</v>
      </c>
      <c r="D18" s="209">
        <v>0.3</v>
      </c>
      <c r="E18" s="209">
        <v>0.5</v>
      </c>
      <c r="F18" s="209">
        <v>-0.2</v>
      </c>
      <c r="G18" s="677">
        <f t="shared" si="3"/>
        <v>0.35</v>
      </c>
      <c r="I18" s="676">
        <v>3</v>
      </c>
      <c r="J18" s="226">
        <v>50</v>
      </c>
      <c r="K18" s="209">
        <v>-8</v>
      </c>
      <c r="L18" s="209">
        <v>-5.3</v>
      </c>
      <c r="M18" s="209">
        <v>-1.5</v>
      </c>
      <c r="N18" s="677">
        <f t="shared" si="4"/>
        <v>3.25</v>
      </c>
      <c r="P18" s="676">
        <v>3</v>
      </c>
      <c r="Q18" s="226">
        <v>850</v>
      </c>
      <c r="R18" s="210" t="s">
        <v>128</v>
      </c>
      <c r="S18" s="210" t="s">
        <v>128</v>
      </c>
      <c r="T18" s="679"/>
      <c r="U18" s="677">
        <f t="shared" si="5"/>
        <v>0</v>
      </c>
    </row>
    <row r="19" spans="1:24" ht="13" x14ac:dyDescent="0.25">
      <c r="A19" s="1568"/>
      <c r="B19" s="676">
        <v>4</v>
      </c>
      <c r="C19" s="682">
        <v>30</v>
      </c>
      <c r="D19" s="683">
        <v>0.4</v>
      </c>
      <c r="E19" s="683">
        <v>0.2</v>
      </c>
      <c r="F19" s="683">
        <v>-0.3</v>
      </c>
      <c r="G19" s="677">
        <f t="shared" si="3"/>
        <v>0.35</v>
      </c>
      <c r="I19" s="676">
        <v>4</v>
      </c>
      <c r="J19" s="682">
        <v>60</v>
      </c>
      <c r="K19" s="683">
        <v>-5.7</v>
      </c>
      <c r="L19" s="683">
        <v>-4</v>
      </c>
      <c r="M19" s="683">
        <v>-1.3</v>
      </c>
      <c r="N19" s="677">
        <f t="shared" si="4"/>
        <v>2.2000000000000002</v>
      </c>
      <c r="P19" s="676">
        <v>4</v>
      </c>
      <c r="Q19" s="682">
        <v>900</v>
      </c>
      <c r="R19" s="683" t="s">
        <v>128</v>
      </c>
      <c r="S19" s="683" t="s">
        <v>128</v>
      </c>
      <c r="T19" s="679"/>
      <c r="U19" s="677">
        <f t="shared" si="5"/>
        <v>0</v>
      </c>
    </row>
    <row r="20" spans="1:24" ht="13" x14ac:dyDescent="0.25">
      <c r="A20" s="1568"/>
      <c r="B20" s="676">
        <v>5</v>
      </c>
      <c r="C20" s="682">
        <v>35</v>
      </c>
      <c r="D20" s="683">
        <v>0.5</v>
      </c>
      <c r="E20" s="683">
        <v>-0.1</v>
      </c>
      <c r="F20" s="683">
        <v>-0.3</v>
      </c>
      <c r="G20" s="677">
        <f t="shared" si="3"/>
        <v>0.4</v>
      </c>
      <c r="I20" s="676">
        <v>5</v>
      </c>
      <c r="J20" s="682">
        <v>70</v>
      </c>
      <c r="K20" s="683">
        <v>-3.4</v>
      </c>
      <c r="L20" s="683">
        <v>-2.4</v>
      </c>
      <c r="M20" s="683">
        <v>-1.1000000000000001</v>
      </c>
      <c r="N20" s="677">
        <f t="shared" si="4"/>
        <v>1.1499999999999999</v>
      </c>
      <c r="P20" s="676">
        <v>5</v>
      </c>
      <c r="Q20" s="682">
        <v>1000</v>
      </c>
      <c r="R20" s="683" t="s">
        <v>128</v>
      </c>
      <c r="S20" s="683" t="s">
        <v>128</v>
      </c>
      <c r="T20" s="679"/>
      <c r="U20" s="677">
        <f t="shared" si="5"/>
        <v>0</v>
      </c>
    </row>
    <row r="21" spans="1:24" ht="13" x14ac:dyDescent="0.25">
      <c r="A21" s="1568"/>
      <c r="B21" s="676">
        <v>6</v>
      </c>
      <c r="C21" s="682">
        <v>37</v>
      </c>
      <c r="D21" s="683">
        <v>0.6</v>
      </c>
      <c r="E21" s="683">
        <v>-0.2</v>
      </c>
      <c r="F21" s="683">
        <v>-0.3</v>
      </c>
      <c r="G21" s="677">
        <f t="shared" si="3"/>
        <v>0.44999999999999996</v>
      </c>
      <c r="I21" s="676">
        <v>6</v>
      </c>
      <c r="J21" s="682">
        <v>80</v>
      </c>
      <c r="K21" s="683">
        <v>-1.1000000000000001</v>
      </c>
      <c r="L21" s="683">
        <v>-0.5</v>
      </c>
      <c r="M21" s="683">
        <v>-0.7</v>
      </c>
      <c r="N21" s="677">
        <f t="shared" si="4"/>
        <v>0.30000000000000004</v>
      </c>
      <c r="P21" s="676">
        <v>6</v>
      </c>
      <c r="Q21" s="682">
        <v>1005</v>
      </c>
      <c r="R21" s="683" t="s">
        <v>128</v>
      </c>
      <c r="S21" s="683" t="s">
        <v>128</v>
      </c>
      <c r="T21" s="679"/>
      <c r="U21" s="677">
        <f t="shared" si="5"/>
        <v>0</v>
      </c>
    </row>
    <row r="22" spans="1:24" ht="13.5" thickBot="1" x14ac:dyDescent="0.3">
      <c r="A22" s="1568"/>
      <c r="B22" s="676">
        <v>7</v>
      </c>
      <c r="C22" s="682">
        <v>40</v>
      </c>
      <c r="D22" s="683">
        <v>0.6</v>
      </c>
      <c r="E22" s="683">
        <v>-0.1</v>
      </c>
      <c r="F22" s="683">
        <v>-0.3</v>
      </c>
      <c r="G22" s="677">
        <f t="shared" si="3"/>
        <v>0.44999999999999996</v>
      </c>
      <c r="I22" s="676">
        <v>7</v>
      </c>
      <c r="J22" s="682">
        <v>90</v>
      </c>
      <c r="K22" s="683">
        <v>1.2</v>
      </c>
      <c r="L22" s="683">
        <v>1.7</v>
      </c>
      <c r="M22" s="683">
        <v>-0.3</v>
      </c>
      <c r="N22" s="677">
        <f t="shared" si="4"/>
        <v>1</v>
      </c>
      <c r="P22" s="676">
        <v>7</v>
      </c>
      <c r="Q22" s="682">
        <v>1020</v>
      </c>
      <c r="R22" s="683" t="s">
        <v>128</v>
      </c>
      <c r="S22" s="683" t="s">
        <v>128</v>
      </c>
      <c r="T22" s="679"/>
      <c r="U22" s="677">
        <f t="shared" si="5"/>
        <v>0</v>
      </c>
    </row>
    <row r="23" spans="1:24" ht="13.5" thickBot="1" x14ac:dyDescent="0.35">
      <c r="A23" s="684"/>
      <c r="B23" s="684"/>
      <c r="O23" s="685"/>
      <c r="P23" s="686"/>
    </row>
    <row r="24" spans="1:24" x14ac:dyDescent="0.25">
      <c r="A24" s="1581">
        <v>3</v>
      </c>
      <c r="B24" s="1569" t="s">
        <v>441</v>
      </c>
      <c r="C24" s="1569"/>
      <c r="D24" s="1569"/>
      <c r="E24" s="1569"/>
      <c r="F24" s="1569"/>
      <c r="G24" s="1569"/>
      <c r="I24" s="1569" t="str">
        <f>B24</f>
        <v>KOREKSI KIMO THERMOHYGROMETER 14082463</v>
      </c>
      <c r="J24" s="1569"/>
      <c r="K24" s="1569"/>
      <c r="L24" s="1569"/>
      <c r="M24" s="1569"/>
      <c r="N24" s="1569"/>
      <c r="P24" s="1569" t="str">
        <f>I24</f>
        <v>KOREKSI KIMO THERMOHYGROMETER 14082463</v>
      </c>
      <c r="Q24" s="1569"/>
      <c r="R24" s="1569"/>
      <c r="S24" s="1569"/>
      <c r="T24" s="1569"/>
      <c r="U24" s="1569"/>
      <c r="W24" s="1575" t="s">
        <v>389</v>
      </c>
      <c r="X24" s="1576"/>
    </row>
    <row r="25" spans="1:24" ht="13" x14ac:dyDescent="0.25">
      <c r="A25" s="1582"/>
      <c r="B25" s="1577" t="s">
        <v>435</v>
      </c>
      <c r="C25" s="1577"/>
      <c r="D25" s="1577" t="s">
        <v>298</v>
      </c>
      <c r="E25" s="1577"/>
      <c r="F25" s="1577"/>
      <c r="G25" s="1577" t="s">
        <v>294</v>
      </c>
      <c r="I25" s="1577" t="s">
        <v>436</v>
      </c>
      <c r="J25" s="1577"/>
      <c r="K25" s="1577" t="s">
        <v>298</v>
      </c>
      <c r="L25" s="1577"/>
      <c r="M25" s="1577"/>
      <c r="N25" s="1577" t="s">
        <v>294</v>
      </c>
      <c r="P25" s="1577" t="s">
        <v>437</v>
      </c>
      <c r="Q25" s="1577"/>
      <c r="R25" s="1577" t="s">
        <v>298</v>
      </c>
      <c r="S25" s="1577"/>
      <c r="T25" s="1577"/>
      <c r="U25" s="1577" t="s">
        <v>294</v>
      </c>
      <c r="W25" s="674" t="s">
        <v>435</v>
      </c>
      <c r="X25" s="675">
        <v>0.5</v>
      </c>
    </row>
    <row r="26" spans="1:24" ht="14.5" x14ac:dyDescent="0.25">
      <c r="A26" s="1582"/>
      <c r="B26" s="1567" t="s">
        <v>438</v>
      </c>
      <c r="C26" s="1567"/>
      <c r="D26" s="565">
        <v>2023</v>
      </c>
      <c r="E26" s="565">
        <v>2021</v>
      </c>
      <c r="F26" s="565">
        <v>2018</v>
      </c>
      <c r="G26" s="1577"/>
      <c r="I26" s="1566" t="s">
        <v>68</v>
      </c>
      <c r="J26" s="1567"/>
      <c r="K26" s="565">
        <f>D26</f>
        <v>2023</v>
      </c>
      <c r="L26" s="565">
        <f>E26</f>
        <v>2021</v>
      </c>
      <c r="M26" s="565">
        <v>2016</v>
      </c>
      <c r="N26" s="1577"/>
      <c r="P26" s="1566" t="s">
        <v>439</v>
      </c>
      <c r="Q26" s="1567"/>
      <c r="R26" s="565">
        <f>K26</f>
        <v>2023</v>
      </c>
      <c r="S26" s="565">
        <f>L26</f>
        <v>2021</v>
      </c>
      <c r="T26" s="565">
        <v>2016</v>
      </c>
      <c r="U26" s="1577"/>
      <c r="W26" s="674" t="s">
        <v>68</v>
      </c>
      <c r="X26" s="675">
        <v>2.4</v>
      </c>
    </row>
    <row r="27" spans="1:24" ht="13.5" thickBot="1" x14ac:dyDescent="0.3">
      <c r="A27" s="1582"/>
      <c r="B27" s="676">
        <v>1</v>
      </c>
      <c r="C27" s="226">
        <v>15</v>
      </c>
      <c r="D27" s="209">
        <v>0.2</v>
      </c>
      <c r="E27" s="209">
        <v>0.4</v>
      </c>
      <c r="F27" s="209">
        <v>9.9999999999999995E-7</v>
      </c>
      <c r="G27" s="677">
        <f>0.5*(MAX(D27:F27)-MIN(D27:F27))</f>
        <v>0.19999950000000002</v>
      </c>
      <c r="I27" s="676">
        <v>1</v>
      </c>
      <c r="J27" s="226">
        <v>35</v>
      </c>
      <c r="K27" s="209">
        <v>-11.5</v>
      </c>
      <c r="L27" s="209">
        <v>-7.3</v>
      </c>
      <c r="M27" s="209">
        <v>-5.7</v>
      </c>
      <c r="N27" s="677">
        <f>0.5*(MAX(K27:M27)-MIN(K27:M27))</f>
        <v>2.9</v>
      </c>
      <c r="P27" s="676">
        <v>1</v>
      </c>
      <c r="Q27" s="226">
        <v>750</v>
      </c>
      <c r="R27" s="210" t="s">
        <v>128</v>
      </c>
      <c r="S27" s="210" t="s">
        <v>128</v>
      </c>
      <c r="T27" s="226"/>
      <c r="U27" s="677">
        <f>0.5*(MAX(R27:T27)-MIN(R27:T27))</f>
        <v>0</v>
      </c>
      <c r="W27" s="680" t="s">
        <v>439</v>
      </c>
      <c r="X27" s="681">
        <v>0</v>
      </c>
    </row>
    <row r="28" spans="1:24" ht="13" x14ac:dyDescent="0.25">
      <c r="A28" s="1582"/>
      <c r="B28" s="676">
        <v>2</v>
      </c>
      <c r="C28" s="226">
        <v>20</v>
      </c>
      <c r="D28" s="209">
        <v>0.2</v>
      </c>
      <c r="E28" s="209">
        <v>1</v>
      </c>
      <c r="F28" s="209">
        <v>9.9999999999999995E-7</v>
      </c>
      <c r="G28" s="677">
        <f t="shared" ref="G28:G33" si="6">0.5*(MAX(D28:F28)-MIN(D28:F28))</f>
        <v>0.49999949999999999</v>
      </c>
      <c r="I28" s="676">
        <v>2</v>
      </c>
      <c r="J28" s="226">
        <v>40</v>
      </c>
      <c r="K28" s="209">
        <v>-9.6999999999999993</v>
      </c>
      <c r="L28" s="209">
        <v>-5.9</v>
      </c>
      <c r="M28" s="209">
        <v>-5.3</v>
      </c>
      <c r="N28" s="677">
        <f t="shared" ref="N28:N33" si="7">0.5*(MAX(K28:M28)-MIN(K28:M28))</f>
        <v>2.1999999999999997</v>
      </c>
      <c r="P28" s="676">
        <v>2</v>
      </c>
      <c r="Q28" s="226">
        <v>800</v>
      </c>
      <c r="R28" s="210" t="s">
        <v>128</v>
      </c>
      <c r="S28" s="210" t="s">
        <v>128</v>
      </c>
      <c r="T28" s="226"/>
      <c r="U28" s="677">
        <f t="shared" ref="U28:U33" si="8">0.5*(MAX(R28:T28)-MIN(R28:T28))</f>
        <v>0</v>
      </c>
    </row>
    <row r="29" spans="1:24" ht="13" x14ac:dyDescent="0.25">
      <c r="A29" s="1582"/>
      <c r="B29" s="676">
        <v>3</v>
      </c>
      <c r="C29" s="226">
        <v>25</v>
      </c>
      <c r="D29" s="209">
        <v>0.3</v>
      </c>
      <c r="E29" s="209">
        <v>0.7</v>
      </c>
      <c r="F29" s="209">
        <v>-0.1</v>
      </c>
      <c r="G29" s="677">
        <f t="shared" si="6"/>
        <v>0.39999999999999997</v>
      </c>
      <c r="I29" s="676">
        <v>3</v>
      </c>
      <c r="J29" s="226">
        <v>50</v>
      </c>
      <c r="K29" s="209">
        <v>-7.9</v>
      </c>
      <c r="L29" s="209">
        <v>-4.5</v>
      </c>
      <c r="M29" s="209">
        <v>-4.9000000000000004</v>
      </c>
      <c r="N29" s="677">
        <f t="shared" si="7"/>
        <v>1.7000000000000002</v>
      </c>
      <c r="P29" s="676">
        <v>3</v>
      </c>
      <c r="Q29" s="226">
        <v>850</v>
      </c>
      <c r="R29" s="210" t="s">
        <v>128</v>
      </c>
      <c r="S29" s="210" t="s">
        <v>128</v>
      </c>
      <c r="T29" s="226"/>
      <c r="U29" s="677">
        <f t="shared" si="8"/>
        <v>0</v>
      </c>
    </row>
    <row r="30" spans="1:24" ht="13" x14ac:dyDescent="0.25">
      <c r="A30" s="1582"/>
      <c r="B30" s="676">
        <v>4</v>
      </c>
      <c r="C30" s="682">
        <v>30</v>
      </c>
      <c r="D30" s="209">
        <v>0.3</v>
      </c>
      <c r="E30" s="209">
        <v>9.9999999999999995E-7</v>
      </c>
      <c r="F30" s="683">
        <v>-0.3</v>
      </c>
      <c r="G30" s="677">
        <f t="shared" si="6"/>
        <v>0.3</v>
      </c>
      <c r="I30" s="676">
        <v>4</v>
      </c>
      <c r="J30" s="682">
        <v>60</v>
      </c>
      <c r="K30" s="683">
        <v>-6.2</v>
      </c>
      <c r="L30" s="683">
        <v>-3.2</v>
      </c>
      <c r="M30" s="683">
        <v>-4.3</v>
      </c>
      <c r="N30" s="677">
        <f t="shared" si="7"/>
        <v>1.5</v>
      </c>
      <c r="P30" s="676">
        <v>4</v>
      </c>
      <c r="Q30" s="682">
        <v>900</v>
      </c>
      <c r="R30" s="683" t="s">
        <v>128</v>
      </c>
      <c r="S30" s="683" t="s">
        <v>128</v>
      </c>
      <c r="T30" s="226"/>
      <c r="U30" s="677">
        <f t="shared" si="8"/>
        <v>0</v>
      </c>
    </row>
    <row r="31" spans="1:24" ht="13" x14ac:dyDescent="0.25">
      <c r="A31" s="1582"/>
      <c r="B31" s="676">
        <v>5</v>
      </c>
      <c r="C31" s="682">
        <v>35</v>
      </c>
      <c r="D31" s="209">
        <v>0.3</v>
      </c>
      <c r="E31" s="683">
        <v>-0.3</v>
      </c>
      <c r="F31" s="683">
        <v>-0.5</v>
      </c>
      <c r="G31" s="677">
        <f t="shared" si="6"/>
        <v>0.4</v>
      </c>
      <c r="I31" s="676">
        <v>5</v>
      </c>
      <c r="J31" s="682">
        <v>70</v>
      </c>
      <c r="K31" s="683">
        <v>-4.4000000000000004</v>
      </c>
      <c r="L31" s="683">
        <v>-2</v>
      </c>
      <c r="M31" s="683">
        <v>-3.6</v>
      </c>
      <c r="N31" s="677">
        <f t="shared" si="7"/>
        <v>1.2000000000000002</v>
      </c>
      <c r="P31" s="676">
        <v>5</v>
      </c>
      <c r="Q31" s="682">
        <v>1000</v>
      </c>
      <c r="R31" s="683" t="s">
        <v>128</v>
      </c>
      <c r="S31" s="683" t="s">
        <v>128</v>
      </c>
      <c r="T31" s="226"/>
      <c r="U31" s="677">
        <f t="shared" si="8"/>
        <v>0</v>
      </c>
    </row>
    <row r="32" spans="1:24" ht="13" x14ac:dyDescent="0.25">
      <c r="A32" s="1582"/>
      <c r="B32" s="676">
        <v>6</v>
      </c>
      <c r="C32" s="682">
        <v>37</v>
      </c>
      <c r="D32" s="209">
        <v>0.3</v>
      </c>
      <c r="E32" s="683">
        <v>-0.2</v>
      </c>
      <c r="F32" s="683">
        <v>-0.6</v>
      </c>
      <c r="G32" s="677">
        <f t="shared" si="6"/>
        <v>0.44999999999999996</v>
      </c>
      <c r="I32" s="676">
        <v>6</v>
      </c>
      <c r="J32" s="682">
        <v>80</v>
      </c>
      <c r="K32" s="683">
        <v>-2.7</v>
      </c>
      <c r="L32" s="683">
        <v>-0.8</v>
      </c>
      <c r="M32" s="683">
        <v>-2.9</v>
      </c>
      <c r="N32" s="677">
        <f t="shared" si="7"/>
        <v>1.0499999999999998</v>
      </c>
      <c r="P32" s="676">
        <v>6</v>
      </c>
      <c r="Q32" s="682">
        <v>1005</v>
      </c>
      <c r="R32" s="683" t="s">
        <v>128</v>
      </c>
      <c r="S32" s="683" t="s">
        <v>128</v>
      </c>
      <c r="T32" s="226"/>
      <c r="U32" s="677">
        <f t="shared" si="8"/>
        <v>0</v>
      </c>
    </row>
    <row r="33" spans="1:24" ht="13.5" thickBot="1" x14ac:dyDescent="0.3">
      <c r="A33" s="1583"/>
      <c r="B33" s="676">
        <v>7</v>
      </c>
      <c r="C33" s="682">
        <v>40</v>
      </c>
      <c r="D33" s="209">
        <v>0.3</v>
      </c>
      <c r="E33" s="683">
        <v>0.2</v>
      </c>
      <c r="F33" s="683">
        <v>-0.7</v>
      </c>
      <c r="G33" s="677">
        <f t="shared" si="6"/>
        <v>0.5</v>
      </c>
      <c r="I33" s="676">
        <v>7</v>
      </c>
      <c r="J33" s="682">
        <v>90</v>
      </c>
      <c r="K33" s="683">
        <v>-0.9</v>
      </c>
      <c r="L33" s="683">
        <v>0.3</v>
      </c>
      <c r="M33" s="683">
        <v>-2</v>
      </c>
      <c r="N33" s="677">
        <f t="shared" si="7"/>
        <v>1.1499999999999999</v>
      </c>
      <c r="P33" s="676">
        <v>7</v>
      </c>
      <c r="Q33" s="682">
        <v>1020</v>
      </c>
      <c r="R33" s="683" t="s">
        <v>128</v>
      </c>
      <c r="S33" s="683" t="s">
        <v>128</v>
      </c>
      <c r="T33" s="226"/>
      <c r="U33" s="677">
        <f t="shared" si="8"/>
        <v>0</v>
      </c>
    </row>
    <row r="34" spans="1:24" ht="13.5" thickBot="1" x14ac:dyDescent="0.35">
      <c r="A34" s="684"/>
      <c r="B34" s="684"/>
      <c r="H34" s="687"/>
      <c r="O34" s="685"/>
      <c r="P34" s="686"/>
    </row>
    <row r="35" spans="1:24" x14ac:dyDescent="0.25">
      <c r="A35" s="1581">
        <v>4</v>
      </c>
      <c r="B35" s="1569" t="s">
        <v>442</v>
      </c>
      <c r="C35" s="1569"/>
      <c r="D35" s="1569"/>
      <c r="E35" s="1569"/>
      <c r="F35" s="1569"/>
      <c r="G35" s="1569"/>
      <c r="I35" s="1569" t="str">
        <f>B35</f>
        <v>KOREKSI KIMO THERMOHYGROMETER 15062872</v>
      </c>
      <c r="J35" s="1569"/>
      <c r="K35" s="1569"/>
      <c r="L35" s="1569"/>
      <c r="M35" s="1569"/>
      <c r="N35" s="1569"/>
      <c r="P35" s="1569" t="str">
        <f>I35</f>
        <v>KOREKSI KIMO THERMOHYGROMETER 15062872</v>
      </c>
      <c r="Q35" s="1569"/>
      <c r="R35" s="1569"/>
      <c r="S35" s="1569"/>
      <c r="T35" s="1569"/>
      <c r="U35" s="1569"/>
      <c r="W35" s="1575" t="s">
        <v>389</v>
      </c>
      <c r="X35" s="1576"/>
    </row>
    <row r="36" spans="1:24" ht="13" x14ac:dyDescent="0.25">
      <c r="A36" s="1582"/>
      <c r="B36" s="1577" t="s">
        <v>435</v>
      </c>
      <c r="C36" s="1577"/>
      <c r="D36" s="1577" t="s">
        <v>298</v>
      </c>
      <c r="E36" s="1577"/>
      <c r="F36" s="1577"/>
      <c r="G36" s="1577" t="s">
        <v>294</v>
      </c>
      <c r="I36" s="1577" t="s">
        <v>436</v>
      </c>
      <c r="J36" s="1577"/>
      <c r="K36" s="1577" t="s">
        <v>298</v>
      </c>
      <c r="L36" s="1577"/>
      <c r="M36" s="1577"/>
      <c r="N36" s="1577" t="s">
        <v>294</v>
      </c>
      <c r="P36" s="1577" t="s">
        <v>437</v>
      </c>
      <c r="Q36" s="1577"/>
      <c r="R36" s="1577" t="s">
        <v>298</v>
      </c>
      <c r="S36" s="1577"/>
      <c r="T36" s="1577"/>
      <c r="U36" s="1577" t="s">
        <v>294</v>
      </c>
      <c r="W36" s="674" t="s">
        <v>435</v>
      </c>
      <c r="X36" s="675">
        <v>0.3</v>
      </c>
    </row>
    <row r="37" spans="1:24" ht="14.5" x14ac:dyDescent="0.25">
      <c r="A37" s="1582"/>
      <c r="B37" s="1567" t="s">
        <v>438</v>
      </c>
      <c r="C37" s="1567"/>
      <c r="D37" s="565">
        <v>2019</v>
      </c>
      <c r="E37" s="565">
        <v>2017</v>
      </c>
      <c r="F37" s="565">
        <v>2016</v>
      </c>
      <c r="G37" s="1577"/>
      <c r="I37" s="1566" t="s">
        <v>68</v>
      </c>
      <c r="J37" s="1567"/>
      <c r="K37" s="565">
        <f>D37</f>
        <v>2019</v>
      </c>
      <c r="L37" s="565">
        <f>E37</f>
        <v>2017</v>
      </c>
      <c r="M37" s="565">
        <v>2016</v>
      </c>
      <c r="N37" s="1577"/>
      <c r="P37" s="1566" t="s">
        <v>439</v>
      </c>
      <c r="Q37" s="1567"/>
      <c r="R37" s="565">
        <f>K37</f>
        <v>2019</v>
      </c>
      <c r="S37" s="565">
        <f>L37</f>
        <v>2017</v>
      </c>
      <c r="T37" s="565">
        <v>2016</v>
      </c>
      <c r="U37" s="1577"/>
      <c r="W37" s="674" t="s">
        <v>68</v>
      </c>
      <c r="X37" s="675">
        <v>1.3</v>
      </c>
    </row>
    <row r="38" spans="1:24" ht="13.5" thickBot="1" x14ac:dyDescent="0.3">
      <c r="A38" s="1582"/>
      <c r="B38" s="676">
        <v>1</v>
      </c>
      <c r="C38" s="226">
        <v>15</v>
      </c>
      <c r="D38" s="209">
        <v>-0.2</v>
      </c>
      <c r="E38" s="209">
        <v>-0.1</v>
      </c>
      <c r="F38" s="679"/>
      <c r="G38" s="677">
        <f>0.5*(MAX(D38:F38)-MIN(D38:F38))</f>
        <v>0.05</v>
      </c>
      <c r="I38" s="676">
        <v>1</v>
      </c>
      <c r="J38" s="226">
        <v>35</v>
      </c>
      <c r="K38" s="209">
        <v>-4.5</v>
      </c>
      <c r="L38" s="209">
        <v>-1.7</v>
      </c>
      <c r="M38" s="679"/>
      <c r="N38" s="677">
        <f>0.5*(MAX(K38:M38)-MIN(K38:M38))</f>
        <v>1.4</v>
      </c>
      <c r="P38" s="676">
        <v>1</v>
      </c>
      <c r="Q38" s="226">
        <v>750</v>
      </c>
      <c r="R38" s="210" t="s">
        <v>128</v>
      </c>
      <c r="S38" s="210" t="s">
        <v>128</v>
      </c>
      <c r="T38" s="679"/>
      <c r="U38" s="677">
        <f>0.5*(MAX(R38:T38)-MIN(R38:T38))</f>
        <v>0</v>
      </c>
      <c r="W38" s="680" t="s">
        <v>439</v>
      </c>
      <c r="X38" s="681">
        <v>0</v>
      </c>
    </row>
    <row r="39" spans="1:24" ht="13" x14ac:dyDescent="0.25">
      <c r="A39" s="1582"/>
      <c r="B39" s="676">
        <v>2</v>
      </c>
      <c r="C39" s="226">
        <v>20</v>
      </c>
      <c r="D39" s="209">
        <v>-0.1</v>
      </c>
      <c r="E39" s="209">
        <v>-0.3</v>
      </c>
      <c r="F39" s="679"/>
      <c r="G39" s="677">
        <f t="shared" ref="G39:G44" si="9">0.5*(MAX(D39:F39)-MIN(D39:F39))</f>
        <v>9.9999999999999992E-2</v>
      </c>
      <c r="I39" s="676">
        <v>2</v>
      </c>
      <c r="J39" s="226">
        <v>40</v>
      </c>
      <c r="K39" s="209">
        <v>-4.4000000000000004</v>
      </c>
      <c r="L39" s="209">
        <v>-1.5</v>
      </c>
      <c r="M39" s="679"/>
      <c r="N39" s="677">
        <f t="shared" ref="N39:N44" si="10">0.5*(MAX(K39:L39)-MIN(K39:L39))</f>
        <v>1.4500000000000002</v>
      </c>
      <c r="P39" s="676">
        <v>2</v>
      </c>
      <c r="Q39" s="226">
        <v>800</v>
      </c>
      <c r="R39" s="210" t="s">
        <v>128</v>
      </c>
      <c r="S39" s="210" t="s">
        <v>128</v>
      </c>
      <c r="T39" s="679"/>
      <c r="U39" s="677">
        <f t="shared" ref="U39:U44" si="11">0.5*(MAX(R39:T39)-MIN(R39:T39))</f>
        <v>0</v>
      </c>
    </row>
    <row r="40" spans="1:24" ht="13" x14ac:dyDescent="0.25">
      <c r="A40" s="1582"/>
      <c r="B40" s="676">
        <v>3</v>
      </c>
      <c r="C40" s="226">
        <v>25</v>
      </c>
      <c r="D40" s="209">
        <v>-0.1</v>
      </c>
      <c r="E40" s="209">
        <v>-0.5</v>
      </c>
      <c r="F40" s="679"/>
      <c r="G40" s="677">
        <f t="shared" si="9"/>
        <v>0.2</v>
      </c>
      <c r="I40" s="676">
        <v>3</v>
      </c>
      <c r="J40" s="226">
        <v>50</v>
      </c>
      <c r="K40" s="209">
        <v>-4.3</v>
      </c>
      <c r="L40" s="209">
        <v>-1</v>
      </c>
      <c r="M40" s="679"/>
      <c r="N40" s="677">
        <f t="shared" si="10"/>
        <v>1.65</v>
      </c>
      <c r="P40" s="676">
        <v>3</v>
      </c>
      <c r="Q40" s="226">
        <v>850</v>
      </c>
      <c r="R40" s="210" t="s">
        <v>128</v>
      </c>
      <c r="S40" s="210" t="s">
        <v>128</v>
      </c>
      <c r="T40" s="679"/>
      <c r="U40" s="677">
        <f t="shared" si="11"/>
        <v>0</v>
      </c>
    </row>
    <row r="41" spans="1:24" ht="13" x14ac:dyDescent="0.25">
      <c r="A41" s="1582"/>
      <c r="B41" s="676">
        <v>4</v>
      </c>
      <c r="C41" s="682">
        <v>30</v>
      </c>
      <c r="D41" s="683">
        <v>-0.1</v>
      </c>
      <c r="E41" s="683">
        <v>-0.6</v>
      </c>
      <c r="F41" s="679"/>
      <c r="G41" s="677">
        <f t="shared" si="9"/>
        <v>0.25</v>
      </c>
      <c r="I41" s="676">
        <v>4</v>
      </c>
      <c r="J41" s="682">
        <v>60</v>
      </c>
      <c r="K41" s="683">
        <v>-4.2</v>
      </c>
      <c r="L41" s="683">
        <v>-0.3</v>
      </c>
      <c r="M41" s="679"/>
      <c r="N41" s="677">
        <f t="shared" si="10"/>
        <v>1.9500000000000002</v>
      </c>
      <c r="P41" s="676">
        <v>4</v>
      </c>
      <c r="Q41" s="682">
        <v>900</v>
      </c>
      <c r="R41" s="683" t="s">
        <v>128</v>
      </c>
      <c r="S41" s="683" t="s">
        <v>128</v>
      </c>
      <c r="T41" s="679"/>
      <c r="U41" s="677">
        <f t="shared" si="11"/>
        <v>0</v>
      </c>
    </row>
    <row r="42" spans="1:24" ht="13" x14ac:dyDescent="0.25">
      <c r="A42" s="1582"/>
      <c r="B42" s="676">
        <v>5</v>
      </c>
      <c r="C42" s="682">
        <v>35</v>
      </c>
      <c r="D42" s="683">
        <v>-0.3</v>
      </c>
      <c r="E42" s="683">
        <v>-0.6</v>
      </c>
      <c r="F42" s="679"/>
      <c r="G42" s="677">
        <f t="shared" si="9"/>
        <v>0.15</v>
      </c>
      <c r="I42" s="676">
        <v>5</v>
      </c>
      <c r="J42" s="682">
        <v>70</v>
      </c>
      <c r="K42" s="683">
        <v>-4</v>
      </c>
      <c r="L42" s="683">
        <v>0.7</v>
      </c>
      <c r="M42" s="679"/>
      <c r="N42" s="677">
        <f t="shared" si="10"/>
        <v>2.35</v>
      </c>
      <c r="P42" s="676">
        <v>5</v>
      </c>
      <c r="Q42" s="682">
        <v>1000</v>
      </c>
      <c r="R42" s="683" t="s">
        <v>128</v>
      </c>
      <c r="S42" s="683" t="s">
        <v>128</v>
      </c>
      <c r="T42" s="679"/>
      <c r="U42" s="677">
        <f t="shared" si="11"/>
        <v>0</v>
      </c>
    </row>
    <row r="43" spans="1:24" ht="13" x14ac:dyDescent="0.25">
      <c r="A43" s="1582"/>
      <c r="B43" s="676">
        <v>6</v>
      </c>
      <c r="C43" s="682">
        <v>37</v>
      </c>
      <c r="D43" s="683">
        <v>-0.4</v>
      </c>
      <c r="E43" s="683">
        <v>-0.6</v>
      </c>
      <c r="F43" s="679"/>
      <c r="G43" s="677">
        <f t="shared" si="9"/>
        <v>9.9999999999999978E-2</v>
      </c>
      <c r="I43" s="676">
        <v>6</v>
      </c>
      <c r="J43" s="682">
        <v>80</v>
      </c>
      <c r="K43" s="683">
        <v>-3.8</v>
      </c>
      <c r="L43" s="683">
        <v>1.9</v>
      </c>
      <c r="M43" s="679"/>
      <c r="N43" s="677">
        <f t="shared" si="10"/>
        <v>2.8499999999999996</v>
      </c>
      <c r="P43" s="676">
        <v>6</v>
      </c>
      <c r="Q43" s="682">
        <v>1005</v>
      </c>
      <c r="R43" s="683" t="s">
        <v>128</v>
      </c>
      <c r="S43" s="683" t="s">
        <v>128</v>
      </c>
      <c r="T43" s="679"/>
      <c r="U43" s="677">
        <f t="shared" si="11"/>
        <v>0</v>
      </c>
    </row>
    <row r="44" spans="1:24" ht="13.5" thickBot="1" x14ac:dyDescent="0.3">
      <c r="A44" s="1583"/>
      <c r="B44" s="676">
        <v>7</v>
      </c>
      <c r="C44" s="682">
        <v>40</v>
      </c>
      <c r="D44" s="683">
        <v>-0.5</v>
      </c>
      <c r="E44" s="683">
        <v>-0.6</v>
      </c>
      <c r="F44" s="679"/>
      <c r="G44" s="677">
        <f t="shared" si="9"/>
        <v>4.9999999999999989E-2</v>
      </c>
      <c r="I44" s="676">
        <v>7</v>
      </c>
      <c r="J44" s="682">
        <v>90</v>
      </c>
      <c r="K44" s="683">
        <v>-3.5</v>
      </c>
      <c r="L44" s="683">
        <v>3.3</v>
      </c>
      <c r="M44" s="679"/>
      <c r="N44" s="677">
        <f t="shared" si="10"/>
        <v>3.4</v>
      </c>
      <c r="P44" s="676">
        <v>7</v>
      </c>
      <c r="Q44" s="682">
        <v>1020</v>
      </c>
      <c r="R44" s="683" t="s">
        <v>128</v>
      </c>
      <c r="S44" s="683" t="s">
        <v>128</v>
      </c>
      <c r="T44" s="679"/>
      <c r="U44" s="677">
        <f t="shared" si="11"/>
        <v>0</v>
      </c>
    </row>
    <row r="45" spans="1:24" ht="13.5" thickBot="1" x14ac:dyDescent="0.35">
      <c r="A45" s="684"/>
      <c r="B45" s="684"/>
      <c r="O45" s="685"/>
      <c r="P45" s="686"/>
    </row>
    <row r="46" spans="1:24" x14ac:dyDescent="0.25">
      <c r="A46" s="1581">
        <v>5</v>
      </c>
      <c r="B46" s="1569" t="s">
        <v>443</v>
      </c>
      <c r="C46" s="1569"/>
      <c r="D46" s="1569"/>
      <c r="E46" s="1569"/>
      <c r="F46" s="1569"/>
      <c r="G46" s="1569"/>
      <c r="I46" s="1569" t="str">
        <f>B46</f>
        <v>KOREKSI KIMO THERMOHYGROMETER 15062875</v>
      </c>
      <c r="J46" s="1569"/>
      <c r="K46" s="1569"/>
      <c r="L46" s="1569"/>
      <c r="M46" s="1569"/>
      <c r="N46" s="1569"/>
      <c r="P46" s="1569" t="str">
        <f>I46</f>
        <v>KOREKSI KIMO THERMOHYGROMETER 15062875</v>
      </c>
      <c r="Q46" s="1569"/>
      <c r="R46" s="1569"/>
      <c r="S46" s="1569"/>
      <c r="T46" s="1569"/>
      <c r="U46" s="1569"/>
      <c r="W46" s="1575" t="s">
        <v>389</v>
      </c>
      <c r="X46" s="1576"/>
    </row>
    <row r="47" spans="1:24" ht="13" x14ac:dyDescent="0.25">
      <c r="A47" s="1582"/>
      <c r="B47" s="1577" t="s">
        <v>435</v>
      </c>
      <c r="C47" s="1577"/>
      <c r="D47" s="1577" t="s">
        <v>298</v>
      </c>
      <c r="E47" s="1577"/>
      <c r="F47" s="1577"/>
      <c r="G47" s="1577" t="s">
        <v>294</v>
      </c>
      <c r="I47" s="1577" t="s">
        <v>436</v>
      </c>
      <c r="J47" s="1577"/>
      <c r="K47" s="1577" t="s">
        <v>298</v>
      </c>
      <c r="L47" s="1577"/>
      <c r="M47" s="1577"/>
      <c r="N47" s="1577" t="s">
        <v>294</v>
      </c>
      <c r="P47" s="1577" t="s">
        <v>437</v>
      </c>
      <c r="Q47" s="1577"/>
      <c r="R47" s="1577" t="s">
        <v>298</v>
      </c>
      <c r="S47" s="1577"/>
      <c r="T47" s="1577"/>
      <c r="U47" s="1577" t="s">
        <v>294</v>
      </c>
      <c r="W47" s="674" t="s">
        <v>435</v>
      </c>
      <c r="X47" s="675">
        <v>0.5</v>
      </c>
    </row>
    <row r="48" spans="1:24" ht="14.5" x14ac:dyDescent="0.25">
      <c r="A48" s="1582"/>
      <c r="B48" s="1567" t="s">
        <v>438</v>
      </c>
      <c r="C48" s="1567"/>
      <c r="D48" s="565">
        <v>2023</v>
      </c>
      <c r="E48" s="565">
        <v>2020</v>
      </c>
      <c r="F48" s="565">
        <v>2017</v>
      </c>
      <c r="G48" s="1577"/>
      <c r="I48" s="1566" t="s">
        <v>68</v>
      </c>
      <c r="J48" s="1567"/>
      <c r="K48" s="565">
        <f>D48</f>
        <v>2023</v>
      </c>
      <c r="L48" s="565">
        <f>E48</f>
        <v>2020</v>
      </c>
      <c r="M48" s="565">
        <v>2016</v>
      </c>
      <c r="N48" s="1577"/>
      <c r="P48" s="1566" t="s">
        <v>439</v>
      </c>
      <c r="Q48" s="1567"/>
      <c r="R48" s="565">
        <f>K48</f>
        <v>2023</v>
      </c>
      <c r="S48" s="565">
        <f>L48</f>
        <v>2020</v>
      </c>
      <c r="T48" s="565">
        <v>2016</v>
      </c>
      <c r="U48" s="1577"/>
      <c r="W48" s="674" t="s">
        <v>68</v>
      </c>
      <c r="X48" s="675">
        <v>2.2999999999999998</v>
      </c>
    </row>
    <row r="49" spans="1:24" ht="13.5" thickBot="1" x14ac:dyDescent="0.3">
      <c r="A49" s="1582"/>
      <c r="B49" s="676">
        <v>1</v>
      </c>
      <c r="C49" s="226">
        <v>15</v>
      </c>
      <c r="D49" s="209">
        <v>0.3</v>
      </c>
      <c r="E49" s="209">
        <v>-0.3</v>
      </c>
      <c r="F49" s="209">
        <v>0.3</v>
      </c>
      <c r="G49" s="677">
        <f>0.5*(MAX(D49:F49)-MIN(D49:F49))</f>
        <v>0.3</v>
      </c>
      <c r="I49" s="676">
        <v>1</v>
      </c>
      <c r="J49" s="226">
        <v>35</v>
      </c>
      <c r="K49" s="209">
        <v>-10.5</v>
      </c>
      <c r="L49" s="209">
        <v>-7.7</v>
      </c>
      <c r="M49" s="209">
        <v>-9.6</v>
      </c>
      <c r="N49" s="677">
        <f>0.5*(MAX(K49:M49)-MIN(K49:M49))</f>
        <v>1.4</v>
      </c>
      <c r="P49" s="676">
        <v>1</v>
      </c>
      <c r="Q49" s="226">
        <v>750</v>
      </c>
      <c r="R49" s="210" t="s">
        <v>128</v>
      </c>
      <c r="S49" s="210" t="s">
        <v>128</v>
      </c>
      <c r="T49" s="679"/>
      <c r="U49" s="677">
        <f>0.5*(MAX(R49:T49)-MIN(R49:T49))</f>
        <v>0</v>
      </c>
      <c r="W49" s="680" t="s">
        <v>439</v>
      </c>
      <c r="X49" s="681">
        <v>0</v>
      </c>
    </row>
    <row r="50" spans="1:24" ht="13" x14ac:dyDescent="0.25">
      <c r="A50" s="1582"/>
      <c r="B50" s="676">
        <v>2</v>
      </c>
      <c r="C50" s="226">
        <v>20</v>
      </c>
      <c r="D50" s="209">
        <v>0.4</v>
      </c>
      <c r="E50" s="209">
        <v>0.1</v>
      </c>
      <c r="F50" s="209">
        <v>0.3</v>
      </c>
      <c r="G50" s="677">
        <f t="shared" ref="G50:G55" si="12">0.5*(MAX(D50:F50)-MIN(D50:F50))</f>
        <v>0.15000000000000002</v>
      </c>
      <c r="I50" s="676">
        <v>2</v>
      </c>
      <c r="J50" s="226">
        <v>40</v>
      </c>
      <c r="K50" s="209">
        <v>-9.6</v>
      </c>
      <c r="L50" s="209">
        <v>-7.2</v>
      </c>
      <c r="M50" s="209">
        <v>-8</v>
      </c>
      <c r="N50" s="677">
        <f t="shared" ref="N50:N55" si="13">0.5*(MAX(K50:M50)-MIN(K50:M50))</f>
        <v>1.1999999999999997</v>
      </c>
      <c r="P50" s="676">
        <v>2</v>
      </c>
      <c r="Q50" s="226">
        <v>800</v>
      </c>
      <c r="R50" s="210" t="s">
        <v>128</v>
      </c>
      <c r="S50" s="210" t="s">
        <v>128</v>
      </c>
      <c r="T50" s="679"/>
      <c r="U50" s="677">
        <f t="shared" ref="U50:U55" si="14">0.5*(MAX(R50:T50)-MIN(R50:T50))</f>
        <v>0</v>
      </c>
    </row>
    <row r="51" spans="1:24" ht="13" x14ac:dyDescent="0.25">
      <c r="A51" s="1582"/>
      <c r="B51" s="676">
        <v>3</v>
      </c>
      <c r="C51" s="226">
        <v>25</v>
      </c>
      <c r="D51" s="209">
        <v>0.4</v>
      </c>
      <c r="E51" s="209">
        <v>0.4</v>
      </c>
      <c r="F51" s="209">
        <v>0.2</v>
      </c>
      <c r="G51" s="677">
        <f t="shared" si="12"/>
        <v>0.1</v>
      </c>
      <c r="I51" s="676">
        <v>3</v>
      </c>
      <c r="J51" s="226">
        <v>50</v>
      </c>
      <c r="K51" s="209">
        <v>-8.8000000000000007</v>
      </c>
      <c r="L51" s="209">
        <v>-6.2</v>
      </c>
      <c r="M51" s="209">
        <v>-6.2</v>
      </c>
      <c r="N51" s="677">
        <f t="shared" si="13"/>
        <v>1.3000000000000003</v>
      </c>
      <c r="P51" s="676">
        <v>3</v>
      </c>
      <c r="Q51" s="226">
        <v>850</v>
      </c>
      <c r="R51" s="210" t="s">
        <v>128</v>
      </c>
      <c r="S51" s="210" t="s">
        <v>128</v>
      </c>
      <c r="T51" s="679"/>
      <c r="U51" s="677">
        <f t="shared" si="14"/>
        <v>0</v>
      </c>
    </row>
    <row r="52" spans="1:24" ht="13" x14ac:dyDescent="0.25">
      <c r="A52" s="1582"/>
      <c r="B52" s="676">
        <v>4</v>
      </c>
      <c r="C52" s="682">
        <v>30</v>
      </c>
      <c r="D52" s="209">
        <v>0.4</v>
      </c>
      <c r="E52" s="683">
        <v>0.6</v>
      </c>
      <c r="F52" s="683">
        <v>0.1</v>
      </c>
      <c r="G52" s="677">
        <f t="shared" si="12"/>
        <v>0.25</v>
      </c>
      <c r="I52" s="676">
        <v>4</v>
      </c>
      <c r="J52" s="682">
        <v>60</v>
      </c>
      <c r="K52" s="683">
        <v>-8</v>
      </c>
      <c r="L52" s="683">
        <v>-5.2</v>
      </c>
      <c r="M52" s="683">
        <v>-4.2</v>
      </c>
      <c r="N52" s="677">
        <f t="shared" si="13"/>
        <v>1.9</v>
      </c>
      <c r="P52" s="676">
        <v>4</v>
      </c>
      <c r="Q52" s="682">
        <v>900</v>
      </c>
      <c r="R52" s="683" t="s">
        <v>128</v>
      </c>
      <c r="S52" s="683" t="s">
        <v>128</v>
      </c>
      <c r="T52" s="679"/>
      <c r="U52" s="677">
        <f t="shared" si="14"/>
        <v>0</v>
      </c>
    </row>
    <row r="53" spans="1:24" ht="13" x14ac:dyDescent="0.25">
      <c r="A53" s="1582"/>
      <c r="B53" s="676">
        <v>5</v>
      </c>
      <c r="C53" s="682">
        <v>35</v>
      </c>
      <c r="D53" s="209">
        <v>0.4</v>
      </c>
      <c r="E53" s="683">
        <v>0.7</v>
      </c>
      <c r="F53" s="209">
        <v>9.9999999999999995E-7</v>
      </c>
      <c r="G53" s="677">
        <f t="shared" si="12"/>
        <v>0.34999949999999996</v>
      </c>
      <c r="I53" s="676">
        <v>5</v>
      </c>
      <c r="J53" s="682">
        <v>70</v>
      </c>
      <c r="K53" s="683">
        <v>-7.1</v>
      </c>
      <c r="L53" s="683">
        <v>-4.0999999999999996</v>
      </c>
      <c r="M53" s="683">
        <v>-2.1</v>
      </c>
      <c r="N53" s="677">
        <f t="shared" si="13"/>
        <v>2.5</v>
      </c>
      <c r="P53" s="676">
        <v>5</v>
      </c>
      <c r="Q53" s="682">
        <v>1000</v>
      </c>
      <c r="R53" s="683" t="s">
        <v>128</v>
      </c>
      <c r="S53" s="683" t="s">
        <v>128</v>
      </c>
      <c r="T53" s="679"/>
      <c r="U53" s="677">
        <f t="shared" si="14"/>
        <v>0</v>
      </c>
    </row>
    <row r="54" spans="1:24" ht="13" x14ac:dyDescent="0.25">
      <c r="A54" s="1582"/>
      <c r="B54" s="676">
        <v>6</v>
      </c>
      <c r="C54" s="682">
        <v>37</v>
      </c>
      <c r="D54" s="209">
        <v>0.03</v>
      </c>
      <c r="E54" s="683">
        <v>0.7</v>
      </c>
      <c r="F54" s="209">
        <v>9.9999999999999995E-7</v>
      </c>
      <c r="G54" s="677">
        <f t="shared" si="12"/>
        <v>0.34999949999999996</v>
      </c>
      <c r="I54" s="676">
        <v>6</v>
      </c>
      <c r="J54" s="682">
        <v>80</v>
      </c>
      <c r="K54" s="683">
        <v>-6.3</v>
      </c>
      <c r="L54" s="683">
        <v>-3</v>
      </c>
      <c r="M54" s="683">
        <v>0.2</v>
      </c>
      <c r="N54" s="677">
        <f t="shared" si="13"/>
        <v>3.25</v>
      </c>
      <c r="P54" s="676">
        <v>6</v>
      </c>
      <c r="Q54" s="682">
        <v>1005</v>
      </c>
      <c r="R54" s="683" t="s">
        <v>128</v>
      </c>
      <c r="S54" s="683" t="s">
        <v>128</v>
      </c>
      <c r="T54" s="679"/>
      <c r="U54" s="677">
        <f t="shared" si="14"/>
        <v>0</v>
      </c>
    </row>
    <row r="55" spans="1:24" ht="13.5" thickBot="1" x14ac:dyDescent="0.3">
      <c r="A55" s="1583"/>
      <c r="B55" s="676">
        <v>7</v>
      </c>
      <c r="C55" s="682">
        <v>40</v>
      </c>
      <c r="D55" s="683">
        <v>0.3</v>
      </c>
      <c r="E55" s="683">
        <v>0.7</v>
      </c>
      <c r="F55" s="683">
        <v>-0.1</v>
      </c>
      <c r="G55" s="677">
        <f t="shared" si="12"/>
        <v>0.39999999999999997</v>
      </c>
      <c r="I55" s="676">
        <v>7</v>
      </c>
      <c r="J55" s="682">
        <v>90</v>
      </c>
      <c r="K55" s="683">
        <v>-5.4</v>
      </c>
      <c r="L55" s="683">
        <v>-1.8</v>
      </c>
      <c r="M55" s="683">
        <v>2.7</v>
      </c>
      <c r="N55" s="677">
        <f t="shared" si="13"/>
        <v>4.0500000000000007</v>
      </c>
      <c r="P55" s="676">
        <v>7</v>
      </c>
      <c r="Q55" s="682">
        <v>1020</v>
      </c>
      <c r="R55" s="683" t="s">
        <v>128</v>
      </c>
      <c r="S55" s="683" t="s">
        <v>128</v>
      </c>
      <c r="T55" s="679"/>
      <c r="U55" s="677">
        <f t="shared" si="14"/>
        <v>0</v>
      </c>
    </row>
    <row r="56" spans="1:24" ht="13.5" thickBot="1" x14ac:dyDescent="0.35">
      <c r="A56" s="227"/>
      <c r="B56" s="444"/>
      <c r="C56" s="444"/>
      <c r="D56" s="444"/>
      <c r="E56" s="688"/>
      <c r="F56" s="289"/>
      <c r="G56" s="574"/>
      <c r="H56" s="444"/>
      <c r="I56" s="444"/>
      <c r="J56" s="444"/>
      <c r="K56" s="688"/>
      <c r="L56" s="289"/>
      <c r="O56" s="685"/>
      <c r="P56" s="686"/>
    </row>
    <row r="57" spans="1:24" x14ac:dyDescent="0.25">
      <c r="A57" s="1568">
        <v>6</v>
      </c>
      <c r="B57" s="1569" t="s">
        <v>444</v>
      </c>
      <c r="C57" s="1569"/>
      <c r="D57" s="1569"/>
      <c r="E57" s="1569"/>
      <c r="F57" s="1569"/>
      <c r="G57" s="1569"/>
      <c r="I57" s="1569" t="str">
        <f>B57</f>
        <v>KOREKSI GREISINGER 34903046</v>
      </c>
      <c r="J57" s="1569"/>
      <c r="K57" s="1569"/>
      <c r="L57" s="1569"/>
      <c r="M57" s="1569"/>
      <c r="N57" s="1569"/>
      <c r="P57" s="1569" t="str">
        <f>I57</f>
        <v>KOREKSI GREISINGER 34903046</v>
      </c>
      <c r="Q57" s="1569"/>
      <c r="R57" s="1569"/>
      <c r="S57" s="1569"/>
      <c r="T57" s="1569"/>
      <c r="U57" s="1569"/>
      <c r="W57" s="1575" t="s">
        <v>389</v>
      </c>
      <c r="X57" s="1576"/>
    </row>
    <row r="58" spans="1:24" ht="13" x14ac:dyDescent="0.25">
      <c r="A58" s="1568"/>
      <c r="B58" s="1577" t="s">
        <v>435</v>
      </c>
      <c r="C58" s="1577"/>
      <c r="D58" s="1577" t="s">
        <v>298</v>
      </c>
      <c r="E58" s="1577"/>
      <c r="F58" s="1577"/>
      <c r="G58" s="1577" t="s">
        <v>294</v>
      </c>
      <c r="I58" s="1577" t="s">
        <v>436</v>
      </c>
      <c r="J58" s="1577"/>
      <c r="K58" s="1577" t="s">
        <v>298</v>
      </c>
      <c r="L58" s="1577"/>
      <c r="M58" s="1577"/>
      <c r="N58" s="1577" t="s">
        <v>294</v>
      </c>
      <c r="P58" s="1577" t="s">
        <v>437</v>
      </c>
      <c r="Q58" s="1577"/>
      <c r="R58" s="1578" t="s">
        <v>298</v>
      </c>
      <c r="S58" s="1579"/>
      <c r="T58" s="1580"/>
      <c r="U58" s="1577" t="s">
        <v>294</v>
      </c>
      <c r="W58" s="674" t="s">
        <v>435</v>
      </c>
      <c r="X58" s="675">
        <v>0.8</v>
      </c>
    </row>
    <row r="59" spans="1:24" ht="14.5" x14ac:dyDescent="0.25">
      <c r="A59" s="1568"/>
      <c r="B59" s="1567" t="s">
        <v>438</v>
      </c>
      <c r="C59" s="1567"/>
      <c r="D59" s="565">
        <v>2019</v>
      </c>
      <c r="E59" s="565">
        <v>2018</v>
      </c>
      <c r="F59" s="565">
        <v>2016</v>
      </c>
      <c r="G59" s="1577"/>
      <c r="I59" s="1566" t="s">
        <v>68</v>
      </c>
      <c r="J59" s="1567"/>
      <c r="K59" s="565">
        <f>D59</f>
        <v>2019</v>
      </c>
      <c r="L59" s="565">
        <f>E59</f>
        <v>2018</v>
      </c>
      <c r="M59" s="565">
        <v>2016</v>
      </c>
      <c r="N59" s="1577"/>
      <c r="P59" s="1566" t="s">
        <v>439</v>
      </c>
      <c r="Q59" s="1567"/>
      <c r="R59" s="565">
        <f>K59</f>
        <v>2019</v>
      </c>
      <c r="S59" s="565">
        <f>L59</f>
        <v>2018</v>
      </c>
      <c r="T59" s="565">
        <v>2016</v>
      </c>
      <c r="U59" s="1577"/>
      <c r="W59" s="674" t="s">
        <v>68</v>
      </c>
      <c r="X59" s="675">
        <v>2.6</v>
      </c>
    </row>
    <row r="60" spans="1:24" ht="13.5" thickBot="1" x14ac:dyDescent="0.3">
      <c r="A60" s="1568"/>
      <c r="B60" s="676">
        <v>1</v>
      </c>
      <c r="C60" s="226">
        <v>15</v>
      </c>
      <c r="D60" s="226">
        <v>0.4</v>
      </c>
      <c r="E60" s="226">
        <v>0.4</v>
      </c>
      <c r="F60" s="679"/>
      <c r="G60" s="677">
        <f>0.5*(MAX(D60:F60)-MIN(D60:F60))</f>
        <v>0</v>
      </c>
      <c r="I60" s="676">
        <v>1</v>
      </c>
      <c r="J60" s="226">
        <v>30</v>
      </c>
      <c r="K60" s="226">
        <v>-1.5</v>
      </c>
      <c r="L60" s="226">
        <v>1.7</v>
      </c>
      <c r="M60" s="679"/>
      <c r="N60" s="677">
        <f>0.5*(MAX(K60:M60)-MIN(K60:M60))</f>
        <v>1.6</v>
      </c>
      <c r="P60" s="676">
        <v>1</v>
      </c>
      <c r="Q60" s="226">
        <v>750</v>
      </c>
      <c r="R60" s="226">
        <v>0.9</v>
      </c>
      <c r="S60" s="226">
        <v>2.1</v>
      </c>
      <c r="T60" s="679"/>
      <c r="U60" s="677">
        <f>0.5*(MAX(R60:T60)-MIN(R60:T60))</f>
        <v>0.60000000000000009</v>
      </c>
      <c r="W60" s="680" t="s">
        <v>439</v>
      </c>
      <c r="X60" s="681">
        <v>1.6</v>
      </c>
    </row>
    <row r="61" spans="1:24" ht="13" x14ac:dyDescent="0.25">
      <c r="A61" s="1568"/>
      <c r="B61" s="676">
        <v>2</v>
      </c>
      <c r="C61" s="226">
        <v>20</v>
      </c>
      <c r="D61" s="226">
        <v>0.3</v>
      </c>
      <c r="E61" s="226">
        <v>0.2</v>
      </c>
      <c r="F61" s="679"/>
      <c r="G61" s="677">
        <f t="shared" ref="G61:G66" si="15">0.5*(MAX(D61:F61)-MIN(D61:F61))</f>
        <v>4.9999999999999989E-2</v>
      </c>
      <c r="I61" s="676">
        <v>2</v>
      </c>
      <c r="J61" s="226">
        <v>40</v>
      </c>
      <c r="K61" s="226">
        <v>-3.8</v>
      </c>
      <c r="L61" s="226">
        <v>1.5</v>
      </c>
      <c r="M61" s="679"/>
      <c r="N61" s="677">
        <f t="shared" ref="N61:N66" si="16">0.5*(MAX(K61:M61)-MIN(K61:M61))</f>
        <v>2.65</v>
      </c>
      <c r="P61" s="676">
        <v>2</v>
      </c>
      <c r="Q61" s="226">
        <v>800</v>
      </c>
      <c r="R61" s="226">
        <v>0.9</v>
      </c>
      <c r="S61" s="226">
        <v>1.6</v>
      </c>
      <c r="T61" s="679"/>
      <c r="U61" s="677">
        <f t="shared" ref="U61:U66" si="17">0.5*(MAX(R61:T61)-MIN(R61:T61))</f>
        <v>0.35000000000000003</v>
      </c>
    </row>
    <row r="62" spans="1:24" ht="13" x14ac:dyDescent="0.25">
      <c r="A62" s="1568"/>
      <c r="B62" s="676">
        <v>3</v>
      </c>
      <c r="C62" s="226">
        <v>25</v>
      </c>
      <c r="D62" s="226">
        <v>0.2</v>
      </c>
      <c r="E62" s="226">
        <v>-0.1</v>
      </c>
      <c r="F62" s="679"/>
      <c r="G62" s="677">
        <f t="shared" si="15"/>
        <v>0.15000000000000002</v>
      </c>
      <c r="I62" s="676">
        <v>3</v>
      </c>
      <c r="J62" s="226">
        <v>50</v>
      </c>
      <c r="K62" s="226">
        <v>-5.4</v>
      </c>
      <c r="L62" s="226">
        <v>1.2</v>
      </c>
      <c r="M62" s="679"/>
      <c r="N62" s="677">
        <f t="shared" si="16"/>
        <v>3.3000000000000003</v>
      </c>
      <c r="P62" s="676">
        <v>3</v>
      </c>
      <c r="Q62" s="226">
        <v>850</v>
      </c>
      <c r="R62" s="226">
        <v>0.9</v>
      </c>
      <c r="S62" s="226">
        <v>1.1000000000000001</v>
      </c>
      <c r="T62" s="679"/>
      <c r="U62" s="677">
        <f t="shared" si="17"/>
        <v>0.10000000000000003</v>
      </c>
    </row>
    <row r="63" spans="1:24" ht="13" x14ac:dyDescent="0.25">
      <c r="A63" s="1568"/>
      <c r="B63" s="676">
        <v>4</v>
      </c>
      <c r="C63" s="682">
        <v>30</v>
      </c>
      <c r="D63" s="682">
        <v>0.1</v>
      </c>
      <c r="E63" s="682">
        <v>-0.5</v>
      </c>
      <c r="F63" s="679"/>
      <c r="G63" s="677">
        <f t="shared" si="15"/>
        <v>0.3</v>
      </c>
      <c r="I63" s="676">
        <v>4</v>
      </c>
      <c r="J63" s="682">
        <v>60</v>
      </c>
      <c r="K63" s="682">
        <v>-6.4</v>
      </c>
      <c r="L63" s="682">
        <v>1.1000000000000001</v>
      </c>
      <c r="M63" s="679"/>
      <c r="N63" s="677">
        <f t="shared" si="16"/>
        <v>3.75</v>
      </c>
      <c r="P63" s="676">
        <v>4</v>
      </c>
      <c r="Q63" s="682">
        <v>900</v>
      </c>
      <c r="R63" s="682">
        <v>0.9</v>
      </c>
      <c r="S63" s="682">
        <v>0.7</v>
      </c>
      <c r="T63" s="679"/>
      <c r="U63" s="677">
        <f t="shared" si="17"/>
        <v>0.10000000000000003</v>
      </c>
    </row>
    <row r="64" spans="1:24" ht="13" x14ac:dyDescent="0.25">
      <c r="A64" s="1568"/>
      <c r="B64" s="676">
        <v>5</v>
      </c>
      <c r="C64" s="682">
        <v>35</v>
      </c>
      <c r="D64" s="682">
        <v>0.1</v>
      </c>
      <c r="E64" s="682">
        <v>-0.9</v>
      </c>
      <c r="F64" s="679"/>
      <c r="G64" s="677">
        <f t="shared" si="15"/>
        <v>0.5</v>
      </c>
      <c r="I64" s="676">
        <v>5</v>
      </c>
      <c r="J64" s="682">
        <v>70</v>
      </c>
      <c r="K64" s="682">
        <v>-6.7</v>
      </c>
      <c r="L64" s="682">
        <v>0.9</v>
      </c>
      <c r="M64" s="679"/>
      <c r="N64" s="677">
        <f t="shared" si="16"/>
        <v>3.8000000000000003</v>
      </c>
      <c r="P64" s="676">
        <v>5</v>
      </c>
      <c r="Q64" s="682">
        <v>1000</v>
      </c>
      <c r="R64" s="682">
        <v>0.9</v>
      </c>
      <c r="S64" s="682">
        <v>-0.3</v>
      </c>
      <c r="T64" s="679"/>
      <c r="U64" s="677">
        <f t="shared" si="17"/>
        <v>0.6</v>
      </c>
    </row>
    <row r="65" spans="1:24" ht="13" x14ac:dyDescent="0.25">
      <c r="A65" s="1568"/>
      <c r="B65" s="676">
        <v>6</v>
      </c>
      <c r="C65" s="682">
        <v>37</v>
      </c>
      <c r="D65" s="682">
        <v>0.1</v>
      </c>
      <c r="E65" s="682">
        <v>-1.1000000000000001</v>
      </c>
      <c r="F65" s="679"/>
      <c r="G65" s="677">
        <f t="shared" si="15"/>
        <v>0.60000000000000009</v>
      </c>
      <c r="I65" s="676">
        <v>6</v>
      </c>
      <c r="J65" s="682">
        <v>80</v>
      </c>
      <c r="K65" s="682">
        <v>-6.3</v>
      </c>
      <c r="L65" s="682">
        <v>0.8</v>
      </c>
      <c r="M65" s="679"/>
      <c r="N65" s="677">
        <f t="shared" si="16"/>
        <v>3.55</v>
      </c>
      <c r="P65" s="676">
        <v>6</v>
      </c>
      <c r="Q65" s="682">
        <v>1005</v>
      </c>
      <c r="R65" s="682">
        <v>0.9</v>
      </c>
      <c r="S65" s="682">
        <v>-0.3</v>
      </c>
      <c r="T65" s="679"/>
      <c r="U65" s="677">
        <f t="shared" si="17"/>
        <v>0.6</v>
      </c>
    </row>
    <row r="66" spans="1:24" ht="13" x14ac:dyDescent="0.25">
      <c r="A66" s="1568"/>
      <c r="B66" s="676">
        <v>7</v>
      </c>
      <c r="C66" s="682">
        <v>40</v>
      </c>
      <c r="D66" s="682">
        <v>0.1</v>
      </c>
      <c r="E66" s="682">
        <v>-1.4</v>
      </c>
      <c r="F66" s="679"/>
      <c r="G66" s="677">
        <f t="shared" si="15"/>
        <v>0.75</v>
      </c>
      <c r="I66" s="676">
        <v>7</v>
      </c>
      <c r="J66" s="682">
        <v>90</v>
      </c>
      <c r="K66" s="682">
        <v>-5.2</v>
      </c>
      <c r="L66" s="682">
        <v>0.7</v>
      </c>
      <c r="M66" s="679"/>
      <c r="N66" s="677">
        <f t="shared" si="16"/>
        <v>2.95</v>
      </c>
      <c r="P66" s="676">
        <v>7</v>
      </c>
      <c r="Q66" s="682">
        <v>1020</v>
      </c>
      <c r="R66" s="682">
        <v>0.9</v>
      </c>
      <c r="S66" s="209">
        <v>9.9999999999999995E-7</v>
      </c>
      <c r="T66" s="679"/>
      <c r="U66" s="677">
        <f t="shared" si="17"/>
        <v>0.4499995</v>
      </c>
    </row>
    <row r="67" spans="1:24" ht="13.5" thickBot="1" x14ac:dyDescent="0.35">
      <c r="A67" s="227"/>
      <c r="B67" s="444"/>
      <c r="C67" s="444"/>
      <c r="D67" s="444"/>
      <c r="E67" s="688"/>
      <c r="F67" s="289"/>
      <c r="G67" s="574"/>
      <c r="I67" s="444"/>
      <c r="J67" s="444"/>
      <c r="K67" s="444"/>
      <c r="L67" s="688"/>
      <c r="M67" s="289"/>
      <c r="R67" s="686"/>
    </row>
    <row r="68" spans="1:24" x14ac:dyDescent="0.25">
      <c r="A68" s="1568">
        <v>7</v>
      </c>
      <c r="B68" s="1569" t="s">
        <v>445</v>
      </c>
      <c r="C68" s="1569"/>
      <c r="D68" s="1569"/>
      <c r="E68" s="1569"/>
      <c r="F68" s="1569"/>
      <c r="G68" s="1569"/>
      <c r="I68" s="1569" t="str">
        <f>B68</f>
        <v>KOREKSI GREISINGER 34903053</v>
      </c>
      <c r="J68" s="1569"/>
      <c r="K68" s="1569"/>
      <c r="L68" s="1569"/>
      <c r="M68" s="1569"/>
      <c r="N68" s="1569"/>
      <c r="P68" s="1569" t="str">
        <f>I68</f>
        <v>KOREKSI GREISINGER 34903053</v>
      </c>
      <c r="Q68" s="1569"/>
      <c r="R68" s="1569"/>
      <c r="S68" s="1569"/>
      <c r="T68" s="1569"/>
      <c r="U68" s="1569"/>
      <c r="W68" s="1575" t="s">
        <v>389</v>
      </c>
      <c r="X68" s="1576"/>
    </row>
    <row r="69" spans="1:24" ht="13" x14ac:dyDescent="0.25">
      <c r="A69" s="1568"/>
      <c r="B69" s="1577" t="s">
        <v>435</v>
      </c>
      <c r="C69" s="1577"/>
      <c r="D69" s="1577" t="s">
        <v>298</v>
      </c>
      <c r="E69" s="1577"/>
      <c r="F69" s="1577"/>
      <c r="G69" s="1577" t="s">
        <v>294</v>
      </c>
      <c r="I69" s="1577" t="s">
        <v>436</v>
      </c>
      <c r="J69" s="1577"/>
      <c r="K69" s="1577" t="s">
        <v>298</v>
      </c>
      <c r="L69" s="1577"/>
      <c r="M69" s="1577"/>
      <c r="N69" s="1577" t="s">
        <v>294</v>
      </c>
      <c r="P69" s="1577" t="s">
        <v>437</v>
      </c>
      <c r="Q69" s="1577"/>
      <c r="R69" s="1577" t="s">
        <v>298</v>
      </c>
      <c r="S69" s="1577"/>
      <c r="T69" s="1577"/>
      <c r="U69" s="1577" t="s">
        <v>294</v>
      </c>
      <c r="W69" s="674" t="s">
        <v>435</v>
      </c>
      <c r="X69" s="675">
        <v>0.5</v>
      </c>
    </row>
    <row r="70" spans="1:24" ht="14.5" x14ac:dyDescent="0.25">
      <c r="A70" s="1568"/>
      <c r="B70" s="1567" t="s">
        <v>438</v>
      </c>
      <c r="C70" s="1567"/>
      <c r="D70" s="565">
        <v>2023</v>
      </c>
      <c r="E70" s="565">
        <v>2021</v>
      </c>
      <c r="F70" s="565">
        <v>2018</v>
      </c>
      <c r="G70" s="1577"/>
      <c r="I70" s="1566" t="s">
        <v>68</v>
      </c>
      <c r="J70" s="1567"/>
      <c r="K70" s="565">
        <f>D70</f>
        <v>2023</v>
      </c>
      <c r="L70" s="565">
        <f>E70</f>
        <v>2021</v>
      </c>
      <c r="M70" s="565">
        <v>2016</v>
      </c>
      <c r="N70" s="1577"/>
      <c r="P70" s="1566" t="s">
        <v>439</v>
      </c>
      <c r="Q70" s="1567"/>
      <c r="R70" s="565">
        <f>K70</f>
        <v>2023</v>
      </c>
      <c r="S70" s="565">
        <f>L70</f>
        <v>2021</v>
      </c>
      <c r="T70" s="565">
        <v>2016</v>
      </c>
      <c r="U70" s="1577"/>
      <c r="W70" s="674" t="s">
        <v>68</v>
      </c>
      <c r="X70" s="675">
        <v>2.2999999999999998</v>
      </c>
    </row>
    <row r="71" spans="1:24" ht="13.5" thickBot="1" x14ac:dyDescent="0.3">
      <c r="A71" s="1568"/>
      <c r="B71" s="676">
        <v>1</v>
      </c>
      <c r="C71" s="226">
        <v>15</v>
      </c>
      <c r="D71" s="226">
        <v>0.1</v>
      </c>
      <c r="E71" s="226">
        <v>0.1</v>
      </c>
      <c r="F71" s="226">
        <v>0.3</v>
      </c>
      <c r="G71" s="677">
        <f>0.5*(MAX(D71:F71)-MIN(D71:F71))</f>
        <v>9.9999999999999992E-2</v>
      </c>
      <c r="I71" s="676">
        <v>1</v>
      </c>
      <c r="J71" s="226">
        <v>30</v>
      </c>
      <c r="K71" s="226">
        <v>-1.7</v>
      </c>
      <c r="L71" s="226">
        <v>-1.9</v>
      </c>
      <c r="M71" s="226">
        <v>1.8</v>
      </c>
      <c r="N71" s="677">
        <f>0.5*(MAX(K71:M71)-MIN(K71:M71))</f>
        <v>1.85</v>
      </c>
      <c r="P71" s="676">
        <v>1</v>
      </c>
      <c r="Q71" s="226">
        <v>960</v>
      </c>
      <c r="R71" s="209">
        <v>0.7</v>
      </c>
      <c r="S71" s="694" t="s">
        <v>128</v>
      </c>
      <c r="T71" s="694" t="s">
        <v>128</v>
      </c>
      <c r="U71" s="677">
        <f>0.5*(MAX(R71:T71)-MIN(R71:T71))</f>
        <v>0</v>
      </c>
      <c r="W71" s="680" t="s">
        <v>439</v>
      </c>
      <c r="X71" s="681">
        <v>2</v>
      </c>
    </row>
    <row r="72" spans="1:24" ht="13" x14ac:dyDescent="0.25">
      <c r="A72" s="1568"/>
      <c r="B72" s="676">
        <v>2</v>
      </c>
      <c r="C72" s="226">
        <v>20</v>
      </c>
      <c r="D72" s="209">
        <v>0</v>
      </c>
      <c r="E72" s="209">
        <v>9.9999999999999995E-7</v>
      </c>
      <c r="F72" s="226">
        <v>0.1</v>
      </c>
      <c r="G72" s="677">
        <f t="shared" ref="G72:G77" si="18">0.5*(MAX(D72:F72)-MIN(D72:F72))</f>
        <v>0.05</v>
      </c>
      <c r="I72" s="676">
        <v>2</v>
      </c>
      <c r="J72" s="226">
        <v>40</v>
      </c>
      <c r="K72" s="226">
        <v>-2</v>
      </c>
      <c r="L72" s="226">
        <v>-1.9</v>
      </c>
      <c r="M72" s="226">
        <v>1.2</v>
      </c>
      <c r="N72" s="677">
        <f t="shared" ref="N72:N77" si="19">0.5*(MAX(K72:M72)-MIN(K72:M72))</f>
        <v>1.6</v>
      </c>
      <c r="P72" s="676">
        <v>2</v>
      </c>
      <c r="Q72" s="226">
        <v>970</v>
      </c>
      <c r="R72" s="209">
        <v>0.6</v>
      </c>
      <c r="S72" s="694" t="s">
        <v>128</v>
      </c>
      <c r="T72" s="694" t="s">
        <v>128</v>
      </c>
      <c r="U72" s="677">
        <f t="shared" ref="U72:U77" si="20">0.5*(MAX(R72:T72)-MIN(R72:T72))</f>
        <v>0</v>
      </c>
    </row>
    <row r="73" spans="1:24" ht="13" x14ac:dyDescent="0.25">
      <c r="A73" s="1568"/>
      <c r="B73" s="676">
        <v>3</v>
      </c>
      <c r="C73" s="226">
        <v>25</v>
      </c>
      <c r="D73" s="209">
        <v>-0.1</v>
      </c>
      <c r="E73" s="209">
        <v>9.9999999999999995E-7</v>
      </c>
      <c r="F73" s="226">
        <v>-0.2</v>
      </c>
      <c r="G73" s="677">
        <f t="shared" si="18"/>
        <v>0.10000050000000001</v>
      </c>
      <c r="I73" s="676">
        <v>3</v>
      </c>
      <c r="J73" s="226">
        <v>50</v>
      </c>
      <c r="K73" s="226">
        <v>-2.1</v>
      </c>
      <c r="L73" s="226">
        <v>-1.9</v>
      </c>
      <c r="M73" s="226">
        <v>0.8</v>
      </c>
      <c r="N73" s="677">
        <f t="shared" si="19"/>
        <v>1.4500000000000002</v>
      </c>
      <c r="P73" s="676">
        <v>3</v>
      </c>
      <c r="Q73" s="226">
        <v>980</v>
      </c>
      <c r="R73" s="209">
        <v>0.5</v>
      </c>
      <c r="S73" s="694" t="s">
        <v>128</v>
      </c>
      <c r="T73" s="694" t="s">
        <v>128</v>
      </c>
      <c r="U73" s="677">
        <f t="shared" si="20"/>
        <v>0</v>
      </c>
    </row>
    <row r="74" spans="1:24" ht="13" x14ac:dyDescent="0.25">
      <c r="A74" s="1568"/>
      <c r="B74" s="676">
        <v>4</v>
      </c>
      <c r="C74" s="682">
        <v>30</v>
      </c>
      <c r="D74" s="209">
        <v>-0.2</v>
      </c>
      <c r="E74" s="209">
        <v>9.9999999999999995E-7</v>
      </c>
      <c r="F74" s="682">
        <v>-0.6</v>
      </c>
      <c r="G74" s="677">
        <f t="shared" si="18"/>
        <v>0.3000005</v>
      </c>
      <c r="I74" s="676">
        <v>4</v>
      </c>
      <c r="J74" s="682">
        <v>60</v>
      </c>
      <c r="K74" s="682">
        <v>-2.2000000000000002</v>
      </c>
      <c r="L74" s="682">
        <v>-2.1</v>
      </c>
      <c r="M74" s="682">
        <v>0.7</v>
      </c>
      <c r="N74" s="677">
        <f t="shared" si="19"/>
        <v>1.4500000000000002</v>
      </c>
      <c r="P74" s="676">
        <v>4</v>
      </c>
      <c r="Q74" s="682">
        <v>990</v>
      </c>
      <c r="R74" s="209">
        <v>0.5</v>
      </c>
      <c r="S74" s="694" t="s">
        <v>128</v>
      </c>
      <c r="T74" s="694" t="s">
        <v>128</v>
      </c>
      <c r="U74" s="677">
        <f t="shared" si="20"/>
        <v>0</v>
      </c>
    </row>
    <row r="75" spans="1:24" ht="13" x14ac:dyDescent="0.25">
      <c r="A75" s="1568"/>
      <c r="B75" s="676">
        <v>5</v>
      </c>
      <c r="C75" s="682">
        <v>35</v>
      </c>
      <c r="D75" s="209">
        <v>-0.4</v>
      </c>
      <c r="E75" s="209">
        <v>9.9999999999999995E-7</v>
      </c>
      <c r="F75" s="682">
        <v>-1.1000000000000001</v>
      </c>
      <c r="G75" s="677">
        <f t="shared" si="18"/>
        <v>0.5500005</v>
      </c>
      <c r="I75" s="676">
        <v>5</v>
      </c>
      <c r="J75" s="682">
        <v>70</v>
      </c>
      <c r="K75" s="682">
        <v>-2.1</v>
      </c>
      <c r="L75" s="682">
        <v>-2.2999999999999998</v>
      </c>
      <c r="M75" s="682">
        <v>0.9</v>
      </c>
      <c r="N75" s="677">
        <f t="shared" si="19"/>
        <v>1.5999999999999999</v>
      </c>
      <c r="P75" s="676">
        <v>5</v>
      </c>
      <c r="Q75" s="682">
        <v>1000</v>
      </c>
      <c r="R75" s="682">
        <v>0.4</v>
      </c>
      <c r="S75" s="682">
        <v>-3.9</v>
      </c>
      <c r="T75" s="682">
        <v>-0.4</v>
      </c>
      <c r="U75" s="677">
        <f t="shared" si="20"/>
        <v>2.15</v>
      </c>
    </row>
    <row r="76" spans="1:24" ht="13" x14ac:dyDescent="0.25">
      <c r="A76" s="1568"/>
      <c r="B76" s="676">
        <v>6</v>
      </c>
      <c r="C76" s="682">
        <v>37</v>
      </c>
      <c r="D76" s="209">
        <v>-0.4</v>
      </c>
      <c r="E76" s="209">
        <v>9.9999999999999995E-7</v>
      </c>
      <c r="F76" s="682">
        <v>-1.4</v>
      </c>
      <c r="G76" s="677">
        <f t="shared" si="18"/>
        <v>0.70000049999999991</v>
      </c>
      <c r="I76" s="676">
        <v>6</v>
      </c>
      <c r="J76" s="682">
        <v>80</v>
      </c>
      <c r="K76" s="682">
        <v>-1.9</v>
      </c>
      <c r="L76" s="682">
        <v>-2.6</v>
      </c>
      <c r="M76" s="682">
        <v>1.2</v>
      </c>
      <c r="N76" s="677">
        <f t="shared" si="19"/>
        <v>1.9</v>
      </c>
      <c r="P76" s="676">
        <v>6</v>
      </c>
      <c r="Q76" s="682">
        <v>1005</v>
      </c>
      <c r="R76" s="690" t="s">
        <v>128</v>
      </c>
      <c r="S76" s="682">
        <v>-3.8</v>
      </c>
      <c r="T76" s="682">
        <v>-0.5</v>
      </c>
      <c r="U76" s="677">
        <f t="shared" si="20"/>
        <v>1.65</v>
      </c>
    </row>
    <row r="77" spans="1:24" ht="13.5" thickBot="1" x14ac:dyDescent="0.3">
      <c r="A77" s="1568"/>
      <c r="B77" s="676">
        <v>7</v>
      </c>
      <c r="C77" s="682">
        <v>40</v>
      </c>
      <c r="D77" s="682">
        <v>-0.5</v>
      </c>
      <c r="E77" s="682">
        <v>0.1</v>
      </c>
      <c r="F77" s="682">
        <v>-1.7</v>
      </c>
      <c r="G77" s="677">
        <f t="shared" si="18"/>
        <v>0.9</v>
      </c>
      <c r="I77" s="676">
        <v>7</v>
      </c>
      <c r="J77" s="682">
        <v>90</v>
      </c>
      <c r="K77" s="682">
        <v>-1.6</v>
      </c>
      <c r="L77" s="682">
        <v>-3</v>
      </c>
      <c r="M77" s="682">
        <v>1.8</v>
      </c>
      <c r="N77" s="677">
        <f t="shared" si="19"/>
        <v>2.4</v>
      </c>
      <c r="P77" s="676">
        <v>7</v>
      </c>
      <c r="Q77" s="682">
        <v>1020</v>
      </c>
      <c r="R77" s="682">
        <v>0.3</v>
      </c>
      <c r="S77" s="682">
        <v>-3.8</v>
      </c>
      <c r="T77" s="209">
        <v>9.9999999999999995E-7</v>
      </c>
      <c r="U77" s="677">
        <f t="shared" si="20"/>
        <v>2.0499999999999998</v>
      </c>
    </row>
    <row r="78" spans="1:24" ht="13.5" thickBot="1" x14ac:dyDescent="0.35">
      <c r="A78" s="227"/>
      <c r="B78" s="444"/>
      <c r="C78" s="444"/>
      <c r="D78" s="444"/>
      <c r="E78" s="688"/>
      <c r="F78" s="289"/>
      <c r="G78" s="574"/>
      <c r="H78" s="444"/>
      <c r="I78" s="444"/>
      <c r="J78" s="444"/>
      <c r="K78" s="688"/>
      <c r="L78" s="289"/>
      <c r="O78" s="685"/>
      <c r="P78" s="686"/>
    </row>
    <row r="79" spans="1:24" x14ac:dyDescent="0.25">
      <c r="A79" s="1568">
        <v>8</v>
      </c>
      <c r="B79" s="1569" t="s">
        <v>446</v>
      </c>
      <c r="C79" s="1569"/>
      <c r="D79" s="1569"/>
      <c r="E79" s="1569"/>
      <c r="F79" s="1569"/>
      <c r="G79" s="1569"/>
      <c r="I79" s="1569" t="str">
        <f>B79</f>
        <v>KOREKSI GREISINGER 34903051</v>
      </c>
      <c r="J79" s="1569"/>
      <c r="K79" s="1569"/>
      <c r="L79" s="1569"/>
      <c r="M79" s="1569"/>
      <c r="N79" s="1569"/>
      <c r="P79" s="1569" t="str">
        <f>I79</f>
        <v>KOREKSI GREISINGER 34903051</v>
      </c>
      <c r="Q79" s="1569"/>
      <c r="R79" s="1569"/>
      <c r="S79" s="1569"/>
      <c r="T79" s="1569"/>
      <c r="U79" s="1569"/>
      <c r="W79" s="1575" t="s">
        <v>389</v>
      </c>
      <c r="X79" s="1576"/>
    </row>
    <row r="80" spans="1:24" ht="13" x14ac:dyDescent="0.25">
      <c r="A80" s="1568"/>
      <c r="B80" s="1577" t="s">
        <v>435</v>
      </c>
      <c r="C80" s="1577"/>
      <c r="D80" s="1577" t="s">
        <v>298</v>
      </c>
      <c r="E80" s="1577"/>
      <c r="F80" s="1577"/>
      <c r="G80" s="1577" t="s">
        <v>294</v>
      </c>
      <c r="I80" s="1577" t="s">
        <v>436</v>
      </c>
      <c r="J80" s="1577"/>
      <c r="K80" s="1577" t="s">
        <v>298</v>
      </c>
      <c r="L80" s="1577"/>
      <c r="M80" s="1577"/>
      <c r="N80" s="1577" t="s">
        <v>294</v>
      </c>
      <c r="P80" s="1577" t="s">
        <v>437</v>
      </c>
      <c r="Q80" s="1577"/>
      <c r="R80" s="1577" t="s">
        <v>298</v>
      </c>
      <c r="S80" s="1577"/>
      <c r="T80" s="1577"/>
      <c r="U80" s="1577" t="s">
        <v>294</v>
      </c>
      <c r="W80" s="674" t="s">
        <v>435</v>
      </c>
      <c r="X80" s="675">
        <v>0.3</v>
      </c>
    </row>
    <row r="81" spans="1:24" ht="14.5" x14ac:dyDescent="0.25">
      <c r="A81" s="1568"/>
      <c r="B81" s="1567" t="s">
        <v>438</v>
      </c>
      <c r="C81" s="1567"/>
      <c r="D81" s="565">
        <v>2021</v>
      </c>
      <c r="E81" s="565">
        <v>2019</v>
      </c>
      <c r="F81" s="565">
        <v>2016</v>
      </c>
      <c r="G81" s="1577"/>
      <c r="I81" s="1566" t="s">
        <v>68</v>
      </c>
      <c r="J81" s="1567"/>
      <c r="K81" s="565">
        <f>D81</f>
        <v>2021</v>
      </c>
      <c r="L81" s="565">
        <f>E81</f>
        <v>2019</v>
      </c>
      <c r="M81" s="565">
        <v>2016</v>
      </c>
      <c r="N81" s="1577"/>
      <c r="P81" s="1566" t="s">
        <v>439</v>
      </c>
      <c r="Q81" s="1567"/>
      <c r="R81" s="565">
        <f>K81</f>
        <v>2021</v>
      </c>
      <c r="S81" s="565">
        <f>L81</f>
        <v>2019</v>
      </c>
      <c r="T81" s="565">
        <v>2016</v>
      </c>
      <c r="U81" s="1577"/>
      <c r="W81" s="674" t="s">
        <v>68</v>
      </c>
      <c r="X81" s="675">
        <v>2.5</v>
      </c>
    </row>
    <row r="82" spans="1:24" ht="13.5" thickBot="1" x14ac:dyDescent="0.3">
      <c r="A82" s="1568"/>
      <c r="B82" s="676">
        <v>1</v>
      </c>
      <c r="C82" s="226">
        <v>15</v>
      </c>
      <c r="D82" s="226">
        <v>0.1</v>
      </c>
      <c r="E82" s="209">
        <v>9.9999999999999995E-7</v>
      </c>
      <c r="F82" s="679"/>
      <c r="G82" s="677">
        <f>0.5*(MAX(D82:F82)-MIN(D82:F82))</f>
        <v>4.9999500000000002E-2</v>
      </c>
      <c r="I82" s="676">
        <v>1</v>
      </c>
      <c r="J82" s="226">
        <v>30</v>
      </c>
      <c r="K82" s="226">
        <v>-4</v>
      </c>
      <c r="L82" s="226">
        <v>-1.4</v>
      </c>
      <c r="M82" s="679"/>
      <c r="N82" s="677">
        <f>0.5*(MAX(K82:M82)-MIN(K82:M82))</f>
        <v>1.3</v>
      </c>
      <c r="P82" s="676">
        <v>1</v>
      </c>
      <c r="Q82" s="226">
        <v>750</v>
      </c>
      <c r="R82" s="209">
        <v>9.9999999999999995E-7</v>
      </c>
      <c r="S82" s="209">
        <v>9.9999999999999995E-7</v>
      </c>
      <c r="T82" s="679"/>
      <c r="U82" s="677">
        <f>0.5*(MAX(R82:T82)-MIN(R82:T82))</f>
        <v>0</v>
      </c>
      <c r="W82" s="680" t="s">
        <v>439</v>
      </c>
      <c r="X82" s="681">
        <v>2.1</v>
      </c>
    </row>
    <row r="83" spans="1:24" ht="13" x14ac:dyDescent="0.25">
      <c r="A83" s="1568"/>
      <c r="B83" s="676">
        <v>2</v>
      </c>
      <c r="C83" s="226">
        <v>20</v>
      </c>
      <c r="D83" s="209">
        <v>9.9999999999999995E-7</v>
      </c>
      <c r="E83" s="226">
        <v>-0.2</v>
      </c>
      <c r="F83" s="679"/>
      <c r="G83" s="677">
        <f t="shared" ref="G83:G88" si="21">0.5*(MAX(D83:F83)-MIN(D83:F83))</f>
        <v>0.10000050000000001</v>
      </c>
      <c r="I83" s="676">
        <v>2</v>
      </c>
      <c r="J83" s="226">
        <v>40</v>
      </c>
      <c r="K83" s="226">
        <v>-3.8</v>
      </c>
      <c r="L83" s="226">
        <v>-1.2</v>
      </c>
      <c r="M83" s="679"/>
      <c r="N83" s="677">
        <f t="shared" ref="N83:N88" si="22">0.5*(MAX(K83:M83)-MIN(K83:M83))</f>
        <v>1.2999999999999998</v>
      </c>
      <c r="P83" s="676">
        <v>2</v>
      </c>
      <c r="Q83" s="226">
        <v>800</v>
      </c>
      <c r="R83" s="209">
        <v>9.9999999999999995E-7</v>
      </c>
      <c r="S83" s="209">
        <v>9.9999999999999995E-7</v>
      </c>
      <c r="T83" s="679"/>
      <c r="U83" s="677">
        <f t="shared" ref="U83:U88" si="23">0.5*(MAX(R83:T83)-MIN(R83:T83))</f>
        <v>0</v>
      </c>
    </row>
    <row r="84" spans="1:24" ht="13" x14ac:dyDescent="0.25">
      <c r="A84" s="1568"/>
      <c r="B84" s="676">
        <v>3</v>
      </c>
      <c r="C84" s="226">
        <v>25</v>
      </c>
      <c r="D84" s="226">
        <v>-0.1</v>
      </c>
      <c r="E84" s="226">
        <v>-0.4</v>
      </c>
      <c r="F84" s="679"/>
      <c r="G84" s="677">
        <f t="shared" si="21"/>
        <v>0.15000000000000002</v>
      </c>
      <c r="I84" s="676">
        <v>3</v>
      </c>
      <c r="J84" s="226">
        <v>50</v>
      </c>
      <c r="K84" s="226">
        <v>-3.8</v>
      </c>
      <c r="L84" s="226">
        <v>-1.2</v>
      </c>
      <c r="M84" s="679"/>
      <c r="N84" s="677">
        <f t="shared" si="22"/>
        <v>1.2999999999999998</v>
      </c>
      <c r="P84" s="676">
        <v>3</v>
      </c>
      <c r="Q84" s="226">
        <v>850</v>
      </c>
      <c r="R84" s="209">
        <v>9.9999999999999995E-7</v>
      </c>
      <c r="S84" s="209">
        <v>9.9999999999999995E-7</v>
      </c>
      <c r="T84" s="679"/>
      <c r="U84" s="677">
        <f t="shared" si="23"/>
        <v>0</v>
      </c>
    </row>
    <row r="85" spans="1:24" ht="13" x14ac:dyDescent="0.25">
      <c r="A85" s="1568"/>
      <c r="B85" s="676">
        <v>4</v>
      </c>
      <c r="C85" s="682">
        <v>30</v>
      </c>
      <c r="D85" s="226">
        <v>-0.2</v>
      </c>
      <c r="E85" s="226">
        <v>-0.4</v>
      </c>
      <c r="F85" s="679"/>
      <c r="G85" s="677">
        <f t="shared" si="21"/>
        <v>0.1</v>
      </c>
      <c r="I85" s="676">
        <v>4</v>
      </c>
      <c r="J85" s="682">
        <v>60</v>
      </c>
      <c r="K85" s="682">
        <v>-3.9</v>
      </c>
      <c r="L85" s="682">
        <v>-1.1000000000000001</v>
      </c>
      <c r="M85" s="679"/>
      <c r="N85" s="677">
        <f t="shared" si="22"/>
        <v>1.4</v>
      </c>
      <c r="P85" s="676">
        <v>4</v>
      </c>
      <c r="Q85" s="682">
        <v>900</v>
      </c>
      <c r="R85" s="683">
        <v>-4.4000000000000004</v>
      </c>
      <c r="S85" s="209">
        <v>9.9999999999999995E-7</v>
      </c>
      <c r="T85" s="679"/>
      <c r="U85" s="677">
        <f t="shared" si="23"/>
        <v>2.2000005000000002</v>
      </c>
    </row>
    <row r="86" spans="1:24" ht="13" x14ac:dyDescent="0.25">
      <c r="A86" s="1568"/>
      <c r="B86" s="676">
        <v>5</v>
      </c>
      <c r="C86" s="682">
        <v>35</v>
      </c>
      <c r="D86" s="682">
        <v>-0.1</v>
      </c>
      <c r="E86" s="682">
        <v>-0.5</v>
      </c>
      <c r="F86" s="679"/>
      <c r="G86" s="677">
        <f t="shared" si="21"/>
        <v>0.2</v>
      </c>
      <c r="I86" s="676">
        <v>5</v>
      </c>
      <c r="J86" s="682">
        <v>70</v>
      </c>
      <c r="K86" s="682">
        <v>-4.0999999999999996</v>
      </c>
      <c r="L86" s="682">
        <v>-1.2</v>
      </c>
      <c r="M86" s="679"/>
      <c r="N86" s="677">
        <f t="shared" si="22"/>
        <v>1.4499999999999997</v>
      </c>
      <c r="P86" s="676">
        <v>5</v>
      </c>
      <c r="Q86" s="682">
        <v>1000</v>
      </c>
      <c r="R86" s="683">
        <v>-3.5</v>
      </c>
      <c r="S86" s="683">
        <v>0.2</v>
      </c>
      <c r="T86" s="679"/>
      <c r="U86" s="677">
        <f t="shared" si="23"/>
        <v>1.85</v>
      </c>
    </row>
    <row r="87" spans="1:24" ht="13" x14ac:dyDescent="0.25">
      <c r="A87" s="1568"/>
      <c r="B87" s="676">
        <v>6</v>
      </c>
      <c r="C87" s="682">
        <v>37</v>
      </c>
      <c r="D87" s="682">
        <v>-0.1</v>
      </c>
      <c r="E87" s="682">
        <v>-0.5</v>
      </c>
      <c r="F87" s="679"/>
      <c r="G87" s="677">
        <f t="shared" si="21"/>
        <v>0.2</v>
      </c>
      <c r="I87" s="676">
        <v>6</v>
      </c>
      <c r="J87" s="682">
        <v>80</v>
      </c>
      <c r="K87" s="682">
        <v>-4.5</v>
      </c>
      <c r="L87" s="682">
        <v>-1.2</v>
      </c>
      <c r="M87" s="679"/>
      <c r="N87" s="677">
        <f t="shared" si="22"/>
        <v>1.65</v>
      </c>
      <c r="P87" s="676">
        <v>6</v>
      </c>
      <c r="Q87" s="682">
        <v>1005</v>
      </c>
      <c r="R87" s="683">
        <v>-3.4</v>
      </c>
      <c r="S87" s="683">
        <v>0.2</v>
      </c>
      <c r="T87" s="679"/>
      <c r="U87" s="677">
        <f t="shared" si="23"/>
        <v>1.8</v>
      </c>
    </row>
    <row r="88" spans="1:24" ht="13" x14ac:dyDescent="0.25">
      <c r="A88" s="1568"/>
      <c r="B88" s="676">
        <v>7</v>
      </c>
      <c r="C88" s="682">
        <v>40</v>
      </c>
      <c r="D88" s="209">
        <v>9.9999999999999995E-7</v>
      </c>
      <c r="E88" s="682">
        <v>-0.4</v>
      </c>
      <c r="F88" s="679"/>
      <c r="G88" s="677">
        <f t="shared" si="21"/>
        <v>0.2000005</v>
      </c>
      <c r="I88" s="676">
        <v>7</v>
      </c>
      <c r="J88" s="682">
        <v>90</v>
      </c>
      <c r="K88" s="682">
        <v>-4.9000000000000004</v>
      </c>
      <c r="L88" s="682">
        <v>-1.3</v>
      </c>
      <c r="M88" s="679"/>
      <c r="N88" s="677">
        <f t="shared" si="22"/>
        <v>1.8000000000000003</v>
      </c>
      <c r="P88" s="676">
        <v>7</v>
      </c>
      <c r="Q88" s="682">
        <v>1020</v>
      </c>
      <c r="R88" s="683">
        <v>-3.4</v>
      </c>
      <c r="S88" s="209">
        <v>9.9999999999999995E-7</v>
      </c>
      <c r="T88" s="679"/>
      <c r="U88" s="677">
        <f t="shared" si="23"/>
        <v>1.7000005</v>
      </c>
    </row>
    <row r="89" spans="1:24" ht="13.5" thickBot="1" x14ac:dyDescent="0.35">
      <c r="A89" s="227"/>
      <c r="B89" s="444"/>
      <c r="C89" s="444"/>
      <c r="D89" s="444"/>
      <c r="E89" s="688"/>
      <c r="G89" s="289"/>
      <c r="I89" s="444"/>
      <c r="J89" s="444"/>
      <c r="K89" s="444"/>
      <c r="L89" s="688"/>
      <c r="N89" s="289"/>
      <c r="R89" s="686"/>
    </row>
    <row r="90" spans="1:24" x14ac:dyDescent="0.25">
      <c r="A90" s="1568">
        <v>9</v>
      </c>
      <c r="B90" s="1569" t="s">
        <v>447</v>
      </c>
      <c r="C90" s="1569"/>
      <c r="D90" s="1569"/>
      <c r="E90" s="1569"/>
      <c r="F90" s="1569"/>
      <c r="G90" s="1569"/>
      <c r="I90" s="1569" t="str">
        <f>B90</f>
        <v>KOREKSI GREISINGER 34904091</v>
      </c>
      <c r="J90" s="1569"/>
      <c r="K90" s="1569"/>
      <c r="L90" s="1569"/>
      <c r="M90" s="1569"/>
      <c r="N90" s="1569"/>
      <c r="P90" s="1569" t="str">
        <f>I90</f>
        <v>KOREKSI GREISINGER 34904091</v>
      </c>
      <c r="Q90" s="1569"/>
      <c r="R90" s="1569"/>
      <c r="S90" s="1569"/>
      <c r="T90" s="1569"/>
      <c r="U90" s="1569"/>
      <c r="W90" s="1575" t="s">
        <v>389</v>
      </c>
      <c r="X90" s="1576"/>
    </row>
    <row r="91" spans="1:24" ht="13" x14ac:dyDescent="0.25">
      <c r="A91" s="1568"/>
      <c r="B91" s="1577" t="s">
        <v>435</v>
      </c>
      <c r="C91" s="1577"/>
      <c r="D91" s="1577" t="s">
        <v>298</v>
      </c>
      <c r="E91" s="1577"/>
      <c r="F91" s="1577"/>
      <c r="G91" s="1577" t="s">
        <v>294</v>
      </c>
      <c r="I91" s="1577" t="s">
        <v>436</v>
      </c>
      <c r="J91" s="1577"/>
      <c r="K91" s="1577" t="s">
        <v>298</v>
      </c>
      <c r="L91" s="1577"/>
      <c r="M91" s="1577"/>
      <c r="N91" s="1577" t="s">
        <v>294</v>
      </c>
      <c r="P91" s="1577" t="s">
        <v>437</v>
      </c>
      <c r="Q91" s="1577"/>
      <c r="R91" s="1577" t="s">
        <v>298</v>
      </c>
      <c r="S91" s="1577"/>
      <c r="T91" s="1577"/>
      <c r="U91" s="1577" t="s">
        <v>294</v>
      </c>
      <c r="W91" s="674" t="s">
        <v>435</v>
      </c>
      <c r="X91" s="675">
        <v>0.3</v>
      </c>
    </row>
    <row r="92" spans="1:24" ht="14.5" x14ac:dyDescent="0.25">
      <c r="A92" s="1568"/>
      <c r="B92" s="1567" t="s">
        <v>438</v>
      </c>
      <c r="C92" s="1567"/>
      <c r="D92" s="565">
        <v>2019</v>
      </c>
      <c r="E92" s="566" t="s">
        <v>128</v>
      </c>
      <c r="F92" s="565">
        <v>2016</v>
      </c>
      <c r="G92" s="1577"/>
      <c r="I92" s="1566" t="s">
        <v>68</v>
      </c>
      <c r="J92" s="1567"/>
      <c r="K92" s="689">
        <f>D92</f>
        <v>2019</v>
      </c>
      <c r="L92" s="689" t="str">
        <f>E92</f>
        <v>-</v>
      </c>
      <c r="M92" s="565">
        <v>2016</v>
      </c>
      <c r="N92" s="1577"/>
      <c r="P92" s="1566" t="s">
        <v>439</v>
      </c>
      <c r="Q92" s="1567"/>
      <c r="R92" s="689">
        <f>K92</f>
        <v>2019</v>
      </c>
      <c r="S92" s="689" t="str">
        <f>L92</f>
        <v>-</v>
      </c>
      <c r="T92" s="565">
        <v>2016</v>
      </c>
      <c r="U92" s="1577"/>
      <c r="W92" s="674" t="s">
        <v>68</v>
      </c>
      <c r="X92" s="675">
        <v>2.4</v>
      </c>
    </row>
    <row r="93" spans="1:24" ht="13.5" thickBot="1" x14ac:dyDescent="0.3">
      <c r="A93" s="1568"/>
      <c r="B93" s="676">
        <v>1</v>
      </c>
      <c r="C93" s="226">
        <v>15</v>
      </c>
      <c r="D93" s="209">
        <v>9.9999999999999995E-7</v>
      </c>
      <c r="E93" s="209" t="s">
        <v>128</v>
      </c>
      <c r="F93" s="679"/>
      <c r="G93" s="677">
        <f>0.5*(MAX(D93:F93)-MIN(D93:F93))</f>
        <v>0</v>
      </c>
      <c r="I93" s="676">
        <v>1</v>
      </c>
      <c r="J93" s="226">
        <v>30</v>
      </c>
      <c r="K93" s="209">
        <v>-1.2</v>
      </c>
      <c r="L93" s="209" t="s">
        <v>128</v>
      </c>
      <c r="M93" s="679"/>
      <c r="N93" s="677">
        <f>0.5*(MAX(K93:M93)-MIN(K93:M93))</f>
        <v>0</v>
      </c>
      <c r="P93" s="676">
        <v>1</v>
      </c>
      <c r="Q93" s="226">
        <v>750</v>
      </c>
      <c r="R93" s="209">
        <v>9.9999999999999995E-7</v>
      </c>
      <c r="S93" s="210" t="s">
        <v>128</v>
      </c>
      <c r="T93" s="679"/>
      <c r="U93" s="677">
        <f>0.5*(MAX(R93:T93)-MIN(R93:T93))</f>
        <v>0</v>
      </c>
      <c r="W93" s="680" t="s">
        <v>439</v>
      </c>
      <c r="X93" s="681">
        <v>2.2000000000000002</v>
      </c>
    </row>
    <row r="94" spans="1:24" ht="13" x14ac:dyDescent="0.25">
      <c r="A94" s="1568"/>
      <c r="B94" s="676">
        <v>2</v>
      </c>
      <c r="C94" s="226">
        <v>20</v>
      </c>
      <c r="D94" s="209">
        <v>-0.2</v>
      </c>
      <c r="E94" s="209" t="s">
        <v>128</v>
      </c>
      <c r="F94" s="679"/>
      <c r="G94" s="677">
        <f t="shared" ref="G94:G99" si="24">0.5*(MAX(D94:F94)-MIN(D94:F94))</f>
        <v>0</v>
      </c>
      <c r="I94" s="676">
        <v>2</v>
      </c>
      <c r="J94" s="226">
        <v>40</v>
      </c>
      <c r="K94" s="209">
        <v>-1</v>
      </c>
      <c r="L94" s="209" t="s">
        <v>128</v>
      </c>
      <c r="M94" s="679"/>
      <c r="N94" s="677">
        <f t="shared" ref="N94:N99" si="25">0.5*(MAX(K94:M94)-MIN(K94:M94))</f>
        <v>0</v>
      </c>
      <c r="P94" s="676">
        <v>2</v>
      </c>
      <c r="Q94" s="226">
        <v>800</v>
      </c>
      <c r="R94" s="209">
        <v>9.9999999999999995E-7</v>
      </c>
      <c r="S94" s="210" t="s">
        <v>128</v>
      </c>
      <c r="T94" s="679"/>
      <c r="U94" s="677">
        <f t="shared" ref="U94:U99" si="26">0.5*(MAX(R94:T94)-MIN(R94:T94))</f>
        <v>0</v>
      </c>
    </row>
    <row r="95" spans="1:24" ht="13" x14ac:dyDescent="0.25">
      <c r="A95" s="1568"/>
      <c r="B95" s="676">
        <v>3</v>
      </c>
      <c r="C95" s="226">
        <v>25</v>
      </c>
      <c r="D95" s="209">
        <v>-0.4</v>
      </c>
      <c r="E95" s="209" t="s">
        <v>128</v>
      </c>
      <c r="F95" s="679"/>
      <c r="G95" s="677">
        <f t="shared" si="24"/>
        <v>0</v>
      </c>
      <c r="I95" s="676">
        <v>3</v>
      </c>
      <c r="J95" s="226">
        <v>50</v>
      </c>
      <c r="K95" s="209">
        <v>-0.9</v>
      </c>
      <c r="L95" s="209" t="s">
        <v>128</v>
      </c>
      <c r="M95" s="679"/>
      <c r="N95" s="677">
        <f t="shared" si="25"/>
        <v>0</v>
      </c>
      <c r="P95" s="676">
        <v>3</v>
      </c>
      <c r="Q95" s="226">
        <v>850</v>
      </c>
      <c r="R95" s="209">
        <v>9.9999999999999995E-7</v>
      </c>
      <c r="S95" s="210" t="s">
        <v>128</v>
      </c>
      <c r="T95" s="679"/>
      <c r="U95" s="677">
        <f t="shared" si="26"/>
        <v>0</v>
      </c>
    </row>
    <row r="96" spans="1:24" ht="13" x14ac:dyDescent="0.25">
      <c r="A96" s="1568"/>
      <c r="B96" s="676">
        <v>4</v>
      </c>
      <c r="C96" s="682">
        <v>30</v>
      </c>
      <c r="D96" s="209">
        <v>-0.5</v>
      </c>
      <c r="E96" s="683" t="s">
        <v>128</v>
      </c>
      <c r="F96" s="679"/>
      <c r="G96" s="677">
        <f t="shared" si="24"/>
        <v>0</v>
      </c>
      <c r="I96" s="676">
        <v>4</v>
      </c>
      <c r="J96" s="682">
        <v>60</v>
      </c>
      <c r="K96" s="209">
        <v>-0.8</v>
      </c>
      <c r="L96" s="683" t="s">
        <v>128</v>
      </c>
      <c r="M96" s="679"/>
      <c r="N96" s="677">
        <f t="shared" si="25"/>
        <v>0</v>
      </c>
      <c r="P96" s="676">
        <v>4</v>
      </c>
      <c r="Q96" s="682">
        <v>900</v>
      </c>
      <c r="R96" s="209">
        <v>9.9999999999999995E-7</v>
      </c>
      <c r="S96" s="683" t="s">
        <v>128</v>
      </c>
      <c r="T96" s="679"/>
      <c r="U96" s="677">
        <f t="shared" si="26"/>
        <v>0</v>
      </c>
    </row>
    <row r="97" spans="1:28" ht="13" x14ac:dyDescent="0.25">
      <c r="A97" s="1568"/>
      <c r="B97" s="676">
        <v>5</v>
      </c>
      <c r="C97" s="682">
        <v>35</v>
      </c>
      <c r="D97" s="209">
        <v>-0.5</v>
      </c>
      <c r="E97" s="683" t="s">
        <v>128</v>
      </c>
      <c r="F97" s="679"/>
      <c r="G97" s="677">
        <f t="shared" si="24"/>
        <v>0</v>
      </c>
      <c r="I97" s="676">
        <v>5</v>
      </c>
      <c r="J97" s="682">
        <v>70</v>
      </c>
      <c r="K97" s="209">
        <v>-0.6</v>
      </c>
      <c r="L97" s="683" t="s">
        <v>128</v>
      </c>
      <c r="M97" s="679"/>
      <c r="N97" s="677">
        <f t="shared" si="25"/>
        <v>0</v>
      </c>
      <c r="P97" s="676">
        <v>5</v>
      </c>
      <c r="Q97" s="682">
        <v>1000</v>
      </c>
      <c r="R97" s="683">
        <v>0.2</v>
      </c>
      <c r="S97" s="683" t="s">
        <v>128</v>
      </c>
      <c r="T97" s="679"/>
      <c r="U97" s="677">
        <f t="shared" si="26"/>
        <v>0</v>
      </c>
    </row>
    <row r="98" spans="1:28" ht="13" x14ac:dyDescent="0.25">
      <c r="A98" s="1568"/>
      <c r="B98" s="676">
        <v>6</v>
      </c>
      <c r="C98" s="682">
        <v>37</v>
      </c>
      <c r="D98" s="209">
        <v>-0.5</v>
      </c>
      <c r="E98" s="683" t="s">
        <v>128</v>
      </c>
      <c r="F98" s="679"/>
      <c r="G98" s="677">
        <f t="shared" si="24"/>
        <v>0</v>
      </c>
      <c r="I98" s="676">
        <v>6</v>
      </c>
      <c r="J98" s="682">
        <v>80</v>
      </c>
      <c r="K98" s="209">
        <v>-0.5</v>
      </c>
      <c r="L98" s="683" t="s">
        <v>128</v>
      </c>
      <c r="M98" s="679"/>
      <c r="N98" s="677">
        <f t="shared" si="25"/>
        <v>0</v>
      </c>
      <c r="P98" s="676">
        <v>6</v>
      </c>
      <c r="Q98" s="682">
        <v>1005</v>
      </c>
      <c r="R98" s="683">
        <v>0.2</v>
      </c>
      <c r="S98" s="683" t="s">
        <v>128</v>
      </c>
      <c r="T98" s="679"/>
      <c r="U98" s="677">
        <f t="shared" si="26"/>
        <v>0</v>
      </c>
    </row>
    <row r="99" spans="1:28" ht="13" x14ac:dyDescent="0.25">
      <c r="A99" s="1568"/>
      <c r="B99" s="676">
        <v>7</v>
      </c>
      <c r="C99" s="682">
        <v>40</v>
      </c>
      <c r="D99" s="209">
        <v>-0.4</v>
      </c>
      <c r="E99" s="683" t="s">
        <v>128</v>
      </c>
      <c r="F99" s="679"/>
      <c r="G99" s="677">
        <f t="shared" si="24"/>
        <v>0</v>
      </c>
      <c r="I99" s="676">
        <v>7</v>
      </c>
      <c r="J99" s="682">
        <v>90</v>
      </c>
      <c r="K99" s="209">
        <v>-0.2</v>
      </c>
      <c r="L99" s="683" t="s">
        <v>128</v>
      </c>
      <c r="M99" s="679"/>
      <c r="N99" s="677">
        <f t="shared" si="25"/>
        <v>0</v>
      </c>
      <c r="P99" s="676">
        <v>7</v>
      </c>
      <c r="Q99" s="682">
        <v>1020</v>
      </c>
      <c r="R99" s="209">
        <v>9.9999999999999995E-7</v>
      </c>
      <c r="S99" s="683" t="s">
        <v>128</v>
      </c>
      <c r="T99" s="679"/>
      <c r="U99" s="677">
        <f t="shared" si="26"/>
        <v>0</v>
      </c>
    </row>
    <row r="100" spans="1:28" ht="13.5" thickBot="1" x14ac:dyDescent="0.35">
      <c r="A100" s="227"/>
      <c r="B100" s="444"/>
      <c r="C100" s="444"/>
      <c r="D100" s="444"/>
      <c r="E100" s="688"/>
      <c r="G100" s="289"/>
      <c r="I100" s="444"/>
      <c r="J100" s="444"/>
      <c r="K100" s="444"/>
      <c r="L100" s="688"/>
      <c r="N100" s="289"/>
      <c r="R100" s="686"/>
      <c r="AB100" s="574"/>
    </row>
    <row r="101" spans="1:28" x14ac:dyDescent="0.25">
      <c r="A101" s="1568">
        <v>10</v>
      </c>
      <c r="B101" s="1569" t="s">
        <v>448</v>
      </c>
      <c r="C101" s="1569"/>
      <c r="D101" s="1569"/>
      <c r="E101" s="1569"/>
      <c r="F101" s="1569"/>
      <c r="G101" s="1569"/>
      <c r="I101" s="1569" t="str">
        <f>B101</f>
        <v>KOREKSI Sekonic HE-21.000669</v>
      </c>
      <c r="J101" s="1569"/>
      <c r="K101" s="1569"/>
      <c r="L101" s="1569"/>
      <c r="M101" s="1569"/>
      <c r="N101" s="1569"/>
      <c r="P101" s="1569" t="str">
        <f>I101</f>
        <v>KOREKSI Sekonic HE-21.000669</v>
      </c>
      <c r="Q101" s="1569"/>
      <c r="R101" s="1569"/>
      <c r="S101" s="1569"/>
      <c r="T101" s="1569"/>
      <c r="U101" s="1569"/>
      <c r="W101" s="1575" t="s">
        <v>389</v>
      </c>
      <c r="X101" s="1576"/>
    </row>
    <row r="102" spans="1:28" ht="13" x14ac:dyDescent="0.25">
      <c r="A102" s="1568"/>
      <c r="B102" s="1577" t="s">
        <v>435</v>
      </c>
      <c r="C102" s="1577"/>
      <c r="D102" s="1577" t="s">
        <v>298</v>
      </c>
      <c r="E102" s="1577"/>
      <c r="F102" s="1577"/>
      <c r="G102" s="1577" t="s">
        <v>294</v>
      </c>
      <c r="I102" s="1577" t="s">
        <v>436</v>
      </c>
      <c r="J102" s="1577"/>
      <c r="K102" s="1577" t="s">
        <v>298</v>
      </c>
      <c r="L102" s="1577"/>
      <c r="M102" s="1577"/>
      <c r="N102" s="1577" t="s">
        <v>294</v>
      </c>
      <c r="P102" s="1577" t="s">
        <v>437</v>
      </c>
      <c r="Q102" s="1577"/>
      <c r="R102" s="1577" t="s">
        <v>298</v>
      </c>
      <c r="S102" s="1577"/>
      <c r="T102" s="1577"/>
      <c r="U102" s="1577" t="s">
        <v>294</v>
      </c>
      <c r="W102" s="674" t="s">
        <v>435</v>
      </c>
      <c r="X102" s="675">
        <v>0.3</v>
      </c>
    </row>
    <row r="103" spans="1:28" ht="14.5" x14ac:dyDescent="0.25">
      <c r="A103" s="1568"/>
      <c r="B103" s="1567" t="s">
        <v>438</v>
      </c>
      <c r="C103" s="1567"/>
      <c r="D103" s="565">
        <v>2019</v>
      </c>
      <c r="E103" s="565">
        <v>2016</v>
      </c>
      <c r="F103" s="565">
        <v>2016</v>
      </c>
      <c r="G103" s="1577"/>
      <c r="I103" s="1566" t="s">
        <v>68</v>
      </c>
      <c r="J103" s="1567"/>
      <c r="K103" s="689">
        <f>D103</f>
        <v>2019</v>
      </c>
      <c r="L103" s="689">
        <f>E103</f>
        <v>2016</v>
      </c>
      <c r="M103" s="565">
        <v>2016</v>
      </c>
      <c r="N103" s="1577"/>
      <c r="P103" s="1566" t="s">
        <v>439</v>
      </c>
      <c r="Q103" s="1567"/>
      <c r="R103" s="565">
        <f>K103</f>
        <v>2019</v>
      </c>
      <c r="S103" s="565">
        <f>L103</f>
        <v>2016</v>
      </c>
      <c r="T103" s="565">
        <v>2016</v>
      </c>
      <c r="U103" s="1577"/>
      <c r="W103" s="674" t="s">
        <v>68</v>
      </c>
      <c r="X103" s="675">
        <v>1.5</v>
      </c>
    </row>
    <row r="104" spans="1:28" ht="13.5" thickBot="1" x14ac:dyDescent="0.3">
      <c r="A104" s="1568"/>
      <c r="B104" s="676">
        <v>1</v>
      </c>
      <c r="C104" s="226">
        <v>15</v>
      </c>
      <c r="D104" s="226">
        <v>0.2</v>
      </c>
      <c r="E104" s="226">
        <v>0.2</v>
      </c>
      <c r="F104" s="679"/>
      <c r="G104" s="677">
        <f>0.5*(MAX(D104:F104)-MIN(D104:F104))</f>
        <v>0</v>
      </c>
      <c r="I104" s="676">
        <v>1</v>
      </c>
      <c r="J104" s="209">
        <v>30</v>
      </c>
      <c r="K104" s="226">
        <v>-2.9</v>
      </c>
      <c r="L104" s="226">
        <v>-5.8</v>
      </c>
      <c r="M104" s="679"/>
      <c r="N104" s="677">
        <f>0.5*(MAX(K104:M104)-MIN(K104:M104))</f>
        <v>1.45</v>
      </c>
      <c r="P104" s="676">
        <v>1</v>
      </c>
      <c r="Q104" s="226">
        <v>750</v>
      </c>
      <c r="R104" s="210" t="s">
        <v>128</v>
      </c>
      <c r="S104" s="210" t="s">
        <v>128</v>
      </c>
      <c r="T104" s="679"/>
      <c r="U104" s="677">
        <f>0.5*(MAX(R104:T104)-MIN(R104:T104))</f>
        <v>0</v>
      </c>
      <c r="W104" s="680" t="s">
        <v>439</v>
      </c>
      <c r="X104" s="681">
        <v>0</v>
      </c>
    </row>
    <row r="105" spans="1:28" ht="13" x14ac:dyDescent="0.25">
      <c r="A105" s="1568"/>
      <c r="B105" s="676">
        <v>2</v>
      </c>
      <c r="C105" s="226">
        <v>20</v>
      </c>
      <c r="D105" s="226">
        <v>0.2</v>
      </c>
      <c r="E105" s="226">
        <v>-0.7</v>
      </c>
      <c r="F105" s="679"/>
      <c r="G105" s="677">
        <f t="shared" ref="G105:G110" si="27">0.5*(MAX(D105:F105)-MIN(D105:F105))</f>
        <v>0.44999999999999996</v>
      </c>
      <c r="I105" s="676">
        <v>2</v>
      </c>
      <c r="J105" s="209">
        <v>40</v>
      </c>
      <c r="K105" s="226">
        <v>-3.3</v>
      </c>
      <c r="L105" s="226">
        <v>-6.4</v>
      </c>
      <c r="M105" s="679"/>
      <c r="N105" s="677">
        <f t="shared" ref="N105:N110" si="28">0.5*(MAX(K105:M105)-MIN(K105:M105))</f>
        <v>1.5500000000000003</v>
      </c>
      <c r="P105" s="676">
        <v>2</v>
      </c>
      <c r="Q105" s="226">
        <v>800</v>
      </c>
      <c r="R105" s="210" t="s">
        <v>128</v>
      </c>
      <c r="S105" s="210" t="s">
        <v>128</v>
      </c>
      <c r="T105" s="679"/>
      <c r="U105" s="677">
        <f t="shared" ref="U105:U110" si="29">0.5*(MAX(R105:T105)-MIN(R105:T105))</f>
        <v>0</v>
      </c>
    </row>
    <row r="106" spans="1:28" ht="13" x14ac:dyDescent="0.25">
      <c r="A106" s="1568"/>
      <c r="B106" s="676">
        <v>3</v>
      </c>
      <c r="C106" s="226">
        <v>25</v>
      </c>
      <c r="D106" s="226">
        <v>0.1</v>
      </c>
      <c r="E106" s="226">
        <v>-0.5</v>
      </c>
      <c r="F106" s="679"/>
      <c r="G106" s="677">
        <f t="shared" si="27"/>
        <v>0.3</v>
      </c>
      <c r="I106" s="676">
        <v>3</v>
      </c>
      <c r="J106" s="209">
        <v>50</v>
      </c>
      <c r="K106" s="226">
        <v>-3.1</v>
      </c>
      <c r="L106" s="226">
        <v>-6.1</v>
      </c>
      <c r="M106" s="679"/>
      <c r="N106" s="677">
        <f t="shared" si="28"/>
        <v>1.4999999999999998</v>
      </c>
      <c r="P106" s="676">
        <v>3</v>
      </c>
      <c r="Q106" s="226">
        <v>850</v>
      </c>
      <c r="R106" s="210" t="s">
        <v>128</v>
      </c>
      <c r="S106" s="210" t="s">
        <v>128</v>
      </c>
      <c r="T106" s="679"/>
      <c r="U106" s="677">
        <f t="shared" si="29"/>
        <v>0</v>
      </c>
    </row>
    <row r="107" spans="1:28" ht="13" x14ac:dyDescent="0.25">
      <c r="A107" s="1568"/>
      <c r="B107" s="676">
        <v>4</v>
      </c>
      <c r="C107" s="682">
        <v>30</v>
      </c>
      <c r="D107" s="682">
        <v>0.1</v>
      </c>
      <c r="E107" s="682">
        <v>0.2</v>
      </c>
      <c r="F107" s="679"/>
      <c r="G107" s="677">
        <f t="shared" si="27"/>
        <v>0.05</v>
      </c>
      <c r="I107" s="676">
        <v>4</v>
      </c>
      <c r="J107" s="690">
        <v>60</v>
      </c>
      <c r="K107" s="682">
        <v>-2.1</v>
      </c>
      <c r="L107" s="682">
        <v>-5.6</v>
      </c>
      <c r="M107" s="679"/>
      <c r="N107" s="677">
        <f t="shared" si="28"/>
        <v>1.7499999999999998</v>
      </c>
      <c r="P107" s="676">
        <v>4</v>
      </c>
      <c r="Q107" s="682">
        <v>900</v>
      </c>
      <c r="R107" s="683" t="s">
        <v>128</v>
      </c>
      <c r="S107" s="683" t="s">
        <v>128</v>
      </c>
      <c r="T107" s="679"/>
      <c r="U107" s="677">
        <f t="shared" si="29"/>
        <v>0</v>
      </c>
    </row>
    <row r="108" spans="1:28" ht="13" x14ac:dyDescent="0.25">
      <c r="A108" s="1568"/>
      <c r="B108" s="676">
        <v>5</v>
      </c>
      <c r="C108" s="682">
        <v>35</v>
      </c>
      <c r="D108" s="682">
        <v>0.2</v>
      </c>
      <c r="E108" s="682">
        <v>0.8</v>
      </c>
      <c r="F108" s="679"/>
      <c r="G108" s="677">
        <f t="shared" si="27"/>
        <v>0.30000000000000004</v>
      </c>
      <c r="I108" s="676">
        <v>5</v>
      </c>
      <c r="J108" s="690">
        <v>70</v>
      </c>
      <c r="K108" s="682">
        <v>-0.3</v>
      </c>
      <c r="L108" s="682">
        <v>-5.0999999999999996</v>
      </c>
      <c r="M108" s="679"/>
      <c r="N108" s="677">
        <f t="shared" si="28"/>
        <v>2.4</v>
      </c>
      <c r="P108" s="676">
        <v>5</v>
      </c>
      <c r="Q108" s="682">
        <v>1000</v>
      </c>
      <c r="R108" s="683" t="s">
        <v>128</v>
      </c>
      <c r="S108" s="683" t="s">
        <v>128</v>
      </c>
      <c r="T108" s="679"/>
      <c r="U108" s="677">
        <f t="shared" si="29"/>
        <v>0</v>
      </c>
    </row>
    <row r="109" spans="1:28" ht="13" x14ac:dyDescent="0.25">
      <c r="A109" s="1568"/>
      <c r="B109" s="676">
        <v>6</v>
      </c>
      <c r="C109" s="682">
        <v>37</v>
      </c>
      <c r="D109" s="682">
        <v>0.2</v>
      </c>
      <c r="E109" s="682">
        <v>0.4</v>
      </c>
      <c r="F109" s="679"/>
      <c r="G109" s="677">
        <f t="shared" si="27"/>
        <v>0.1</v>
      </c>
      <c r="I109" s="676">
        <v>6</v>
      </c>
      <c r="J109" s="690">
        <v>80</v>
      </c>
      <c r="K109" s="682">
        <v>2.2000000000000002</v>
      </c>
      <c r="L109" s="682">
        <v>-4.7</v>
      </c>
      <c r="M109" s="679"/>
      <c r="N109" s="677">
        <f t="shared" si="28"/>
        <v>3.45</v>
      </c>
      <c r="P109" s="676">
        <v>6</v>
      </c>
      <c r="Q109" s="682">
        <v>1005</v>
      </c>
      <c r="R109" s="683" t="s">
        <v>128</v>
      </c>
      <c r="S109" s="683" t="s">
        <v>128</v>
      </c>
      <c r="T109" s="679"/>
      <c r="U109" s="677">
        <f t="shared" si="29"/>
        <v>0</v>
      </c>
    </row>
    <row r="110" spans="1:28" ht="13.5" thickBot="1" x14ac:dyDescent="0.3">
      <c r="A110" s="1568"/>
      <c r="B110" s="676">
        <v>7</v>
      </c>
      <c r="C110" s="690">
        <v>40</v>
      </c>
      <c r="D110" s="209">
        <v>0.2</v>
      </c>
      <c r="E110" s="209">
        <v>9.9999999999999995E-7</v>
      </c>
      <c r="F110" s="679"/>
      <c r="G110" s="677">
        <f t="shared" si="27"/>
        <v>9.9999500000000005E-2</v>
      </c>
      <c r="I110" s="676">
        <v>7</v>
      </c>
      <c r="J110" s="690">
        <v>90</v>
      </c>
      <c r="K110" s="690">
        <v>5.4</v>
      </c>
      <c r="L110" s="209">
        <v>9.9999999999999995E-7</v>
      </c>
      <c r="M110" s="679"/>
      <c r="N110" s="677">
        <f t="shared" si="28"/>
        <v>2.6999995000000001</v>
      </c>
      <c r="P110" s="676">
        <v>7</v>
      </c>
      <c r="Q110" s="682">
        <v>1020</v>
      </c>
      <c r="R110" s="683" t="s">
        <v>128</v>
      </c>
      <c r="S110" s="683" t="s">
        <v>128</v>
      </c>
      <c r="T110" s="679"/>
      <c r="U110" s="677">
        <f t="shared" si="29"/>
        <v>0</v>
      </c>
    </row>
    <row r="111" spans="1:28" ht="13.5" thickBot="1" x14ac:dyDescent="0.35">
      <c r="A111" s="227"/>
      <c r="B111" s="444"/>
      <c r="C111" s="444"/>
      <c r="D111" s="444"/>
      <c r="E111" s="688"/>
      <c r="F111" s="289"/>
      <c r="G111" s="574"/>
      <c r="H111" s="444"/>
      <c r="I111" s="444"/>
      <c r="J111" s="444"/>
      <c r="K111" s="688"/>
      <c r="L111" s="289"/>
      <c r="M111" s="574"/>
      <c r="O111" s="691"/>
      <c r="P111" s="686"/>
    </row>
    <row r="112" spans="1:28" x14ac:dyDescent="0.25">
      <c r="A112" s="1568">
        <v>11</v>
      </c>
      <c r="B112" s="1569" t="s">
        <v>449</v>
      </c>
      <c r="C112" s="1569"/>
      <c r="D112" s="1569"/>
      <c r="E112" s="1569"/>
      <c r="F112" s="1569"/>
      <c r="G112" s="1569"/>
      <c r="I112" s="1569" t="str">
        <f>B112</f>
        <v>KOREKSI Sekonic HE-21.000670</v>
      </c>
      <c r="J112" s="1569"/>
      <c r="K112" s="1569"/>
      <c r="L112" s="1569"/>
      <c r="M112" s="1569"/>
      <c r="N112" s="1569"/>
      <c r="P112" s="1569" t="str">
        <f>I112</f>
        <v>KOREKSI Sekonic HE-21.000670</v>
      </c>
      <c r="Q112" s="1569"/>
      <c r="R112" s="1569"/>
      <c r="S112" s="1569"/>
      <c r="T112" s="1569"/>
      <c r="U112" s="1569"/>
      <c r="W112" s="1575" t="s">
        <v>389</v>
      </c>
      <c r="X112" s="1576"/>
      <c r="AB112" s="691"/>
    </row>
    <row r="113" spans="1:24" ht="13" x14ac:dyDescent="0.25">
      <c r="A113" s="1568"/>
      <c r="B113" s="1577" t="s">
        <v>435</v>
      </c>
      <c r="C113" s="1577"/>
      <c r="D113" s="1577" t="s">
        <v>298</v>
      </c>
      <c r="E113" s="1577"/>
      <c r="F113" s="1577"/>
      <c r="G113" s="1577" t="s">
        <v>294</v>
      </c>
      <c r="I113" s="1577" t="s">
        <v>436</v>
      </c>
      <c r="J113" s="1577"/>
      <c r="K113" s="1577" t="s">
        <v>298</v>
      </c>
      <c r="L113" s="1577"/>
      <c r="M113" s="1577"/>
      <c r="N113" s="1577" t="s">
        <v>294</v>
      </c>
      <c r="P113" s="1577" t="s">
        <v>437</v>
      </c>
      <c r="Q113" s="1577"/>
      <c r="R113" s="1577" t="s">
        <v>298</v>
      </c>
      <c r="S113" s="1577"/>
      <c r="T113" s="1577"/>
      <c r="U113" s="1577" t="s">
        <v>294</v>
      </c>
      <c r="W113" s="674" t="s">
        <v>435</v>
      </c>
      <c r="X113" s="675">
        <v>0.3</v>
      </c>
    </row>
    <row r="114" spans="1:24" ht="14.5" x14ac:dyDescent="0.25">
      <c r="A114" s="1568"/>
      <c r="B114" s="1567" t="s">
        <v>438</v>
      </c>
      <c r="C114" s="1567"/>
      <c r="D114" s="565">
        <v>2020</v>
      </c>
      <c r="E114" s="566">
        <v>2016</v>
      </c>
      <c r="F114" s="565">
        <v>2016</v>
      </c>
      <c r="G114" s="1577"/>
      <c r="I114" s="1566" t="s">
        <v>68</v>
      </c>
      <c r="J114" s="1567"/>
      <c r="K114" s="689">
        <f>D114</f>
        <v>2020</v>
      </c>
      <c r="L114" s="689">
        <f>E114</f>
        <v>2016</v>
      </c>
      <c r="M114" s="565">
        <v>2016</v>
      </c>
      <c r="N114" s="1577"/>
      <c r="P114" s="1566" t="s">
        <v>439</v>
      </c>
      <c r="Q114" s="1567"/>
      <c r="R114" s="689">
        <f>K114</f>
        <v>2020</v>
      </c>
      <c r="S114" s="689">
        <f>L114</f>
        <v>2016</v>
      </c>
      <c r="T114" s="565">
        <v>2016</v>
      </c>
      <c r="U114" s="1577"/>
      <c r="W114" s="674" t="s">
        <v>68</v>
      </c>
      <c r="X114" s="675">
        <v>1.8</v>
      </c>
    </row>
    <row r="115" spans="1:24" ht="13.5" thickBot="1" x14ac:dyDescent="0.3">
      <c r="A115" s="1568"/>
      <c r="B115" s="676">
        <v>1</v>
      </c>
      <c r="C115" s="226">
        <v>15</v>
      </c>
      <c r="D115" s="226">
        <v>0.3</v>
      </c>
      <c r="E115" s="226">
        <v>0.3</v>
      </c>
      <c r="F115" s="679"/>
      <c r="G115" s="677">
        <f>0.5*(MAX(D115:F115)-MIN(D115:F115))</f>
        <v>0</v>
      </c>
      <c r="I115" s="676">
        <v>1</v>
      </c>
      <c r="J115" s="226">
        <v>30</v>
      </c>
      <c r="K115" s="226">
        <v>-5.2</v>
      </c>
      <c r="L115" s="226">
        <v>-6.4</v>
      </c>
      <c r="M115" s="679"/>
      <c r="N115" s="677">
        <f>0.5*(MAX(K115:M115)-MIN(K115:M115))</f>
        <v>0.60000000000000009</v>
      </c>
      <c r="P115" s="676">
        <v>1</v>
      </c>
      <c r="Q115" s="226">
        <v>750</v>
      </c>
      <c r="R115" s="210" t="s">
        <v>128</v>
      </c>
      <c r="S115" s="209" t="s">
        <v>128</v>
      </c>
      <c r="T115" s="679"/>
      <c r="U115" s="677">
        <f>0.5*(MAX(R115:T115)-MIN(R115:T115))</f>
        <v>0</v>
      </c>
      <c r="W115" s="680" t="s">
        <v>439</v>
      </c>
      <c r="X115" s="681">
        <v>0</v>
      </c>
    </row>
    <row r="116" spans="1:24" ht="13" x14ac:dyDescent="0.25">
      <c r="A116" s="1568"/>
      <c r="B116" s="676">
        <v>2</v>
      </c>
      <c r="C116" s="226">
        <v>20</v>
      </c>
      <c r="D116" s="226">
        <v>0.4</v>
      </c>
      <c r="E116" s="226">
        <v>0.5</v>
      </c>
      <c r="F116" s="679"/>
      <c r="G116" s="677">
        <f t="shared" ref="G116:G121" si="30">0.5*(MAX(D116:F116)-MIN(D116:F116))</f>
        <v>4.9999999999999989E-2</v>
      </c>
      <c r="I116" s="676">
        <v>2</v>
      </c>
      <c r="J116" s="226">
        <v>40</v>
      </c>
      <c r="K116" s="226">
        <v>-5.5</v>
      </c>
      <c r="L116" s="226">
        <v>-5.9</v>
      </c>
      <c r="M116" s="679"/>
      <c r="N116" s="677">
        <f t="shared" ref="N116:N121" si="31">0.5*(MAX(K116:M116)-MIN(K116:M116))</f>
        <v>0.20000000000000018</v>
      </c>
      <c r="P116" s="676">
        <v>2</v>
      </c>
      <c r="Q116" s="226">
        <v>800</v>
      </c>
      <c r="R116" s="210" t="s">
        <v>128</v>
      </c>
      <c r="S116" s="209" t="s">
        <v>128</v>
      </c>
      <c r="T116" s="679"/>
      <c r="U116" s="677">
        <f t="shared" ref="U116:U121" si="32">0.5*(MAX(R116:T116)-MIN(R116:T116))</f>
        <v>0</v>
      </c>
    </row>
    <row r="117" spans="1:24" ht="13" x14ac:dyDescent="0.25">
      <c r="A117" s="1568"/>
      <c r="B117" s="676">
        <v>3</v>
      </c>
      <c r="C117" s="226">
        <v>25</v>
      </c>
      <c r="D117" s="226">
        <v>0.4</v>
      </c>
      <c r="E117" s="226">
        <v>0.5</v>
      </c>
      <c r="F117" s="679"/>
      <c r="G117" s="677">
        <f t="shared" si="30"/>
        <v>4.9999999999999989E-2</v>
      </c>
      <c r="I117" s="676">
        <v>3</v>
      </c>
      <c r="J117" s="226">
        <v>50</v>
      </c>
      <c r="K117" s="226">
        <v>-5.5</v>
      </c>
      <c r="L117" s="226">
        <v>-5.6</v>
      </c>
      <c r="M117" s="679"/>
      <c r="N117" s="677">
        <f t="shared" si="31"/>
        <v>4.9999999999999822E-2</v>
      </c>
      <c r="P117" s="676">
        <v>3</v>
      </c>
      <c r="Q117" s="226">
        <v>850</v>
      </c>
      <c r="R117" s="210" t="s">
        <v>128</v>
      </c>
      <c r="S117" s="209" t="s">
        <v>128</v>
      </c>
      <c r="T117" s="679"/>
      <c r="U117" s="677">
        <f t="shared" si="32"/>
        <v>0</v>
      </c>
    </row>
    <row r="118" spans="1:24" ht="13" x14ac:dyDescent="0.25">
      <c r="A118" s="1568"/>
      <c r="B118" s="676">
        <v>4</v>
      </c>
      <c r="C118" s="682">
        <v>30</v>
      </c>
      <c r="D118" s="682">
        <v>0.5</v>
      </c>
      <c r="E118" s="682">
        <v>0.4</v>
      </c>
      <c r="F118" s="679"/>
      <c r="G118" s="677">
        <f t="shared" si="30"/>
        <v>4.9999999999999989E-2</v>
      </c>
      <c r="I118" s="676">
        <v>4</v>
      </c>
      <c r="J118" s="682">
        <v>60</v>
      </c>
      <c r="K118" s="682">
        <v>-4.8</v>
      </c>
      <c r="L118" s="682">
        <v>-4.5</v>
      </c>
      <c r="M118" s="679"/>
      <c r="N118" s="677">
        <f t="shared" si="31"/>
        <v>0.14999999999999991</v>
      </c>
      <c r="P118" s="676">
        <v>4</v>
      </c>
      <c r="Q118" s="682">
        <v>900</v>
      </c>
      <c r="R118" s="683" t="s">
        <v>128</v>
      </c>
      <c r="S118" s="683" t="s">
        <v>128</v>
      </c>
      <c r="T118" s="679"/>
      <c r="U118" s="677">
        <f t="shared" si="32"/>
        <v>0</v>
      </c>
    </row>
    <row r="119" spans="1:24" ht="13" x14ac:dyDescent="0.25">
      <c r="A119" s="1568"/>
      <c r="B119" s="676">
        <v>5</v>
      </c>
      <c r="C119" s="682">
        <v>35</v>
      </c>
      <c r="D119" s="682">
        <v>0.5</v>
      </c>
      <c r="E119" s="682">
        <v>0.4</v>
      </c>
      <c r="F119" s="679"/>
      <c r="G119" s="677">
        <f t="shared" si="30"/>
        <v>4.9999999999999989E-2</v>
      </c>
      <c r="I119" s="676">
        <v>5</v>
      </c>
      <c r="J119" s="682">
        <v>70</v>
      </c>
      <c r="K119" s="682">
        <v>-3.4</v>
      </c>
      <c r="L119" s="682">
        <v>-1.7</v>
      </c>
      <c r="M119" s="679"/>
      <c r="N119" s="677">
        <f t="shared" si="31"/>
        <v>0.85</v>
      </c>
      <c r="P119" s="676">
        <v>5</v>
      </c>
      <c r="Q119" s="682">
        <v>1000</v>
      </c>
      <c r="R119" s="683" t="s">
        <v>128</v>
      </c>
      <c r="S119" s="683" t="s">
        <v>128</v>
      </c>
      <c r="T119" s="679"/>
      <c r="U119" s="677">
        <f t="shared" si="32"/>
        <v>0</v>
      </c>
    </row>
    <row r="120" spans="1:24" ht="13" x14ac:dyDescent="0.25">
      <c r="A120" s="1568"/>
      <c r="B120" s="676">
        <v>6</v>
      </c>
      <c r="C120" s="682">
        <v>37</v>
      </c>
      <c r="D120" s="682">
        <v>0.5</v>
      </c>
      <c r="E120" s="682">
        <v>0.5</v>
      </c>
      <c r="F120" s="679"/>
      <c r="G120" s="677">
        <f t="shared" si="30"/>
        <v>0</v>
      </c>
      <c r="I120" s="676">
        <v>6</v>
      </c>
      <c r="J120" s="682">
        <v>80</v>
      </c>
      <c r="K120" s="682">
        <v>-1.4</v>
      </c>
      <c r="L120" s="682">
        <v>2.6</v>
      </c>
      <c r="M120" s="679"/>
      <c r="N120" s="677">
        <f t="shared" si="31"/>
        <v>2</v>
      </c>
      <c r="P120" s="676">
        <v>6</v>
      </c>
      <c r="Q120" s="682">
        <v>1005</v>
      </c>
      <c r="R120" s="683" t="s">
        <v>128</v>
      </c>
      <c r="S120" s="683" t="s">
        <v>128</v>
      </c>
      <c r="T120" s="679"/>
      <c r="U120" s="677">
        <f t="shared" si="32"/>
        <v>0</v>
      </c>
    </row>
    <row r="121" spans="1:24" ht="13.5" thickBot="1" x14ac:dyDescent="0.3">
      <c r="A121" s="1568"/>
      <c r="B121" s="676">
        <v>7</v>
      </c>
      <c r="C121" s="690">
        <v>40</v>
      </c>
      <c r="D121" s="690">
        <v>0.5</v>
      </c>
      <c r="E121" s="209">
        <v>9.9999999999999995E-7</v>
      </c>
      <c r="F121" s="679"/>
      <c r="G121" s="677">
        <f t="shared" si="30"/>
        <v>0.24999950000000001</v>
      </c>
      <c r="I121" s="676">
        <v>7</v>
      </c>
      <c r="J121" s="690">
        <v>90</v>
      </c>
      <c r="K121" s="690">
        <v>1.3</v>
      </c>
      <c r="L121" s="209">
        <v>9.9999999999999995E-7</v>
      </c>
      <c r="M121" s="679"/>
      <c r="N121" s="677">
        <f t="shared" si="31"/>
        <v>0.64999950000000006</v>
      </c>
      <c r="P121" s="676">
        <v>7</v>
      </c>
      <c r="Q121" s="682">
        <v>1020</v>
      </c>
      <c r="R121" s="683" t="s">
        <v>128</v>
      </c>
      <c r="S121" s="683" t="s">
        <v>128</v>
      </c>
      <c r="T121" s="679"/>
      <c r="U121" s="677">
        <f t="shared" si="32"/>
        <v>0</v>
      </c>
    </row>
    <row r="122" spans="1:24" ht="13.5" thickBot="1" x14ac:dyDescent="0.35">
      <c r="A122" s="227"/>
      <c r="B122" s="444"/>
      <c r="C122" s="444"/>
      <c r="D122" s="444"/>
      <c r="E122" s="688"/>
      <c r="F122" s="289"/>
      <c r="G122" s="574"/>
      <c r="I122" s="444"/>
      <c r="J122" s="444"/>
      <c r="K122" s="444"/>
      <c r="L122" s="688"/>
      <c r="M122" s="289"/>
      <c r="Q122" s="691"/>
      <c r="R122" s="686"/>
    </row>
    <row r="123" spans="1:24" x14ac:dyDescent="0.25">
      <c r="A123" s="1568">
        <v>12</v>
      </c>
      <c r="B123" s="1569" t="s">
        <v>450</v>
      </c>
      <c r="C123" s="1569"/>
      <c r="D123" s="1569"/>
      <c r="E123" s="1569"/>
      <c r="F123" s="1569"/>
      <c r="G123" s="1569"/>
      <c r="I123" s="1569" t="str">
        <f>B123</f>
        <v>KOREKSI EXTECH A.100586</v>
      </c>
      <c r="J123" s="1569"/>
      <c r="K123" s="1569"/>
      <c r="L123" s="1569"/>
      <c r="M123" s="1569"/>
      <c r="N123" s="1569"/>
      <c r="P123" s="1569" t="str">
        <f>I123</f>
        <v>KOREKSI EXTECH A.100586</v>
      </c>
      <c r="Q123" s="1569"/>
      <c r="R123" s="1569"/>
      <c r="S123" s="1569"/>
      <c r="T123" s="1569"/>
      <c r="U123" s="1569"/>
      <c r="W123" s="1575" t="s">
        <v>389</v>
      </c>
      <c r="X123" s="1576"/>
    </row>
    <row r="124" spans="1:24" ht="13" x14ac:dyDescent="0.25">
      <c r="A124" s="1568"/>
      <c r="B124" s="1577" t="s">
        <v>435</v>
      </c>
      <c r="C124" s="1577"/>
      <c r="D124" s="1577" t="s">
        <v>298</v>
      </c>
      <c r="E124" s="1577"/>
      <c r="F124" s="1577"/>
      <c r="G124" s="1577" t="s">
        <v>294</v>
      </c>
      <c r="I124" s="1577" t="s">
        <v>436</v>
      </c>
      <c r="J124" s="1577"/>
      <c r="K124" s="1577" t="s">
        <v>298</v>
      </c>
      <c r="L124" s="1577"/>
      <c r="M124" s="1577"/>
      <c r="N124" s="1577" t="s">
        <v>294</v>
      </c>
      <c r="P124" s="1577" t="s">
        <v>437</v>
      </c>
      <c r="Q124" s="1577"/>
      <c r="R124" s="1577" t="s">
        <v>298</v>
      </c>
      <c r="S124" s="1577"/>
      <c r="T124" s="1577"/>
      <c r="U124" s="1577" t="s">
        <v>294</v>
      </c>
      <c r="W124" s="674" t="s">
        <v>435</v>
      </c>
      <c r="X124" s="675">
        <v>0.3</v>
      </c>
    </row>
    <row r="125" spans="1:24" ht="14.5" x14ac:dyDescent="0.25">
      <c r="A125" s="1568"/>
      <c r="B125" s="1567" t="s">
        <v>438</v>
      </c>
      <c r="C125" s="1567"/>
      <c r="D125" s="565">
        <v>2020</v>
      </c>
      <c r="E125" s="566" t="s">
        <v>128</v>
      </c>
      <c r="F125" s="565">
        <v>2016</v>
      </c>
      <c r="G125" s="1577"/>
      <c r="I125" s="1566" t="s">
        <v>68</v>
      </c>
      <c r="J125" s="1567"/>
      <c r="K125" s="565">
        <f>D125</f>
        <v>2020</v>
      </c>
      <c r="L125" s="565" t="str">
        <f>E125</f>
        <v>-</v>
      </c>
      <c r="M125" s="565">
        <v>2016</v>
      </c>
      <c r="N125" s="1577"/>
      <c r="P125" s="1566" t="s">
        <v>439</v>
      </c>
      <c r="Q125" s="1567"/>
      <c r="R125" s="565">
        <f>K125</f>
        <v>2020</v>
      </c>
      <c r="S125" s="565" t="str">
        <f>L125</f>
        <v>-</v>
      </c>
      <c r="T125" s="565">
        <v>2016</v>
      </c>
      <c r="U125" s="1577"/>
      <c r="W125" s="674" t="s">
        <v>68</v>
      </c>
      <c r="X125" s="675">
        <v>2</v>
      </c>
    </row>
    <row r="126" spans="1:24" ht="13.5" thickBot="1" x14ac:dyDescent="0.3">
      <c r="A126" s="1568"/>
      <c r="B126" s="676">
        <v>1</v>
      </c>
      <c r="C126" s="226">
        <v>15</v>
      </c>
      <c r="D126" s="209">
        <v>9.9999999999999995E-7</v>
      </c>
      <c r="E126" s="209" t="s">
        <v>128</v>
      </c>
      <c r="F126" s="679"/>
      <c r="G126" s="677">
        <f>0.5*(MAX(D126:F126)-MIN(D126:F126))</f>
        <v>0</v>
      </c>
      <c r="I126" s="676">
        <v>1</v>
      </c>
      <c r="J126" s="226">
        <v>30</v>
      </c>
      <c r="K126" s="226">
        <v>-0.4</v>
      </c>
      <c r="L126" s="209" t="s">
        <v>128</v>
      </c>
      <c r="M126" s="679"/>
      <c r="N126" s="677">
        <f>0.5*(MAX(K126:M126)-MIN(K126:M126))</f>
        <v>0</v>
      </c>
      <c r="P126" s="676">
        <v>1</v>
      </c>
      <c r="Q126" s="226">
        <v>800</v>
      </c>
      <c r="R126" s="210">
        <v>-0.4</v>
      </c>
      <c r="S126" s="209" t="s">
        <v>128</v>
      </c>
      <c r="T126" s="679"/>
      <c r="U126" s="677">
        <f>0.5*(MAX(R126:T126)-MIN(R126:T126))</f>
        <v>0</v>
      </c>
      <c r="W126" s="680" t="s">
        <v>439</v>
      </c>
      <c r="X126" s="681">
        <v>2.4</v>
      </c>
    </row>
    <row r="127" spans="1:24" ht="13" x14ac:dyDescent="0.25">
      <c r="A127" s="1568"/>
      <c r="B127" s="676">
        <v>2</v>
      </c>
      <c r="C127" s="226">
        <v>20</v>
      </c>
      <c r="D127" s="209">
        <v>9.9999999999999995E-7</v>
      </c>
      <c r="E127" s="209" t="s">
        <v>128</v>
      </c>
      <c r="F127" s="679"/>
      <c r="G127" s="677">
        <f t="shared" ref="G127:G132" si="33">0.5*(MAX(D127:F127)-MIN(D127:F127))</f>
        <v>0</v>
      </c>
      <c r="I127" s="676">
        <v>2</v>
      </c>
      <c r="J127" s="226">
        <v>40</v>
      </c>
      <c r="K127" s="226">
        <v>-0.1</v>
      </c>
      <c r="L127" s="209" t="s">
        <v>128</v>
      </c>
      <c r="M127" s="679"/>
      <c r="N127" s="677">
        <f t="shared" ref="N127:N132" si="34">0.5*(MAX(K127:M127)-MIN(K127:M127))</f>
        <v>0</v>
      </c>
      <c r="P127" s="676">
        <v>2</v>
      </c>
      <c r="Q127" s="226">
        <v>850</v>
      </c>
      <c r="R127" s="210">
        <v>-0.5</v>
      </c>
      <c r="S127" s="209" t="s">
        <v>128</v>
      </c>
      <c r="T127" s="679"/>
      <c r="U127" s="677">
        <f t="shared" ref="U127:U132" si="35">0.5*(MAX(R127:T127)-MIN(R127:T127))</f>
        <v>0</v>
      </c>
    </row>
    <row r="128" spans="1:24" ht="13" x14ac:dyDescent="0.25">
      <c r="A128" s="1568"/>
      <c r="B128" s="676">
        <v>3</v>
      </c>
      <c r="C128" s="226">
        <v>25</v>
      </c>
      <c r="D128" s="209">
        <v>9.9999999999999995E-7</v>
      </c>
      <c r="E128" s="209" t="s">
        <v>128</v>
      </c>
      <c r="F128" s="679"/>
      <c r="G128" s="677">
        <f t="shared" si="33"/>
        <v>0</v>
      </c>
      <c r="I128" s="676">
        <v>3</v>
      </c>
      <c r="J128" s="226">
        <v>50</v>
      </c>
      <c r="K128" s="209">
        <v>9.9999999999999995E-7</v>
      </c>
      <c r="L128" s="209" t="s">
        <v>128</v>
      </c>
      <c r="M128" s="679"/>
      <c r="N128" s="677">
        <f t="shared" si="34"/>
        <v>0</v>
      </c>
      <c r="P128" s="676">
        <v>3</v>
      </c>
      <c r="Q128" s="682">
        <v>900</v>
      </c>
      <c r="R128" s="683">
        <v>-0.6</v>
      </c>
      <c r="S128" s="209" t="s">
        <v>128</v>
      </c>
      <c r="T128" s="679"/>
      <c r="U128" s="677">
        <f t="shared" si="35"/>
        <v>0</v>
      </c>
    </row>
    <row r="129" spans="1:24" ht="13" x14ac:dyDescent="0.25">
      <c r="A129" s="1568"/>
      <c r="B129" s="676">
        <v>4</v>
      </c>
      <c r="C129" s="682">
        <v>30</v>
      </c>
      <c r="D129" s="682">
        <v>-0.1</v>
      </c>
      <c r="E129" s="683" t="s">
        <v>128</v>
      </c>
      <c r="F129" s="679"/>
      <c r="G129" s="677">
        <f t="shared" si="33"/>
        <v>0</v>
      </c>
      <c r="I129" s="676">
        <v>4</v>
      </c>
      <c r="J129" s="682">
        <v>60</v>
      </c>
      <c r="K129" s="209">
        <v>9.9999999999999995E-7</v>
      </c>
      <c r="L129" s="683" t="s">
        <v>128</v>
      </c>
      <c r="M129" s="679"/>
      <c r="N129" s="677">
        <f t="shared" si="34"/>
        <v>0</v>
      </c>
      <c r="P129" s="676">
        <v>4</v>
      </c>
      <c r="Q129" s="682">
        <v>950</v>
      </c>
      <c r="R129" s="683">
        <v>-0.7</v>
      </c>
      <c r="S129" s="683" t="s">
        <v>128</v>
      </c>
      <c r="T129" s="679"/>
      <c r="U129" s="677">
        <f t="shared" si="35"/>
        <v>0</v>
      </c>
    </row>
    <row r="130" spans="1:24" ht="13" x14ac:dyDescent="0.25">
      <c r="A130" s="1568"/>
      <c r="B130" s="676">
        <v>5</v>
      </c>
      <c r="C130" s="682">
        <v>35</v>
      </c>
      <c r="D130" s="682">
        <v>-0.2</v>
      </c>
      <c r="E130" s="683" t="s">
        <v>128</v>
      </c>
      <c r="F130" s="679"/>
      <c r="G130" s="677">
        <f t="shared" si="33"/>
        <v>0</v>
      </c>
      <c r="I130" s="676">
        <v>5</v>
      </c>
      <c r="J130" s="682">
        <v>70</v>
      </c>
      <c r="K130" s="682">
        <v>-0.1</v>
      </c>
      <c r="L130" s="683" t="s">
        <v>128</v>
      </c>
      <c r="M130" s="679"/>
      <c r="N130" s="677">
        <f t="shared" si="34"/>
        <v>0</v>
      </c>
      <c r="P130" s="676">
        <v>5</v>
      </c>
      <c r="Q130" s="682">
        <v>1000</v>
      </c>
      <c r="R130" s="683">
        <v>-0.8</v>
      </c>
      <c r="S130" s="683" t="s">
        <v>128</v>
      </c>
      <c r="T130" s="679"/>
      <c r="U130" s="677">
        <f t="shared" si="35"/>
        <v>0</v>
      </c>
    </row>
    <row r="131" spans="1:24" ht="13" x14ac:dyDescent="0.25">
      <c r="A131" s="1568"/>
      <c r="B131" s="676">
        <v>6</v>
      </c>
      <c r="C131" s="682">
        <v>37</v>
      </c>
      <c r="D131" s="682">
        <v>-0.3</v>
      </c>
      <c r="E131" s="683" t="s">
        <v>128</v>
      </c>
      <c r="F131" s="679"/>
      <c r="G131" s="677">
        <f t="shared" si="33"/>
        <v>0</v>
      </c>
      <c r="I131" s="676">
        <v>6</v>
      </c>
      <c r="J131" s="682">
        <v>80</v>
      </c>
      <c r="K131" s="682">
        <v>-0.5</v>
      </c>
      <c r="L131" s="683" t="s">
        <v>128</v>
      </c>
      <c r="M131" s="679"/>
      <c r="N131" s="677">
        <f t="shared" si="34"/>
        <v>0</v>
      </c>
      <c r="P131" s="676">
        <v>6</v>
      </c>
      <c r="Q131" s="682">
        <v>1005</v>
      </c>
      <c r="R131" s="683">
        <v>-0.8</v>
      </c>
      <c r="S131" s="683" t="s">
        <v>128</v>
      </c>
      <c r="T131" s="679"/>
      <c r="U131" s="677">
        <f t="shared" si="35"/>
        <v>0</v>
      </c>
    </row>
    <row r="132" spans="1:24" ht="13" x14ac:dyDescent="0.25">
      <c r="A132" s="1568"/>
      <c r="B132" s="676">
        <v>7</v>
      </c>
      <c r="C132" s="690">
        <v>40</v>
      </c>
      <c r="D132" s="682">
        <v>-0.4</v>
      </c>
      <c r="E132" s="683" t="s">
        <v>128</v>
      </c>
      <c r="F132" s="679"/>
      <c r="G132" s="677">
        <f t="shared" si="33"/>
        <v>0</v>
      </c>
      <c r="I132" s="676">
        <v>7</v>
      </c>
      <c r="J132" s="690">
        <v>90</v>
      </c>
      <c r="K132" s="682">
        <v>-0.9</v>
      </c>
      <c r="L132" s="683" t="s">
        <v>128</v>
      </c>
      <c r="M132" s="679"/>
      <c r="N132" s="677">
        <f t="shared" si="34"/>
        <v>0</v>
      </c>
      <c r="P132" s="676">
        <v>7</v>
      </c>
      <c r="Q132" s="682">
        <v>1020</v>
      </c>
      <c r="R132" s="683">
        <v>9.9999999999999995E-7</v>
      </c>
      <c r="S132" s="683" t="s">
        <v>128</v>
      </c>
      <c r="T132" s="679"/>
      <c r="U132" s="677">
        <f t="shared" si="35"/>
        <v>0</v>
      </c>
    </row>
    <row r="133" spans="1:24" ht="13" thickBot="1" x14ac:dyDescent="0.3">
      <c r="A133" s="692"/>
      <c r="C133" s="598"/>
      <c r="D133" s="687"/>
      <c r="E133" s="693"/>
      <c r="F133" s="598"/>
      <c r="I133" s="598"/>
      <c r="J133" s="687"/>
      <c r="K133" s="693"/>
      <c r="L133" s="598"/>
      <c r="O133" s="687"/>
      <c r="P133" s="693"/>
      <c r="Q133" s="693"/>
      <c r="R133" s="598"/>
    </row>
    <row r="134" spans="1:24" x14ac:dyDescent="0.25">
      <c r="A134" s="1568">
        <v>13</v>
      </c>
      <c r="B134" s="1569" t="s">
        <v>451</v>
      </c>
      <c r="C134" s="1569"/>
      <c r="D134" s="1569"/>
      <c r="E134" s="1569"/>
      <c r="F134" s="1569"/>
      <c r="G134" s="1569"/>
      <c r="I134" s="1569" t="str">
        <f>B134</f>
        <v>KOREKSI EXTECH A.100605</v>
      </c>
      <c r="J134" s="1569"/>
      <c r="K134" s="1569"/>
      <c r="L134" s="1569"/>
      <c r="M134" s="1569"/>
      <c r="N134" s="1569"/>
      <c r="P134" s="1569" t="str">
        <f>I134</f>
        <v>KOREKSI EXTECH A.100605</v>
      </c>
      <c r="Q134" s="1569"/>
      <c r="R134" s="1569"/>
      <c r="S134" s="1569"/>
      <c r="T134" s="1569"/>
      <c r="U134" s="1569"/>
      <c r="W134" s="1575" t="s">
        <v>389</v>
      </c>
      <c r="X134" s="1576"/>
    </row>
    <row r="135" spans="1:24" ht="13" x14ac:dyDescent="0.25">
      <c r="A135" s="1568"/>
      <c r="B135" s="1577" t="s">
        <v>435</v>
      </c>
      <c r="C135" s="1577"/>
      <c r="D135" s="1577" t="s">
        <v>298</v>
      </c>
      <c r="E135" s="1577"/>
      <c r="F135" s="1577"/>
      <c r="G135" s="1577" t="s">
        <v>294</v>
      </c>
      <c r="I135" s="1577" t="s">
        <v>436</v>
      </c>
      <c r="J135" s="1577"/>
      <c r="K135" s="1577" t="s">
        <v>298</v>
      </c>
      <c r="L135" s="1577"/>
      <c r="M135" s="1577"/>
      <c r="N135" s="1577" t="s">
        <v>294</v>
      </c>
      <c r="P135" s="1577" t="s">
        <v>437</v>
      </c>
      <c r="Q135" s="1577"/>
      <c r="R135" s="1577" t="s">
        <v>298</v>
      </c>
      <c r="S135" s="1577"/>
      <c r="T135" s="1577"/>
      <c r="U135" s="1577" t="s">
        <v>294</v>
      </c>
      <c r="W135" s="674" t="s">
        <v>435</v>
      </c>
      <c r="X135" s="675">
        <v>0.5</v>
      </c>
    </row>
    <row r="136" spans="1:24" ht="14.5" x14ac:dyDescent="0.25">
      <c r="A136" s="1568"/>
      <c r="B136" s="1567" t="s">
        <v>438</v>
      </c>
      <c r="C136" s="1567"/>
      <c r="D136" s="694">
        <v>2022</v>
      </c>
      <c r="E136" s="565">
        <v>2020</v>
      </c>
      <c r="F136" s="566" t="s">
        <v>128</v>
      </c>
      <c r="G136" s="1577"/>
      <c r="I136" s="1566" t="s">
        <v>68</v>
      </c>
      <c r="J136" s="1567"/>
      <c r="K136" s="694">
        <v>2022</v>
      </c>
      <c r="L136" s="689">
        <f>E136</f>
        <v>2020</v>
      </c>
      <c r="M136" s="689" t="str">
        <f>F136</f>
        <v>-</v>
      </c>
      <c r="N136" s="1577"/>
      <c r="P136" s="1566" t="s">
        <v>439</v>
      </c>
      <c r="Q136" s="1567"/>
      <c r="R136" s="695">
        <v>2022</v>
      </c>
      <c r="S136" s="689">
        <f>L136</f>
        <v>2020</v>
      </c>
      <c r="T136" s="689" t="str">
        <f>M136</f>
        <v>-</v>
      </c>
      <c r="U136" s="1577"/>
      <c r="W136" s="674" t="s">
        <v>68</v>
      </c>
      <c r="X136" s="675">
        <v>2.2999999999999998</v>
      </c>
    </row>
    <row r="137" spans="1:24" ht="13.5" thickBot="1" x14ac:dyDescent="0.3">
      <c r="A137" s="1568"/>
      <c r="B137" s="676">
        <v>1</v>
      </c>
      <c r="C137" s="226">
        <v>15</v>
      </c>
      <c r="D137" s="226">
        <v>0.5</v>
      </c>
      <c r="E137" s="226">
        <v>-0.7</v>
      </c>
      <c r="F137" s="209" t="s">
        <v>128</v>
      </c>
      <c r="G137" s="677">
        <f t="shared" ref="G137:G143" si="36">0.5*(MAX(E137:F137)-MIN(E137:F137))</f>
        <v>0</v>
      </c>
      <c r="I137" s="676">
        <v>1</v>
      </c>
      <c r="J137" s="226">
        <v>30</v>
      </c>
      <c r="K137" s="226">
        <v>-2.2000000000000002</v>
      </c>
      <c r="L137" s="226">
        <v>-1.4</v>
      </c>
      <c r="M137" s="209" t="s">
        <v>128</v>
      </c>
      <c r="N137" s="677">
        <f t="shared" ref="N137:N143" si="37">0.5*(MAX(L137:M137)-MIN(L137:M137))</f>
        <v>0</v>
      </c>
      <c r="P137" s="676">
        <v>1</v>
      </c>
      <c r="Q137" s="226">
        <v>960</v>
      </c>
      <c r="R137" s="226">
        <f>MAX(R138:R143)</f>
        <v>4</v>
      </c>
      <c r="S137" s="210">
        <v>0.9</v>
      </c>
      <c r="T137" s="209" t="s">
        <v>128</v>
      </c>
      <c r="U137" s="677">
        <f t="shared" ref="U137:U143" si="38">0.5*(MAX(S137:T137)-MIN(S137:T137))</f>
        <v>0</v>
      </c>
      <c r="W137" s="680" t="s">
        <v>439</v>
      </c>
      <c r="X137" s="681">
        <v>2.4</v>
      </c>
    </row>
    <row r="138" spans="1:24" ht="13" x14ac:dyDescent="0.25">
      <c r="A138" s="1568"/>
      <c r="B138" s="676">
        <v>2</v>
      </c>
      <c r="C138" s="226">
        <v>20</v>
      </c>
      <c r="D138" s="226">
        <v>0.2</v>
      </c>
      <c r="E138" s="226">
        <v>-0.4</v>
      </c>
      <c r="F138" s="209" t="s">
        <v>128</v>
      </c>
      <c r="G138" s="677">
        <f t="shared" si="36"/>
        <v>0</v>
      </c>
      <c r="I138" s="676">
        <v>2</v>
      </c>
      <c r="J138" s="226">
        <v>40</v>
      </c>
      <c r="K138" s="226">
        <v>-2</v>
      </c>
      <c r="L138" s="226">
        <v>-1.3</v>
      </c>
      <c r="M138" s="209" t="s">
        <v>128</v>
      </c>
      <c r="N138" s="677">
        <f t="shared" si="37"/>
        <v>0</v>
      </c>
      <c r="P138" s="676">
        <v>2</v>
      </c>
      <c r="Q138" s="226">
        <v>970</v>
      </c>
      <c r="R138" s="226">
        <v>4</v>
      </c>
      <c r="S138" s="210">
        <v>1</v>
      </c>
      <c r="T138" s="209" t="s">
        <v>128</v>
      </c>
      <c r="U138" s="677">
        <f t="shared" si="38"/>
        <v>0</v>
      </c>
    </row>
    <row r="139" spans="1:24" ht="13" x14ac:dyDescent="0.25">
      <c r="A139" s="1568"/>
      <c r="B139" s="676">
        <v>3</v>
      </c>
      <c r="C139" s="226">
        <v>25</v>
      </c>
      <c r="D139" s="226">
        <v>0.1</v>
      </c>
      <c r="E139" s="226">
        <v>-0.2</v>
      </c>
      <c r="F139" s="209" t="s">
        <v>128</v>
      </c>
      <c r="G139" s="677">
        <f t="shared" si="36"/>
        <v>0</v>
      </c>
      <c r="I139" s="676">
        <v>3</v>
      </c>
      <c r="J139" s="226">
        <v>50</v>
      </c>
      <c r="K139" s="226">
        <v>-1.8</v>
      </c>
      <c r="L139" s="226">
        <v>-1.3</v>
      </c>
      <c r="M139" s="209" t="s">
        <v>128</v>
      </c>
      <c r="N139" s="677">
        <f t="shared" si="37"/>
        <v>0</v>
      </c>
      <c r="P139" s="676">
        <v>3</v>
      </c>
      <c r="Q139" s="682">
        <v>980</v>
      </c>
      <c r="R139" s="226">
        <v>3.9</v>
      </c>
      <c r="S139" s="683">
        <v>1</v>
      </c>
      <c r="T139" s="209" t="s">
        <v>128</v>
      </c>
      <c r="U139" s="677">
        <f t="shared" si="38"/>
        <v>0</v>
      </c>
    </row>
    <row r="140" spans="1:24" ht="13" x14ac:dyDescent="0.25">
      <c r="A140" s="1568"/>
      <c r="B140" s="676">
        <v>4</v>
      </c>
      <c r="C140" s="682">
        <v>30</v>
      </c>
      <c r="D140" s="226">
        <v>-0.1</v>
      </c>
      <c r="E140" s="682">
        <v>0.1</v>
      </c>
      <c r="F140" s="683" t="s">
        <v>128</v>
      </c>
      <c r="G140" s="677">
        <f t="shared" si="36"/>
        <v>0</v>
      </c>
      <c r="I140" s="676">
        <v>4</v>
      </c>
      <c r="J140" s="682">
        <v>60</v>
      </c>
      <c r="K140" s="226">
        <v>-1.6</v>
      </c>
      <c r="L140" s="682">
        <v>-1.5</v>
      </c>
      <c r="M140" s="683" t="s">
        <v>128</v>
      </c>
      <c r="N140" s="677">
        <f t="shared" si="37"/>
        <v>0</v>
      </c>
      <c r="P140" s="676">
        <v>4</v>
      </c>
      <c r="Q140" s="682">
        <v>990</v>
      </c>
      <c r="R140" s="226">
        <v>3.8</v>
      </c>
      <c r="S140" s="683">
        <v>1.1000000000000001</v>
      </c>
      <c r="T140" s="683" t="s">
        <v>128</v>
      </c>
      <c r="U140" s="677">
        <f t="shared" si="38"/>
        <v>0</v>
      </c>
    </row>
    <row r="141" spans="1:24" ht="13" x14ac:dyDescent="0.25">
      <c r="A141" s="1568"/>
      <c r="B141" s="676">
        <v>5</v>
      </c>
      <c r="C141" s="682">
        <v>35</v>
      </c>
      <c r="D141" s="226">
        <v>-0.2</v>
      </c>
      <c r="E141" s="682">
        <v>0.3</v>
      </c>
      <c r="F141" s="683" t="s">
        <v>128</v>
      </c>
      <c r="G141" s="677">
        <f t="shared" si="36"/>
        <v>0</v>
      </c>
      <c r="I141" s="676">
        <v>5</v>
      </c>
      <c r="J141" s="682">
        <v>70</v>
      </c>
      <c r="K141" s="226">
        <v>-1.4</v>
      </c>
      <c r="L141" s="682">
        <v>-1.9</v>
      </c>
      <c r="M141" s="683" t="s">
        <v>128</v>
      </c>
      <c r="N141" s="677">
        <f t="shared" si="37"/>
        <v>0</v>
      </c>
      <c r="P141" s="676">
        <v>5</v>
      </c>
      <c r="Q141" s="682">
        <v>1000</v>
      </c>
      <c r="R141" s="226">
        <v>3.7</v>
      </c>
      <c r="S141" s="683">
        <v>1.1000000000000001</v>
      </c>
      <c r="T141" s="683" t="s">
        <v>128</v>
      </c>
      <c r="U141" s="677">
        <f t="shared" si="38"/>
        <v>0</v>
      </c>
    </row>
    <row r="142" spans="1:24" ht="13" x14ac:dyDescent="0.25">
      <c r="A142" s="1568"/>
      <c r="B142" s="676">
        <v>6</v>
      </c>
      <c r="C142" s="682">
        <v>37</v>
      </c>
      <c r="D142" s="226">
        <v>-0.2</v>
      </c>
      <c r="E142" s="682">
        <v>0.4</v>
      </c>
      <c r="F142" s="683" t="s">
        <v>128</v>
      </c>
      <c r="G142" s="677">
        <f t="shared" si="36"/>
        <v>0</v>
      </c>
      <c r="I142" s="676">
        <v>6</v>
      </c>
      <c r="J142" s="682">
        <v>80</v>
      </c>
      <c r="K142" s="226">
        <v>-1.2</v>
      </c>
      <c r="L142" s="682">
        <v>-2.5</v>
      </c>
      <c r="M142" s="683" t="s">
        <v>128</v>
      </c>
      <c r="N142" s="677">
        <f t="shared" si="37"/>
        <v>0</v>
      </c>
      <c r="P142" s="676">
        <v>6</v>
      </c>
      <c r="Q142" s="682">
        <v>1005</v>
      </c>
      <c r="R142" s="226">
        <v>3.6</v>
      </c>
      <c r="S142" s="683">
        <v>1.1000000000000001</v>
      </c>
      <c r="T142" s="683" t="s">
        <v>128</v>
      </c>
      <c r="U142" s="677">
        <f t="shared" si="38"/>
        <v>0</v>
      </c>
    </row>
    <row r="143" spans="1:24" ht="13" x14ac:dyDescent="0.25">
      <c r="A143" s="1568"/>
      <c r="B143" s="676">
        <v>7</v>
      </c>
      <c r="C143" s="690">
        <v>40</v>
      </c>
      <c r="D143" s="226">
        <v>-0.2</v>
      </c>
      <c r="E143" s="682">
        <v>0.5</v>
      </c>
      <c r="F143" s="683" t="s">
        <v>128</v>
      </c>
      <c r="G143" s="677">
        <f t="shared" si="36"/>
        <v>0</v>
      </c>
      <c r="I143" s="676">
        <v>7</v>
      </c>
      <c r="J143" s="690">
        <v>90</v>
      </c>
      <c r="K143" s="226">
        <v>-1</v>
      </c>
      <c r="L143" s="682">
        <v>-3.2</v>
      </c>
      <c r="M143" s="683" t="s">
        <v>128</v>
      </c>
      <c r="N143" s="677">
        <f t="shared" si="37"/>
        <v>0</v>
      </c>
      <c r="P143" s="676">
        <v>7</v>
      </c>
      <c r="Q143" s="682">
        <v>1010</v>
      </c>
      <c r="R143" s="226">
        <v>3.5</v>
      </c>
      <c r="S143" s="226">
        <f>MAX(S137:S142)</f>
        <v>1.1000000000000001</v>
      </c>
      <c r="T143" s="683" t="s">
        <v>128</v>
      </c>
      <c r="U143" s="677">
        <f t="shared" si="38"/>
        <v>0</v>
      </c>
    </row>
    <row r="144" spans="1:24" ht="13" thickBot="1" x14ac:dyDescent="0.3">
      <c r="A144" s="692"/>
      <c r="C144" s="598"/>
      <c r="D144" s="687"/>
      <c r="E144" s="693"/>
      <c r="F144" s="598"/>
      <c r="J144" s="598"/>
      <c r="K144" s="687"/>
      <c r="L144" s="693"/>
      <c r="M144" s="598"/>
      <c r="Q144" s="687"/>
      <c r="R144" s="693"/>
      <c r="S144" s="693"/>
      <c r="T144" s="598"/>
    </row>
    <row r="145" spans="1:24" x14ac:dyDescent="0.25">
      <c r="A145" s="1568">
        <v>14</v>
      </c>
      <c r="B145" s="1569" t="s">
        <v>452</v>
      </c>
      <c r="C145" s="1569"/>
      <c r="D145" s="1569"/>
      <c r="E145" s="1569"/>
      <c r="F145" s="1569"/>
      <c r="G145" s="1569"/>
      <c r="I145" s="1569" t="str">
        <f>B145</f>
        <v>KOREKSI EXTECH A.100609</v>
      </c>
      <c r="J145" s="1569"/>
      <c r="K145" s="1569"/>
      <c r="L145" s="1569"/>
      <c r="M145" s="1569"/>
      <c r="N145" s="1569"/>
      <c r="P145" s="1569" t="str">
        <f>I145</f>
        <v>KOREKSI EXTECH A.100609</v>
      </c>
      <c r="Q145" s="1569"/>
      <c r="R145" s="1569"/>
      <c r="S145" s="1569"/>
      <c r="T145" s="1569"/>
      <c r="U145" s="1569"/>
      <c r="W145" s="1575" t="s">
        <v>389</v>
      </c>
      <c r="X145" s="1576"/>
    </row>
    <row r="146" spans="1:24" ht="13" x14ac:dyDescent="0.25">
      <c r="A146" s="1568"/>
      <c r="B146" s="1577" t="s">
        <v>435</v>
      </c>
      <c r="C146" s="1577"/>
      <c r="D146" s="1577" t="s">
        <v>298</v>
      </c>
      <c r="E146" s="1577"/>
      <c r="F146" s="1577"/>
      <c r="G146" s="1577" t="s">
        <v>294</v>
      </c>
      <c r="I146" s="1577" t="s">
        <v>436</v>
      </c>
      <c r="J146" s="1577"/>
      <c r="K146" s="1577" t="s">
        <v>298</v>
      </c>
      <c r="L146" s="1577"/>
      <c r="M146" s="1577"/>
      <c r="N146" s="1577" t="s">
        <v>294</v>
      </c>
      <c r="P146" s="1577" t="s">
        <v>437</v>
      </c>
      <c r="Q146" s="1577"/>
      <c r="R146" s="1577" t="s">
        <v>298</v>
      </c>
      <c r="S146" s="1577"/>
      <c r="T146" s="1577"/>
      <c r="U146" s="1577" t="s">
        <v>294</v>
      </c>
      <c r="W146" s="674" t="s">
        <v>435</v>
      </c>
      <c r="X146" s="675">
        <v>0.5</v>
      </c>
    </row>
    <row r="147" spans="1:24" ht="14.5" x14ac:dyDescent="0.25">
      <c r="A147" s="1568"/>
      <c r="B147" s="1567" t="s">
        <v>438</v>
      </c>
      <c r="C147" s="1567"/>
      <c r="D147" s="694">
        <v>2022</v>
      </c>
      <c r="E147" s="565">
        <v>2020</v>
      </c>
      <c r="F147" s="566" t="s">
        <v>128</v>
      </c>
      <c r="G147" s="1577"/>
      <c r="I147" s="1566" t="s">
        <v>68</v>
      </c>
      <c r="J147" s="1567"/>
      <c r="K147" s="694">
        <v>2022</v>
      </c>
      <c r="L147" s="689">
        <f>E147</f>
        <v>2020</v>
      </c>
      <c r="M147" s="689" t="str">
        <f>F147</f>
        <v>-</v>
      </c>
      <c r="N147" s="1577"/>
      <c r="P147" s="1566" t="s">
        <v>439</v>
      </c>
      <c r="Q147" s="1567"/>
      <c r="R147" s="694">
        <v>2022</v>
      </c>
      <c r="S147" s="689">
        <f>L147</f>
        <v>2020</v>
      </c>
      <c r="T147" s="689" t="str">
        <f>M147</f>
        <v>-</v>
      </c>
      <c r="U147" s="1577"/>
      <c r="W147" s="674" t="s">
        <v>68</v>
      </c>
      <c r="X147" s="675">
        <v>2.7</v>
      </c>
    </row>
    <row r="148" spans="1:24" ht="13.5" thickBot="1" x14ac:dyDescent="0.3">
      <c r="A148" s="1568"/>
      <c r="B148" s="676">
        <v>1</v>
      </c>
      <c r="C148" s="226">
        <v>15</v>
      </c>
      <c r="D148" s="226">
        <v>0.5</v>
      </c>
      <c r="E148" s="226">
        <v>-0.2</v>
      </c>
      <c r="F148" s="209" t="s">
        <v>128</v>
      </c>
      <c r="G148" s="677">
        <f t="shared" ref="G148:G154" si="39">0.5*(MAX(E148:F148)-MIN(E148:F148))</f>
        <v>0</v>
      </c>
      <c r="I148" s="676">
        <v>1</v>
      </c>
      <c r="J148" s="226">
        <v>30</v>
      </c>
      <c r="K148" s="226">
        <v>-0.8</v>
      </c>
      <c r="L148" s="226">
        <v>0.6</v>
      </c>
      <c r="M148" s="209" t="s">
        <v>128</v>
      </c>
      <c r="N148" s="677">
        <f t="shared" ref="N148:N154" si="40">0.5*(MAX(L148:M148)-MIN(L148:M148))</f>
        <v>0</v>
      </c>
      <c r="P148" s="676">
        <v>1</v>
      </c>
      <c r="Q148" s="226">
        <v>960</v>
      </c>
      <c r="R148" s="226">
        <f>MAX(R149:R154)</f>
        <v>4</v>
      </c>
      <c r="S148" s="210">
        <v>0.9</v>
      </c>
      <c r="T148" s="209" t="s">
        <v>128</v>
      </c>
      <c r="U148" s="677">
        <f t="shared" ref="U148:U154" si="41">0.5*(MAX(S148:T148)-MIN(S148:T148))</f>
        <v>0</v>
      </c>
      <c r="W148" s="680" t="s">
        <v>439</v>
      </c>
      <c r="X148" s="681">
        <v>2.4</v>
      </c>
    </row>
    <row r="149" spans="1:24" ht="13" x14ac:dyDescent="0.25">
      <c r="A149" s="1568"/>
      <c r="B149" s="676">
        <v>2</v>
      </c>
      <c r="C149" s="226">
        <v>20</v>
      </c>
      <c r="D149" s="226">
        <v>0.2</v>
      </c>
      <c r="E149" s="226">
        <v>-0.1</v>
      </c>
      <c r="F149" s="209" t="s">
        <v>128</v>
      </c>
      <c r="G149" s="677">
        <f t="shared" si="39"/>
        <v>0</v>
      </c>
      <c r="I149" s="676">
        <v>2</v>
      </c>
      <c r="J149" s="226">
        <v>40</v>
      </c>
      <c r="K149" s="226">
        <v>-0.4</v>
      </c>
      <c r="L149" s="226">
        <v>0.3</v>
      </c>
      <c r="M149" s="209" t="s">
        <v>128</v>
      </c>
      <c r="N149" s="677">
        <f t="shared" si="40"/>
        <v>0</v>
      </c>
      <c r="P149" s="676">
        <v>2</v>
      </c>
      <c r="Q149" s="226">
        <v>970</v>
      </c>
      <c r="R149" s="226">
        <v>4</v>
      </c>
      <c r="S149" s="210">
        <v>1</v>
      </c>
      <c r="T149" s="209" t="s">
        <v>128</v>
      </c>
      <c r="U149" s="677">
        <f t="shared" si="41"/>
        <v>0</v>
      </c>
    </row>
    <row r="150" spans="1:24" ht="13" x14ac:dyDescent="0.25">
      <c r="A150" s="1568"/>
      <c r="B150" s="676">
        <v>3</v>
      </c>
      <c r="C150" s="226">
        <v>25</v>
      </c>
      <c r="D150" s="226">
        <v>-0.1</v>
      </c>
      <c r="E150" s="226">
        <v>-0.1</v>
      </c>
      <c r="F150" s="209" t="s">
        <v>128</v>
      </c>
      <c r="G150" s="677">
        <f t="shared" si="39"/>
        <v>0</v>
      </c>
      <c r="I150" s="676">
        <v>3</v>
      </c>
      <c r="J150" s="226">
        <v>50</v>
      </c>
      <c r="K150" s="226">
        <v>0</v>
      </c>
      <c r="L150" s="226">
        <v>-0.2</v>
      </c>
      <c r="M150" s="209" t="s">
        <v>128</v>
      </c>
      <c r="N150" s="677">
        <f t="shared" si="40"/>
        <v>0</v>
      </c>
      <c r="P150" s="676">
        <v>3</v>
      </c>
      <c r="Q150" s="682">
        <v>980</v>
      </c>
      <c r="R150" s="226">
        <v>3.9</v>
      </c>
      <c r="S150" s="683">
        <v>1</v>
      </c>
      <c r="T150" s="209" t="s">
        <v>128</v>
      </c>
      <c r="U150" s="677">
        <f t="shared" si="41"/>
        <v>0</v>
      </c>
    </row>
    <row r="151" spans="1:24" ht="13" x14ac:dyDescent="0.25">
      <c r="A151" s="1568"/>
      <c r="B151" s="676">
        <v>4</v>
      </c>
      <c r="C151" s="682">
        <v>30</v>
      </c>
      <c r="D151" s="226">
        <v>-0.4</v>
      </c>
      <c r="E151" s="682">
        <v>-0.3</v>
      </c>
      <c r="F151" s="683" t="s">
        <v>128</v>
      </c>
      <c r="G151" s="677">
        <f t="shared" si="39"/>
        <v>0</v>
      </c>
      <c r="I151" s="676">
        <v>4</v>
      </c>
      <c r="J151" s="682">
        <v>60</v>
      </c>
      <c r="K151" s="226">
        <v>0.3</v>
      </c>
      <c r="L151" s="682">
        <v>-0.6</v>
      </c>
      <c r="M151" s="683" t="s">
        <v>128</v>
      </c>
      <c r="N151" s="677">
        <f t="shared" si="40"/>
        <v>0</v>
      </c>
      <c r="P151" s="676">
        <v>4</v>
      </c>
      <c r="Q151" s="682">
        <v>990</v>
      </c>
      <c r="R151" s="226">
        <v>3.9</v>
      </c>
      <c r="S151" s="683">
        <v>1.1000000000000001</v>
      </c>
      <c r="T151" s="683" t="s">
        <v>128</v>
      </c>
      <c r="U151" s="677">
        <f t="shared" si="41"/>
        <v>0</v>
      </c>
    </row>
    <row r="152" spans="1:24" ht="13" x14ac:dyDescent="0.25">
      <c r="A152" s="1568"/>
      <c r="B152" s="676">
        <v>5</v>
      </c>
      <c r="C152" s="682">
        <v>35</v>
      </c>
      <c r="D152" s="226">
        <v>-0.6</v>
      </c>
      <c r="E152" s="682">
        <v>-0.6</v>
      </c>
      <c r="F152" s="683" t="s">
        <v>128</v>
      </c>
      <c r="G152" s="677">
        <f t="shared" si="39"/>
        <v>0</v>
      </c>
      <c r="I152" s="676">
        <v>5</v>
      </c>
      <c r="J152" s="682">
        <v>70</v>
      </c>
      <c r="K152" s="226">
        <v>0.7</v>
      </c>
      <c r="L152" s="682">
        <v>-0.8</v>
      </c>
      <c r="M152" s="683" t="s">
        <v>128</v>
      </c>
      <c r="N152" s="677">
        <f t="shared" si="40"/>
        <v>0</v>
      </c>
      <c r="P152" s="676">
        <v>5</v>
      </c>
      <c r="Q152" s="682">
        <v>1000</v>
      </c>
      <c r="R152" s="226">
        <v>3.8</v>
      </c>
      <c r="S152" s="683">
        <v>1.1000000000000001</v>
      </c>
      <c r="T152" s="683" t="s">
        <v>128</v>
      </c>
      <c r="U152" s="677">
        <f t="shared" si="41"/>
        <v>0</v>
      </c>
    </row>
    <row r="153" spans="1:24" ht="13" x14ac:dyDescent="0.25">
      <c r="A153" s="1568"/>
      <c r="B153" s="676">
        <v>6</v>
      </c>
      <c r="C153" s="682">
        <v>37</v>
      </c>
      <c r="D153" s="226">
        <v>-0.7</v>
      </c>
      <c r="E153" s="682">
        <v>-0.8</v>
      </c>
      <c r="F153" s="683" t="s">
        <v>128</v>
      </c>
      <c r="G153" s="677">
        <f t="shared" si="39"/>
        <v>0</v>
      </c>
      <c r="I153" s="676">
        <v>6</v>
      </c>
      <c r="J153" s="682">
        <v>80</v>
      </c>
      <c r="K153" s="226">
        <v>1.1000000000000001</v>
      </c>
      <c r="L153" s="682">
        <v>-0.9</v>
      </c>
      <c r="M153" s="683" t="s">
        <v>128</v>
      </c>
      <c r="N153" s="677">
        <f t="shared" si="40"/>
        <v>0</v>
      </c>
      <c r="P153" s="676">
        <v>6</v>
      </c>
      <c r="Q153" s="682">
        <v>1005</v>
      </c>
      <c r="R153" s="226">
        <v>3.8</v>
      </c>
      <c r="S153" s="683">
        <v>1.1000000000000001</v>
      </c>
      <c r="T153" s="683" t="s">
        <v>128</v>
      </c>
      <c r="U153" s="677">
        <f t="shared" si="41"/>
        <v>0</v>
      </c>
    </row>
    <row r="154" spans="1:24" ht="13" x14ac:dyDescent="0.25">
      <c r="A154" s="1568"/>
      <c r="B154" s="676">
        <v>7</v>
      </c>
      <c r="C154" s="690">
        <v>40</v>
      </c>
      <c r="D154" s="226">
        <v>-0.8</v>
      </c>
      <c r="E154" s="682">
        <v>-1.1000000000000001</v>
      </c>
      <c r="F154" s="683" t="s">
        <v>128</v>
      </c>
      <c r="G154" s="677">
        <f t="shared" si="39"/>
        <v>0</v>
      </c>
      <c r="I154" s="676">
        <v>7</v>
      </c>
      <c r="J154" s="690">
        <v>90</v>
      </c>
      <c r="K154" s="226">
        <v>1.5</v>
      </c>
      <c r="L154" s="682">
        <v>-0.8</v>
      </c>
      <c r="M154" s="683" t="s">
        <v>128</v>
      </c>
      <c r="N154" s="677">
        <f t="shared" si="40"/>
        <v>0</v>
      </c>
      <c r="P154" s="676">
        <v>7</v>
      </c>
      <c r="Q154" s="682">
        <v>1010</v>
      </c>
      <c r="R154" s="226">
        <v>3.7</v>
      </c>
      <c r="S154" s="683">
        <v>9.9999999999999995E-7</v>
      </c>
      <c r="T154" s="683" t="s">
        <v>128</v>
      </c>
      <c r="U154" s="677">
        <f t="shared" si="41"/>
        <v>0</v>
      </c>
    </row>
    <row r="155" spans="1:24" ht="13" thickBot="1" x14ac:dyDescent="0.3">
      <c r="A155" s="692"/>
      <c r="C155" s="598"/>
      <c r="D155" s="687"/>
      <c r="E155" s="693"/>
      <c r="F155" s="598"/>
      <c r="J155" s="598"/>
      <c r="K155" s="687"/>
      <c r="L155" s="693"/>
      <c r="M155" s="598"/>
      <c r="Q155" s="687"/>
      <c r="R155" s="693"/>
      <c r="S155" s="693"/>
      <c r="T155" s="598"/>
    </row>
    <row r="156" spans="1:24" x14ac:dyDescent="0.25">
      <c r="A156" s="1568">
        <v>15</v>
      </c>
      <c r="B156" s="1569" t="s">
        <v>453</v>
      </c>
      <c r="C156" s="1569"/>
      <c r="D156" s="1569"/>
      <c r="E156" s="1569"/>
      <c r="F156" s="1569"/>
      <c r="G156" s="1569"/>
      <c r="I156" s="1569" t="str">
        <f>B156</f>
        <v>KOREKSI EXTECH A.100611</v>
      </c>
      <c r="J156" s="1569"/>
      <c r="K156" s="1569"/>
      <c r="L156" s="1569"/>
      <c r="M156" s="1569"/>
      <c r="N156" s="1569"/>
      <c r="P156" s="1569" t="str">
        <f>I156</f>
        <v>KOREKSI EXTECH A.100611</v>
      </c>
      <c r="Q156" s="1569"/>
      <c r="R156" s="1569"/>
      <c r="S156" s="1569"/>
      <c r="T156" s="1569"/>
      <c r="U156" s="1569"/>
      <c r="W156" s="1575" t="s">
        <v>389</v>
      </c>
      <c r="X156" s="1576"/>
    </row>
    <row r="157" spans="1:24" ht="13" x14ac:dyDescent="0.25">
      <c r="A157" s="1568"/>
      <c r="B157" s="1577" t="s">
        <v>435</v>
      </c>
      <c r="C157" s="1577"/>
      <c r="D157" s="1577" t="s">
        <v>298</v>
      </c>
      <c r="E157" s="1577"/>
      <c r="F157" s="1577"/>
      <c r="G157" s="1577" t="s">
        <v>294</v>
      </c>
      <c r="I157" s="1577" t="s">
        <v>436</v>
      </c>
      <c r="J157" s="1577"/>
      <c r="K157" s="1577" t="s">
        <v>298</v>
      </c>
      <c r="L157" s="1577"/>
      <c r="M157" s="1577"/>
      <c r="N157" s="1577" t="s">
        <v>294</v>
      </c>
      <c r="P157" s="1577" t="s">
        <v>437</v>
      </c>
      <c r="Q157" s="1577"/>
      <c r="R157" s="1577" t="s">
        <v>298</v>
      </c>
      <c r="S157" s="1577"/>
      <c r="T157" s="1577"/>
      <c r="U157" s="1577" t="s">
        <v>294</v>
      </c>
      <c r="W157" s="674" t="s">
        <v>435</v>
      </c>
      <c r="X157" s="675">
        <v>0.5</v>
      </c>
    </row>
    <row r="158" spans="1:24" ht="14.5" x14ac:dyDescent="0.25">
      <c r="A158" s="1568"/>
      <c r="B158" s="1567" t="s">
        <v>438</v>
      </c>
      <c r="C158" s="1567"/>
      <c r="D158" s="694">
        <v>2022</v>
      </c>
      <c r="E158" s="565">
        <v>2020</v>
      </c>
      <c r="F158" s="566" t="s">
        <v>128</v>
      </c>
      <c r="G158" s="1577"/>
      <c r="I158" s="1566" t="s">
        <v>68</v>
      </c>
      <c r="J158" s="1567"/>
      <c r="K158" s="694">
        <v>2022</v>
      </c>
      <c r="L158" s="689">
        <f>E158</f>
        <v>2020</v>
      </c>
      <c r="M158" s="689" t="str">
        <f>F158</f>
        <v>-</v>
      </c>
      <c r="N158" s="1577"/>
      <c r="P158" s="1566" t="s">
        <v>439</v>
      </c>
      <c r="Q158" s="1567"/>
      <c r="R158" s="694">
        <v>2022</v>
      </c>
      <c r="S158" s="689">
        <f>L158</f>
        <v>2020</v>
      </c>
      <c r="T158" s="689" t="str">
        <f>M158</f>
        <v>-</v>
      </c>
      <c r="U158" s="1577"/>
      <c r="W158" s="674" t="s">
        <v>68</v>
      </c>
      <c r="X158" s="675">
        <v>2.6</v>
      </c>
    </row>
    <row r="159" spans="1:24" ht="13.5" thickBot="1" x14ac:dyDescent="0.3">
      <c r="A159" s="1568"/>
      <c r="B159" s="676">
        <v>1</v>
      </c>
      <c r="C159" s="226">
        <v>15</v>
      </c>
      <c r="D159" s="226">
        <v>0.6</v>
      </c>
      <c r="E159" s="226">
        <v>-0.6</v>
      </c>
      <c r="F159" s="209" t="s">
        <v>128</v>
      </c>
      <c r="G159" s="677">
        <f t="shared" ref="G159:G165" si="42">0.5*(MAX(E159:F159)-MIN(E159:F159))</f>
        <v>0</v>
      </c>
      <c r="I159" s="676">
        <v>1</v>
      </c>
      <c r="J159" s="226">
        <v>30</v>
      </c>
      <c r="K159" s="226">
        <v>-2</v>
      </c>
      <c r="L159" s="226">
        <v>-0.4</v>
      </c>
      <c r="M159" s="209" t="s">
        <v>128</v>
      </c>
      <c r="N159" s="677">
        <f t="shared" ref="N159:N165" si="43">0.5*(MAX(L159:M159)-MIN(L159:M159))</f>
        <v>0</v>
      </c>
      <c r="P159" s="676">
        <v>1</v>
      </c>
      <c r="Q159" s="226">
        <v>960</v>
      </c>
      <c r="R159" s="226">
        <f>MAX(R160:R165)</f>
        <v>4.5</v>
      </c>
      <c r="S159" s="210">
        <v>0.9</v>
      </c>
      <c r="T159" s="209" t="s">
        <v>128</v>
      </c>
      <c r="U159" s="677">
        <f t="shared" ref="U159:U165" si="44">0.5*(MAX(S159:T159)-MIN(S159:T159))</f>
        <v>0</v>
      </c>
      <c r="W159" s="680" t="s">
        <v>439</v>
      </c>
      <c r="X159" s="681">
        <v>2.6</v>
      </c>
    </row>
    <row r="160" spans="1:24" ht="13" x14ac:dyDescent="0.25">
      <c r="A160" s="1568"/>
      <c r="B160" s="676">
        <v>2</v>
      </c>
      <c r="C160" s="226">
        <v>20</v>
      </c>
      <c r="D160" s="226">
        <v>0.3</v>
      </c>
      <c r="E160" s="226">
        <v>-0.5</v>
      </c>
      <c r="F160" s="209" t="s">
        <v>128</v>
      </c>
      <c r="G160" s="677">
        <f t="shared" si="42"/>
        <v>0</v>
      </c>
      <c r="I160" s="676">
        <v>2</v>
      </c>
      <c r="J160" s="226">
        <v>40</v>
      </c>
      <c r="K160" s="226">
        <v>-1.7</v>
      </c>
      <c r="L160" s="226">
        <v>-0.3</v>
      </c>
      <c r="M160" s="209" t="s">
        <v>128</v>
      </c>
      <c r="N160" s="677">
        <f t="shared" si="43"/>
        <v>0</v>
      </c>
      <c r="P160" s="676">
        <v>2</v>
      </c>
      <c r="Q160" s="226">
        <v>970</v>
      </c>
      <c r="R160" s="226">
        <v>4.5</v>
      </c>
      <c r="S160" s="210">
        <v>1</v>
      </c>
      <c r="T160" s="209" t="s">
        <v>128</v>
      </c>
      <c r="U160" s="677">
        <f t="shared" si="44"/>
        <v>0</v>
      </c>
    </row>
    <row r="161" spans="1:24" ht="13" x14ac:dyDescent="0.25">
      <c r="A161" s="1568"/>
      <c r="B161" s="676">
        <v>3</v>
      </c>
      <c r="C161" s="226">
        <v>25</v>
      </c>
      <c r="D161" s="226">
        <v>0.2</v>
      </c>
      <c r="E161" s="226">
        <v>-0.4</v>
      </c>
      <c r="F161" s="209" t="s">
        <v>128</v>
      </c>
      <c r="G161" s="677">
        <f t="shared" si="42"/>
        <v>0</v>
      </c>
      <c r="I161" s="676">
        <v>3</v>
      </c>
      <c r="J161" s="226">
        <v>50</v>
      </c>
      <c r="K161" s="226">
        <v>-1.4</v>
      </c>
      <c r="L161" s="226">
        <v>-0.3</v>
      </c>
      <c r="M161" s="209" t="s">
        <v>128</v>
      </c>
      <c r="N161" s="677">
        <f t="shared" si="43"/>
        <v>0</v>
      </c>
      <c r="P161" s="676">
        <v>3</v>
      </c>
      <c r="Q161" s="682">
        <v>980</v>
      </c>
      <c r="R161" s="226">
        <v>4.3</v>
      </c>
      <c r="S161" s="683">
        <v>1</v>
      </c>
      <c r="T161" s="209" t="s">
        <v>128</v>
      </c>
      <c r="U161" s="677">
        <f t="shared" si="44"/>
        <v>0</v>
      </c>
    </row>
    <row r="162" spans="1:24" ht="13" x14ac:dyDescent="0.25">
      <c r="A162" s="1568"/>
      <c r="B162" s="676">
        <v>4</v>
      </c>
      <c r="C162" s="682">
        <v>30</v>
      </c>
      <c r="D162" s="226">
        <v>0.4</v>
      </c>
      <c r="E162" s="682">
        <v>-0.2</v>
      </c>
      <c r="F162" s="683" t="s">
        <v>128</v>
      </c>
      <c r="G162" s="677">
        <f t="shared" si="42"/>
        <v>0</v>
      </c>
      <c r="I162" s="676">
        <v>4</v>
      </c>
      <c r="J162" s="682">
        <v>60</v>
      </c>
      <c r="K162" s="226">
        <v>-1.1000000000000001</v>
      </c>
      <c r="L162" s="682">
        <v>-0.5</v>
      </c>
      <c r="M162" s="683" t="s">
        <v>128</v>
      </c>
      <c r="N162" s="677">
        <f t="shared" si="43"/>
        <v>0</v>
      </c>
      <c r="P162" s="676">
        <v>4</v>
      </c>
      <c r="Q162" s="682">
        <v>990</v>
      </c>
      <c r="R162" s="226">
        <v>4.2</v>
      </c>
      <c r="S162" s="683">
        <v>1.1000000000000001</v>
      </c>
      <c r="T162" s="683" t="s">
        <v>128</v>
      </c>
      <c r="U162" s="677">
        <f t="shared" si="44"/>
        <v>0</v>
      </c>
    </row>
    <row r="163" spans="1:24" ht="13" x14ac:dyDescent="0.25">
      <c r="A163" s="1568"/>
      <c r="B163" s="676">
        <v>5</v>
      </c>
      <c r="C163" s="682">
        <v>35</v>
      </c>
      <c r="D163" s="226">
        <v>0.8</v>
      </c>
      <c r="E163" s="682">
        <v>-0.1</v>
      </c>
      <c r="F163" s="683" t="s">
        <v>128</v>
      </c>
      <c r="G163" s="677">
        <f t="shared" si="42"/>
        <v>0</v>
      </c>
      <c r="I163" s="676">
        <v>5</v>
      </c>
      <c r="J163" s="682">
        <v>70</v>
      </c>
      <c r="K163" s="226">
        <v>-0.7</v>
      </c>
      <c r="L163" s="682">
        <v>-0.8</v>
      </c>
      <c r="M163" s="683" t="s">
        <v>128</v>
      </c>
      <c r="N163" s="677">
        <f t="shared" si="43"/>
        <v>0</v>
      </c>
      <c r="P163" s="676">
        <v>5</v>
      </c>
      <c r="Q163" s="682">
        <v>1000</v>
      </c>
      <c r="R163" s="226">
        <v>4.0999999999999996</v>
      </c>
      <c r="S163" s="683">
        <v>1.1000000000000001</v>
      </c>
      <c r="T163" s="683" t="s">
        <v>128</v>
      </c>
      <c r="U163" s="677">
        <f t="shared" si="44"/>
        <v>0</v>
      </c>
    </row>
    <row r="164" spans="1:24" ht="13" x14ac:dyDescent="0.25">
      <c r="A164" s="1568"/>
      <c r="B164" s="676">
        <v>6</v>
      </c>
      <c r="C164" s="682">
        <v>37</v>
      </c>
      <c r="D164" s="226">
        <v>1</v>
      </c>
      <c r="E164" s="682">
        <v>-0.1</v>
      </c>
      <c r="F164" s="683" t="s">
        <v>128</v>
      </c>
      <c r="G164" s="677">
        <f t="shared" si="42"/>
        <v>0</v>
      </c>
      <c r="I164" s="676">
        <v>6</v>
      </c>
      <c r="J164" s="682">
        <v>80</v>
      </c>
      <c r="K164" s="226">
        <v>-0.4</v>
      </c>
      <c r="L164" s="682">
        <v>-1.3</v>
      </c>
      <c r="M164" s="683" t="s">
        <v>128</v>
      </c>
      <c r="N164" s="677">
        <f t="shared" si="43"/>
        <v>0</v>
      </c>
      <c r="P164" s="676">
        <v>6</v>
      </c>
      <c r="Q164" s="682">
        <v>1005</v>
      </c>
      <c r="R164" s="226">
        <v>4</v>
      </c>
      <c r="S164" s="683">
        <v>1.1000000000000001</v>
      </c>
      <c r="T164" s="683" t="s">
        <v>128</v>
      </c>
      <c r="U164" s="677">
        <f t="shared" si="44"/>
        <v>0</v>
      </c>
    </row>
    <row r="165" spans="1:24" ht="13" x14ac:dyDescent="0.25">
      <c r="A165" s="1568"/>
      <c r="B165" s="676">
        <v>7</v>
      </c>
      <c r="C165" s="690">
        <v>40</v>
      </c>
      <c r="D165" s="226">
        <v>1.4</v>
      </c>
      <c r="E165" s="209">
        <v>9.9999999999999995E-7</v>
      </c>
      <c r="F165" s="683" t="s">
        <v>128</v>
      </c>
      <c r="G165" s="677">
        <f t="shared" si="42"/>
        <v>0</v>
      </c>
      <c r="I165" s="676">
        <v>7</v>
      </c>
      <c r="J165" s="690">
        <v>90</v>
      </c>
      <c r="K165" s="226">
        <v>-0.1</v>
      </c>
      <c r="L165" s="682">
        <v>-2</v>
      </c>
      <c r="M165" s="683" t="s">
        <v>128</v>
      </c>
      <c r="N165" s="677">
        <f t="shared" si="43"/>
        <v>0</v>
      </c>
      <c r="P165" s="676">
        <v>7</v>
      </c>
      <c r="Q165" s="682">
        <v>1010</v>
      </c>
      <c r="R165" s="226">
        <v>3.9</v>
      </c>
      <c r="S165" s="683">
        <v>9.9999999999999995E-7</v>
      </c>
      <c r="T165" s="683" t="s">
        <v>128</v>
      </c>
      <c r="U165" s="677">
        <f t="shared" si="44"/>
        <v>0</v>
      </c>
    </row>
    <row r="166" spans="1:24" ht="13" thickBot="1" x14ac:dyDescent="0.3">
      <c r="A166" s="692"/>
      <c r="C166" s="598"/>
      <c r="D166" s="687"/>
      <c r="E166" s="693"/>
      <c r="F166" s="598"/>
      <c r="I166" s="598"/>
      <c r="J166" s="687"/>
      <c r="K166" s="693"/>
      <c r="L166" s="598"/>
      <c r="O166" s="687"/>
      <c r="P166" s="693"/>
      <c r="Q166" s="693"/>
      <c r="R166" s="598"/>
    </row>
    <row r="167" spans="1:24" x14ac:dyDescent="0.25">
      <c r="A167" s="1568">
        <v>16</v>
      </c>
      <c r="B167" s="1569" t="s">
        <v>454</v>
      </c>
      <c r="C167" s="1569"/>
      <c r="D167" s="1569"/>
      <c r="E167" s="1569"/>
      <c r="F167" s="1569"/>
      <c r="G167" s="1569"/>
      <c r="I167" s="1569" t="str">
        <f>B167</f>
        <v>KOREKSI EXTECH A.100616</v>
      </c>
      <c r="J167" s="1569"/>
      <c r="K167" s="1569"/>
      <c r="L167" s="1569"/>
      <c r="M167" s="1569"/>
      <c r="N167" s="1569"/>
      <c r="P167" s="1569" t="str">
        <f>I167</f>
        <v>KOREKSI EXTECH A.100616</v>
      </c>
      <c r="Q167" s="1569"/>
      <c r="R167" s="1569"/>
      <c r="S167" s="1569"/>
      <c r="T167" s="1569"/>
      <c r="U167" s="1569"/>
      <c r="W167" s="1575" t="s">
        <v>389</v>
      </c>
      <c r="X167" s="1576"/>
    </row>
    <row r="168" spans="1:24" ht="13" x14ac:dyDescent="0.25">
      <c r="A168" s="1568"/>
      <c r="B168" s="1577" t="s">
        <v>435</v>
      </c>
      <c r="C168" s="1577"/>
      <c r="D168" s="1577" t="s">
        <v>298</v>
      </c>
      <c r="E168" s="1577"/>
      <c r="F168" s="1577"/>
      <c r="G168" s="1577" t="s">
        <v>294</v>
      </c>
      <c r="I168" s="1577" t="s">
        <v>436</v>
      </c>
      <c r="J168" s="1577"/>
      <c r="K168" s="1577" t="s">
        <v>298</v>
      </c>
      <c r="L168" s="1577"/>
      <c r="M168" s="1577"/>
      <c r="N168" s="1577" t="s">
        <v>294</v>
      </c>
      <c r="P168" s="1577" t="s">
        <v>437</v>
      </c>
      <c r="Q168" s="1577"/>
      <c r="R168" s="1577" t="s">
        <v>298</v>
      </c>
      <c r="S168" s="1577"/>
      <c r="T168" s="1577"/>
      <c r="U168" s="1577" t="s">
        <v>294</v>
      </c>
      <c r="W168" s="674" t="s">
        <v>435</v>
      </c>
      <c r="X168" s="675">
        <v>0.5</v>
      </c>
    </row>
    <row r="169" spans="1:24" ht="14.5" x14ac:dyDescent="0.25">
      <c r="A169" s="1568"/>
      <c r="B169" s="1567" t="s">
        <v>438</v>
      </c>
      <c r="C169" s="1567"/>
      <c r="D169" s="565">
        <v>2023</v>
      </c>
      <c r="E169" s="565">
        <v>2020</v>
      </c>
      <c r="F169" s="565">
        <v>2016</v>
      </c>
      <c r="G169" s="1577"/>
      <c r="I169" s="1566" t="s">
        <v>68</v>
      </c>
      <c r="J169" s="1567"/>
      <c r="K169" s="689">
        <f>D169</f>
        <v>2023</v>
      </c>
      <c r="L169" s="689">
        <f>E169</f>
        <v>2020</v>
      </c>
      <c r="M169" s="565">
        <v>2016</v>
      </c>
      <c r="N169" s="1577"/>
      <c r="P169" s="1566" t="s">
        <v>439</v>
      </c>
      <c r="Q169" s="1567"/>
      <c r="R169" s="689">
        <f>K169</f>
        <v>2023</v>
      </c>
      <c r="S169" s="689">
        <f>L169</f>
        <v>2020</v>
      </c>
      <c r="T169" s="565">
        <v>2016</v>
      </c>
      <c r="U169" s="1577"/>
      <c r="W169" s="674" t="s">
        <v>68</v>
      </c>
      <c r="X169" s="675">
        <v>2.2999999999999998</v>
      </c>
    </row>
    <row r="170" spans="1:24" ht="13.5" thickBot="1" x14ac:dyDescent="0.3">
      <c r="A170" s="1568"/>
      <c r="B170" s="676">
        <v>1</v>
      </c>
      <c r="C170" s="226">
        <v>15</v>
      </c>
      <c r="D170" s="226">
        <v>0.1</v>
      </c>
      <c r="E170" s="226">
        <v>0.1</v>
      </c>
      <c r="F170" s="679"/>
      <c r="G170" s="677">
        <f>0.5*(MAX(D170:F170)-MIN(D170:F170))</f>
        <v>0</v>
      </c>
      <c r="I170" s="676">
        <v>1</v>
      </c>
      <c r="J170" s="226">
        <v>35</v>
      </c>
      <c r="K170" s="226">
        <v>-2.5</v>
      </c>
      <c r="L170" s="226">
        <v>-1.6</v>
      </c>
      <c r="M170" s="679"/>
      <c r="N170" s="677">
        <f>0.5*(MAX(K170:M170)-MIN(K170:M170))</f>
        <v>0.44999999999999996</v>
      </c>
      <c r="P170" s="676">
        <v>1</v>
      </c>
      <c r="Q170" s="226">
        <v>960</v>
      </c>
      <c r="R170" s="210">
        <v>4.5999999999999996</v>
      </c>
      <c r="S170" s="210" t="s">
        <v>128</v>
      </c>
      <c r="T170" s="679"/>
      <c r="U170" s="677">
        <f>0.5*(MAX(R170:T170)-MIN(R170:T170))</f>
        <v>0</v>
      </c>
      <c r="W170" s="680" t="s">
        <v>439</v>
      </c>
      <c r="X170" s="681">
        <v>2.2000000000000002</v>
      </c>
    </row>
    <row r="171" spans="1:24" ht="13" x14ac:dyDescent="0.25">
      <c r="A171" s="1568"/>
      <c r="B171" s="676">
        <v>2</v>
      </c>
      <c r="C171" s="226">
        <v>20</v>
      </c>
      <c r="D171" s="226">
        <v>0.3</v>
      </c>
      <c r="E171" s="226">
        <v>0.2</v>
      </c>
      <c r="F171" s="679"/>
      <c r="G171" s="677">
        <f t="shared" ref="G171:G176" si="45">0.5*(MAX(D171:F171)-MIN(D171:F171))</f>
        <v>4.9999999999999989E-2</v>
      </c>
      <c r="I171" s="676">
        <v>2</v>
      </c>
      <c r="J171" s="226">
        <v>40</v>
      </c>
      <c r="K171" s="226">
        <v>-2.2999999999999998</v>
      </c>
      <c r="L171" s="226">
        <v>-1.4</v>
      </c>
      <c r="M171" s="679"/>
      <c r="N171" s="677">
        <f t="shared" ref="N171:N176" si="46">0.5*(MAX(K171:M171)-MIN(K171:M171))</f>
        <v>0.44999999999999996</v>
      </c>
      <c r="P171" s="676">
        <v>2</v>
      </c>
      <c r="Q171" s="226">
        <v>970</v>
      </c>
      <c r="R171" s="210">
        <v>4.5</v>
      </c>
      <c r="S171" s="210" t="s">
        <v>128</v>
      </c>
      <c r="T171" s="679"/>
      <c r="U171" s="677">
        <f t="shared" ref="U171:U176" si="47">0.5*(MAX(R171:T171)-MIN(R171:T171))</f>
        <v>0</v>
      </c>
    </row>
    <row r="172" spans="1:24" ht="13" x14ac:dyDescent="0.25">
      <c r="A172" s="1568"/>
      <c r="B172" s="676">
        <v>3</v>
      </c>
      <c r="C172" s="226">
        <v>25</v>
      </c>
      <c r="D172" s="226">
        <v>0.5</v>
      </c>
      <c r="E172" s="226">
        <v>0.2</v>
      </c>
      <c r="F172" s="679"/>
      <c r="G172" s="677">
        <f t="shared" si="45"/>
        <v>0.15</v>
      </c>
      <c r="I172" s="676">
        <v>3</v>
      </c>
      <c r="J172" s="226">
        <v>50</v>
      </c>
      <c r="K172" s="226">
        <v>-2</v>
      </c>
      <c r="L172" s="226">
        <v>-1.4</v>
      </c>
      <c r="M172" s="679"/>
      <c r="N172" s="677">
        <f t="shared" si="46"/>
        <v>0.30000000000000004</v>
      </c>
      <c r="P172" s="676">
        <v>3</v>
      </c>
      <c r="Q172" s="682">
        <v>980</v>
      </c>
      <c r="R172" s="683">
        <v>4.5</v>
      </c>
      <c r="S172" s="683" t="s">
        <v>128</v>
      </c>
      <c r="T172" s="679"/>
      <c r="U172" s="677">
        <f t="shared" si="47"/>
        <v>0</v>
      </c>
    </row>
    <row r="173" spans="1:24" ht="13" x14ac:dyDescent="0.25">
      <c r="A173" s="1568"/>
      <c r="B173" s="676">
        <v>4</v>
      </c>
      <c r="C173" s="682">
        <v>30</v>
      </c>
      <c r="D173" s="682">
        <v>0.6</v>
      </c>
      <c r="E173" s="682">
        <v>0.2</v>
      </c>
      <c r="F173" s="679"/>
      <c r="G173" s="677">
        <f t="shared" si="45"/>
        <v>0.19999999999999998</v>
      </c>
      <c r="I173" s="676">
        <v>4</v>
      </c>
      <c r="J173" s="682">
        <v>60</v>
      </c>
      <c r="K173" s="682">
        <v>-1.9</v>
      </c>
      <c r="L173" s="682">
        <v>-1.5</v>
      </c>
      <c r="M173" s="679"/>
      <c r="N173" s="677">
        <f t="shared" si="46"/>
        <v>0.19999999999999996</v>
      </c>
      <c r="P173" s="676">
        <v>4</v>
      </c>
      <c r="Q173" s="682">
        <v>990</v>
      </c>
      <c r="R173" s="683">
        <v>4.4000000000000004</v>
      </c>
      <c r="S173" s="683" t="s">
        <v>128</v>
      </c>
      <c r="T173" s="679"/>
      <c r="U173" s="677">
        <f t="shared" si="47"/>
        <v>0</v>
      </c>
    </row>
    <row r="174" spans="1:24" ht="13" x14ac:dyDescent="0.25">
      <c r="A174" s="1568"/>
      <c r="B174" s="676">
        <v>5</v>
      </c>
      <c r="C174" s="682">
        <v>35</v>
      </c>
      <c r="D174" s="682">
        <v>0.6</v>
      </c>
      <c r="E174" s="682">
        <v>0.1</v>
      </c>
      <c r="F174" s="679"/>
      <c r="G174" s="677">
        <f t="shared" si="45"/>
        <v>0.25</v>
      </c>
      <c r="I174" s="676">
        <v>5</v>
      </c>
      <c r="J174" s="682">
        <v>70</v>
      </c>
      <c r="K174" s="682">
        <v>-2.1</v>
      </c>
      <c r="L174" s="682">
        <v>-1.8</v>
      </c>
      <c r="M174" s="679"/>
      <c r="N174" s="677">
        <f t="shared" si="46"/>
        <v>0.15000000000000002</v>
      </c>
      <c r="P174" s="676">
        <v>5</v>
      </c>
      <c r="Q174" s="682">
        <v>1000</v>
      </c>
      <c r="R174" s="683">
        <v>4.3</v>
      </c>
      <c r="S174" s="683">
        <v>-0.4</v>
      </c>
      <c r="T174" s="679"/>
      <c r="U174" s="677">
        <f t="shared" si="47"/>
        <v>2.35</v>
      </c>
    </row>
    <row r="175" spans="1:24" ht="13" x14ac:dyDescent="0.25">
      <c r="A175" s="1568"/>
      <c r="B175" s="676">
        <v>6</v>
      </c>
      <c r="C175" s="682">
        <v>37</v>
      </c>
      <c r="D175" s="209">
        <v>0.6</v>
      </c>
      <c r="E175" s="209">
        <v>9.9999999999999995E-7</v>
      </c>
      <c r="F175" s="679"/>
      <c r="G175" s="677">
        <f t="shared" si="45"/>
        <v>0.29999949999999997</v>
      </c>
      <c r="I175" s="676">
        <v>6</v>
      </c>
      <c r="J175" s="682">
        <v>80</v>
      </c>
      <c r="K175" s="682">
        <v>-2.5</v>
      </c>
      <c r="L175" s="682">
        <v>-2.2999999999999998</v>
      </c>
      <c r="M175" s="679"/>
      <c r="N175" s="677">
        <f t="shared" si="46"/>
        <v>0.10000000000000009</v>
      </c>
      <c r="P175" s="676">
        <v>6</v>
      </c>
      <c r="Q175" s="682">
        <v>1005</v>
      </c>
      <c r="R175" s="683" t="s">
        <v>128</v>
      </c>
      <c r="S175" s="683">
        <v>-0.4</v>
      </c>
      <c r="T175" s="679"/>
      <c r="U175" s="677">
        <f t="shared" si="47"/>
        <v>0</v>
      </c>
    </row>
    <row r="176" spans="1:24" ht="13" x14ac:dyDescent="0.25">
      <c r="A176" s="1568"/>
      <c r="B176" s="676">
        <v>7</v>
      </c>
      <c r="C176" s="690">
        <v>40</v>
      </c>
      <c r="D176" s="209">
        <v>0.6</v>
      </c>
      <c r="E176" s="209">
        <v>9.9999999999999995E-7</v>
      </c>
      <c r="F176" s="679"/>
      <c r="G176" s="677">
        <f t="shared" si="45"/>
        <v>0.29999949999999997</v>
      </c>
      <c r="I176" s="676">
        <v>7</v>
      </c>
      <c r="J176" s="690">
        <v>90</v>
      </c>
      <c r="K176" s="682">
        <v>-3.1</v>
      </c>
      <c r="L176" s="682">
        <v>-3</v>
      </c>
      <c r="M176" s="679"/>
      <c r="N176" s="677">
        <f t="shared" si="46"/>
        <v>5.0000000000000044E-2</v>
      </c>
      <c r="P176" s="676">
        <v>7</v>
      </c>
      <c r="Q176" s="682">
        <v>1010</v>
      </c>
      <c r="R176" s="683">
        <v>4.3</v>
      </c>
      <c r="S176" s="683">
        <v>9.9999999999999995E-7</v>
      </c>
      <c r="T176" s="679"/>
      <c r="U176" s="677">
        <f t="shared" si="47"/>
        <v>2.1499994999999998</v>
      </c>
    </row>
    <row r="177" spans="1:24" ht="13" thickBot="1" x14ac:dyDescent="0.3">
      <c r="A177" s="692"/>
      <c r="C177" s="598"/>
      <c r="D177" s="687"/>
      <c r="E177" s="693"/>
      <c r="F177" s="598"/>
      <c r="J177" s="598"/>
      <c r="K177" s="687"/>
      <c r="L177" s="693"/>
      <c r="M177" s="598"/>
      <c r="Q177" s="687"/>
      <c r="R177" s="693"/>
      <c r="S177" s="693"/>
      <c r="T177" s="598"/>
    </row>
    <row r="178" spans="1:24" x14ac:dyDescent="0.25">
      <c r="A178" s="1568">
        <v>17</v>
      </c>
      <c r="B178" s="1569" t="s">
        <v>455</v>
      </c>
      <c r="C178" s="1569"/>
      <c r="D178" s="1569"/>
      <c r="E178" s="1569"/>
      <c r="F178" s="1569"/>
      <c r="G178" s="1569"/>
      <c r="I178" s="1569" t="str">
        <f>B178</f>
        <v>KOREKSI EXTECH A.100617</v>
      </c>
      <c r="J178" s="1569"/>
      <c r="K178" s="1569"/>
      <c r="L178" s="1569"/>
      <c r="M178" s="1569"/>
      <c r="N178" s="1569"/>
      <c r="P178" s="1569" t="str">
        <f>I178</f>
        <v>KOREKSI EXTECH A.100617</v>
      </c>
      <c r="Q178" s="1569"/>
      <c r="R178" s="1569"/>
      <c r="S178" s="1569"/>
      <c r="T178" s="1569"/>
      <c r="U178" s="1569"/>
      <c r="W178" s="1575" t="s">
        <v>389</v>
      </c>
      <c r="X178" s="1576"/>
    </row>
    <row r="179" spans="1:24" ht="13" x14ac:dyDescent="0.25">
      <c r="A179" s="1568"/>
      <c r="B179" s="1577" t="s">
        <v>435</v>
      </c>
      <c r="C179" s="1577"/>
      <c r="D179" s="1577" t="s">
        <v>298</v>
      </c>
      <c r="E179" s="1577"/>
      <c r="F179" s="1577"/>
      <c r="G179" s="1577" t="s">
        <v>294</v>
      </c>
      <c r="I179" s="1577" t="s">
        <v>436</v>
      </c>
      <c r="J179" s="1577"/>
      <c r="K179" s="1577" t="s">
        <v>298</v>
      </c>
      <c r="L179" s="1577"/>
      <c r="M179" s="1577"/>
      <c r="N179" s="1577" t="s">
        <v>294</v>
      </c>
      <c r="P179" s="1577" t="s">
        <v>437</v>
      </c>
      <c r="Q179" s="1577"/>
      <c r="R179" s="1577" t="s">
        <v>298</v>
      </c>
      <c r="S179" s="1577"/>
      <c r="T179" s="1577"/>
      <c r="U179" s="1577" t="s">
        <v>294</v>
      </c>
      <c r="W179" s="674" t="s">
        <v>435</v>
      </c>
      <c r="X179" s="675">
        <v>0.8</v>
      </c>
    </row>
    <row r="180" spans="1:24" ht="14.5" x14ac:dyDescent="0.25">
      <c r="A180" s="1568"/>
      <c r="B180" s="1567" t="s">
        <v>438</v>
      </c>
      <c r="C180" s="1567"/>
      <c r="D180" s="565">
        <v>2023</v>
      </c>
      <c r="E180" s="565">
        <v>2020</v>
      </c>
      <c r="F180" s="565">
        <v>2016</v>
      </c>
      <c r="G180" s="1577"/>
      <c r="I180" s="1566" t="s">
        <v>68</v>
      </c>
      <c r="J180" s="1567"/>
      <c r="K180" s="689">
        <f>D180</f>
        <v>2023</v>
      </c>
      <c r="L180" s="689">
        <f>E180</f>
        <v>2020</v>
      </c>
      <c r="M180" s="565">
        <v>2016</v>
      </c>
      <c r="N180" s="1577"/>
      <c r="P180" s="1566" t="s">
        <v>439</v>
      </c>
      <c r="Q180" s="1567"/>
      <c r="R180" s="689">
        <f>K180</f>
        <v>2023</v>
      </c>
      <c r="S180" s="689">
        <f>L180</f>
        <v>2020</v>
      </c>
      <c r="T180" s="565">
        <v>2016</v>
      </c>
      <c r="U180" s="1577"/>
      <c r="W180" s="674" t="s">
        <v>68</v>
      </c>
      <c r="X180" s="675">
        <v>2.2999999999999998</v>
      </c>
    </row>
    <row r="181" spans="1:24" ht="13.5" thickBot="1" x14ac:dyDescent="0.3">
      <c r="A181" s="1568"/>
      <c r="B181" s="676">
        <v>1</v>
      </c>
      <c r="C181" s="226">
        <v>15</v>
      </c>
      <c r="D181" s="226">
        <v>0.2</v>
      </c>
      <c r="E181" s="226">
        <v>0.1</v>
      </c>
      <c r="F181" s="679"/>
      <c r="G181" s="677">
        <f>0.5*(MAX(D181:F181)-MIN(D181:F181))</f>
        <v>0.05</v>
      </c>
      <c r="I181" s="676">
        <v>1</v>
      </c>
      <c r="J181" s="226">
        <v>35</v>
      </c>
      <c r="K181" s="226">
        <v>-2.7</v>
      </c>
      <c r="L181" s="226">
        <v>0.1</v>
      </c>
      <c r="M181" s="679"/>
      <c r="N181" s="677">
        <f>0.5*(MAX(K181:M181)-MIN(K181:M181))</f>
        <v>1.4000000000000001</v>
      </c>
      <c r="P181" s="676">
        <v>1</v>
      </c>
      <c r="Q181" s="226">
        <v>960</v>
      </c>
      <c r="R181" s="210">
        <v>4.5999999999999996</v>
      </c>
      <c r="S181" s="210">
        <v>-0.6</v>
      </c>
      <c r="T181" s="679"/>
      <c r="U181" s="677">
        <f>0.5*(MAX(R181:T181)-MIN(R181:T181))</f>
        <v>2.5999999999999996</v>
      </c>
      <c r="W181" s="680" t="s">
        <v>439</v>
      </c>
      <c r="X181" s="681">
        <v>2.1</v>
      </c>
    </row>
    <row r="182" spans="1:24" ht="13" x14ac:dyDescent="0.25">
      <c r="A182" s="1568"/>
      <c r="B182" s="676">
        <v>2</v>
      </c>
      <c r="C182" s="226">
        <v>20</v>
      </c>
      <c r="D182" s="226">
        <v>0.4</v>
      </c>
      <c r="E182" s="226">
        <v>0.1</v>
      </c>
      <c r="F182" s="679"/>
      <c r="G182" s="677">
        <f t="shared" ref="G182:G187" si="48">0.5*(MAX(D182:F182)-MIN(D182:F182))</f>
        <v>0.15000000000000002</v>
      </c>
      <c r="I182" s="676">
        <v>2</v>
      </c>
      <c r="J182" s="226">
        <v>40</v>
      </c>
      <c r="K182" s="226">
        <v>-2.4</v>
      </c>
      <c r="L182" s="226">
        <v>0.2</v>
      </c>
      <c r="M182" s="679"/>
      <c r="N182" s="677">
        <f t="shared" ref="N182:N187" si="49">0.5*(MAX(K182:M182)-MIN(K182:M182))</f>
        <v>1.3</v>
      </c>
      <c r="P182" s="676">
        <v>2</v>
      </c>
      <c r="Q182" s="226">
        <v>970</v>
      </c>
      <c r="R182" s="210">
        <v>4.5999999999999996</v>
      </c>
      <c r="S182" s="210">
        <v>-0.6</v>
      </c>
      <c r="T182" s="679"/>
      <c r="U182" s="677">
        <f t="shared" ref="U182:U187" si="50">0.5*(MAX(R182:T182)-MIN(R182:T182))</f>
        <v>2.5999999999999996</v>
      </c>
    </row>
    <row r="183" spans="1:24" ht="13" x14ac:dyDescent="0.25">
      <c r="A183" s="1568"/>
      <c r="B183" s="676">
        <v>3</v>
      </c>
      <c r="C183" s="226">
        <v>25</v>
      </c>
      <c r="D183" s="226">
        <v>0.5</v>
      </c>
      <c r="E183" s="226">
        <v>0</v>
      </c>
      <c r="F183" s="679"/>
      <c r="G183" s="677">
        <f t="shared" si="48"/>
        <v>0.25</v>
      </c>
      <c r="I183" s="676">
        <v>3</v>
      </c>
      <c r="J183" s="226">
        <v>50</v>
      </c>
      <c r="K183" s="226">
        <v>-1.9</v>
      </c>
      <c r="L183" s="226">
        <v>0.2</v>
      </c>
      <c r="M183" s="679"/>
      <c r="N183" s="677">
        <f t="shared" si="49"/>
        <v>1.05</v>
      </c>
      <c r="P183" s="676">
        <v>3</v>
      </c>
      <c r="Q183" s="682">
        <v>980</v>
      </c>
      <c r="R183" s="683">
        <v>4.5999999999999996</v>
      </c>
      <c r="S183" s="683">
        <v>-0.6</v>
      </c>
      <c r="T183" s="679"/>
      <c r="U183" s="677">
        <f t="shared" si="50"/>
        <v>2.5999999999999996</v>
      </c>
    </row>
    <row r="184" spans="1:24" ht="13" x14ac:dyDescent="0.25">
      <c r="A184" s="1568"/>
      <c r="B184" s="676">
        <v>4</v>
      </c>
      <c r="C184" s="682">
        <v>30</v>
      </c>
      <c r="D184" s="682">
        <v>0.6</v>
      </c>
      <c r="E184" s="682">
        <v>-0.2</v>
      </c>
      <c r="F184" s="679"/>
      <c r="G184" s="677">
        <f t="shared" si="48"/>
        <v>0.4</v>
      </c>
      <c r="I184" s="676">
        <v>4</v>
      </c>
      <c r="J184" s="682">
        <v>60</v>
      </c>
      <c r="K184" s="682">
        <v>-1.7</v>
      </c>
      <c r="L184" s="682">
        <v>0</v>
      </c>
      <c r="M184" s="679"/>
      <c r="N184" s="677">
        <f t="shared" si="49"/>
        <v>0.85</v>
      </c>
      <c r="P184" s="676">
        <v>4</v>
      </c>
      <c r="Q184" s="682">
        <v>990</v>
      </c>
      <c r="R184" s="683">
        <v>4.5999999999999996</v>
      </c>
      <c r="S184" s="683">
        <v>-0.6</v>
      </c>
      <c r="T184" s="679"/>
      <c r="U184" s="677">
        <f t="shared" si="50"/>
        <v>2.5999999999999996</v>
      </c>
    </row>
    <row r="185" spans="1:24" ht="13" x14ac:dyDescent="0.25">
      <c r="A185" s="1568"/>
      <c r="B185" s="676">
        <v>5</v>
      </c>
      <c r="C185" s="682">
        <v>35</v>
      </c>
      <c r="D185" s="682">
        <v>0.7</v>
      </c>
      <c r="E185" s="682">
        <v>-0.5</v>
      </c>
      <c r="F185" s="679"/>
      <c r="G185" s="677">
        <f t="shared" si="48"/>
        <v>0.6</v>
      </c>
      <c r="I185" s="676">
        <v>5</v>
      </c>
      <c r="J185" s="682">
        <v>70</v>
      </c>
      <c r="K185" s="682">
        <v>-1.8</v>
      </c>
      <c r="L185" s="682">
        <v>-0.3</v>
      </c>
      <c r="M185" s="679"/>
      <c r="N185" s="677">
        <f t="shared" si="49"/>
        <v>0.75</v>
      </c>
      <c r="P185" s="676">
        <v>5</v>
      </c>
      <c r="Q185" s="682">
        <v>1000</v>
      </c>
      <c r="R185" s="683">
        <v>4.5</v>
      </c>
      <c r="S185" s="683">
        <v>-0.6</v>
      </c>
      <c r="T185" s="679"/>
      <c r="U185" s="677">
        <f t="shared" si="50"/>
        <v>2.5499999999999998</v>
      </c>
    </row>
    <row r="186" spans="1:24" ht="13" x14ac:dyDescent="0.25">
      <c r="A186" s="1568"/>
      <c r="B186" s="676">
        <v>6</v>
      </c>
      <c r="C186" s="682">
        <v>37</v>
      </c>
      <c r="D186" s="682">
        <v>0.7</v>
      </c>
      <c r="E186" s="682">
        <v>-0.6</v>
      </c>
      <c r="F186" s="679"/>
      <c r="G186" s="677">
        <f t="shared" si="48"/>
        <v>0.64999999999999991</v>
      </c>
      <c r="I186" s="676">
        <v>6</v>
      </c>
      <c r="J186" s="682">
        <v>80</v>
      </c>
      <c r="K186" s="682">
        <v>-2.2000000000000002</v>
      </c>
      <c r="L186" s="682">
        <v>-0.8</v>
      </c>
      <c r="M186" s="679"/>
      <c r="N186" s="677">
        <f t="shared" si="49"/>
        <v>0.70000000000000007</v>
      </c>
      <c r="P186" s="676">
        <v>6</v>
      </c>
      <c r="Q186" s="682">
        <v>1005</v>
      </c>
      <c r="R186" s="683" t="s">
        <v>128</v>
      </c>
      <c r="S186" s="683">
        <v>-0.6</v>
      </c>
      <c r="T186" s="679"/>
      <c r="U186" s="677">
        <f t="shared" si="50"/>
        <v>0</v>
      </c>
    </row>
    <row r="187" spans="1:24" ht="13" x14ac:dyDescent="0.25">
      <c r="A187" s="1568"/>
      <c r="B187" s="676">
        <v>7</v>
      </c>
      <c r="C187" s="690">
        <v>40</v>
      </c>
      <c r="D187" s="682">
        <v>0.7</v>
      </c>
      <c r="E187" s="682">
        <v>-0.8</v>
      </c>
      <c r="F187" s="679"/>
      <c r="G187" s="677">
        <f t="shared" si="48"/>
        <v>0.75</v>
      </c>
      <c r="I187" s="676">
        <v>7</v>
      </c>
      <c r="J187" s="690">
        <v>90</v>
      </c>
      <c r="K187" s="682">
        <v>-2.9</v>
      </c>
      <c r="L187" s="682">
        <v>-1.4</v>
      </c>
      <c r="M187" s="679"/>
      <c r="N187" s="677">
        <f t="shared" si="49"/>
        <v>0.75</v>
      </c>
      <c r="P187" s="676">
        <v>7</v>
      </c>
      <c r="Q187" s="682">
        <v>1020</v>
      </c>
      <c r="R187" s="683">
        <v>4.5</v>
      </c>
      <c r="S187" s="683">
        <v>9.9999999999999995E-7</v>
      </c>
      <c r="T187" s="679"/>
      <c r="U187" s="677">
        <f t="shared" si="50"/>
        <v>2.2499994999999999</v>
      </c>
    </row>
    <row r="188" spans="1:24" ht="13" thickBot="1" x14ac:dyDescent="0.3">
      <c r="A188" s="692"/>
      <c r="C188" s="598"/>
      <c r="D188" s="687"/>
      <c r="E188" s="693"/>
      <c r="F188" s="598"/>
      <c r="J188" s="598"/>
      <c r="K188" s="687"/>
      <c r="L188" s="693"/>
      <c r="M188" s="598"/>
      <c r="Q188" s="687"/>
      <c r="R188" s="693"/>
      <c r="S188" s="693"/>
      <c r="T188" s="598"/>
    </row>
    <row r="189" spans="1:24" x14ac:dyDescent="0.25">
      <c r="A189" s="1568">
        <v>18</v>
      </c>
      <c r="B189" s="1569" t="s">
        <v>456</v>
      </c>
      <c r="C189" s="1569"/>
      <c r="D189" s="1569"/>
      <c r="E189" s="1569"/>
      <c r="F189" s="1569"/>
      <c r="G189" s="1569"/>
      <c r="I189" s="1569" t="str">
        <f>B189</f>
        <v>KOREKSI EXTECH A.100618</v>
      </c>
      <c r="J189" s="1569"/>
      <c r="K189" s="1569"/>
      <c r="L189" s="1569"/>
      <c r="M189" s="1569"/>
      <c r="N189" s="1569"/>
      <c r="P189" s="1569" t="str">
        <f>I189</f>
        <v>KOREKSI EXTECH A.100618</v>
      </c>
      <c r="Q189" s="1569"/>
      <c r="R189" s="1569"/>
      <c r="S189" s="1569"/>
      <c r="T189" s="1569"/>
      <c r="U189" s="1569"/>
      <c r="W189" s="1575" t="s">
        <v>389</v>
      </c>
      <c r="X189" s="1576"/>
    </row>
    <row r="190" spans="1:24" ht="13" x14ac:dyDescent="0.25">
      <c r="A190" s="1568"/>
      <c r="B190" s="1577" t="s">
        <v>435</v>
      </c>
      <c r="C190" s="1577"/>
      <c r="D190" s="1577" t="s">
        <v>298</v>
      </c>
      <c r="E190" s="1577"/>
      <c r="F190" s="1577"/>
      <c r="G190" s="1577" t="s">
        <v>294</v>
      </c>
      <c r="I190" s="1577" t="s">
        <v>436</v>
      </c>
      <c r="J190" s="1577"/>
      <c r="K190" s="1577" t="s">
        <v>298</v>
      </c>
      <c r="L190" s="1577"/>
      <c r="M190" s="1577"/>
      <c r="N190" s="1577" t="s">
        <v>294</v>
      </c>
      <c r="P190" s="1577" t="s">
        <v>437</v>
      </c>
      <c r="Q190" s="1577"/>
      <c r="R190" s="1577" t="s">
        <v>298</v>
      </c>
      <c r="S190" s="1577"/>
      <c r="T190" s="1577"/>
      <c r="U190" s="1577" t="s">
        <v>294</v>
      </c>
      <c r="W190" s="674" t="s">
        <v>435</v>
      </c>
      <c r="X190" s="675">
        <v>0.6</v>
      </c>
    </row>
    <row r="191" spans="1:24" ht="14.5" x14ac:dyDescent="0.25">
      <c r="A191" s="1568"/>
      <c r="B191" s="1567" t="s">
        <v>438</v>
      </c>
      <c r="C191" s="1567"/>
      <c r="D191" s="565">
        <v>2023</v>
      </c>
      <c r="E191" s="565">
        <v>2020</v>
      </c>
      <c r="F191" s="565">
        <v>2016</v>
      </c>
      <c r="G191" s="1577"/>
      <c r="I191" s="1566" t="s">
        <v>68</v>
      </c>
      <c r="J191" s="1567"/>
      <c r="K191" s="689">
        <f>D191</f>
        <v>2023</v>
      </c>
      <c r="L191" s="689">
        <f>E191</f>
        <v>2020</v>
      </c>
      <c r="M191" s="565">
        <v>2016</v>
      </c>
      <c r="N191" s="1577"/>
      <c r="P191" s="1566" t="s">
        <v>439</v>
      </c>
      <c r="Q191" s="1567"/>
      <c r="R191" s="689">
        <f>K191</f>
        <v>2023</v>
      </c>
      <c r="S191" s="689">
        <f>L191</f>
        <v>2020</v>
      </c>
      <c r="T191" s="565">
        <v>2016</v>
      </c>
      <c r="U191" s="1577"/>
      <c r="W191" s="674" t="s">
        <v>68</v>
      </c>
      <c r="X191" s="675">
        <v>2.2999999999999998</v>
      </c>
    </row>
    <row r="192" spans="1:24" ht="13.5" thickBot="1" x14ac:dyDescent="0.3">
      <c r="A192" s="1568"/>
      <c r="B192" s="676">
        <v>1</v>
      </c>
      <c r="C192" s="226">
        <v>15</v>
      </c>
      <c r="D192" s="209">
        <v>0.3</v>
      </c>
      <c r="E192" s="209">
        <v>9.9999999999999995E-7</v>
      </c>
      <c r="F192" s="679"/>
      <c r="G192" s="677">
        <f>0.5*(MAX(D192:F192)-MIN(D192:F192))</f>
        <v>0.14999950000000001</v>
      </c>
      <c r="I192" s="676">
        <v>1</v>
      </c>
      <c r="J192" s="226">
        <v>35</v>
      </c>
      <c r="K192" s="226">
        <v>-3.2</v>
      </c>
      <c r="L192" s="226">
        <v>-0.4</v>
      </c>
      <c r="M192" s="679"/>
      <c r="N192" s="677">
        <f>0.5*(MAX(K192:M192)-MIN(K192:M192))</f>
        <v>1.4000000000000001</v>
      </c>
      <c r="P192" s="676">
        <v>1</v>
      </c>
      <c r="Q192" s="226">
        <v>960</v>
      </c>
      <c r="R192" s="210">
        <v>4.5999999999999996</v>
      </c>
      <c r="S192" s="210" t="s">
        <v>128</v>
      </c>
      <c r="T192" s="679"/>
      <c r="U192" s="677">
        <f>0.5*(MAX(R192:T192)-MIN(R192:T192))</f>
        <v>0</v>
      </c>
      <c r="W192" s="680" t="s">
        <v>439</v>
      </c>
      <c r="X192" s="681">
        <v>2.1</v>
      </c>
    </row>
    <row r="193" spans="1:24" ht="13" x14ac:dyDescent="0.25">
      <c r="A193" s="1568"/>
      <c r="B193" s="676">
        <v>2</v>
      </c>
      <c r="C193" s="226">
        <v>20</v>
      </c>
      <c r="D193" s="226">
        <v>0.2</v>
      </c>
      <c r="E193" s="226">
        <v>-0.1</v>
      </c>
      <c r="F193" s="679"/>
      <c r="G193" s="677">
        <f t="shared" ref="G193:G197" si="51">0.5*(MAX(D193:F193)-MIN(D193:F193))</f>
        <v>0.15000000000000002</v>
      </c>
      <c r="I193" s="676">
        <v>2</v>
      </c>
      <c r="J193" s="226">
        <v>40</v>
      </c>
      <c r="K193" s="226">
        <v>-2.9</v>
      </c>
      <c r="L193" s="226">
        <v>-0.2</v>
      </c>
      <c r="M193" s="679"/>
      <c r="N193" s="677">
        <f t="shared" ref="N193:N198" si="52">0.5*(MAX(K193:M193)-MIN(K193:M193))</f>
        <v>1.3499999999999999</v>
      </c>
      <c r="P193" s="676">
        <v>2</v>
      </c>
      <c r="Q193" s="226">
        <v>970</v>
      </c>
      <c r="R193" s="210">
        <v>4.5</v>
      </c>
      <c r="S193" s="210" t="s">
        <v>128</v>
      </c>
      <c r="T193" s="679"/>
      <c r="U193" s="677">
        <f t="shared" ref="U193:U198" si="53">0.5*(MAX(R193:T193)-MIN(R193:T193))</f>
        <v>0</v>
      </c>
    </row>
    <row r="194" spans="1:24" ht="13" x14ac:dyDescent="0.25">
      <c r="A194" s="1568"/>
      <c r="B194" s="676">
        <v>3</v>
      </c>
      <c r="C194" s="226">
        <v>25</v>
      </c>
      <c r="D194" s="226">
        <v>0.2</v>
      </c>
      <c r="E194" s="226">
        <v>-0.2</v>
      </c>
      <c r="F194" s="679"/>
      <c r="G194" s="677">
        <f t="shared" si="51"/>
        <v>0.2</v>
      </c>
      <c r="I194" s="676">
        <v>3</v>
      </c>
      <c r="J194" s="226">
        <v>50</v>
      </c>
      <c r="K194" s="226">
        <v>-2.4</v>
      </c>
      <c r="L194" s="226">
        <v>-0.2</v>
      </c>
      <c r="M194" s="679"/>
      <c r="N194" s="677">
        <f t="shared" si="52"/>
        <v>1.0999999999999999</v>
      </c>
      <c r="P194" s="676">
        <v>3</v>
      </c>
      <c r="Q194" s="682">
        <v>980</v>
      </c>
      <c r="R194" s="683">
        <v>4.5</v>
      </c>
      <c r="S194" s="683" t="s">
        <v>128</v>
      </c>
      <c r="T194" s="679"/>
      <c r="U194" s="677">
        <f t="shared" si="53"/>
        <v>0</v>
      </c>
    </row>
    <row r="195" spans="1:24" ht="13" x14ac:dyDescent="0.25">
      <c r="A195" s="1568"/>
      <c r="B195" s="676">
        <v>4</v>
      </c>
      <c r="C195" s="682">
        <v>30</v>
      </c>
      <c r="D195" s="682">
        <v>0.3</v>
      </c>
      <c r="E195" s="682">
        <v>-0.2</v>
      </c>
      <c r="F195" s="679"/>
      <c r="G195" s="677">
        <f t="shared" si="51"/>
        <v>0.25</v>
      </c>
      <c r="I195" s="676">
        <v>4</v>
      </c>
      <c r="J195" s="682">
        <v>60</v>
      </c>
      <c r="K195" s="682">
        <v>-2.1</v>
      </c>
      <c r="L195" s="682">
        <v>-0.2</v>
      </c>
      <c r="M195" s="679"/>
      <c r="N195" s="677">
        <f t="shared" si="52"/>
        <v>0.95000000000000007</v>
      </c>
      <c r="P195" s="676">
        <v>4</v>
      </c>
      <c r="Q195" s="682">
        <v>990</v>
      </c>
      <c r="R195" s="683">
        <v>4.5</v>
      </c>
      <c r="S195" s="683" t="s">
        <v>128</v>
      </c>
      <c r="T195" s="679"/>
      <c r="U195" s="677">
        <f t="shared" si="53"/>
        <v>0</v>
      </c>
    </row>
    <row r="196" spans="1:24" ht="13" x14ac:dyDescent="0.25">
      <c r="A196" s="1568"/>
      <c r="B196" s="676">
        <v>5</v>
      </c>
      <c r="C196" s="682">
        <v>35</v>
      </c>
      <c r="D196" s="682">
        <v>0.4</v>
      </c>
      <c r="E196" s="682">
        <v>-0.3</v>
      </c>
      <c r="F196" s="679"/>
      <c r="G196" s="677">
        <f t="shared" si="51"/>
        <v>0.35</v>
      </c>
      <c r="I196" s="676">
        <v>5</v>
      </c>
      <c r="J196" s="682">
        <v>70</v>
      </c>
      <c r="K196" s="682">
        <v>-2.2000000000000002</v>
      </c>
      <c r="L196" s="682">
        <v>-0.3</v>
      </c>
      <c r="M196" s="679"/>
      <c r="N196" s="677">
        <f t="shared" si="52"/>
        <v>0.95000000000000007</v>
      </c>
      <c r="P196" s="676">
        <v>5</v>
      </c>
      <c r="Q196" s="682">
        <v>1000</v>
      </c>
      <c r="R196" s="683">
        <v>4.4000000000000004</v>
      </c>
      <c r="S196" s="683">
        <v>-0.8</v>
      </c>
      <c r="T196" s="679"/>
      <c r="U196" s="677">
        <f t="shared" si="53"/>
        <v>2.6</v>
      </c>
    </row>
    <row r="197" spans="1:24" ht="13" x14ac:dyDescent="0.25">
      <c r="A197" s="1568"/>
      <c r="B197" s="676">
        <v>6</v>
      </c>
      <c r="C197" s="682">
        <v>37</v>
      </c>
      <c r="D197" s="682">
        <v>0.4</v>
      </c>
      <c r="E197" s="682">
        <v>-0.3</v>
      </c>
      <c r="F197" s="679"/>
      <c r="G197" s="677">
        <f t="shared" si="51"/>
        <v>0.35</v>
      </c>
      <c r="I197" s="676">
        <v>6</v>
      </c>
      <c r="J197" s="682">
        <v>80</v>
      </c>
      <c r="K197" s="682">
        <v>-2.4</v>
      </c>
      <c r="L197" s="682">
        <v>-0.5</v>
      </c>
      <c r="M197" s="679"/>
      <c r="N197" s="677">
        <f t="shared" si="52"/>
        <v>0.95</v>
      </c>
      <c r="P197" s="676">
        <v>6</v>
      </c>
      <c r="Q197" s="682">
        <v>1005</v>
      </c>
      <c r="R197" s="683" t="s">
        <v>128</v>
      </c>
      <c r="S197" s="683">
        <v>-0.7</v>
      </c>
      <c r="T197" s="679"/>
      <c r="U197" s="677">
        <f>0.5*(MAX(R197:T197)-MIN(R197:T197))</f>
        <v>0</v>
      </c>
    </row>
    <row r="198" spans="1:24" ht="13" x14ac:dyDescent="0.25">
      <c r="A198" s="1568"/>
      <c r="B198" s="676">
        <v>7</v>
      </c>
      <c r="C198" s="690">
        <v>40</v>
      </c>
      <c r="D198" s="682">
        <v>0.5</v>
      </c>
      <c r="E198" s="682">
        <v>-0.4</v>
      </c>
      <c r="F198" s="679"/>
      <c r="G198" s="677">
        <f>0.5*(MAX(D198:F198)-MIN(D198:F198))</f>
        <v>0.45</v>
      </c>
      <c r="I198" s="676">
        <v>7</v>
      </c>
      <c r="J198" s="690">
        <v>90</v>
      </c>
      <c r="K198" s="682">
        <v>-3</v>
      </c>
      <c r="L198" s="682">
        <v>-0.8</v>
      </c>
      <c r="M198" s="679"/>
      <c r="N198" s="677">
        <f t="shared" si="52"/>
        <v>1.1000000000000001</v>
      </c>
      <c r="P198" s="676">
        <v>7</v>
      </c>
      <c r="Q198" s="682">
        <v>1010</v>
      </c>
      <c r="R198" s="683">
        <v>4.4000000000000004</v>
      </c>
      <c r="S198" s="683">
        <v>9.9999999999999995E-7</v>
      </c>
      <c r="T198" s="679"/>
      <c r="U198" s="677">
        <f t="shared" si="53"/>
        <v>2.1999995000000001</v>
      </c>
    </row>
    <row r="199" spans="1:24" ht="13" thickBot="1" x14ac:dyDescent="0.3">
      <c r="A199" s="692"/>
      <c r="C199" s="598"/>
      <c r="D199" s="687"/>
      <c r="E199" s="693"/>
      <c r="F199" s="598"/>
      <c r="I199" s="598"/>
      <c r="J199" s="687"/>
      <c r="K199" s="693"/>
      <c r="L199" s="598"/>
      <c r="O199" s="687"/>
      <c r="P199" s="693"/>
      <c r="Q199" s="693"/>
      <c r="R199" s="598"/>
    </row>
    <row r="200" spans="1:24" x14ac:dyDescent="0.25">
      <c r="A200" s="1568">
        <v>19</v>
      </c>
      <c r="B200" s="1569" t="s">
        <v>457</v>
      </c>
      <c r="C200" s="1569"/>
      <c r="D200" s="1569"/>
      <c r="E200" s="1569"/>
      <c r="F200" s="1569"/>
      <c r="G200" s="1569"/>
      <c r="I200" s="1569" t="str">
        <f>B200</f>
        <v>KOREKSI EXTECH A.100615</v>
      </c>
      <c r="J200" s="1569"/>
      <c r="K200" s="1569"/>
      <c r="L200" s="1569"/>
      <c r="M200" s="1569"/>
      <c r="N200" s="1569"/>
      <c r="P200" s="1569" t="str">
        <f>I200</f>
        <v>KOREKSI EXTECH A.100615</v>
      </c>
      <c r="Q200" s="1569"/>
      <c r="R200" s="1569"/>
      <c r="S200" s="1569"/>
      <c r="T200" s="1569"/>
      <c r="U200" s="1569"/>
      <c r="W200" s="1575" t="s">
        <v>389</v>
      </c>
      <c r="X200" s="1576"/>
    </row>
    <row r="201" spans="1:24" ht="13" x14ac:dyDescent="0.25">
      <c r="A201" s="1568"/>
      <c r="B201" s="1577" t="s">
        <v>435</v>
      </c>
      <c r="C201" s="1577"/>
      <c r="D201" s="1577" t="s">
        <v>298</v>
      </c>
      <c r="E201" s="1577"/>
      <c r="F201" s="1577"/>
      <c r="G201" s="1577" t="s">
        <v>294</v>
      </c>
      <c r="I201" s="1577" t="s">
        <v>436</v>
      </c>
      <c r="J201" s="1577"/>
      <c r="K201" s="1577" t="s">
        <v>298</v>
      </c>
      <c r="L201" s="1577"/>
      <c r="M201" s="1577"/>
      <c r="N201" s="1577" t="s">
        <v>294</v>
      </c>
      <c r="P201" s="1577" t="s">
        <v>437</v>
      </c>
      <c r="Q201" s="1577"/>
      <c r="R201" s="1577" t="s">
        <v>298</v>
      </c>
      <c r="S201" s="1577"/>
      <c r="T201" s="1577"/>
      <c r="U201" s="1577" t="s">
        <v>294</v>
      </c>
      <c r="W201" s="674" t="s">
        <v>435</v>
      </c>
      <c r="X201" s="675">
        <v>0.1</v>
      </c>
    </row>
    <row r="202" spans="1:24" ht="14.5" x14ac:dyDescent="0.25">
      <c r="A202" s="1568"/>
      <c r="B202" s="1567" t="s">
        <v>438</v>
      </c>
      <c r="C202" s="1567"/>
      <c r="D202" s="565">
        <v>2021</v>
      </c>
      <c r="E202" s="566" t="s">
        <v>128</v>
      </c>
      <c r="F202" s="565">
        <v>2016</v>
      </c>
      <c r="G202" s="1577"/>
      <c r="I202" s="1566" t="s">
        <v>68</v>
      </c>
      <c r="J202" s="1567"/>
      <c r="K202" s="689">
        <f>D202</f>
        <v>2021</v>
      </c>
      <c r="L202" s="689" t="str">
        <f>E202</f>
        <v>-</v>
      </c>
      <c r="M202" s="565">
        <v>2016</v>
      </c>
      <c r="N202" s="1577"/>
      <c r="P202" s="1566" t="s">
        <v>439</v>
      </c>
      <c r="Q202" s="1567"/>
      <c r="R202" s="689">
        <f>K202</f>
        <v>2021</v>
      </c>
      <c r="S202" s="689" t="str">
        <f>L202</f>
        <v>-</v>
      </c>
      <c r="T202" s="565">
        <v>2016</v>
      </c>
      <c r="U202" s="1577"/>
      <c r="W202" s="674" t="s">
        <v>68</v>
      </c>
      <c r="X202" s="675">
        <v>1.5</v>
      </c>
    </row>
    <row r="203" spans="1:24" ht="13.5" thickBot="1" x14ac:dyDescent="0.3">
      <c r="A203" s="1568"/>
      <c r="B203" s="676">
        <v>1</v>
      </c>
      <c r="C203" s="226">
        <v>15</v>
      </c>
      <c r="D203" s="209">
        <v>9.9999999999999995E-7</v>
      </c>
      <c r="E203" s="209" t="s">
        <v>128</v>
      </c>
      <c r="F203" s="679"/>
      <c r="G203" s="677">
        <f>0.5*(MAX(D203:F203)-MIN(D203:F203))</f>
        <v>0</v>
      </c>
      <c r="I203" s="676">
        <v>1</v>
      </c>
      <c r="J203" s="226">
        <v>30</v>
      </c>
      <c r="K203" s="226">
        <v>-1.5</v>
      </c>
      <c r="L203" s="209" t="s">
        <v>128</v>
      </c>
      <c r="M203" s="679"/>
      <c r="N203" s="677">
        <f>0.5*(MAX(K203:M203)-MIN(K203:M203))</f>
        <v>0</v>
      </c>
      <c r="P203" s="676">
        <v>1</v>
      </c>
      <c r="Q203" s="226">
        <v>750</v>
      </c>
      <c r="R203" s="210">
        <v>2.5</v>
      </c>
      <c r="S203" s="209" t="s">
        <v>128</v>
      </c>
      <c r="T203" s="679"/>
      <c r="U203" s="677">
        <f>0.5*(MAX(R203:T203)-MIN(R203:T203))</f>
        <v>0</v>
      </c>
      <c r="W203" s="680" t="s">
        <v>439</v>
      </c>
      <c r="X203" s="681">
        <v>0.4</v>
      </c>
    </row>
    <row r="204" spans="1:24" ht="13" x14ac:dyDescent="0.25">
      <c r="A204" s="1568"/>
      <c r="B204" s="676">
        <v>2</v>
      </c>
      <c r="C204" s="226">
        <v>20</v>
      </c>
      <c r="D204" s="226">
        <v>0.1</v>
      </c>
      <c r="E204" s="209" t="s">
        <v>128</v>
      </c>
      <c r="F204" s="679"/>
      <c r="G204" s="677">
        <f t="shared" ref="G204:G209" si="54">0.5*(MAX(D204:F204)-MIN(D204:F204))</f>
        <v>0</v>
      </c>
      <c r="I204" s="676">
        <v>2</v>
      </c>
      <c r="J204" s="226">
        <v>40</v>
      </c>
      <c r="K204" s="226">
        <v>-0.8</v>
      </c>
      <c r="L204" s="209" t="s">
        <v>128</v>
      </c>
      <c r="M204" s="679"/>
      <c r="N204" s="677">
        <f t="shared" ref="N204:N209" si="55">0.5*(MAX(K204:M204)-MIN(K204:M204))</f>
        <v>0</v>
      </c>
      <c r="P204" s="676">
        <v>2</v>
      </c>
      <c r="Q204" s="226">
        <v>800</v>
      </c>
      <c r="R204" s="210">
        <v>2.5</v>
      </c>
      <c r="S204" s="209" t="s">
        <v>128</v>
      </c>
      <c r="T204" s="679"/>
      <c r="U204" s="677">
        <f t="shared" ref="U204:U209" si="56">0.5*(MAX(R204:T204)-MIN(R204:T204))</f>
        <v>0</v>
      </c>
    </row>
    <row r="205" spans="1:24" ht="13" x14ac:dyDescent="0.25">
      <c r="A205" s="1568"/>
      <c r="B205" s="676">
        <v>3</v>
      </c>
      <c r="C205" s="226">
        <v>25</v>
      </c>
      <c r="D205" s="209">
        <v>9.9999999999999995E-7</v>
      </c>
      <c r="E205" s="209" t="s">
        <v>128</v>
      </c>
      <c r="F205" s="679"/>
      <c r="G205" s="677">
        <f t="shared" si="54"/>
        <v>0</v>
      </c>
      <c r="I205" s="676">
        <v>3</v>
      </c>
      <c r="J205" s="226">
        <v>50</v>
      </c>
      <c r="K205" s="226">
        <v>-0.2</v>
      </c>
      <c r="L205" s="209" t="s">
        <v>128</v>
      </c>
      <c r="M205" s="679"/>
      <c r="N205" s="677">
        <f t="shared" si="55"/>
        <v>0</v>
      </c>
      <c r="P205" s="676">
        <v>3</v>
      </c>
      <c r="Q205" s="226">
        <v>850</v>
      </c>
      <c r="R205" s="210">
        <v>2.4</v>
      </c>
      <c r="S205" s="209" t="s">
        <v>128</v>
      </c>
      <c r="T205" s="679"/>
      <c r="U205" s="677">
        <f t="shared" si="56"/>
        <v>0</v>
      </c>
    </row>
    <row r="206" spans="1:24" ht="13" x14ac:dyDescent="0.25">
      <c r="A206" s="1568"/>
      <c r="B206" s="676">
        <v>4</v>
      </c>
      <c r="C206" s="682">
        <v>30</v>
      </c>
      <c r="D206" s="682">
        <v>-0.1</v>
      </c>
      <c r="E206" s="683" t="s">
        <v>128</v>
      </c>
      <c r="F206" s="679"/>
      <c r="G206" s="677">
        <f t="shared" si="54"/>
        <v>0</v>
      </c>
      <c r="I206" s="676">
        <v>4</v>
      </c>
      <c r="J206" s="682">
        <v>60</v>
      </c>
      <c r="K206" s="682">
        <v>0.4</v>
      </c>
      <c r="L206" s="683" t="s">
        <v>128</v>
      </c>
      <c r="M206" s="679"/>
      <c r="N206" s="677">
        <f t="shared" si="55"/>
        <v>0</v>
      </c>
      <c r="P206" s="676">
        <v>4</v>
      </c>
      <c r="Q206" s="682">
        <v>900</v>
      </c>
      <c r="R206" s="683">
        <v>2.2999999999999998</v>
      </c>
      <c r="S206" s="683" t="s">
        <v>128</v>
      </c>
      <c r="T206" s="679"/>
      <c r="U206" s="677">
        <f t="shared" si="56"/>
        <v>0</v>
      </c>
    </row>
    <row r="207" spans="1:24" ht="13" x14ac:dyDescent="0.25">
      <c r="A207" s="1568"/>
      <c r="B207" s="676">
        <v>5</v>
      </c>
      <c r="C207" s="682">
        <v>35</v>
      </c>
      <c r="D207" s="682">
        <v>-0.1</v>
      </c>
      <c r="E207" s="683" t="s">
        <v>128</v>
      </c>
      <c r="F207" s="679"/>
      <c r="G207" s="677">
        <f t="shared" si="54"/>
        <v>0</v>
      </c>
      <c r="I207" s="676">
        <v>5</v>
      </c>
      <c r="J207" s="682">
        <v>70</v>
      </c>
      <c r="K207" s="682">
        <v>-0.7</v>
      </c>
      <c r="L207" s="683" t="s">
        <v>128</v>
      </c>
      <c r="M207" s="679"/>
      <c r="N207" s="677">
        <f t="shared" si="55"/>
        <v>0</v>
      </c>
      <c r="P207" s="676">
        <v>5</v>
      </c>
      <c r="Q207" s="682">
        <v>1000</v>
      </c>
      <c r="R207" s="683">
        <v>2.2000000000000002</v>
      </c>
      <c r="S207" s="683" t="s">
        <v>128</v>
      </c>
      <c r="T207" s="679"/>
      <c r="U207" s="677">
        <f t="shared" si="56"/>
        <v>0</v>
      </c>
    </row>
    <row r="208" spans="1:24" ht="13" x14ac:dyDescent="0.25">
      <c r="A208" s="1568"/>
      <c r="B208" s="676">
        <v>6</v>
      </c>
      <c r="C208" s="682">
        <v>37</v>
      </c>
      <c r="D208" s="209">
        <v>9.9999999999999995E-7</v>
      </c>
      <c r="E208" s="683" t="s">
        <v>128</v>
      </c>
      <c r="F208" s="679"/>
      <c r="G208" s="677">
        <f t="shared" si="54"/>
        <v>0</v>
      </c>
      <c r="I208" s="676">
        <v>6</v>
      </c>
      <c r="J208" s="682">
        <v>80</v>
      </c>
      <c r="K208" s="682">
        <v>-0.9</v>
      </c>
      <c r="L208" s="683" t="s">
        <v>128</v>
      </c>
      <c r="M208" s="679"/>
      <c r="N208" s="677">
        <f t="shared" si="55"/>
        <v>0</v>
      </c>
      <c r="P208" s="676">
        <v>6</v>
      </c>
      <c r="Q208" s="682">
        <v>1005</v>
      </c>
      <c r="R208" s="683">
        <v>2.2000000000000002</v>
      </c>
      <c r="S208" s="683" t="s">
        <v>128</v>
      </c>
      <c r="T208" s="679"/>
      <c r="U208" s="677">
        <f t="shared" si="56"/>
        <v>0</v>
      </c>
    </row>
    <row r="209" spans="1:31" ht="13" x14ac:dyDescent="0.25">
      <c r="A209" s="1568"/>
      <c r="B209" s="676">
        <v>7</v>
      </c>
      <c r="C209" s="690">
        <v>40</v>
      </c>
      <c r="D209" s="682">
        <v>0.2</v>
      </c>
      <c r="E209" s="683" t="s">
        <v>128</v>
      </c>
      <c r="F209" s="679"/>
      <c r="G209" s="677">
        <f t="shared" si="54"/>
        <v>0</v>
      </c>
      <c r="I209" s="676">
        <v>7</v>
      </c>
      <c r="J209" s="690">
        <v>90</v>
      </c>
      <c r="K209" s="682">
        <v>-0.6</v>
      </c>
      <c r="L209" s="683" t="s">
        <v>128</v>
      </c>
      <c r="M209" s="679"/>
      <c r="N209" s="677">
        <f t="shared" si="55"/>
        <v>0</v>
      </c>
      <c r="P209" s="676">
        <v>7</v>
      </c>
      <c r="Q209" s="682">
        <v>1020</v>
      </c>
      <c r="R209" s="683">
        <v>2.2999999999999998</v>
      </c>
      <c r="S209" s="683" t="s">
        <v>128</v>
      </c>
      <c r="T209" s="679"/>
      <c r="U209" s="677">
        <f t="shared" si="56"/>
        <v>0</v>
      </c>
    </row>
    <row r="210" spans="1:31" ht="13" thickBot="1" x14ac:dyDescent="0.3">
      <c r="A210" s="692"/>
      <c r="C210" s="598"/>
      <c r="D210" s="687"/>
      <c r="E210" s="693"/>
      <c r="F210" s="598"/>
      <c r="J210" s="598"/>
      <c r="K210" s="687"/>
      <c r="L210" s="693"/>
      <c r="M210" s="598"/>
      <c r="Q210" s="687"/>
      <c r="R210" s="693"/>
      <c r="S210" s="693"/>
      <c r="T210" s="598"/>
    </row>
    <row r="211" spans="1:31" x14ac:dyDescent="0.25">
      <c r="A211" s="1568">
        <v>20</v>
      </c>
      <c r="B211" s="1569">
        <v>20</v>
      </c>
      <c r="C211" s="1569"/>
      <c r="D211" s="1569"/>
      <c r="E211" s="1569"/>
      <c r="F211" s="1569"/>
      <c r="G211" s="1569"/>
      <c r="I211" s="1569">
        <f>B211</f>
        <v>20</v>
      </c>
      <c r="J211" s="1569"/>
      <c r="K211" s="1569"/>
      <c r="L211" s="1569"/>
      <c r="M211" s="1569"/>
      <c r="N211" s="1569"/>
      <c r="P211" s="1569">
        <f>I211</f>
        <v>20</v>
      </c>
      <c r="Q211" s="1569"/>
      <c r="R211" s="1569"/>
      <c r="S211" s="1569"/>
      <c r="T211" s="1569"/>
      <c r="U211" s="1569"/>
      <c r="W211" s="1575" t="s">
        <v>389</v>
      </c>
      <c r="X211" s="1576"/>
    </row>
    <row r="212" spans="1:31" ht="13" x14ac:dyDescent="0.25">
      <c r="A212" s="1568"/>
      <c r="B212" s="1577" t="s">
        <v>435</v>
      </c>
      <c r="C212" s="1577"/>
      <c r="D212" s="1577" t="s">
        <v>298</v>
      </c>
      <c r="E212" s="1577"/>
      <c r="F212" s="1577"/>
      <c r="G212" s="1577" t="s">
        <v>294</v>
      </c>
      <c r="I212" s="1577" t="s">
        <v>436</v>
      </c>
      <c r="J212" s="1577"/>
      <c r="K212" s="1577" t="s">
        <v>298</v>
      </c>
      <c r="L212" s="1577"/>
      <c r="M212" s="1577"/>
      <c r="N212" s="1577" t="s">
        <v>294</v>
      </c>
      <c r="P212" s="1577" t="s">
        <v>437</v>
      </c>
      <c r="Q212" s="1577"/>
      <c r="R212" s="1577" t="s">
        <v>298</v>
      </c>
      <c r="S212" s="1577"/>
      <c r="T212" s="1577"/>
      <c r="U212" s="1577" t="s">
        <v>294</v>
      </c>
      <c r="W212" s="674" t="s">
        <v>435</v>
      </c>
      <c r="X212" s="675">
        <v>0</v>
      </c>
    </row>
    <row r="213" spans="1:31" ht="14.5" x14ac:dyDescent="0.25">
      <c r="A213" s="1568"/>
      <c r="B213" s="1567" t="s">
        <v>438</v>
      </c>
      <c r="C213" s="1567"/>
      <c r="D213" s="565">
        <v>2017</v>
      </c>
      <c r="E213" s="566" t="s">
        <v>128</v>
      </c>
      <c r="F213" s="565">
        <v>2016</v>
      </c>
      <c r="G213" s="1577"/>
      <c r="I213" s="1566" t="s">
        <v>68</v>
      </c>
      <c r="J213" s="1567"/>
      <c r="K213" s="689">
        <f>D213</f>
        <v>2017</v>
      </c>
      <c r="L213" s="689" t="str">
        <f>E213</f>
        <v>-</v>
      </c>
      <c r="M213" s="565">
        <v>2016</v>
      </c>
      <c r="N213" s="1577"/>
      <c r="P213" s="1566" t="s">
        <v>439</v>
      </c>
      <c r="Q213" s="1567"/>
      <c r="R213" s="689">
        <f>K213</f>
        <v>2017</v>
      </c>
      <c r="S213" s="689" t="str">
        <f>L213</f>
        <v>-</v>
      </c>
      <c r="T213" s="565">
        <v>2016</v>
      </c>
      <c r="U213" s="1577"/>
      <c r="W213" s="674" t="s">
        <v>68</v>
      </c>
      <c r="X213" s="675">
        <v>0</v>
      </c>
    </row>
    <row r="214" spans="1:31" ht="13.5" thickBot="1" x14ac:dyDescent="0.3">
      <c r="A214" s="1568"/>
      <c r="B214" s="676">
        <v>1</v>
      </c>
      <c r="C214" s="226">
        <v>14.8</v>
      </c>
      <c r="D214" s="209">
        <v>9.9999999999999995E-7</v>
      </c>
      <c r="E214" s="209" t="s">
        <v>128</v>
      </c>
      <c r="F214" s="209">
        <v>9.9999999999999995E-7</v>
      </c>
      <c r="G214" s="677">
        <f>0.5*(MAX(D214:F214)-MIN(D214:F214))</f>
        <v>0</v>
      </c>
      <c r="I214" s="676">
        <v>1</v>
      </c>
      <c r="J214" s="226">
        <v>45.7</v>
      </c>
      <c r="K214" s="209">
        <v>9.9999999999999995E-7</v>
      </c>
      <c r="L214" s="209" t="s">
        <v>128</v>
      </c>
      <c r="M214" s="679"/>
      <c r="N214" s="677">
        <f>0.5*(MAX(K214:M214)-MIN(K214:M214))</f>
        <v>0</v>
      </c>
      <c r="P214" s="676">
        <v>1</v>
      </c>
      <c r="Q214" s="226">
        <v>750</v>
      </c>
      <c r="R214" s="210" t="s">
        <v>128</v>
      </c>
      <c r="S214" s="209" t="s">
        <v>128</v>
      </c>
      <c r="T214" s="679"/>
      <c r="U214" s="677">
        <f>0.5*(MAX(R214:T214)-MIN(R214:T214))</f>
        <v>0</v>
      </c>
      <c r="W214" s="680" t="s">
        <v>439</v>
      </c>
      <c r="X214" s="681">
        <v>0</v>
      </c>
    </row>
    <row r="215" spans="1:31" ht="13" x14ac:dyDescent="0.25">
      <c r="A215" s="1568"/>
      <c r="B215" s="676">
        <v>2</v>
      </c>
      <c r="C215" s="226">
        <v>19.7</v>
      </c>
      <c r="D215" s="209">
        <v>9.9999999999999995E-7</v>
      </c>
      <c r="E215" s="209" t="s">
        <v>128</v>
      </c>
      <c r="F215" s="209">
        <v>9.9999999999999995E-7</v>
      </c>
      <c r="G215" s="677">
        <f t="shared" ref="G215:G220" si="57">0.5*(MAX(D215:F215)-MIN(D215:F215))</f>
        <v>0</v>
      </c>
      <c r="I215" s="676">
        <v>2</v>
      </c>
      <c r="J215" s="226">
        <v>54.3</v>
      </c>
      <c r="K215" s="209">
        <v>9.9999999999999995E-7</v>
      </c>
      <c r="L215" s="209" t="s">
        <v>128</v>
      </c>
      <c r="M215" s="679"/>
      <c r="N215" s="677">
        <f t="shared" ref="N215:N220" si="58">0.5*(MAX(K215:M215)-MIN(K215:M215))</f>
        <v>0</v>
      </c>
      <c r="P215" s="676">
        <v>2</v>
      </c>
      <c r="Q215" s="226">
        <v>800</v>
      </c>
      <c r="R215" s="210" t="s">
        <v>128</v>
      </c>
      <c r="S215" s="209" t="s">
        <v>128</v>
      </c>
      <c r="T215" s="679"/>
      <c r="U215" s="677">
        <f t="shared" ref="U215:U220" si="59">0.5*(MAX(R215:T215)-MIN(R215:T215))</f>
        <v>0</v>
      </c>
    </row>
    <row r="216" spans="1:31" ht="13" x14ac:dyDescent="0.25">
      <c r="A216" s="1568"/>
      <c r="B216" s="676">
        <v>3</v>
      </c>
      <c r="C216" s="226">
        <v>24.6</v>
      </c>
      <c r="D216" s="209">
        <v>9.9999999999999995E-7</v>
      </c>
      <c r="E216" s="209" t="s">
        <v>128</v>
      </c>
      <c r="F216" s="209">
        <v>9.9999999999999995E-7</v>
      </c>
      <c r="G216" s="677">
        <f t="shared" si="57"/>
        <v>0</v>
      </c>
      <c r="I216" s="676">
        <v>3</v>
      </c>
      <c r="J216" s="226">
        <v>62.5</v>
      </c>
      <c r="K216" s="209">
        <v>9.9999999999999995E-7</v>
      </c>
      <c r="L216" s="209" t="s">
        <v>128</v>
      </c>
      <c r="M216" s="679"/>
      <c r="N216" s="677">
        <f t="shared" si="58"/>
        <v>0</v>
      </c>
      <c r="P216" s="676">
        <v>3</v>
      </c>
      <c r="Q216" s="226">
        <v>850</v>
      </c>
      <c r="R216" s="210" t="s">
        <v>128</v>
      </c>
      <c r="S216" s="209" t="s">
        <v>128</v>
      </c>
      <c r="T216" s="679"/>
      <c r="U216" s="677">
        <f t="shared" si="59"/>
        <v>0</v>
      </c>
    </row>
    <row r="217" spans="1:31" ht="13" x14ac:dyDescent="0.25">
      <c r="A217" s="1568"/>
      <c r="B217" s="676">
        <v>4</v>
      </c>
      <c r="C217" s="682">
        <v>29.5</v>
      </c>
      <c r="D217" s="209">
        <v>9.9999999999999995E-7</v>
      </c>
      <c r="E217" s="683" t="s">
        <v>128</v>
      </c>
      <c r="F217" s="209">
        <v>9.9999999999999995E-7</v>
      </c>
      <c r="G217" s="677">
        <f t="shared" si="57"/>
        <v>0</v>
      </c>
      <c r="I217" s="676">
        <v>4</v>
      </c>
      <c r="J217" s="682">
        <v>71.5</v>
      </c>
      <c r="K217" s="209">
        <v>9.9999999999999995E-7</v>
      </c>
      <c r="L217" s="683" t="s">
        <v>128</v>
      </c>
      <c r="M217" s="679"/>
      <c r="N217" s="677">
        <f t="shared" si="58"/>
        <v>0</v>
      </c>
      <c r="P217" s="676">
        <v>4</v>
      </c>
      <c r="Q217" s="682">
        <v>900</v>
      </c>
      <c r="R217" s="683" t="s">
        <v>128</v>
      </c>
      <c r="S217" s="683" t="s">
        <v>128</v>
      </c>
      <c r="T217" s="679"/>
      <c r="U217" s="677">
        <f t="shared" si="59"/>
        <v>0</v>
      </c>
    </row>
    <row r="218" spans="1:31" ht="13" x14ac:dyDescent="0.25">
      <c r="A218" s="1568"/>
      <c r="B218" s="676">
        <v>5</v>
      </c>
      <c r="C218" s="682">
        <v>34.5</v>
      </c>
      <c r="D218" s="209">
        <v>9.9999999999999995E-7</v>
      </c>
      <c r="E218" s="683" t="s">
        <v>128</v>
      </c>
      <c r="F218" s="209">
        <v>9.9999999999999995E-7</v>
      </c>
      <c r="G218" s="677">
        <f t="shared" si="57"/>
        <v>0</v>
      </c>
      <c r="I218" s="676">
        <v>5</v>
      </c>
      <c r="J218" s="682">
        <v>80.8</v>
      </c>
      <c r="K218" s="209">
        <v>9.9999999999999995E-7</v>
      </c>
      <c r="L218" s="683" t="s">
        <v>128</v>
      </c>
      <c r="M218" s="679"/>
      <c r="N218" s="677">
        <f t="shared" si="58"/>
        <v>0</v>
      </c>
      <c r="P218" s="676">
        <v>5</v>
      </c>
      <c r="Q218" s="682">
        <v>1000</v>
      </c>
      <c r="R218" s="683" t="s">
        <v>128</v>
      </c>
      <c r="S218" s="683" t="s">
        <v>128</v>
      </c>
      <c r="T218" s="679"/>
      <c r="U218" s="677">
        <f t="shared" si="59"/>
        <v>0</v>
      </c>
    </row>
    <row r="219" spans="1:31" ht="13" x14ac:dyDescent="0.25">
      <c r="A219" s="1568"/>
      <c r="B219" s="676">
        <v>6</v>
      </c>
      <c r="C219" s="682">
        <v>39.5</v>
      </c>
      <c r="D219" s="209">
        <v>9.9999999999999995E-7</v>
      </c>
      <c r="E219" s="683" t="s">
        <v>128</v>
      </c>
      <c r="F219" s="209">
        <v>9.9999999999999995E-7</v>
      </c>
      <c r="G219" s="677">
        <f t="shared" si="57"/>
        <v>0</v>
      </c>
      <c r="I219" s="676">
        <v>6</v>
      </c>
      <c r="J219" s="682">
        <v>88.7</v>
      </c>
      <c r="K219" s="209">
        <v>9.9999999999999995E-7</v>
      </c>
      <c r="L219" s="683" t="s">
        <v>128</v>
      </c>
      <c r="M219" s="679"/>
      <c r="N219" s="677">
        <f t="shared" si="58"/>
        <v>0</v>
      </c>
      <c r="P219" s="676">
        <v>6</v>
      </c>
      <c r="Q219" s="682">
        <v>1005</v>
      </c>
      <c r="R219" s="683" t="s">
        <v>128</v>
      </c>
      <c r="S219" s="683" t="s">
        <v>128</v>
      </c>
      <c r="T219" s="679"/>
      <c r="U219" s="677">
        <f t="shared" si="59"/>
        <v>0</v>
      </c>
    </row>
    <row r="220" spans="1:31" ht="13" x14ac:dyDescent="0.25">
      <c r="A220" s="1568"/>
      <c r="B220" s="676">
        <v>7</v>
      </c>
      <c r="C220" s="690">
        <v>40</v>
      </c>
      <c r="D220" s="209">
        <v>9.9999999999999995E-7</v>
      </c>
      <c r="E220" s="683" t="s">
        <v>128</v>
      </c>
      <c r="F220" s="209">
        <v>9.9999999999999995E-7</v>
      </c>
      <c r="G220" s="677">
        <f t="shared" si="57"/>
        <v>0</v>
      </c>
      <c r="I220" s="676">
        <v>7</v>
      </c>
      <c r="J220" s="690">
        <v>90</v>
      </c>
      <c r="K220" s="209">
        <v>9.9999999999999995E-7</v>
      </c>
      <c r="L220" s="683" t="s">
        <v>128</v>
      </c>
      <c r="M220" s="679"/>
      <c r="N220" s="677">
        <f t="shared" si="58"/>
        <v>0</v>
      </c>
      <c r="P220" s="676">
        <v>7</v>
      </c>
      <c r="Q220" s="682">
        <v>1020</v>
      </c>
      <c r="R220" s="683" t="s">
        <v>128</v>
      </c>
      <c r="S220" s="683" t="s">
        <v>128</v>
      </c>
      <c r="T220" s="679"/>
      <c r="U220" s="677">
        <f t="shared" si="59"/>
        <v>0</v>
      </c>
    </row>
    <row r="221" spans="1:31" ht="13.5" thickBot="1" x14ac:dyDescent="0.35">
      <c r="A221" s="696"/>
      <c r="B221" s="1565"/>
      <c r="C221" s="1565"/>
      <c r="D221" s="1565"/>
      <c r="E221" s="1565"/>
      <c r="F221" s="1565"/>
      <c r="G221" s="1565"/>
      <c r="H221" s="1565"/>
      <c r="I221" s="1565"/>
      <c r="J221" s="1565"/>
      <c r="K221" s="1565"/>
      <c r="L221" s="1565"/>
      <c r="M221" s="1565"/>
      <c r="N221" s="1565"/>
      <c r="O221" s="1565"/>
      <c r="P221" s="1565"/>
      <c r="Q221" s="1565"/>
      <c r="R221" s="1565"/>
      <c r="S221" s="1565"/>
      <c r="T221" s="1565"/>
      <c r="U221" s="1565"/>
    </row>
    <row r="222" spans="1:31" ht="13.5" thickBot="1" x14ac:dyDescent="0.35">
      <c r="A222" s="686"/>
      <c r="B222" s="686"/>
      <c r="C222" s="686"/>
      <c r="D222" s="686"/>
      <c r="E222" s="686"/>
      <c r="F222" s="686"/>
      <c r="G222" s="686"/>
      <c r="H222" s="686"/>
      <c r="I222" s="686"/>
      <c r="J222" s="686"/>
      <c r="K222" s="686"/>
      <c r="L222" s="686"/>
      <c r="M222" s="686"/>
      <c r="N222" s="686"/>
      <c r="O222" s="686"/>
      <c r="P222" s="686"/>
    </row>
    <row r="223" spans="1:31" ht="12.75" customHeight="1" x14ac:dyDescent="0.25">
      <c r="A223" s="1542" t="s">
        <v>91</v>
      </c>
      <c r="B223" s="1570" t="s">
        <v>458</v>
      </c>
      <c r="C223" s="1569" t="s">
        <v>459</v>
      </c>
      <c r="D223" s="1569"/>
      <c r="E223" s="1569"/>
      <c r="F223" s="1569"/>
      <c r="G223" s="697"/>
      <c r="I223" s="1542" t="s">
        <v>91</v>
      </c>
      <c r="J223" s="1570" t="s">
        <v>458</v>
      </c>
      <c r="K223" s="1569" t="s">
        <v>459</v>
      </c>
      <c r="L223" s="1569"/>
      <c r="M223" s="1569"/>
      <c r="N223" s="1569"/>
      <c r="O223" s="576"/>
      <c r="Q223" s="1571" t="s">
        <v>91</v>
      </c>
      <c r="R223" s="1572" t="s">
        <v>458</v>
      </c>
      <c r="S223" s="1573" t="s">
        <v>459</v>
      </c>
      <c r="T223" s="1573"/>
      <c r="U223" s="1573"/>
      <c r="V223" s="1574"/>
      <c r="Y223" s="1555" t="s">
        <v>389</v>
      </c>
      <c r="Z223" s="1556"/>
      <c r="AE223" s="698"/>
    </row>
    <row r="224" spans="1:31" ht="13.5" x14ac:dyDescent="0.3">
      <c r="A224" s="1542"/>
      <c r="B224" s="1570"/>
      <c r="C224" s="699" t="s">
        <v>435</v>
      </c>
      <c r="D224" s="1560" t="s">
        <v>298</v>
      </c>
      <c r="E224" s="1560"/>
      <c r="F224" s="1560"/>
      <c r="G224" s="1560" t="s">
        <v>294</v>
      </c>
      <c r="I224" s="1542"/>
      <c r="J224" s="1570"/>
      <c r="K224" s="699" t="s">
        <v>436</v>
      </c>
      <c r="L224" s="1560" t="s">
        <v>298</v>
      </c>
      <c r="M224" s="1560"/>
      <c r="N224" s="1560"/>
      <c r="O224" s="1560" t="s">
        <v>294</v>
      </c>
      <c r="Q224" s="1542"/>
      <c r="R224" s="1570"/>
      <c r="S224" s="699" t="s">
        <v>437</v>
      </c>
      <c r="T224" s="1561" t="s">
        <v>298</v>
      </c>
      <c r="U224" s="1562"/>
      <c r="V224" s="1563"/>
      <c r="W224" s="1564" t="s">
        <v>294</v>
      </c>
      <c r="Y224" s="1557" t="s">
        <v>435</v>
      </c>
      <c r="Z224" s="1558"/>
      <c r="AE224" s="686"/>
    </row>
    <row r="225" spans="1:38" ht="14" x14ac:dyDescent="0.3">
      <c r="A225" s="1542"/>
      <c r="B225" s="1570"/>
      <c r="C225" s="700" t="s">
        <v>460</v>
      </c>
      <c r="D225" s="699"/>
      <c r="E225" s="699"/>
      <c r="F225" s="576"/>
      <c r="G225" s="1560"/>
      <c r="I225" s="1542"/>
      <c r="J225" s="1570"/>
      <c r="K225" s="700" t="s">
        <v>68</v>
      </c>
      <c r="L225" s="699"/>
      <c r="M225" s="699"/>
      <c r="N225" s="576"/>
      <c r="O225" s="1560"/>
      <c r="Q225" s="1542"/>
      <c r="R225" s="1570"/>
      <c r="S225" s="700" t="s">
        <v>439</v>
      </c>
      <c r="T225" s="699"/>
      <c r="U225" s="699"/>
      <c r="W225" s="1564"/>
      <c r="Y225" s="701">
        <v>1</v>
      </c>
      <c r="Z225" s="702">
        <f>X3</f>
        <v>0.6</v>
      </c>
      <c r="AE225" s="686"/>
    </row>
    <row r="226" spans="1:38" ht="13" x14ac:dyDescent="0.3">
      <c r="A226" s="1549">
        <v>1</v>
      </c>
      <c r="B226" s="703">
        <v>1</v>
      </c>
      <c r="C226" s="703">
        <f>C5</f>
        <v>15</v>
      </c>
      <c r="D226" s="703">
        <f t="shared" ref="D226:F226" si="60">D5</f>
        <v>-0.5</v>
      </c>
      <c r="E226" s="703">
        <f t="shared" si="60"/>
        <v>0.3</v>
      </c>
      <c r="F226" s="703">
        <f t="shared" si="60"/>
        <v>0</v>
      </c>
      <c r="G226" s="703">
        <f>G5</f>
        <v>0.4</v>
      </c>
      <c r="I226" s="1549">
        <v>1</v>
      </c>
      <c r="J226" s="703">
        <v>1</v>
      </c>
      <c r="K226" s="703">
        <f>J5</f>
        <v>35</v>
      </c>
      <c r="L226" s="703">
        <f t="shared" ref="L226:N226" si="61">K5</f>
        <v>-6</v>
      </c>
      <c r="M226" s="703">
        <f t="shared" si="61"/>
        <v>-9.4</v>
      </c>
      <c r="N226" s="703">
        <f t="shared" si="61"/>
        <v>0</v>
      </c>
      <c r="O226" s="703">
        <f>N5</f>
        <v>1.7000000000000002</v>
      </c>
      <c r="Q226" s="1559">
        <v>1</v>
      </c>
      <c r="R226" s="703">
        <v>1</v>
      </c>
      <c r="S226" s="703">
        <f>Q5</f>
        <v>750</v>
      </c>
      <c r="T226" s="704" t="str">
        <f t="shared" ref="T226:V226" si="62">R5</f>
        <v>-</v>
      </c>
      <c r="U226" s="704" t="str">
        <f t="shared" si="62"/>
        <v>-</v>
      </c>
      <c r="V226" s="704">
        <f t="shared" si="62"/>
        <v>0</v>
      </c>
      <c r="W226" s="704">
        <f>U5</f>
        <v>0</v>
      </c>
      <c r="Y226" s="705">
        <v>2</v>
      </c>
      <c r="Z226" s="702">
        <f>X14</f>
        <v>0.5</v>
      </c>
      <c r="AE226" s="686"/>
    </row>
    <row r="227" spans="1:38" ht="13" x14ac:dyDescent="0.3">
      <c r="A227" s="1549"/>
      <c r="B227" s="703">
        <v>2</v>
      </c>
      <c r="C227" s="703">
        <f>C16</f>
        <v>15</v>
      </c>
      <c r="D227" s="703">
        <f t="shared" ref="D227:F227" si="63">D16</f>
        <v>0.2</v>
      </c>
      <c r="E227" s="703">
        <f t="shared" si="63"/>
        <v>0.4</v>
      </c>
      <c r="F227" s="703">
        <f t="shared" si="63"/>
        <v>9.9999999999999995E-7</v>
      </c>
      <c r="G227" s="703">
        <f>G16</f>
        <v>0.19999950000000002</v>
      </c>
      <c r="I227" s="1549"/>
      <c r="J227" s="703">
        <v>2</v>
      </c>
      <c r="K227" s="703">
        <f>J16</f>
        <v>35</v>
      </c>
      <c r="L227" s="703">
        <f t="shared" ref="L227:N227" si="64">K16</f>
        <v>-12.6</v>
      </c>
      <c r="M227" s="703">
        <f t="shared" si="64"/>
        <v>-6.9</v>
      </c>
      <c r="N227" s="703">
        <f t="shared" si="64"/>
        <v>-1.6</v>
      </c>
      <c r="O227" s="703">
        <f>N16</f>
        <v>5.5</v>
      </c>
      <c r="Q227" s="1553"/>
      <c r="R227" s="703">
        <v>2</v>
      </c>
      <c r="S227" s="703">
        <f>Q16</f>
        <v>750</v>
      </c>
      <c r="T227" s="704" t="str">
        <f t="shared" ref="T227:V227" si="65">R16</f>
        <v>-</v>
      </c>
      <c r="U227" s="704" t="str">
        <f t="shared" si="65"/>
        <v>-</v>
      </c>
      <c r="V227" s="704">
        <f t="shared" si="65"/>
        <v>0</v>
      </c>
      <c r="W227" s="704">
        <f>U16</f>
        <v>0</v>
      </c>
      <c r="Y227" s="705">
        <v>3</v>
      </c>
      <c r="Z227" s="706">
        <f>X25</f>
        <v>0.5</v>
      </c>
      <c r="AE227" s="686"/>
    </row>
    <row r="228" spans="1:38" ht="13" x14ac:dyDescent="0.3">
      <c r="A228" s="1549"/>
      <c r="B228" s="703">
        <v>3</v>
      </c>
      <c r="C228" s="703">
        <f>C27</f>
        <v>15</v>
      </c>
      <c r="D228" s="703">
        <f t="shared" ref="D228:F228" si="66">D27</f>
        <v>0.2</v>
      </c>
      <c r="E228" s="703">
        <f t="shared" si="66"/>
        <v>0.4</v>
      </c>
      <c r="F228" s="703">
        <f t="shared" si="66"/>
        <v>9.9999999999999995E-7</v>
      </c>
      <c r="G228" s="703">
        <f>G27</f>
        <v>0.19999950000000002</v>
      </c>
      <c r="I228" s="1549"/>
      <c r="J228" s="703">
        <v>3</v>
      </c>
      <c r="K228" s="703">
        <f>J27</f>
        <v>35</v>
      </c>
      <c r="L228" s="703">
        <f t="shared" ref="L228:N228" si="67">K27</f>
        <v>-11.5</v>
      </c>
      <c r="M228" s="703">
        <f t="shared" si="67"/>
        <v>-7.3</v>
      </c>
      <c r="N228" s="703">
        <f t="shared" si="67"/>
        <v>-5.7</v>
      </c>
      <c r="O228" s="703">
        <f>N27</f>
        <v>2.9</v>
      </c>
      <c r="Q228" s="1553"/>
      <c r="R228" s="703">
        <v>3</v>
      </c>
      <c r="S228" s="703">
        <f>Q27</f>
        <v>750</v>
      </c>
      <c r="T228" s="704" t="str">
        <f t="shared" ref="T228:V228" si="68">R27</f>
        <v>-</v>
      </c>
      <c r="U228" s="704" t="str">
        <f t="shared" si="68"/>
        <v>-</v>
      </c>
      <c r="V228" s="704">
        <f t="shared" si="68"/>
        <v>0</v>
      </c>
      <c r="W228" s="704">
        <f>U27</f>
        <v>0</v>
      </c>
      <c r="Y228" s="705">
        <v>4</v>
      </c>
      <c r="Z228" s="706">
        <f>X36</f>
        <v>0.3</v>
      </c>
      <c r="AE228" s="686"/>
    </row>
    <row r="229" spans="1:38" ht="13" x14ac:dyDescent="0.3">
      <c r="A229" s="1549"/>
      <c r="B229" s="703">
        <v>4</v>
      </c>
      <c r="C229" s="707">
        <f>C38</f>
        <v>15</v>
      </c>
      <c r="D229" s="707">
        <f t="shared" ref="D229:F229" si="69">D38</f>
        <v>-0.2</v>
      </c>
      <c r="E229" s="707">
        <f t="shared" si="69"/>
        <v>-0.1</v>
      </c>
      <c r="F229" s="707">
        <f t="shared" si="69"/>
        <v>0</v>
      </c>
      <c r="G229" s="707">
        <f>G38</f>
        <v>0.05</v>
      </c>
      <c r="I229" s="1549"/>
      <c r="J229" s="703">
        <v>4</v>
      </c>
      <c r="K229" s="707">
        <f>J38</f>
        <v>35</v>
      </c>
      <c r="L229" s="707">
        <f t="shared" ref="L229:N229" si="70">K38</f>
        <v>-4.5</v>
      </c>
      <c r="M229" s="707">
        <f t="shared" si="70"/>
        <v>-1.7</v>
      </c>
      <c r="N229" s="707">
        <f t="shared" si="70"/>
        <v>0</v>
      </c>
      <c r="O229" s="707">
        <f>N38</f>
        <v>1.4</v>
      </c>
      <c r="Q229" s="1553"/>
      <c r="R229" s="703">
        <v>4</v>
      </c>
      <c r="S229" s="707">
        <f>Q38</f>
        <v>750</v>
      </c>
      <c r="T229" s="708" t="str">
        <f t="shared" ref="T229:V229" si="71">R38</f>
        <v>-</v>
      </c>
      <c r="U229" s="708" t="str">
        <f t="shared" si="71"/>
        <v>-</v>
      </c>
      <c r="V229" s="708">
        <f t="shared" si="71"/>
        <v>0</v>
      </c>
      <c r="W229" s="708">
        <f>U38</f>
        <v>0</v>
      </c>
      <c r="Y229" s="705">
        <v>5</v>
      </c>
      <c r="Z229" s="706">
        <f>X47</f>
        <v>0.5</v>
      </c>
      <c r="AE229" s="686"/>
    </row>
    <row r="230" spans="1:38" ht="13" x14ac:dyDescent="0.3">
      <c r="A230" s="1549"/>
      <c r="B230" s="703">
        <v>5</v>
      </c>
      <c r="C230" s="707">
        <f>C49</f>
        <v>15</v>
      </c>
      <c r="D230" s="707">
        <f t="shared" ref="D230:F230" si="72">D49</f>
        <v>0.3</v>
      </c>
      <c r="E230" s="707">
        <f t="shared" si="72"/>
        <v>-0.3</v>
      </c>
      <c r="F230" s="707">
        <f t="shared" si="72"/>
        <v>0.3</v>
      </c>
      <c r="G230" s="707">
        <f>G49</f>
        <v>0.3</v>
      </c>
      <c r="I230" s="1549"/>
      <c r="J230" s="703">
        <v>5</v>
      </c>
      <c r="K230" s="707">
        <f>J49</f>
        <v>35</v>
      </c>
      <c r="L230" s="707">
        <f t="shared" ref="L230:N230" si="73">K49</f>
        <v>-10.5</v>
      </c>
      <c r="M230" s="707">
        <f t="shared" si="73"/>
        <v>-7.7</v>
      </c>
      <c r="N230" s="707">
        <f t="shared" si="73"/>
        <v>-9.6</v>
      </c>
      <c r="O230" s="707">
        <f>N49</f>
        <v>1.4</v>
      </c>
      <c r="Q230" s="1553"/>
      <c r="R230" s="703">
        <v>5</v>
      </c>
      <c r="S230" s="707">
        <f>Q49</f>
        <v>750</v>
      </c>
      <c r="T230" s="708" t="str">
        <f t="shared" ref="T230:V230" si="74">R49</f>
        <v>-</v>
      </c>
      <c r="U230" s="708" t="str">
        <f t="shared" si="74"/>
        <v>-</v>
      </c>
      <c r="V230" s="708">
        <f t="shared" si="74"/>
        <v>0</v>
      </c>
      <c r="W230" s="708">
        <f>U49</f>
        <v>0</v>
      </c>
      <c r="Y230" s="701">
        <v>6</v>
      </c>
      <c r="Z230" s="702">
        <f>X58</f>
        <v>0.8</v>
      </c>
      <c r="AE230" s="686"/>
    </row>
    <row r="231" spans="1:38" ht="13" x14ac:dyDescent="0.3">
      <c r="A231" s="1549"/>
      <c r="B231" s="703">
        <v>6</v>
      </c>
      <c r="C231" s="707">
        <f>C60</f>
        <v>15</v>
      </c>
      <c r="D231" s="707">
        <f t="shared" ref="D231:F231" si="75">D60</f>
        <v>0.4</v>
      </c>
      <c r="E231" s="707">
        <f t="shared" si="75"/>
        <v>0.4</v>
      </c>
      <c r="F231" s="707">
        <f t="shared" si="75"/>
        <v>0</v>
      </c>
      <c r="G231" s="707">
        <f>G60</f>
        <v>0</v>
      </c>
      <c r="I231" s="1549"/>
      <c r="J231" s="703">
        <v>6</v>
      </c>
      <c r="K231" s="707">
        <f>J60</f>
        <v>30</v>
      </c>
      <c r="L231" s="707">
        <f t="shared" ref="L231:N231" si="76">K60</f>
        <v>-1.5</v>
      </c>
      <c r="M231" s="707">
        <f t="shared" si="76"/>
        <v>1.7</v>
      </c>
      <c r="N231" s="707">
        <f t="shared" si="76"/>
        <v>0</v>
      </c>
      <c r="O231" s="707">
        <f>N60</f>
        <v>1.6</v>
      </c>
      <c r="Q231" s="1553"/>
      <c r="R231" s="703">
        <v>6</v>
      </c>
      <c r="S231" s="707">
        <f>Q60</f>
        <v>750</v>
      </c>
      <c r="T231" s="708">
        <f t="shared" ref="T231:V231" si="77">R60</f>
        <v>0.9</v>
      </c>
      <c r="U231" s="708">
        <f t="shared" si="77"/>
        <v>2.1</v>
      </c>
      <c r="V231" s="708">
        <f t="shared" si="77"/>
        <v>0</v>
      </c>
      <c r="W231" s="708">
        <f>U60</f>
        <v>0.60000000000000009</v>
      </c>
      <c r="Y231" s="701">
        <v>7</v>
      </c>
      <c r="Z231" s="702">
        <f>X69</f>
        <v>0.5</v>
      </c>
      <c r="AE231" s="686"/>
    </row>
    <row r="232" spans="1:38" ht="13" x14ac:dyDescent="0.3">
      <c r="A232" s="1549"/>
      <c r="B232" s="703">
        <v>7</v>
      </c>
      <c r="C232" s="707">
        <f>C71</f>
        <v>15</v>
      </c>
      <c r="D232" s="707">
        <f t="shared" ref="D232:F232" si="78">D71</f>
        <v>0.1</v>
      </c>
      <c r="E232" s="707">
        <f t="shared" si="78"/>
        <v>0.1</v>
      </c>
      <c r="F232" s="707">
        <f t="shared" si="78"/>
        <v>0.3</v>
      </c>
      <c r="G232" s="707">
        <f>G71</f>
        <v>9.9999999999999992E-2</v>
      </c>
      <c r="I232" s="1549"/>
      <c r="J232" s="703">
        <v>7</v>
      </c>
      <c r="K232" s="707">
        <f>J71</f>
        <v>30</v>
      </c>
      <c r="L232" s="707">
        <f t="shared" ref="L232:N232" si="79">K71</f>
        <v>-1.7</v>
      </c>
      <c r="M232" s="707">
        <f t="shared" si="79"/>
        <v>-1.9</v>
      </c>
      <c r="N232" s="707">
        <f t="shared" si="79"/>
        <v>1.8</v>
      </c>
      <c r="O232" s="707">
        <f>N71</f>
        <v>1.85</v>
      </c>
      <c r="Q232" s="1553"/>
      <c r="R232" s="703">
        <v>7</v>
      </c>
      <c r="S232" s="707">
        <f>Q71</f>
        <v>960</v>
      </c>
      <c r="T232" s="708">
        <f t="shared" ref="T232:V232" si="80">R71</f>
        <v>0.7</v>
      </c>
      <c r="U232" s="708" t="str">
        <f t="shared" si="80"/>
        <v>-</v>
      </c>
      <c r="V232" s="708" t="str">
        <f t="shared" si="80"/>
        <v>-</v>
      </c>
      <c r="W232" s="708">
        <f>U71</f>
        <v>0</v>
      </c>
      <c r="Y232" s="701">
        <v>8</v>
      </c>
      <c r="Z232" s="702">
        <f>X80</f>
        <v>0.3</v>
      </c>
      <c r="AE232" s="686"/>
    </row>
    <row r="233" spans="1:38" ht="13" x14ac:dyDescent="0.3">
      <c r="A233" s="1549"/>
      <c r="B233" s="703">
        <v>8</v>
      </c>
      <c r="C233" s="707">
        <f>C82</f>
        <v>15</v>
      </c>
      <c r="D233" s="707">
        <f t="shared" ref="D233:F233" si="81">D82</f>
        <v>0.1</v>
      </c>
      <c r="E233" s="707">
        <f t="shared" si="81"/>
        <v>9.9999999999999995E-7</v>
      </c>
      <c r="F233" s="707">
        <f t="shared" si="81"/>
        <v>0</v>
      </c>
      <c r="G233" s="707">
        <f>G82</f>
        <v>4.9999500000000002E-2</v>
      </c>
      <c r="I233" s="1549"/>
      <c r="J233" s="703">
        <v>8</v>
      </c>
      <c r="K233" s="707">
        <f>J82</f>
        <v>30</v>
      </c>
      <c r="L233" s="707">
        <f t="shared" ref="L233:N233" si="82">K82</f>
        <v>-4</v>
      </c>
      <c r="M233" s="707">
        <f t="shared" si="82"/>
        <v>-1.4</v>
      </c>
      <c r="N233" s="707">
        <f t="shared" si="82"/>
        <v>0</v>
      </c>
      <c r="O233" s="707">
        <f>N82</f>
        <v>1.3</v>
      </c>
      <c r="Q233" s="1553"/>
      <c r="R233" s="703">
        <v>8</v>
      </c>
      <c r="S233" s="707">
        <f>Q82</f>
        <v>750</v>
      </c>
      <c r="T233" s="708">
        <f t="shared" ref="T233:V233" si="83">R82</f>
        <v>9.9999999999999995E-7</v>
      </c>
      <c r="U233" s="708">
        <f t="shared" si="83"/>
        <v>9.9999999999999995E-7</v>
      </c>
      <c r="V233" s="708">
        <f t="shared" si="83"/>
        <v>0</v>
      </c>
      <c r="W233" s="708">
        <f>U82</f>
        <v>0</v>
      </c>
      <c r="Y233" s="701">
        <v>9</v>
      </c>
      <c r="Z233" s="702">
        <f>X91</f>
        <v>0.3</v>
      </c>
      <c r="AE233" s="686"/>
    </row>
    <row r="234" spans="1:38" ht="13" x14ac:dyDescent="0.3">
      <c r="A234" s="1549"/>
      <c r="B234" s="703">
        <v>9</v>
      </c>
      <c r="C234" s="707">
        <f>C93</f>
        <v>15</v>
      </c>
      <c r="D234" s="707">
        <f t="shared" ref="D234:F234" si="84">D93</f>
        <v>9.9999999999999995E-7</v>
      </c>
      <c r="E234" s="707" t="str">
        <f t="shared" si="84"/>
        <v>-</v>
      </c>
      <c r="F234" s="707">
        <f t="shared" si="84"/>
        <v>0</v>
      </c>
      <c r="G234" s="707">
        <f>G93</f>
        <v>0</v>
      </c>
      <c r="I234" s="1549"/>
      <c r="J234" s="703">
        <v>9</v>
      </c>
      <c r="K234" s="707">
        <f>J93</f>
        <v>30</v>
      </c>
      <c r="L234" s="707">
        <f t="shared" ref="L234:N234" si="85">K93</f>
        <v>-1.2</v>
      </c>
      <c r="M234" s="707" t="str">
        <f t="shared" si="85"/>
        <v>-</v>
      </c>
      <c r="N234" s="707">
        <f t="shared" si="85"/>
        <v>0</v>
      </c>
      <c r="O234" s="707">
        <f>N93</f>
        <v>0</v>
      </c>
      <c r="Q234" s="1553"/>
      <c r="R234" s="703">
        <v>9</v>
      </c>
      <c r="S234" s="707">
        <f>Q93</f>
        <v>750</v>
      </c>
      <c r="T234" s="708">
        <f t="shared" ref="T234:V234" si="86">R93</f>
        <v>9.9999999999999995E-7</v>
      </c>
      <c r="U234" s="708" t="str">
        <f t="shared" si="86"/>
        <v>-</v>
      </c>
      <c r="V234" s="708">
        <f t="shared" si="86"/>
        <v>0</v>
      </c>
      <c r="W234" s="708">
        <f>U93</f>
        <v>0</v>
      </c>
      <c r="Y234" s="701">
        <v>10</v>
      </c>
      <c r="Z234" s="702">
        <f>X102</f>
        <v>0.3</v>
      </c>
      <c r="AE234" s="686"/>
    </row>
    <row r="235" spans="1:38" ht="13" x14ac:dyDescent="0.3">
      <c r="A235" s="1549"/>
      <c r="B235" s="703">
        <v>10</v>
      </c>
      <c r="C235" s="707">
        <f>C104</f>
        <v>15</v>
      </c>
      <c r="D235" s="707">
        <f t="shared" ref="D235:F235" si="87">D104</f>
        <v>0.2</v>
      </c>
      <c r="E235" s="707">
        <f t="shared" si="87"/>
        <v>0.2</v>
      </c>
      <c r="F235" s="707">
        <f t="shared" si="87"/>
        <v>0</v>
      </c>
      <c r="G235" s="707">
        <f>G104</f>
        <v>0</v>
      </c>
      <c r="I235" s="1549"/>
      <c r="J235" s="703">
        <v>10</v>
      </c>
      <c r="K235" s="707">
        <f>J104</f>
        <v>30</v>
      </c>
      <c r="L235" s="707">
        <f t="shared" ref="L235:N235" si="88">K104</f>
        <v>-2.9</v>
      </c>
      <c r="M235" s="707">
        <f t="shared" si="88"/>
        <v>-5.8</v>
      </c>
      <c r="N235" s="707">
        <f t="shared" si="88"/>
        <v>0</v>
      </c>
      <c r="O235" s="707">
        <f>N104</f>
        <v>1.45</v>
      </c>
      <c r="Q235" s="1553"/>
      <c r="R235" s="703">
        <v>10</v>
      </c>
      <c r="S235" s="707">
        <f>Q104</f>
        <v>750</v>
      </c>
      <c r="T235" s="708" t="str">
        <f t="shared" ref="T235:V235" si="89">R104</f>
        <v>-</v>
      </c>
      <c r="U235" s="708" t="str">
        <f t="shared" si="89"/>
        <v>-</v>
      </c>
      <c r="V235" s="708">
        <f t="shared" si="89"/>
        <v>0</v>
      </c>
      <c r="W235" s="708">
        <f>U104</f>
        <v>0</v>
      </c>
      <c r="Y235" s="701">
        <v>11</v>
      </c>
      <c r="Z235" s="702">
        <f>X113</f>
        <v>0.3</v>
      </c>
      <c r="AE235" s="686"/>
    </row>
    <row r="236" spans="1:38" ht="13" x14ac:dyDescent="0.3">
      <c r="A236" s="1549"/>
      <c r="B236" s="703">
        <v>11</v>
      </c>
      <c r="C236" s="707">
        <f>C115</f>
        <v>15</v>
      </c>
      <c r="D236" s="707">
        <f t="shared" ref="D236:F236" si="90">D115</f>
        <v>0.3</v>
      </c>
      <c r="E236" s="707">
        <f t="shared" si="90"/>
        <v>0.3</v>
      </c>
      <c r="F236" s="707">
        <f t="shared" si="90"/>
        <v>0</v>
      </c>
      <c r="G236" s="707">
        <f>G115</f>
        <v>0</v>
      </c>
      <c r="I236" s="1549"/>
      <c r="J236" s="703">
        <v>11</v>
      </c>
      <c r="K236" s="707">
        <f>J115</f>
        <v>30</v>
      </c>
      <c r="L236" s="707">
        <f t="shared" ref="L236:N236" si="91">K115</f>
        <v>-5.2</v>
      </c>
      <c r="M236" s="707">
        <f t="shared" si="91"/>
        <v>-6.4</v>
      </c>
      <c r="N236" s="707">
        <f t="shared" si="91"/>
        <v>0</v>
      </c>
      <c r="O236" s="707">
        <f>N115</f>
        <v>0.60000000000000009</v>
      </c>
      <c r="Q236" s="1553"/>
      <c r="R236" s="703">
        <v>11</v>
      </c>
      <c r="S236" s="707">
        <f>Q115</f>
        <v>750</v>
      </c>
      <c r="T236" s="708" t="str">
        <f t="shared" ref="T236:V236" si="92">R115</f>
        <v>-</v>
      </c>
      <c r="U236" s="708" t="str">
        <f t="shared" si="92"/>
        <v>-</v>
      </c>
      <c r="V236" s="708">
        <f t="shared" si="92"/>
        <v>0</v>
      </c>
      <c r="W236" s="708">
        <f>U115</f>
        <v>0</v>
      </c>
      <c r="Y236" s="701">
        <v>12</v>
      </c>
      <c r="Z236" s="702">
        <f>X124</f>
        <v>0.3</v>
      </c>
      <c r="AE236" s="686"/>
    </row>
    <row r="237" spans="1:38" ht="13" x14ac:dyDescent="0.3">
      <c r="A237" s="1549"/>
      <c r="B237" s="703">
        <v>12</v>
      </c>
      <c r="C237" s="707">
        <f>C126</f>
        <v>15</v>
      </c>
      <c r="D237" s="707">
        <f t="shared" ref="D237:F237" si="93">D126</f>
        <v>9.9999999999999995E-7</v>
      </c>
      <c r="E237" s="707" t="str">
        <f t="shared" si="93"/>
        <v>-</v>
      </c>
      <c r="F237" s="707">
        <f t="shared" si="93"/>
        <v>0</v>
      </c>
      <c r="G237" s="707">
        <f>G126</f>
        <v>0</v>
      </c>
      <c r="I237" s="1549"/>
      <c r="J237" s="703">
        <v>12</v>
      </c>
      <c r="K237" s="707">
        <f>J126</f>
        <v>30</v>
      </c>
      <c r="L237" s="707">
        <f t="shared" ref="L237:N237" si="94">K126</f>
        <v>-0.4</v>
      </c>
      <c r="M237" s="707" t="str">
        <f t="shared" si="94"/>
        <v>-</v>
      </c>
      <c r="N237" s="707">
        <f t="shared" si="94"/>
        <v>0</v>
      </c>
      <c r="O237" s="707">
        <f>N126</f>
        <v>0</v>
      </c>
      <c r="Q237" s="1553"/>
      <c r="R237" s="703">
        <v>12</v>
      </c>
      <c r="S237" s="707">
        <f>Q126</f>
        <v>800</v>
      </c>
      <c r="T237" s="708">
        <f t="shared" ref="T237:V237" si="95">R126</f>
        <v>-0.4</v>
      </c>
      <c r="U237" s="708" t="str">
        <f t="shared" si="95"/>
        <v>-</v>
      </c>
      <c r="V237" s="708">
        <f t="shared" si="95"/>
        <v>0</v>
      </c>
      <c r="W237" s="708">
        <f>U126</f>
        <v>0</v>
      </c>
      <c r="Y237" s="701">
        <v>13</v>
      </c>
      <c r="Z237" s="709">
        <f>X135</f>
        <v>0.5</v>
      </c>
      <c r="AE237" s="686"/>
      <c r="AL237" s="686"/>
    </row>
    <row r="238" spans="1:38" ht="13" x14ac:dyDescent="0.3">
      <c r="A238" s="1549"/>
      <c r="B238" s="703">
        <v>13</v>
      </c>
      <c r="C238" s="707">
        <f>C137</f>
        <v>15</v>
      </c>
      <c r="D238" s="707">
        <f t="shared" ref="D238:F238" si="96">D137</f>
        <v>0.5</v>
      </c>
      <c r="E238" s="707">
        <f t="shared" si="96"/>
        <v>-0.7</v>
      </c>
      <c r="F238" s="707" t="str">
        <f t="shared" si="96"/>
        <v>-</v>
      </c>
      <c r="G238" s="707">
        <f>G137</f>
        <v>0</v>
      </c>
      <c r="I238" s="1549"/>
      <c r="J238" s="703">
        <v>13</v>
      </c>
      <c r="K238" s="707">
        <f>J137</f>
        <v>30</v>
      </c>
      <c r="L238" s="707">
        <f t="shared" ref="L238:N238" si="97">K137</f>
        <v>-2.2000000000000002</v>
      </c>
      <c r="M238" s="707">
        <f t="shared" si="97"/>
        <v>-1.4</v>
      </c>
      <c r="N238" s="707" t="str">
        <f t="shared" si="97"/>
        <v>-</v>
      </c>
      <c r="O238" s="707">
        <f>N137</f>
        <v>0</v>
      </c>
      <c r="Q238" s="1553"/>
      <c r="R238" s="703">
        <v>13</v>
      </c>
      <c r="S238" s="707">
        <f>Q137</f>
        <v>960</v>
      </c>
      <c r="T238" s="708">
        <f t="shared" ref="T238:V238" si="98">R137</f>
        <v>4</v>
      </c>
      <c r="U238" s="708">
        <f t="shared" si="98"/>
        <v>0.9</v>
      </c>
      <c r="V238" s="708" t="str">
        <f t="shared" si="98"/>
        <v>-</v>
      </c>
      <c r="W238" s="708">
        <f>U137</f>
        <v>0</v>
      </c>
      <c r="Y238" s="701">
        <v>14</v>
      </c>
      <c r="Z238" s="709">
        <f>X146</f>
        <v>0.5</v>
      </c>
      <c r="AE238" s="686"/>
      <c r="AL238" s="686"/>
    </row>
    <row r="239" spans="1:38" ht="13" x14ac:dyDescent="0.3">
      <c r="A239" s="1549"/>
      <c r="B239" s="703">
        <v>14</v>
      </c>
      <c r="C239" s="707">
        <f>C148</f>
        <v>15</v>
      </c>
      <c r="D239" s="707">
        <f t="shared" ref="D239:F239" si="99">D148</f>
        <v>0.5</v>
      </c>
      <c r="E239" s="707">
        <f t="shared" si="99"/>
        <v>-0.2</v>
      </c>
      <c r="F239" s="707" t="str">
        <f t="shared" si="99"/>
        <v>-</v>
      </c>
      <c r="G239" s="707">
        <f>G148</f>
        <v>0</v>
      </c>
      <c r="I239" s="1549"/>
      <c r="J239" s="703">
        <v>14</v>
      </c>
      <c r="K239" s="707">
        <f>J148</f>
        <v>30</v>
      </c>
      <c r="L239" s="707">
        <f t="shared" ref="L239:N239" si="100">K148</f>
        <v>-0.8</v>
      </c>
      <c r="M239" s="707">
        <f t="shared" si="100"/>
        <v>0.6</v>
      </c>
      <c r="N239" s="707" t="str">
        <f t="shared" si="100"/>
        <v>-</v>
      </c>
      <c r="O239" s="707">
        <f>N148</f>
        <v>0</v>
      </c>
      <c r="Q239" s="1553"/>
      <c r="R239" s="703">
        <v>14</v>
      </c>
      <c r="S239" s="707">
        <f>Q148</f>
        <v>960</v>
      </c>
      <c r="T239" s="708">
        <f t="shared" ref="T239:V239" si="101">R148</f>
        <v>4</v>
      </c>
      <c r="U239" s="708">
        <f t="shared" si="101"/>
        <v>0.9</v>
      </c>
      <c r="V239" s="708" t="str">
        <f t="shared" si="101"/>
        <v>-</v>
      </c>
      <c r="W239" s="708">
        <f>U148</f>
        <v>0</v>
      </c>
      <c r="Y239" s="701">
        <v>15</v>
      </c>
      <c r="Z239" s="709">
        <f>X157</f>
        <v>0.5</v>
      </c>
      <c r="AE239" s="686"/>
      <c r="AL239" s="686"/>
    </row>
    <row r="240" spans="1:38" ht="13" x14ac:dyDescent="0.3">
      <c r="A240" s="1549"/>
      <c r="B240" s="703">
        <v>15</v>
      </c>
      <c r="C240" s="707">
        <f>C159</f>
        <v>15</v>
      </c>
      <c r="D240" s="707">
        <f t="shared" ref="D240:F240" si="102">D159</f>
        <v>0.6</v>
      </c>
      <c r="E240" s="707">
        <f t="shared" si="102"/>
        <v>-0.6</v>
      </c>
      <c r="F240" s="707" t="str">
        <f t="shared" si="102"/>
        <v>-</v>
      </c>
      <c r="G240" s="707">
        <f>G159</f>
        <v>0</v>
      </c>
      <c r="I240" s="1549"/>
      <c r="J240" s="703">
        <v>15</v>
      </c>
      <c r="K240" s="707">
        <f>J159</f>
        <v>30</v>
      </c>
      <c r="L240" s="707">
        <f t="shared" ref="L240:N240" si="103">K159</f>
        <v>-2</v>
      </c>
      <c r="M240" s="707">
        <f t="shared" si="103"/>
        <v>-0.4</v>
      </c>
      <c r="N240" s="707" t="str">
        <f t="shared" si="103"/>
        <v>-</v>
      </c>
      <c r="O240" s="707">
        <f>N159</f>
        <v>0</v>
      </c>
      <c r="Q240" s="1553"/>
      <c r="R240" s="703">
        <v>15</v>
      </c>
      <c r="S240" s="707">
        <f>Q159</f>
        <v>960</v>
      </c>
      <c r="T240" s="708">
        <f t="shared" ref="T240:V240" si="104">R159</f>
        <v>4.5</v>
      </c>
      <c r="U240" s="708">
        <f t="shared" si="104"/>
        <v>0.9</v>
      </c>
      <c r="V240" s="708" t="str">
        <f t="shared" si="104"/>
        <v>-</v>
      </c>
      <c r="W240" s="708">
        <f>U159</f>
        <v>0</v>
      </c>
      <c r="Y240" s="701">
        <v>16</v>
      </c>
      <c r="Z240" s="709">
        <f>X168</f>
        <v>0.5</v>
      </c>
      <c r="AE240" s="686"/>
      <c r="AL240" s="686"/>
    </row>
    <row r="241" spans="1:38" ht="13" x14ac:dyDescent="0.3">
      <c r="A241" s="1549"/>
      <c r="B241" s="703">
        <v>16</v>
      </c>
      <c r="C241" s="707">
        <f>C170</f>
        <v>15</v>
      </c>
      <c r="D241" s="707">
        <f t="shared" ref="D241:F241" si="105">D170</f>
        <v>0.1</v>
      </c>
      <c r="E241" s="707">
        <f t="shared" si="105"/>
        <v>0.1</v>
      </c>
      <c r="F241" s="707">
        <f t="shared" si="105"/>
        <v>0</v>
      </c>
      <c r="G241" s="707">
        <f>G170</f>
        <v>0</v>
      </c>
      <c r="I241" s="1549"/>
      <c r="J241" s="703">
        <v>16</v>
      </c>
      <c r="K241" s="707">
        <f>J170</f>
        <v>35</v>
      </c>
      <c r="L241" s="707">
        <f t="shared" ref="L241:N241" si="106">K170</f>
        <v>-2.5</v>
      </c>
      <c r="M241" s="707">
        <f t="shared" si="106"/>
        <v>-1.6</v>
      </c>
      <c r="N241" s="707">
        <f t="shared" si="106"/>
        <v>0</v>
      </c>
      <c r="O241" s="707">
        <f>N170</f>
        <v>0.44999999999999996</v>
      </c>
      <c r="Q241" s="1553"/>
      <c r="R241" s="703">
        <v>16</v>
      </c>
      <c r="S241" s="707">
        <f>Q170</f>
        <v>960</v>
      </c>
      <c r="T241" s="708">
        <f t="shared" ref="T241:V241" si="107">R170</f>
        <v>4.5999999999999996</v>
      </c>
      <c r="U241" s="708" t="str">
        <f t="shared" si="107"/>
        <v>-</v>
      </c>
      <c r="V241" s="708">
        <f t="shared" si="107"/>
        <v>0</v>
      </c>
      <c r="W241" s="708">
        <f>U170</f>
        <v>0</v>
      </c>
      <c r="Y241" s="701">
        <v>17</v>
      </c>
      <c r="Z241" s="709">
        <f>X179</f>
        <v>0.8</v>
      </c>
      <c r="AE241" s="686"/>
      <c r="AL241" s="686"/>
    </row>
    <row r="242" spans="1:38" ht="13" x14ac:dyDescent="0.3">
      <c r="A242" s="1549"/>
      <c r="B242" s="703">
        <v>17</v>
      </c>
      <c r="C242" s="707">
        <f>C181</f>
        <v>15</v>
      </c>
      <c r="D242" s="707">
        <f t="shared" ref="D242:F242" si="108">D181</f>
        <v>0.2</v>
      </c>
      <c r="E242" s="707">
        <f t="shared" si="108"/>
        <v>0.1</v>
      </c>
      <c r="F242" s="707">
        <f t="shared" si="108"/>
        <v>0</v>
      </c>
      <c r="G242" s="707">
        <f>G181</f>
        <v>0.05</v>
      </c>
      <c r="I242" s="1549"/>
      <c r="J242" s="703">
        <v>17</v>
      </c>
      <c r="K242" s="707">
        <f>J181</f>
        <v>35</v>
      </c>
      <c r="L242" s="707">
        <f t="shared" ref="L242:N242" si="109">K181</f>
        <v>-2.7</v>
      </c>
      <c r="M242" s="707">
        <f t="shared" si="109"/>
        <v>0.1</v>
      </c>
      <c r="N242" s="707">
        <f t="shared" si="109"/>
        <v>0</v>
      </c>
      <c r="O242" s="707">
        <f>N181</f>
        <v>1.4000000000000001</v>
      </c>
      <c r="Q242" s="1553"/>
      <c r="R242" s="703">
        <v>17</v>
      </c>
      <c r="S242" s="707">
        <f>Q181</f>
        <v>960</v>
      </c>
      <c r="T242" s="708">
        <f t="shared" ref="T242:V242" si="110">R181</f>
        <v>4.5999999999999996</v>
      </c>
      <c r="U242" s="708">
        <f t="shared" si="110"/>
        <v>-0.6</v>
      </c>
      <c r="V242" s="708">
        <f t="shared" si="110"/>
        <v>0</v>
      </c>
      <c r="W242" s="708">
        <f>U181</f>
        <v>2.5999999999999996</v>
      </c>
      <c r="Y242" s="701">
        <v>18</v>
      </c>
      <c r="Z242" s="709">
        <f>X190</f>
        <v>0.6</v>
      </c>
      <c r="AE242" s="686"/>
      <c r="AL242" s="686"/>
    </row>
    <row r="243" spans="1:38" ht="13" x14ac:dyDescent="0.3">
      <c r="A243" s="1549"/>
      <c r="B243" s="703">
        <v>18</v>
      </c>
      <c r="C243" s="707">
        <f>C192</f>
        <v>15</v>
      </c>
      <c r="D243" s="707">
        <f t="shared" ref="D243:F243" si="111">D192</f>
        <v>0.3</v>
      </c>
      <c r="E243" s="707">
        <f t="shared" si="111"/>
        <v>9.9999999999999995E-7</v>
      </c>
      <c r="F243" s="707">
        <f t="shared" si="111"/>
        <v>0</v>
      </c>
      <c r="G243" s="707">
        <f>G192</f>
        <v>0.14999950000000001</v>
      </c>
      <c r="I243" s="1549"/>
      <c r="J243" s="703">
        <v>18</v>
      </c>
      <c r="K243" s="707">
        <f>J192</f>
        <v>35</v>
      </c>
      <c r="L243" s="707">
        <f t="shared" ref="L243:N243" si="112">K192</f>
        <v>-3.2</v>
      </c>
      <c r="M243" s="707">
        <f t="shared" si="112"/>
        <v>-0.4</v>
      </c>
      <c r="N243" s="707">
        <f t="shared" si="112"/>
        <v>0</v>
      </c>
      <c r="O243" s="707">
        <f>N192</f>
        <v>1.4000000000000001</v>
      </c>
      <c r="Q243" s="1553"/>
      <c r="R243" s="703">
        <v>18</v>
      </c>
      <c r="S243" s="707">
        <f>Q192</f>
        <v>960</v>
      </c>
      <c r="T243" s="708">
        <f t="shared" ref="T243:V243" si="113">R192</f>
        <v>4.5999999999999996</v>
      </c>
      <c r="U243" s="708" t="str">
        <f t="shared" si="113"/>
        <v>-</v>
      </c>
      <c r="V243" s="708">
        <f t="shared" si="113"/>
        <v>0</v>
      </c>
      <c r="W243" s="708">
        <f>U192</f>
        <v>0</v>
      </c>
      <c r="Y243" s="701">
        <v>19</v>
      </c>
      <c r="Z243" s="709">
        <f>X201</f>
        <v>0.1</v>
      </c>
      <c r="AE243" s="686"/>
      <c r="AL243" s="686"/>
    </row>
    <row r="244" spans="1:38" ht="13.5" thickBot="1" x14ac:dyDescent="0.35">
      <c r="A244" s="1549"/>
      <c r="B244" s="703">
        <v>19</v>
      </c>
      <c r="C244" s="707">
        <f>C203</f>
        <v>15</v>
      </c>
      <c r="D244" s="707">
        <f t="shared" ref="D244:F244" si="114">D203</f>
        <v>9.9999999999999995E-7</v>
      </c>
      <c r="E244" s="707" t="str">
        <f t="shared" si="114"/>
        <v>-</v>
      </c>
      <c r="F244" s="707">
        <f t="shared" si="114"/>
        <v>0</v>
      </c>
      <c r="G244" s="707">
        <f>G203</f>
        <v>0</v>
      </c>
      <c r="I244" s="1549"/>
      <c r="J244" s="703">
        <v>19</v>
      </c>
      <c r="K244" s="707">
        <f>J203</f>
        <v>30</v>
      </c>
      <c r="L244" s="707">
        <f t="shared" ref="L244:N244" si="115">K203</f>
        <v>-1.5</v>
      </c>
      <c r="M244" s="707" t="str">
        <f t="shared" si="115"/>
        <v>-</v>
      </c>
      <c r="N244" s="707">
        <f t="shared" si="115"/>
        <v>0</v>
      </c>
      <c r="O244" s="707">
        <f>N203</f>
        <v>0</v>
      </c>
      <c r="Q244" s="1553"/>
      <c r="R244" s="703">
        <v>19</v>
      </c>
      <c r="S244" s="707">
        <f>Q203</f>
        <v>750</v>
      </c>
      <c r="T244" s="708">
        <f t="shared" ref="T244:V244" si="116">R203</f>
        <v>2.5</v>
      </c>
      <c r="U244" s="708" t="str">
        <f t="shared" si="116"/>
        <v>-</v>
      </c>
      <c r="V244" s="708">
        <f t="shared" si="116"/>
        <v>0</v>
      </c>
      <c r="W244" s="708">
        <f>U203</f>
        <v>0</v>
      </c>
      <c r="Y244" s="710">
        <v>20</v>
      </c>
      <c r="Z244" s="711">
        <f>X212</f>
        <v>0</v>
      </c>
      <c r="AE244" s="686"/>
      <c r="AL244" s="686"/>
    </row>
    <row r="245" spans="1:38" ht="13.5" thickBot="1" x14ac:dyDescent="0.35">
      <c r="A245" s="1549"/>
      <c r="B245" s="703">
        <v>20</v>
      </c>
      <c r="C245" s="707">
        <f>C214</f>
        <v>14.8</v>
      </c>
      <c r="D245" s="707">
        <f t="shared" ref="D245:F245" si="117">D214</f>
        <v>9.9999999999999995E-7</v>
      </c>
      <c r="E245" s="707" t="str">
        <f t="shared" si="117"/>
        <v>-</v>
      </c>
      <c r="F245" s="707">
        <f t="shared" si="117"/>
        <v>9.9999999999999995E-7</v>
      </c>
      <c r="G245" s="707">
        <f>G214</f>
        <v>0</v>
      </c>
      <c r="I245" s="1549"/>
      <c r="J245" s="703">
        <v>20</v>
      </c>
      <c r="K245" s="707">
        <f>J214</f>
        <v>45.7</v>
      </c>
      <c r="L245" s="707">
        <f t="shared" ref="L245:N245" si="118">K214</f>
        <v>9.9999999999999995E-7</v>
      </c>
      <c r="M245" s="707" t="str">
        <f t="shared" si="118"/>
        <v>-</v>
      </c>
      <c r="N245" s="707">
        <f t="shared" si="118"/>
        <v>0</v>
      </c>
      <c r="O245" s="707">
        <f>N214</f>
        <v>0</v>
      </c>
      <c r="Q245" s="1554"/>
      <c r="R245" s="712">
        <v>20</v>
      </c>
      <c r="S245" s="713">
        <f>Q214</f>
        <v>750</v>
      </c>
      <c r="T245" s="714" t="str">
        <f t="shared" ref="T245:V245" si="119">R214</f>
        <v>-</v>
      </c>
      <c r="U245" s="714" t="str">
        <f t="shared" si="119"/>
        <v>-</v>
      </c>
      <c r="V245" s="714">
        <f t="shared" si="119"/>
        <v>0</v>
      </c>
      <c r="W245" s="714">
        <f>U214</f>
        <v>0</v>
      </c>
      <c r="Y245" s="536"/>
      <c r="AE245" s="715"/>
      <c r="AL245" s="686"/>
    </row>
    <row r="246" spans="1:38" ht="13.5" thickBot="1" x14ac:dyDescent="0.35">
      <c r="A246" s="8"/>
      <c r="B246" s="8"/>
      <c r="C246" s="445"/>
      <c r="D246" s="445"/>
      <c r="E246" s="445"/>
      <c r="F246" s="445"/>
      <c r="G246" s="445"/>
      <c r="I246" s="8"/>
      <c r="J246" s="8"/>
      <c r="K246" s="445"/>
      <c r="L246" s="445"/>
      <c r="M246" s="445"/>
      <c r="N246" s="445"/>
      <c r="O246" s="445"/>
      <c r="Q246" s="716"/>
      <c r="R246" s="716"/>
      <c r="S246" s="717"/>
      <c r="T246" s="718"/>
      <c r="U246" s="718"/>
      <c r="V246" s="718"/>
      <c r="W246" s="718"/>
      <c r="Y246" s="719"/>
      <c r="AE246" s="719"/>
      <c r="AL246" s="719"/>
    </row>
    <row r="247" spans="1:38" ht="13" x14ac:dyDescent="0.3">
      <c r="A247" s="1549">
        <v>2</v>
      </c>
      <c r="B247" s="703">
        <v>1</v>
      </c>
      <c r="C247" s="707">
        <f>C6</f>
        <v>20</v>
      </c>
      <c r="D247" s="707">
        <f t="shared" ref="D247:F247" si="120">D6</f>
        <v>-0.2</v>
      </c>
      <c r="E247" s="707">
        <f t="shared" si="120"/>
        <v>0.2</v>
      </c>
      <c r="F247" s="707">
        <f t="shared" si="120"/>
        <v>0</v>
      </c>
      <c r="G247" s="707">
        <f>G6</f>
        <v>0.2</v>
      </c>
      <c r="I247" s="1549">
        <v>2</v>
      </c>
      <c r="J247" s="703">
        <v>1</v>
      </c>
      <c r="K247" s="707">
        <f>J6</f>
        <v>40</v>
      </c>
      <c r="L247" s="707">
        <f t="shared" ref="L247:N247" si="121">K6</f>
        <v>-6</v>
      </c>
      <c r="M247" s="707">
        <f t="shared" si="121"/>
        <v>-8.6</v>
      </c>
      <c r="N247" s="707">
        <f t="shared" si="121"/>
        <v>0</v>
      </c>
      <c r="O247" s="707">
        <f>N6</f>
        <v>1.2999999999999998</v>
      </c>
      <c r="Q247" s="1550">
        <v>2</v>
      </c>
      <c r="R247" s="720">
        <v>1</v>
      </c>
      <c r="S247" s="721">
        <f>Q6</f>
        <v>800</v>
      </c>
      <c r="T247" s="722" t="str">
        <f t="shared" ref="T247:V247" si="122">R6</f>
        <v>-</v>
      </c>
      <c r="U247" s="722" t="str">
        <f t="shared" si="122"/>
        <v>-</v>
      </c>
      <c r="V247" s="722">
        <f t="shared" si="122"/>
        <v>0</v>
      </c>
      <c r="W247" s="722">
        <f>U6</f>
        <v>0</v>
      </c>
      <c r="Y247" s="1555" t="s">
        <v>389</v>
      </c>
      <c r="Z247" s="1556"/>
      <c r="AE247" s="723"/>
    </row>
    <row r="248" spans="1:38" ht="13" x14ac:dyDescent="0.3">
      <c r="A248" s="1549"/>
      <c r="B248" s="703">
        <v>2</v>
      </c>
      <c r="C248" s="707">
        <f>C17</f>
        <v>20</v>
      </c>
      <c r="D248" s="707">
        <f t="shared" ref="D248:F248" si="123">D17</f>
        <v>0.2</v>
      </c>
      <c r="E248" s="707">
        <f t="shared" si="123"/>
        <v>0.7</v>
      </c>
      <c r="F248" s="707">
        <f t="shared" si="123"/>
        <v>-0.1</v>
      </c>
      <c r="G248" s="707">
        <f>G17</f>
        <v>0.39999999999999997</v>
      </c>
      <c r="I248" s="1549"/>
      <c r="J248" s="703">
        <v>2</v>
      </c>
      <c r="K248" s="707">
        <f>J17</f>
        <v>40</v>
      </c>
      <c r="L248" s="707">
        <f t="shared" ref="L248:N248" si="124">K17</f>
        <v>-10.3</v>
      </c>
      <c r="M248" s="707">
        <f t="shared" si="124"/>
        <v>-6.2</v>
      </c>
      <c r="N248" s="707">
        <f t="shared" si="124"/>
        <v>-1.6</v>
      </c>
      <c r="O248" s="707">
        <f>N17</f>
        <v>4.3500000000000005</v>
      </c>
      <c r="Q248" s="1549"/>
      <c r="R248" s="703">
        <v>2</v>
      </c>
      <c r="S248" s="707">
        <f>Q17</f>
        <v>800</v>
      </c>
      <c r="T248" s="708" t="str">
        <f t="shared" ref="T248:V248" si="125">R17</f>
        <v>-</v>
      </c>
      <c r="U248" s="708" t="str">
        <f t="shared" si="125"/>
        <v>-</v>
      </c>
      <c r="V248" s="708">
        <f t="shared" si="125"/>
        <v>0</v>
      </c>
      <c r="W248" s="708">
        <f>U17</f>
        <v>0</v>
      </c>
      <c r="Y248" s="1557" t="s">
        <v>436</v>
      </c>
      <c r="Z248" s="1558"/>
      <c r="AE248" s="686"/>
    </row>
    <row r="249" spans="1:38" ht="13" x14ac:dyDescent="0.3">
      <c r="A249" s="1549"/>
      <c r="B249" s="703">
        <v>3</v>
      </c>
      <c r="C249" s="703">
        <f>C28</f>
        <v>20</v>
      </c>
      <c r="D249" s="703">
        <f t="shared" ref="D249:F249" si="126">D28</f>
        <v>0.2</v>
      </c>
      <c r="E249" s="703">
        <f t="shared" si="126"/>
        <v>1</v>
      </c>
      <c r="F249" s="703">
        <f t="shared" si="126"/>
        <v>9.9999999999999995E-7</v>
      </c>
      <c r="G249" s="703">
        <f>G28</f>
        <v>0.49999949999999999</v>
      </c>
      <c r="I249" s="1549"/>
      <c r="J249" s="703">
        <v>3</v>
      </c>
      <c r="K249" s="703">
        <f>J28</f>
        <v>40</v>
      </c>
      <c r="L249" s="703">
        <f t="shared" ref="L249:N249" si="127">K28</f>
        <v>-9.6999999999999993</v>
      </c>
      <c r="M249" s="703">
        <f t="shared" si="127"/>
        <v>-5.9</v>
      </c>
      <c r="N249" s="703">
        <f t="shared" si="127"/>
        <v>-5.3</v>
      </c>
      <c r="O249" s="703">
        <f>N28</f>
        <v>2.1999999999999997</v>
      </c>
      <c r="Q249" s="1549"/>
      <c r="R249" s="703">
        <v>3</v>
      </c>
      <c r="S249" s="703">
        <f>Q28</f>
        <v>800</v>
      </c>
      <c r="T249" s="704" t="str">
        <f t="shared" ref="T249:V249" si="128">R28</f>
        <v>-</v>
      </c>
      <c r="U249" s="704" t="str">
        <f t="shared" si="128"/>
        <v>-</v>
      </c>
      <c r="V249" s="704">
        <f t="shared" si="128"/>
        <v>0</v>
      </c>
      <c r="W249" s="704">
        <f>U28</f>
        <v>0</v>
      </c>
      <c r="Y249" s="701">
        <v>1</v>
      </c>
      <c r="Z249" s="702">
        <f>X4</f>
        <v>3.1</v>
      </c>
      <c r="AE249" s="686"/>
    </row>
    <row r="250" spans="1:38" ht="13" x14ac:dyDescent="0.3">
      <c r="A250" s="1549"/>
      <c r="B250" s="703">
        <v>4</v>
      </c>
      <c r="C250" s="703">
        <f>C39</f>
        <v>20</v>
      </c>
      <c r="D250" s="703">
        <f t="shared" ref="D250:F250" si="129">D39</f>
        <v>-0.1</v>
      </c>
      <c r="E250" s="703">
        <f t="shared" si="129"/>
        <v>-0.3</v>
      </c>
      <c r="F250" s="703">
        <f t="shared" si="129"/>
        <v>0</v>
      </c>
      <c r="G250" s="703">
        <f>G39</f>
        <v>9.9999999999999992E-2</v>
      </c>
      <c r="I250" s="1549"/>
      <c r="J250" s="703">
        <v>4</v>
      </c>
      <c r="K250" s="703">
        <f>J39</f>
        <v>40</v>
      </c>
      <c r="L250" s="703">
        <f t="shared" ref="L250:N250" si="130">K39</f>
        <v>-4.4000000000000004</v>
      </c>
      <c r="M250" s="703">
        <f t="shared" si="130"/>
        <v>-1.5</v>
      </c>
      <c r="N250" s="703">
        <f t="shared" si="130"/>
        <v>0</v>
      </c>
      <c r="O250" s="703">
        <f>N39</f>
        <v>1.4500000000000002</v>
      </c>
      <c r="Q250" s="1549"/>
      <c r="R250" s="703">
        <v>4</v>
      </c>
      <c r="S250" s="703">
        <f>Q39</f>
        <v>800</v>
      </c>
      <c r="T250" s="704" t="str">
        <f t="shared" ref="T250:V250" si="131">R39</f>
        <v>-</v>
      </c>
      <c r="U250" s="704" t="str">
        <f t="shared" si="131"/>
        <v>-</v>
      </c>
      <c r="V250" s="704">
        <f t="shared" si="131"/>
        <v>0</v>
      </c>
      <c r="W250" s="704">
        <f>U39</f>
        <v>0</v>
      </c>
      <c r="Y250" s="705">
        <v>2</v>
      </c>
      <c r="Z250" s="702">
        <f>X15</f>
        <v>3.3</v>
      </c>
      <c r="AE250" s="686"/>
    </row>
    <row r="251" spans="1:38" ht="13" x14ac:dyDescent="0.3">
      <c r="A251" s="1549"/>
      <c r="B251" s="703">
        <v>5</v>
      </c>
      <c r="C251" s="703">
        <f>C50</f>
        <v>20</v>
      </c>
      <c r="D251" s="703">
        <f t="shared" ref="D251:F251" si="132">D50</f>
        <v>0.4</v>
      </c>
      <c r="E251" s="703">
        <f t="shared" si="132"/>
        <v>0.1</v>
      </c>
      <c r="F251" s="703">
        <f t="shared" si="132"/>
        <v>0.3</v>
      </c>
      <c r="G251" s="703">
        <f>G50</f>
        <v>0.15000000000000002</v>
      </c>
      <c r="I251" s="1549"/>
      <c r="J251" s="703">
        <v>5</v>
      </c>
      <c r="K251" s="703">
        <f>J50</f>
        <v>40</v>
      </c>
      <c r="L251" s="703">
        <f t="shared" ref="L251:N251" si="133">K50</f>
        <v>-9.6</v>
      </c>
      <c r="M251" s="703">
        <f t="shared" si="133"/>
        <v>-7.2</v>
      </c>
      <c r="N251" s="703">
        <f t="shared" si="133"/>
        <v>-8</v>
      </c>
      <c r="O251" s="703">
        <f>N50</f>
        <v>1.1999999999999997</v>
      </c>
      <c r="Q251" s="1549"/>
      <c r="R251" s="703">
        <v>5</v>
      </c>
      <c r="S251" s="703">
        <f>Q50</f>
        <v>800</v>
      </c>
      <c r="T251" s="704" t="str">
        <f t="shared" ref="T251:V251" si="134">R50</f>
        <v>-</v>
      </c>
      <c r="U251" s="704" t="str">
        <f t="shared" si="134"/>
        <v>-</v>
      </c>
      <c r="V251" s="704">
        <f t="shared" si="134"/>
        <v>0</v>
      </c>
      <c r="W251" s="704">
        <f>U50</f>
        <v>0</v>
      </c>
      <c r="Y251" s="705">
        <v>3</v>
      </c>
      <c r="Z251" s="706">
        <f>X26</f>
        <v>2.4</v>
      </c>
      <c r="AE251" s="686"/>
    </row>
    <row r="252" spans="1:38" ht="13" x14ac:dyDescent="0.3">
      <c r="A252" s="1549"/>
      <c r="B252" s="703">
        <v>6</v>
      </c>
      <c r="C252" s="703">
        <f>C61</f>
        <v>20</v>
      </c>
      <c r="D252" s="703">
        <f t="shared" ref="D252:F252" si="135">D61</f>
        <v>0.3</v>
      </c>
      <c r="E252" s="703">
        <f t="shared" si="135"/>
        <v>0.2</v>
      </c>
      <c r="F252" s="703">
        <f t="shared" si="135"/>
        <v>0</v>
      </c>
      <c r="G252" s="703">
        <f>G61</f>
        <v>4.9999999999999989E-2</v>
      </c>
      <c r="I252" s="1549"/>
      <c r="J252" s="703">
        <v>6</v>
      </c>
      <c r="K252" s="703">
        <f>J61</f>
        <v>40</v>
      </c>
      <c r="L252" s="703">
        <f t="shared" ref="L252:N252" si="136">K61</f>
        <v>-3.8</v>
      </c>
      <c r="M252" s="703">
        <f t="shared" si="136"/>
        <v>1.5</v>
      </c>
      <c r="N252" s="703">
        <f t="shared" si="136"/>
        <v>0</v>
      </c>
      <c r="O252" s="703">
        <f>N61</f>
        <v>2.65</v>
      </c>
      <c r="Q252" s="1549"/>
      <c r="R252" s="703">
        <v>6</v>
      </c>
      <c r="S252" s="703">
        <f>Q61</f>
        <v>800</v>
      </c>
      <c r="T252" s="704">
        <f t="shared" ref="T252:V252" si="137">R61</f>
        <v>0.9</v>
      </c>
      <c r="U252" s="704">
        <f t="shared" si="137"/>
        <v>1.6</v>
      </c>
      <c r="V252" s="704">
        <f t="shared" si="137"/>
        <v>0</v>
      </c>
      <c r="W252" s="704">
        <f>U61</f>
        <v>0.35000000000000003</v>
      </c>
      <c r="Y252" s="705">
        <v>4</v>
      </c>
      <c r="Z252" s="706">
        <f>X37</f>
        <v>1.3</v>
      </c>
      <c r="AE252" s="686"/>
    </row>
    <row r="253" spans="1:38" ht="13" x14ac:dyDescent="0.3">
      <c r="A253" s="1549"/>
      <c r="B253" s="703">
        <v>7</v>
      </c>
      <c r="C253" s="703">
        <f>C72</f>
        <v>20</v>
      </c>
      <c r="D253" s="703">
        <f t="shared" ref="D253:F253" si="138">D72</f>
        <v>0</v>
      </c>
      <c r="E253" s="703">
        <f t="shared" si="138"/>
        <v>9.9999999999999995E-7</v>
      </c>
      <c r="F253" s="703">
        <f t="shared" si="138"/>
        <v>0.1</v>
      </c>
      <c r="G253" s="703">
        <f>G72</f>
        <v>0.05</v>
      </c>
      <c r="I253" s="1549"/>
      <c r="J253" s="703">
        <v>7</v>
      </c>
      <c r="K253" s="703">
        <f>J72</f>
        <v>40</v>
      </c>
      <c r="L253" s="703">
        <f t="shared" ref="L253:N253" si="139">K72</f>
        <v>-2</v>
      </c>
      <c r="M253" s="703">
        <f t="shared" si="139"/>
        <v>-1.9</v>
      </c>
      <c r="N253" s="703">
        <f t="shared" si="139"/>
        <v>1.2</v>
      </c>
      <c r="O253" s="703">
        <f>N72</f>
        <v>1.6</v>
      </c>
      <c r="Q253" s="1549"/>
      <c r="R253" s="703">
        <v>7</v>
      </c>
      <c r="S253" s="703">
        <f>Q72</f>
        <v>970</v>
      </c>
      <c r="T253" s="704">
        <f t="shared" ref="T253:V253" si="140">R72</f>
        <v>0.6</v>
      </c>
      <c r="U253" s="704" t="str">
        <f t="shared" si="140"/>
        <v>-</v>
      </c>
      <c r="V253" s="704" t="str">
        <f t="shared" si="140"/>
        <v>-</v>
      </c>
      <c r="W253" s="704">
        <f>U72</f>
        <v>0</v>
      </c>
      <c r="Y253" s="705">
        <v>5</v>
      </c>
      <c r="Z253" s="706">
        <f>X48</f>
        <v>2.2999999999999998</v>
      </c>
      <c r="AE253" s="686"/>
    </row>
    <row r="254" spans="1:38" ht="13" x14ac:dyDescent="0.3">
      <c r="A254" s="1549"/>
      <c r="B254" s="703">
        <v>8</v>
      </c>
      <c r="C254" s="703">
        <f>C83</f>
        <v>20</v>
      </c>
      <c r="D254" s="703">
        <f t="shared" ref="D254:F254" si="141">D83</f>
        <v>9.9999999999999995E-7</v>
      </c>
      <c r="E254" s="703">
        <f t="shared" si="141"/>
        <v>-0.2</v>
      </c>
      <c r="F254" s="703">
        <f t="shared" si="141"/>
        <v>0</v>
      </c>
      <c r="G254" s="703">
        <f>G83</f>
        <v>0.10000050000000001</v>
      </c>
      <c r="I254" s="1549"/>
      <c r="J254" s="703">
        <v>8</v>
      </c>
      <c r="K254" s="703">
        <f>J83</f>
        <v>40</v>
      </c>
      <c r="L254" s="703">
        <f t="shared" ref="L254:N254" si="142">K83</f>
        <v>-3.8</v>
      </c>
      <c r="M254" s="703">
        <f t="shared" si="142"/>
        <v>-1.2</v>
      </c>
      <c r="N254" s="703">
        <f t="shared" si="142"/>
        <v>0</v>
      </c>
      <c r="O254" s="703">
        <f>N83</f>
        <v>1.2999999999999998</v>
      </c>
      <c r="Q254" s="1549"/>
      <c r="R254" s="703">
        <v>8</v>
      </c>
      <c r="S254" s="703">
        <f>Q83</f>
        <v>800</v>
      </c>
      <c r="T254" s="704">
        <f t="shared" ref="T254:V254" si="143">R83</f>
        <v>9.9999999999999995E-7</v>
      </c>
      <c r="U254" s="704">
        <f t="shared" si="143"/>
        <v>9.9999999999999995E-7</v>
      </c>
      <c r="V254" s="704">
        <f t="shared" si="143"/>
        <v>0</v>
      </c>
      <c r="W254" s="704">
        <f>U83</f>
        <v>0</v>
      </c>
      <c r="Y254" s="701">
        <v>6</v>
      </c>
      <c r="Z254" s="702">
        <f>X59</f>
        <v>2.6</v>
      </c>
      <c r="AE254" s="686"/>
    </row>
    <row r="255" spans="1:38" ht="13" x14ac:dyDescent="0.3">
      <c r="A255" s="1549"/>
      <c r="B255" s="703">
        <v>9</v>
      </c>
      <c r="C255" s="703">
        <f>C94</f>
        <v>20</v>
      </c>
      <c r="D255" s="703">
        <f t="shared" ref="D255:F255" si="144">D94</f>
        <v>-0.2</v>
      </c>
      <c r="E255" s="703" t="str">
        <f t="shared" si="144"/>
        <v>-</v>
      </c>
      <c r="F255" s="703">
        <f t="shared" si="144"/>
        <v>0</v>
      </c>
      <c r="G255" s="703">
        <f>G94</f>
        <v>0</v>
      </c>
      <c r="I255" s="1549"/>
      <c r="J255" s="703">
        <v>9</v>
      </c>
      <c r="K255" s="703">
        <f>J94</f>
        <v>40</v>
      </c>
      <c r="L255" s="703">
        <f t="shared" ref="L255:N255" si="145">K94</f>
        <v>-1</v>
      </c>
      <c r="M255" s="703" t="str">
        <f t="shared" si="145"/>
        <v>-</v>
      </c>
      <c r="N255" s="703">
        <f t="shared" si="145"/>
        <v>0</v>
      </c>
      <c r="O255" s="703">
        <f>N94</f>
        <v>0</v>
      </c>
      <c r="Q255" s="1549"/>
      <c r="R255" s="703">
        <v>9</v>
      </c>
      <c r="S255" s="703">
        <f>Q94</f>
        <v>800</v>
      </c>
      <c r="T255" s="704">
        <f t="shared" ref="T255:V255" si="146">R94</f>
        <v>9.9999999999999995E-7</v>
      </c>
      <c r="U255" s="704" t="str">
        <f t="shared" si="146"/>
        <v>-</v>
      </c>
      <c r="V255" s="704">
        <f t="shared" si="146"/>
        <v>0</v>
      </c>
      <c r="W255" s="704">
        <f>U94</f>
        <v>0</v>
      </c>
      <c r="Y255" s="701">
        <v>7</v>
      </c>
      <c r="Z255" s="702">
        <f>X70</f>
        <v>2.2999999999999998</v>
      </c>
      <c r="AE255" s="686"/>
    </row>
    <row r="256" spans="1:38" ht="13" x14ac:dyDescent="0.3">
      <c r="A256" s="1549"/>
      <c r="B256" s="703">
        <v>10</v>
      </c>
      <c r="C256" s="703">
        <f>C105</f>
        <v>20</v>
      </c>
      <c r="D256" s="703">
        <f t="shared" ref="D256:F256" si="147">D105</f>
        <v>0.2</v>
      </c>
      <c r="E256" s="703">
        <f t="shared" si="147"/>
        <v>-0.7</v>
      </c>
      <c r="F256" s="703">
        <f t="shared" si="147"/>
        <v>0</v>
      </c>
      <c r="G256" s="703">
        <f>G105</f>
        <v>0.44999999999999996</v>
      </c>
      <c r="I256" s="1549"/>
      <c r="J256" s="703">
        <v>10</v>
      </c>
      <c r="K256" s="703">
        <f>J105</f>
        <v>40</v>
      </c>
      <c r="L256" s="703">
        <f t="shared" ref="L256:N256" si="148">K105</f>
        <v>-3.3</v>
      </c>
      <c r="M256" s="703">
        <f t="shared" si="148"/>
        <v>-6.4</v>
      </c>
      <c r="N256" s="703">
        <f t="shared" si="148"/>
        <v>0</v>
      </c>
      <c r="O256" s="703">
        <f>N105</f>
        <v>1.5500000000000003</v>
      </c>
      <c r="Q256" s="1549"/>
      <c r="R256" s="703">
        <v>10</v>
      </c>
      <c r="S256" s="703">
        <f>Q105</f>
        <v>800</v>
      </c>
      <c r="T256" s="704" t="str">
        <f t="shared" ref="T256:V256" si="149">R105</f>
        <v>-</v>
      </c>
      <c r="U256" s="704" t="str">
        <f t="shared" si="149"/>
        <v>-</v>
      </c>
      <c r="V256" s="704">
        <f t="shared" si="149"/>
        <v>0</v>
      </c>
      <c r="W256" s="704">
        <f>U105</f>
        <v>0</v>
      </c>
      <c r="Y256" s="701">
        <v>8</v>
      </c>
      <c r="Z256" s="702">
        <f>X81</f>
        <v>2.5</v>
      </c>
      <c r="AE256" s="686"/>
    </row>
    <row r="257" spans="1:31" ht="13" x14ac:dyDescent="0.3">
      <c r="A257" s="1549"/>
      <c r="B257" s="703">
        <v>11</v>
      </c>
      <c r="C257" s="703">
        <f>C116</f>
        <v>20</v>
      </c>
      <c r="D257" s="703">
        <f t="shared" ref="D257:F257" si="150">D116</f>
        <v>0.4</v>
      </c>
      <c r="E257" s="703">
        <f t="shared" si="150"/>
        <v>0.5</v>
      </c>
      <c r="F257" s="703">
        <f t="shared" si="150"/>
        <v>0</v>
      </c>
      <c r="G257" s="703">
        <f>G116</f>
        <v>4.9999999999999989E-2</v>
      </c>
      <c r="I257" s="1549"/>
      <c r="J257" s="703">
        <v>11</v>
      </c>
      <c r="K257" s="703">
        <f>J116</f>
        <v>40</v>
      </c>
      <c r="L257" s="703">
        <f t="shared" ref="L257:N257" si="151">K116</f>
        <v>-5.5</v>
      </c>
      <c r="M257" s="703">
        <f t="shared" si="151"/>
        <v>-5.9</v>
      </c>
      <c r="N257" s="703">
        <f t="shared" si="151"/>
        <v>0</v>
      </c>
      <c r="O257" s="703">
        <f>N116</f>
        <v>0.20000000000000018</v>
      </c>
      <c r="Q257" s="1549"/>
      <c r="R257" s="703">
        <v>11</v>
      </c>
      <c r="S257" s="703">
        <f>Q116</f>
        <v>800</v>
      </c>
      <c r="T257" s="704" t="str">
        <f t="shared" ref="T257:V257" si="152">R116</f>
        <v>-</v>
      </c>
      <c r="U257" s="704" t="str">
        <f t="shared" si="152"/>
        <v>-</v>
      </c>
      <c r="V257" s="704">
        <f t="shared" si="152"/>
        <v>0</v>
      </c>
      <c r="W257" s="704">
        <f>U116</f>
        <v>0</v>
      </c>
      <c r="Y257" s="701">
        <v>9</v>
      </c>
      <c r="Z257" s="702">
        <f>X92</f>
        <v>2.4</v>
      </c>
      <c r="AE257" s="686"/>
    </row>
    <row r="258" spans="1:31" ht="13" x14ac:dyDescent="0.3">
      <c r="A258" s="1549"/>
      <c r="B258" s="703">
        <v>12</v>
      </c>
      <c r="C258" s="703">
        <f>C127</f>
        <v>20</v>
      </c>
      <c r="D258" s="703">
        <f t="shared" ref="D258:F258" si="153">D127</f>
        <v>9.9999999999999995E-7</v>
      </c>
      <c r="E258" s="703" t="str">
        <f t="shared" si="153"/>
        <v>-</v>
      </c>
      <c r="F258" s="703">
        <f t="shared" si="153"/>
        <v>0</v>
      </c>
      <c r="G258" s="703">
        <f>G127</f>
        <v>0</v>
      </c>
      <c r="I258" s="1549"/>
      <c r="J258" s="703">
        <v>12</v>
      </c>
      <c r="K258" s="703">
        <f>J127</f>
        <v>40</v>
      </c>
      <c r="L258" s="703">
        <f t="shared" ref="L258:N258" si="154">K127</f>
        <v>-0.1</v>
      </c>
      <c r="M258" s="703" t="str">
        <f t="shared" si="154"/>
        <v>-</v>
      </c>
      <c r="N258" s="703">
        <f t="shared" si="154"/>
        <v>0</v>
      </c>
      <c r="O258" s="703">
        <f>N127</f>
        <v>0</v>
      </c>
      <c r="Q258" s="1549"/>
      <c r="R258" s="703">
        <v>12</v>
      </c>
      <c r="S258" s="703">
        <f>Q127</f>
        <v>850</v>
      </c>
      <c r="T258" s="704">
        <f t="shared" ref="T258:V258" si="155">R127</f>
        <v>-0.5</v>
      </c>
      <c r="U258" s="704" t="str">
        <f t="shared" si="155"/>
        <v>-</v>
      </c>
      <c r="V258" s="704">
        <f t="shared" si="155"/>
        <v>0</v>
      </c>
      <c r="W258" s="704">
        <f>U127</f>
        <v>0</v>
      </c>
      <c r="Y258" s="701">
        <v>10</v>
      </c>
      <c r="Z258" s="702">
        <f>X103</f>
        <v>1.5</v>
      </c>
      <c r="AE258" s="686"/>
    </row>
    <row r="259" spans="1:31" ht="13" x14ac:dyDescent="0.3">
      <c r="A259" s="1549"/>
      <c r="B259" s="703">
        <v>13</v>
      </c>
      <c r="C259" s="703">
        <f>C138</f>
        <v>20</v>
      </c>
      <c r="D259" s="703">
        <f t="shared" ref="D259:F259" si="156">D138</f>
        <v>0.2</v>
      </c>
      <c r="E259" s="703">
        <f t="shared" si="156"/>
        <v>-0.4</v>
      </c>
      <c r="F259" s="703" t="str">
        <f t="shared" si="156"/>
        <v>-</v>
      </c>
      <c r="G259" s="703">
        <f>G138</f>
        <v>0</v>
      </c>
      <c r="I259" s="1549"/>
      <c r="J259" s="703">
        <v>13</v>
      </c>
      <c r="K259" s="703">
        <f>J138</f>
        <v>40</v>
      </c>
      <c r="L259" s="703">
        <f t="shared" ref="L259:N259" si="157">K138</f>
        <v>-2</v>
      </c>
      <c r="M259" s="703">
        <f t="shared" si="157"/>
        <v>-1.3</v>
      </c>
      <c r="N259" s="703" t="str">
        <f t="shared" si="157"/>
        <v>-</v>
      </c>
      <c r="O259" s="703">
        <f>N138</f>
        <v>0</v>
      </c>
      <c r="Q259" s="1549"/>
      <c r="R259" s="703">
        <v>13</v>
      </c>
      <c r="S259" s="703">
        <f>Q138</f>
        <v>970</v>
      </c>
      <c r="T259" s="704">
        <f t="shared" ref="T259:V259" si="158">R138</f>
        <v>4</v>
      </c>
      <c r="U259" s="704">
        <f t="shared" si="158"/>
        <v>1</v>
      </c>
      <c r="V259" s="704" t="str">
        <f t="shared" si="158"/>
        <v>-</v>
      </c>
      <c r="W259" s="704">
        <f>U138</f>
        <v>0</v>
      </c>
      <c r="Y259" s="701">
        <v>11</v>
      </c>
      <c r="Z259" s="702">
        <f>X114</f>
        <v>1.8</v>
      </c>
      <c r="AE259" s="686"/>
    </row>
    <row r="260" spans="1:31" ht="13" x14ac:dyDescent="0.3">
      <c r="A260" s="1549"/>
      <c r="B260" s="703">
        <v>14</v>
      </c>
      <c r="C260" s="703">
        <f>C149</f>
        <v>20</v>
      </c>
      <c r="D260" s="703">
        <f t="shared" ref="D260:F260" si="159">D149</f>
        <v>0.2</v>
      </c>
      <c r="E260" s="703">
        <f t="shared" si="159"/>
        <v>-0.1</v>
      </c>
      <c r="F260" s="703" t="str">
        <f t="shared" si="159"/>
        <v>-</v>
      </c>
      <c r="G260" s="703">
        <f>G149</f>
        <v>0</v>
      </c>
      <c r="I260" s="1549"/>
      <c r="J260" s="703">
        <v>14</v>
      </c>
      <c r="K260" s="703">
        <f>J149</f>
        <v>40</v>
      </c>
      <c r="L260" s="703">
        <f t="shared" ref="L260:N260" si="160">K149</f>
        <v>-0.4</v>
      </c>
      <c r="M260" s="703">
        <f t="shared" si="160"/>
        <v>0.3</v>
      </c>
      <c r="N260" s="703" t="str">
        <f t="shared" si="160"/>
        <v>-</v>
      </c>
      <c r="O260" s="703">
        <f>N149</f>
        <v>0</v>
      </c>
      <c r="Q260" s="1549"/>
      <c r="R260" s="703">
        <v>14</v>
      </c>
      <c r="S260" s="703">
        <f>Q149</f>
        <v>970</v>
      </c>
      <c r="T260" s="704">
        <f t="shared" ref="T260:V260" si="161">R149</f>
        <v>4</v>
      </c>
      <c r="U260" s="704">
        <f t="shared" si="161"/>
        <v>1</v>
      </c>
      <c r="V260" s="704" t="str">
        <f t="shared" si="161"/>
        <v>-</v>
      </c>
      <c r="W260" s="704">
        <f>U149</f>
        <v>0</v>
      </c>
      <c r="Y260" s="701">
        <v>12</v>
      </c>
      <c r="Z260" s="724">
        <f>X125</f>
        <v>2</v>
      </c>
      <c r="AE260" s="686"/>
    </row>
    <row r="261" spans="1:31" ht="13" x14ac:dyDescent="0.3">
      <c r="A261" s="1549"/>
      <c r="B261" s="703">
        <v>15</v>
      </c>
      <c r="C261" s="703">
        <f>C160</f>
        <v>20</v>
      </c>
      <c r="D261" s="703">
        <f t="shared" ref="D261:F261" si="162">D160</f>
        <v>0.3</v>
      </c>
      <c r="E261" s="703">
        <f t="shared" si="162"/>
        <v>-0.5</v>
      </c>
      <c r="F261" s="703" t="str">
        <f t="shared" si="162"/>
        <v>-</v>
      </c>
      <c r="G261" s="703">
        <f>G160</f>
        <v>0</v>
      </c>
      <c r="I261" s="1549"/>
      <c r="J261" s="703">
        <v>15</v>
      </c>
      <c r="K261" s="703">
        <f>J160</f>
        <v>40</v>
      </c>
      <c r="L261" s="703">
        <f t="shared" ref="L261:N261" si="163">K160</f>
        <v>-1.7</v>
      </c>
      <c r="M261" s="703">
        <f t="shared" si="163"/>
        <v>-0.3</v>
      </c>
      <c r="N261" s="703" t="str">
        <f t="shared" si="163"/>
        <v>-</v>
      </c>
      <c r="O261" s="703">
        <f>N160</f>
        <v>0</v>
      </c>
      <c r="Q261" s="1549"/>
      <c r="R261" s="703">
        <v>15</v>
      </c>
      <c r="S261" s="703">
        <f>Q160</f>
        <v>970</v>
      </c>
      <c r="T261" s="704">
        <f t="shared" ref="T261:V261" si="164">R160</f>
        <v>4.5</v>
      </c>
      <c r="U261" s="704">
        <f t="shared" si="164"/>
        <v>1</v>
      </c>
      <c r="V261" s="704" t="str">
        <f t="shared" si="164"/>
        <v>-</v>
      </c>
      <c r="W261" s="704">
        <f>U160</f>
        <v>0</v>
      </c>
      <c r="Y261" s="701">
        <v>13</v>
      </c>
      <c r="Z261" s="702">
        <f>X136</f>
        <v>2.2999999999999998</v>
      </c>
      <c r="AE261" s="686"/>
    </row>
    <row r="262" spans="1:31" ht="13" x14ac:dyDescent="0.3">
      <c r="A262" s="1549"/>
      <c r="B262" s="703">
        <v>16</v>
      </c>
      <c r="C262" s="703">
        <f>C171</f>
        <v>20</v>
      </c>
      <c r="D262" s="703">
        <f t="shared" ref="D262:F262" si="165">D171</f>
        <v>0.3</v>
      </c>
      <c r="E262" s="703">
        <f t="shared" si="165"/>
        <v>0.2</v>
      </c>
      <c r="F262" s="703">
        <f t="shared" si="165"/>
        <v>0</v>
      </c>
      <c r="G262" s="703">
        <f>G171</f>
        <v>4.9999999999999989E-2</v>
      </c>
      <c r="I262" s="1549"/>
      <c r="J262" s="703">
        <v>16</v>
      </c>
      <c r="K262" s="703">
        <f>J171</f>
        <v>40</v>
      </c>
      <c r="L262" s="703">
        <f t="shared" ref="L262:N262" si="166">K171</f>
        <v>-2.2999999999999998</v>
      </c>
      <c r="M262" s="703">
        <f t="shared" si="166"/>
        <v>-1.4</v>
      </c>
      <c r="N262" s="703">
        <f t="shared" si="166"/>
        <v>0</v>
      </c>
      <c r="O262" s="703">
        <f>N171</f>
        <v>0.44999999999999996</v>
      </c>
      <c r="Q262" s="1549"/>
      <c r="R262" s="703">
        <v>16</v>
      </c>
      <c r="S262" s="703">
        <f>Q171</f>
        <v>970</v>
      </c>
      <c r="T262" s="704">
        <f t="shared" ref="T262:V262" si="167">R171</f>
        <v>4.5</v>
      </c>
      <c r="U262" s="704" t="str">
        <f t="shared" si="167"/>
        <v>-</v>
      </c>
      <c r="V262" s="704">
        <f t="shared" si="167"/>
        <v>0</v>
      </c>
      <c r="W262" s="704">
        <f>U171</f>
        <v>0</v>
      </c>
      <c r="Y262" s="701">
        <v>14</v>
      </c>
      <c r="Z262" s="702">
        <f>X147</f>
        <v>2.7</v>
      </c>
      <c r="AE262" s="686"/>
    </row>
    <row r="263" spans="1:31" ht="13" x14ac:dyDescent="0.3">
      <c r="A263" s="1549"/>
      <c r="B263" s="703">
        <v>17</v>
      </c>
      <c r="C263" s="703">
        <f>C182</f>
        <v>20</v>
      </c>
      <c r="D263" s="703">
        <f t="shared" ref="D263:F263" si="168">D182</f>
        <v>0.4</v>
      </c>
      <c r="E263" s="703">
        <f t="shared" si="168"/>
        <v>0.1</v>
      </c>
      <c r="F263" s="703">
        <f t="shared" si="168"/>
        <v>0</v>
      </c>
      <c r="G263" s="703">
        <f>G182</f>
        <v>0.15000000000000002</v>
      </c>
      <c r="I263" s="1549"/>
      <c r="J263" s="703">
        <v>17</v>
      </c>
      <c r="K263" s="703">
        <f>J182</f>
        <v>40</v>
      </c>
      <c r="L263" s="703">
        <f t="shared" ref="L263:N263" si="169">K182</f>
        <v>-2.4</v>
      </c>
      <c r="M263" s="703">
        <f t="shared" si="169"/>
        <v>0.2</v>
      </c>
      <c r="N263" s="703">
        <f t="shared" si="169"/>
        <v>0</v>
      </c>
      <c r="O263" s="703">
        <f>N182</f>
        <v>1.3</v>
      </c>
      <c r="Q263" s="1549"/>
      <c r="R263" s="703">
        <v>17</v>
      </c>
      <c r="S263" s="703">
        <f>Q182</f>
        <v>970</v>
      </c>
      <c r="T263" s="704">
        <f t="shared" ref="T263:V263" si="170">R182</f>
        <v>4.5999999999999996</v>
      </c>
      <c r="U263" s="704">
        <f t="shared" si="170"/>
        <v>-0.6</v>
      </c>
      <c r="V263" s="704">
        <f t="shared" si="170"/>
        <v>0</v>
      </c>
      <c r="W263" s="704">
        <f>U182</f>
        <v>2.5999999999999996</v>
      </c>
      <c r="Y263" s="701">
        <v>15</v>
      </c>
      <c r="Z263" s="702">
        <f>X158</f>
        <v>2.6</v>
      </c>
      <c r="AE263" s="686"/>
    </row>
    <row r="264" spans="1:31" ht="13" x14ac:dyDescent="0.3">
      <c r="A264" s="1549"/>
      <c r="B264" s="703">
        <v>18</v>
      </c>
      <c r="C264" s="703">
        <f>C193</f>
        <v>20</v>
      </c>
      <c r="D264" s="703">
        <f t="shared" ref="D264:F264" si="171">D193</f>
        <v>0.2</v>
      </c>
      <c r="E264" s="703">
        <f t="shared" si="171"/>
        <v>-0.1</v>
      </c>
      <c r="F264" s="703">
        <f t="shared" si="171"/>
        <v>0</v>
      </c>
      <c r="G264" s="703">
        <f>G193</f>
        <v>0.15000000000000002</v>
      </c>
      <c r="I264" s="1549"/>
      <c r="J264" s="703">
        <v>18</v>
      </c>
      <c r="K264" s="703">
        <f>J193</f>
        <v>40</v>
      </c>
      <c r="L264" s="703">
        <f t="shared" ref="L264:N264" si="172">K193</f>
        <v>-2.9</v>
      </c>
      <c r="M264" s="703">
        <f t="shared" si="172"/>
        <v>-0.2</v>
      </c>
      <c r="N264" s="703">
        <f t="shared" si="172"/>
        <v>0</v>
      </c>
      <c r="O264" s="703">
        <f>N193</f>
        <v>1.3499999999999999</v>
      </c>
      <c r="Q264" s="1549"/>
      <c r="R264" s="703">
        <v>18</v>
      </c>
      <c r="S264" s="703">
        <f>Q193</f>
        <v>970</v>
      </c>
      <c r="T264" s="704">
        <f t="shared" ref="T264:V264" si="173">R193</f>
        <v>4.5</v>
      </c>
      <c r="U264" s="704" t="str">
        <f t="shared" si="173"/>
        <v>-</v>
      </c>
      <c r="V264" s="704">
        <f t="shared" si="173"/>
        <v>0</v>
      </c>
      <c r="W264" s="704">
        <f>U193</f>
        <v>0</v>
      </c>
      <c r="Y264" s="701">
        <v>16</v>
      </c>
      <c r="Z264" s="702">
        <f>X169</f>
        <v>2.2999999999999998</v>
      </c>
      <c r="AE264" s="686"/>
    </row>
    <row r="265" spans="1:31" ht="13" x14ac:dyDescent="0.3">
      <c r="A265" s="1549"/>
      <c r="B265" s="703">
        <v>19</v>
      </c>
      <c r="C265" s="703">
        <f>C204</f>
        <v>20</v>
      </c>
      <c r="D265" s="703">
        <f t="shared" ref="D265:F265" si="174">D204</f>
        <v>0.1</v>
      </c>
      <c r="E265" s="703" t="str">
        <f t="shared" si="174"/>
        <v>-</v>
      </c>
      <c r="F265" s="703">
        <f t="shared" si="174"/>
        <v>0</v>
      </c>
      <c r="G265" s="703">
        <f>G204</f>
        <v>0</v>
      </c>
      <c r="I265" s="1549"/>
      <c r="J265" s="703">
        <v>19</v>
      </c>
      <c r="K265" s="703">
        <f>J204</f>
        <v>40</v>
      </c>
      <c r="L265" s="703">
        <f t="shared" ref="L265:N265" si="175">K204</f>
        <v>-0.8</v>
      </c>
      <c r="M265" s="703" t="str">
        <f t="shared" si="175"/>
        <v>-</v>
      </c>
      <c r="N265" s="703">
        <f t="shared" si="175"/>
        <v>0</v>
      </c>
      <c r="O265" s="703">
        <f>N204</f>
        <v>0</v>
      </c>
      <c r="Q265" s="1549"/>
      <c r="R265" s="703">
        <v>19</v>
      </c>
      <c r="S265" s="703">
        <f>Q204</f>
        <v>800</v>
      </c>
      <c r="T265" s="704">
        <f t="shared" ref="T265:V265" si="176">R204</f>
        <v>2.5</v>
      </c>
      <c r="U265" s="704" t="str">
        <f t="shared" si="176"/>
        <v>-</v>
      </c>
      <c r="V265" s="704">
        <f t="shared" si="176"/>
        <v>0</v>
      </c>
      <c r="W265" s="704">
        <f>U204</f>
        <v>0</v>
      </c>
      <c r="Y265" s="701">
        <v>17</v>
      </c>
      <c r="Z265" s="702">
        <f>X180</f>
        <v>2.2999999999999998</v>
      </c>
      <c r="AE265" s="686"/>
    </row>
    <row r="266" spans="1:31" ht="13.5" thickBot="1" x14ac:dyDescent="0.35">
      <c r="A266" s="1549"/>
      <c r="B266" s="703">
        <v>20</v>
      </c>
      <c r="C266" s="703">
        <f>C215</f>
        <v>19.7</v>
      </c>
      <c r="D266" s="703">
        <f t="shared" ref="D266:F266" si="177">D215</f>
        <v>9.9999999999999995E-7</v>
      </c>
      <c r="E266" s="703" t="str">
        <f t="shared" si="177"/>
        <v>-</v>
      </c>
      <c r="F266" s="703">
        <f t="shared" si="177"/>
        <v>9.9999999999999995E-7</v>
      </c>
      <c r="G266" s="703">
        <f>G215</f>
        <v>0</v>
      </c>
      <c r="I266" s="1549"/>
      <c r="J266" s="703">
        <v>20</v>
      </c>
      <c r="K266" s="703">
        <f>J215</f>
        <v>54.3</v>
      </c>
      <c r="L266" s="703">
        <f t="shared" ref="L266:N266" si="178">K215</f>
        <v>9.9999999999999995E-7</v>
      </c>
      <c r="M266" s="703" t="str">
        <f t="shared" si="178"/>
        <v>-</v>
      </c>
      <c r="N266" s="703">
        <f t="shared" si="178"/>
        <v>0</v>
      </c>
      <c r="O266" s="703">
        <f>N215</f>
        <v>0</v>
      </c>
      <c r="Q266" s="1551"/>
      <c r="R266" s="712">
        <v>20</v>
      </c>
      <c r="S266" s="712">
        <f>Q215</f>
        <v>800</v>
      </c>
      <c r="T266" s="725" t="str">
        <f t="shared" ref="T266:V266" si="179">R215</f>
        <v>-</v>
      </c>
      <c r="U266" s="725" t="str">
        <f t="shared" si="179"/>
        <v>-</v>
      </c>
      <c r="V266" s="725">
        <f t="shared" si="179"/>
        <v>0</v>
      </c>
      <c r="W266" s="725">
        <f>U215</f>
        <v>0</v>
      </c>
      <c r="Y266" s="701">
        <v>18</v>
      </c>
      <c r="Z266" s="702">
        <f>X191</f>
        <v>2.2999999999999998</v>
      </c>
      <c r="AE266" s="715"/>
    </row>
    <row r="267" spans="1:31" ht="13.5" thickBot="1" x14ac:dyDescent="0.35">
      <c r="A267" s="8"/>
      <c r="B267" s="8"/>
      <c r="C267" s="8"/>
      <c r="D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Q267" s="726"/>
      <c r="R267" s="716"/>
      <c r="S267" s="446"/>
      <c r="T267" s="447"/>
      <c r="U267" s="447"/>
      <c r="V267" s="447"/>
      <c r="W267" s="447"/>
      <c r="Y267" s="701">
        <v>19</v>
      </c>
      <c r="Z267" s="709">
        <f>X202</f>
        <v>1.5</v>
      </c>
      <c r="AE267" s="686"/>
    </row>
    <row r="268" spans="1:31" ht="13.5" thickBot="1" x14ac:dyDescent="0.35">
      <c r="A268" s="1549">
        <v>3</v>
      </c>
      <c r="B268" s="703">
        <v>1</v>
      </c>
      <c r="C268" s="703">
        <f>C7</f>
        <v>25</v>
      </c>
      <c r="D268" s="703">
        <f t="shared" ref="D268:F268" si="180">D7</f>
        <v>9.9999999999999995E-7</v>
      </c>
      <c r="E268" s="703">
        <f t="shared" si="180"/>
        <v>0.1</v>
      </c>
      <c r="F268" s="703">
        <f t="shared" si="180"/>
        <v>0</v>
      </c>
      <c r="G268" s="703">
        <f>G7</f>
        <v>0.05</v>
      </c>
      <c r="I268" s="1549">
        <v>3</v>
      </c>
      <c r="J268" s="703">
        <v>1</v>
      </c>
      <c r="K268" s="703">
        <f>J7</f>
        <v>50</v>
      </c>
      <c r="L268" s="703">
        <f t="shared" ref="L268:N268" si="181">K7</f>
        <v>-5.8</v>
      </c>
      <c r="M268" s="703">
        <f t="shared" si="181"/>
        <v>-7.2</v>
      </c>
      <c r="N268" s="703">
        <f t="shared" si="181"/>
        <v>0</v>
      </c>
      <c r="O268" s="703">
        <f>N7</f>
        <v>0.70000000000000018</v>
      </c>
      <c r="Q268" s="1550">
        <v>3</v>
      </c>
      <c r="R268" s="720">
        <v>1</v>
      </c>
      <c r="S268" s="720">
        <f>Q7</f>
        <v>850</v>
      </c>
      <c r="T268" s="727" t="str">
        <f t="shared" ref="T268:V268" si="182">R7</f>
        <v>-</v>
      </c>
      <c r="U268" s="727" t="str">
        <f t="shared" si="182"/>
        <v>-</v>
      </c>
      <c r="V268" s="727">
        <f t="shared" si="182"/>
        <v>0</v>
      </c>
      <c r="W268" s="727">
        <f>U7</f>
        <v>0</v>
      </c>
      <c r="Y268" s="710">
        <v>20</v>
      </c>
      <c r="Z268" s="711">
        <f>X213</f>
        <v>0</v>
      </c>
      <c r="AE268" s="723"/>
    </row>
    <row r="269" spans="1:31" ht="13" x14ac:dyDescent="0.3">
      <c r="A269" s="1549"/>
      <c r="B269" s="703">
        <v>2</v>
      </c>
      <c r="C269" s="703">
        <f>C18</f>
        <v>25</v>
      </c>
      <c r="D269" s="703">
        <f t="shared" ref="D269:F269" si="183">D18</f>
        <v>0.3</v>
      </c>
      <c r="E269" s="703">
        <f t="shared" si="183"/>
        <v>0.5</v>
      </c>
      <c r="F269" s="703">
        <f t="shared" si="183"/>
        <v>-0.2</v>
      </c>
      <c r="G269" s="703">
        <f>G18</f>
        <v>0.35</v>
      </c>
      <c r="I269" s="1549"/>
      <c r="J269" s="703">
        <v>2</v>
      </c>
      <c r="K269" s="703">
        <f>J18</f>
        <v>50</v>
      </c>
      <c r="L269" s="703">
        <f t="shared" ref="L269:N269" si="184">K18</f>
        <v>-8</v>
      </c>
      <c r="M269" s="703">
        <f t="shared" si="184"/>
        <v>-5.3</v>
      </c>
      <c r="N269" s="703">
        <f t="shared" si="184"/>
        <v>-1.5</v>
      </c>
      <c r="O269" s="703">
        <f>N18</f>
        <v>3.25</v>
      </c>
      <c r="Q269" s="1549"/>
      <c r="R269" s="703">
        <v>2</v>
      </c>
      <c r="S269" s="703">
        <f>Q18</f>
        <v>850</v>
      </c>
      <c r="T269" s="704" t="str">
        <f t="shared" ref="T269:V269" si="185">R18</f>
        <v>-</v>
      </c>
      <c r="U269" s="704" t="str">
        <f t="shared" si="185"/>
        <v>-</v>
      </c>
      <c r="V269" s="704">
        <f t="shared" si="185"/>
        <v>0</v>
      </c>
      <c r="W269" s="704">
        <f>U18</f>
        <v>0</v>
      </c>
      <c r="AE269" s="686"/>
    </row>
    <row r="270" spans="1:31" ht="13.5" thickBot="1" x14ac:dyDescent="0.35">
      <c r="A270" s="1549"/>
      <c r="B270" s="703">
        <v>3</v>
      </c>
      <c r="C270" s="703">
        <f>C29</f>
        <v>25</v>
      </c>
      <c r="D270" s="703">
        <f t="shared" ref="D270:F270" si="186">D29</f>
        <v>0.3</v>
      </c>
      <c r="E270" s="703">
        <f t="shared" si="186"/>
        <v>0.7</v>
      </c>
      <c r="F270" s="703">
        <f t="shared" si="186"/>
        <v>-0.1</v>
      </c>
      <c r="G270" s="703">
        <f>G29</f>
        <v>0.39999999999999997</v>
      </c>
      <c r="I270" s="1549"/>
      <c r="J270" s="703">
        <v>3</v>
      </c>
      <c r="K270" s="703">
        <f>J29</f>
        <v>50</v>
      </c>
      <c r="L270" s="703">
        <f t="shared" ref="L270:N270" si="187">K29</f>
        <v>-7.9</v>
      </c>
      <c r="M270" s="703">
        <f t="shared" si="187"/>
        <v>-4.5</v>
      </c>
      <c r="N270" s="703">
        <f t="shared" si="187"/>
        <v>-4.9000000000000004</v>
      </c>
      <c r="O270" s="703">
        <f>N29</f>
        <v>1.7000000000000002</v>
      </c>
      <c r="Q270" s="1549"/>
      <c r="R270" s="703">
        <v>3</v>
      </c>
      <c r="S270" s="703">
        <f>Q29</f>
        <v>850</v>
      </c>
      <c r="T270" s="704" t="str">
        <f t="shared" ref="T270:V270" si="188">R29</f>
        <v>-</v>
      </c>
      <c r="U270" s="704" t="str">
        <f t="shared" si="188"/>
        <v>-</v>
      </c>
      <c r="V270" s="704">
        <f t="shared" si="188"/>
        <v>0</v>
      </c>
      <c r="W270" s="704">
        <f>U29</f>
        <v>0</v>
      </c>
      <c r="AE270" s="686"/>
    </row>
    <row r="271" spans="1:31" ht="13" x14ac:dyDescent="0.3">
      <c r="A271" s="1549"/>
      <c r="B271" s="703">
        <v>4</v>
      </c>
      <c r="C271" s="703">
        <f>C40</f>
        <v>25</v>
      </c>
      <c r="D271" s="703">
        <f t="shared" ref="D271:F271" si="189">D40</f>
        <v>-0.1</v>
      </c>
      <c r="E271" s="703">
        <f t="shared" si="189"/>
        <v>-0.5</v>
      </c>
      <c r="F271" s="703">
        <f t="shared" si="189"/>
        <v>0</v>
      </c>
      <c r="G271" s="703">
        <f>G40</f>
        <v>0.2</v>
      </c>
      <c r="I271" s="1549"/>
      <c r="J271" s="703">
        <v>4</v>
      </c>
      <c r="K271" s="703">
        <f>J40</f>
        <v>50</v>
      </c>
      <c r="L271" s="703">
        <f t="shared" ref="L271:N271" si="190">K40</f>
        <v>-4.3</v>
      </c>
      <c r="M271" s="703">
        <f t="shared" si="190"/>
        <v>-1</v>
      </c>
      <c r="N271" s="703">
        <f t="shared" si="190"/>
        <v>0</v>
      </c>
      <c r="O271" s="703">
        <f>N40</f>
        <v>1.65</v>
      </c>
      <c r="Q271" s="1549"/>
      <c r="R271" s="703">
        <v>4</v>
      </c>
      <c r="S271" s="703">
        <f>Q40</f>
        <v>850</v>
      </c>
      <c r="T271" s="704" t="str">
        <f t="shared" ref="T271:V271" si="191">R40</f>
        <v>-</v>
      </c>
      <c r="U271" s="704" t="str">
        <f t="shared" si="191"/>
        <v>-</v>
      </c>
      <c r="V271" s="704">
        <f t="shared" si="191"/>
        <v>0</v>
      </c>
      <c r="W271" s="704">
        <f>U40</f>
        <v>0</v>
      </c>
      <c r="Y271" s="1555" t="s">
        <v>389</v>
      </c>
      <c r="Z271" s="1556"/>
      <c r="AE271" s="686"/>
    </row>
    <row r="272" spans="1:31" ht="13" x14ac:dyDescent="0.3">
      <c r="A272" s="1549"/>
      <c r="B272" s="703">
        <v>5</v>
      </c>
      <c r="C272" s="703">
        <f>C51</f>
        <v>25</v>
      </c>
      <c r="D272" s="703">
        <f t="shared" ref="D272:F272" si="192">D51</f>
        <v>0.4</v>
      </c>
      <c r="E272" s="703">
        <f t="shared" si="192"/>
        <v>0.4</v>
      </c>
      <c r="F272" s="703">
        <f t="shared" si="192"/>
        <v>0.2</v>
      </c>
      <c r="G272" s="703">
        <f>G51</f>
        <v>0.1</v>
      </c>
      <c r="I272" s="1549"/>
      <c r="J272" s="703">
        <v>5</v>
      </c>
      <c r="K272" s="703">
        <f>J51</f>
        <v>50</v>
      </c>
      <c r="L272" s="703">
        <f t="shared" ref="L272:N272" si="193">K51</f>
        <v>-8.8000000000000007</v>
      </c>
      <c r="M272" s="703">
        <f t="shared" si="193"/>
        <v>-6.2</v>
      </c>
      <c r="N272" s="703">
        <f t="shared" si="193"/>
        <v>-6.2</v>
      </c>
      <c r="O272" s="703">
        <f>N51</f>
        <v>1.3000000000000003</v>
      </c>
      <c r="Q272" s="1549"/>
      <c r="R272" s="703">
        <v>5</v>
      </c>
      <c r="S272" s="703">
        <f>Q51</f>
        <v>850</v>
      </c>
      <c r="T272" s="704" t="str">
        <f t="shared" ref="T272:V272" si="194">R51</f>
        <v>-</v>
      </c>
      <c r="U272" s="704" t="str">
        <f t="shared" si="194"/>
        <v>-</v>
      </c>
      <c r="V272" s="704">
        <f t="shared" si="194"/>
        <v>0</v>
      </c>
      <c r="W272" s="704">
        <f>U51</f>
        <v>0</v>
      </c>
      <c r="Y272" s="1557" t="s">
        <v>437</v>
      </c>
      <c r="Z272" s="1558"/>
      <c r="AE272" s="686"/>
    </row>
    <row r="273" spans="1:31" ht="13" x14ac:dyDescent="0.3">
      <c r="A273" s="1549"/>
      <c r="B273" s="703">
        <v>6</v>
      </c>
      <c r="C273" s="703">
        <f>C62</f>
        <v>25</v>
      </c>
      <c r="D273" s="703">
        <f t="shared" ref="D273:F273" si="195">D62</f>
        <v>0.2</v>
      </c>
      <c r="E273" s="703">
        <f t="shared" si="195"/>
        <v>-0.1</v>
      </c>
      <c r="F273" s="703">
        <f t="shared" si="195"/>
        <v>0</v>
      </c>
      <c r="G273" s="703">
        <f>G62</f>
        <v>0.15000000000000002</v>
      </c>
      <c r="I273" s="1549"/>
      <c r="J273" s="703">
        <v>6</v>
      </c>
      <c r="K273" s="703">
        <f>J62</f>
        <v>50</v>
      </c>
      <c r="L273" s="703">
        <f t="shared" ref="L273:N273" si="196">K62</f>
        <v>-5.4</v>
      </c>
      <c r="M273" s="703">
        <f t="shared" si="196"/>
        <v>1.2</v>
      </c>
      <c r="N273" s="703">
        <f t="shared" si="196"/>
        <v>0</v>
      </c>
      <c r="O273" s="703">
        <f>N62</f>
        <v>3.3000000000000003</v>
      </c>
      <c r="Q273" s="1549"/>
      <c r="R273" s="703">
        <v>6</v>
      </c>
      <c r="S273" s="703">
        <f>Q62</f>
        <v>850</v>
      </c>
      <c r="T273" s="704">
        <f t="shared" ref="T273:V273" si="197">R62</f>
        <v>0.9</v>
      </c>
      <c r="U273" s="704">
        <f t="shared" si="197"/>
        <v>1.1000000000000001</v>
      </c>
      <c r="V273" s="704">
        <f t="shared" si="197"/>
        <v>0</v>
      </c>
      <c r="W273" s="704">
        <f>U62</f>
        <v>0.10000000000000003</v>
      </c>
      <c r="Y273" s="701">
        <v>1</v>
      </c>
      <c r="Z273" s="702">
        <f>X5</f>
        <v>0</v>
      </c>
      <c r="AE273" s="686"/>
    </row>
    <row r="274" spans="1:31" ht="13" x14ac:dyDescent="0.3">
      <c r="A274" s="1549"/>
      <c r="B274" s="703">
        <v>7</v>
      </c>
      <c r="C274" s="703">
        <f>C73</f>
        <v>25</v>
      </c>
      <c r="D274" s="703">
        <f t="shared" ref="D274:F274" si="198">D73</f>
        <v>-0.1</v>
      </c>
      <c r="E274" s="703">
        <f t="shared" si="198"/>
        <v>9.9999999999999995E-7</v>
      </c>
      <c r="F274" s="703">
        <f t="shared" si="198"/>
        <v>-0.2</v>
      </c>
      <c r="G274" s="703">
        <f>G73</f>
        <v>0.10000050000000001</v>
      </c>
      <c r="I274" s="1549"/>
      <c r="J274" s="703">
        <v>7</v>
      </c>
      <c r="K274" s="703">
        <f>J73</f>
        <v>50</v>
      </c>
      <c r="L274" s="703">
        <f t="shared" ref="L274:N274" si="199">K73</f>
        <v>-2.1</v>
      </c>
      <c r="M274" s="703">
        <f t="shared" si="199"/>
        <v>-1.9</v>
      </c>
      <c r="N274" s="703">
        <f t="shared" si="199"/>
        <v>0.8</v>
      </c>
      <c r="O274" s="703">
        <f>N73</f>
        <v>1.4500000000000002</v>
      </c>
      <c r="Q274" s="1549"/>
      <c r="R274" s="703">
        <v>7</v>
      </c>
      <c r="S274" s="703">
        <f>Q73</f>
        <v>980</v>
      </c>
      <c r="T274" s="704">
        <f t="shared" ref="T274:V274" si="200">R73</f>
        <v>0.5</v>
      </c>
      <c r="U274" s="704" t="str">
        <f t="shared" si="200"/>
        <v>-</v>
      </c>
      <c r="V274" s="704" t="str">
        <f t="shared" si="200"/>
        <v>-</v>
      </c>
      <c r="W274" s="704">
        <f>U73</f>
        <v>0</v>
      </c>
      <c r="Y274" s="705">
        <v>2</v>
      </c>
      <c r="Z274" s="702">
        <f>X16</f>
        <v>0</v>
      </c>
      <c r="AE274" s="686"/>
    </row>
    <row r="275" spans="1:31" ht="13" x14ac:dyDescent="0.3">
      <c r="A275" s="1549"/>
      <c r="B275" s="703">
        <v>8</v>
      </c>
      <c r="C275" s="703">
        <f>C84</f>
        <v>25</v>
      </c>
      <c r="D275" s="703">
        <f t="shared" ref="D275:F275" si="201">D84</f>
        <v>-0.1</v>
      </c>
      <c r="E275" s="703">
        <f t="shared" si="201"/>
        <v>-0.4</v>
      </c>
      <c r="F275" s="703">
        <f t="shared" si="201"/>
        <v>0</v>
      </c>
      <c r="G275" s="703">
        <f>G84</f>
        <v>0.15000000000000002</v>
      </c>
      <c r="I275" s="1549"/>
      <c r="J275" s="703">
        <v>8</v>
      </c>
      <c r="K275" s="703">
        <f>J84</f>
        <v>50</v>
      </c>
      <c r="L275" s="703">
        <f t="shared" ref="L275:N275" si="202">K84</f>
        <v>-3.8</v>
      </c>
      <c r="M275" s="703">
        <f t="shared" si="202"/>
        <v>-1.2</v>
      </c>
      <c r="N275" s="703">
        <f t="shared" si="202"/>
        <v>0</v>
      </c>
      <c r="O275" s="703">
        <f>N84</f>
        <v>1.2999999999999998</v>
      </c>
      <c r="Q275" s="1549"/>
      <c r="R275" s="703">
        <v>8</v>
      </c>
      <c r="S275" s="703">
        <f>Q84</f>
        <v>850</v>
      </c>
      <c r="T275" s="704">
        <f t="shared" ref="T275:V275" si="203">R84</f>
        <v>9.9999999999999995E-7</v>
      </c>
      <c r="U275" s="704">
        <f t="shared" si="203"/>
        <v>9.9999999999999995E-7</v>
      </c>
      <c r="V275" s="704">
        <f t="shared" si="203"/>
        <v>0</v>
      </c>
      <c r="W275" s="704">
        <f>U84</f>
        <v>0</v>
      </c>
      <c r="Y275" s="705">
        <v>3</v>
      </c>
      <c r="Z275" s="706">
        <f>X27</f>
        <v>0</v>
      </c>
      <c r="AE275" s="686"/>
    </row>
    <row r="276" spans="1:31" ht="13" x14ac:dyDescent="0.3">
      <c r="A276" s="1549"/>
      <c r="B276" s="703">
        <v>9</v>
      </c>
      <c r="C276" s="703">
        <f>C95</f>
        <v>25</v>
      </c>
      <c r="D276" s="703">
        <f t="shared" ref="D276:F276" si="204">D95</f>
        <v>-0.4</v>
      </c>
      <c r="E276" s="703" t="str">
        <f t="shared" si="204"/>
        <v>-</v>
      </c>
      <c r="F276" s="703">
        <f t="shared" si="204"/>
        <v>0</v>
      </c>
      <c r="G276" s="703">
        <f>G95</f>
        <v>0</v>
      </c>
      <c r="I276" s="1549"/>
      <c r="J276" s="703">
        <v>9</v>
      </c>
      <c r="K276" s="703">
        <f>J95</f>
        <v>50</v>
      </c>
      <c r="L276" s="703">
        <f t="shared" ref="L276:N276" si="205">K95</f>
        <v>-0.9</v>
      </c>
      <c r="M276" s="703" t="str">
        <f t="shared" si="205"/>
        <v>-</v>
      </c>
      <c r="N276" s="703">
        <f t="shared" si="205"/>
        <v>0</v>
      </c>
      <c r="O276" s="703">
        <f>N95</f>
        <v>0</v>
      </c>
      <c r="Q276" s="1549"/>
      <c r="R276" s="703">
        <v>9</v>
      </c>
      <c r="S276" s="703">
        <f>Q95</f>
        <v>850</v>
      </c>
      <c r="T276" s="704">
        <f t="shared" ref="T276:V276" si="206">R95</f>
        <v>9.9999999999999995E-7</v>
      </c>
      <c r="U276" s="704" t="str">
        <f t="shared" si="206"/>
        <v>-</v>
      </c>
      <c r="V276" s="704">
        <f t="shared" si="206"/>
        <v>0</v>
      </c>
      <c r="W276" s="704">
        <f>U95</f>
        <v>0</v>
      </c>
      <c r="Y276" s="705">
        <v>4</v>
      </c>
      <c r="Z276" s="706">
        <f>X38</f>
        <v>0</v>
      </c>
      <c r="AE276" s="686"/>
    </row>
    <row r="277" spans="1:31" ht="13" x14ac:dyDescent="0.3">
      <c r="A277" s="1549"/>
      <c r="B277" s="703">
        <v>10</v>
      </c>
      <c r="C277" s="703">
        <f>C106</f>
        <v>25</v>
      </c>
      <c r="D277" s="703">
        <f t="shared" ref="D277:F277" si="207">D106</f>
        <v>0.1</v>
      </c>
      <c r="E277" s="703">
        <f t="shared" si="207"/>
        <v>-0.5</v>
      </c>
      <c r="F277" s="703">
        <f t="shared" si="207"/>
        <v>0</v>
      </c>
      <c r="G277" s="703">
        <f>G106</f>
        <v>0.3</v>
      </c>
      <c r="I277" s="1549"/>
      <c r="J277" s="703">
        <v>10</v>
      </c>
      <c r="K277" s="703">
        <f>J106</f>
        <v>50</v>
      </c>
      <c r="L277" s="703">
        <f t="shared" ref="L277:N277" si="208">K106</f>
        <v>-3.1</v>
      </c>
      <c r="M277" s="703">
        <f t="shared" si="208"/>
        <v>-6.1</v>
      </c>
      <c r="N277" s="703">
        <f t="shared" si="208"/>
        <v>0</v>
      </c>
      <c r="O277" s="703">
        <f>N106</f>
        <v>1.4999999999999998</v>
      </c>
      <c r="Q277" s="1549"/>
      <c r="R277" s="703">
        <v>10</v>
      </c>
      <c r="S277" s="703">
        <f>Q106</f>
        <v>850</v>
      </c>
      <c r="T277" s="704" t="str">
        <f t="shared" ref="T277:V277" si="209">R106</f>
        <v>-</v>
      </c>
      <c r="U277" s="704" t="str">
        <f t="shared" si="209"/>
        <v>-</v>
      </c>
      <c r="V277" s="704">
        <f t="shared" si="209"/>
        <v>0</v>
      </c>
      <c r="W277" s="704">
        <f>U106</f>
        <v>0</v>
      </c>
      <c r="Y277" s="705">
        <v>5</v>
      </c>
      <c r="Z277" s="706">
        <f>X49</f>
        <v>0</v>
      </c>
      <c r="AE277" s="686"/>
    </row>
    <row r="278" spans="1:31" ht="13" x14ac:dyDescent="0.3">
      <c r="A278" s="1549"/>
      <c r="B278" s="703">
        <v>11</v>
      </c>
      <c r="C278" s="703">
        <f>C117</f>
        <v>25</v>
      </c>
      <c r="D278" s="703">
        <f t="shared" ref="D278:F278" si="210">D117</f>
        <v>0.4</v>
      </c>
      <c r="E278" s="703">
        <f t="shared" si="210"/>
        <v>0.5</v>
      </c>
      <c r="F278" s="703">
        <f t="shared" si="210"/>
        <v>0</v>
      </c>
      <c r="G278" s="703">
        <f>G117</f>
        <v>4.9999999999999989E-2</v>
      </c>
      <c r="I278" s="1549"/>
      <c r="J278" s="703">
        <v>11</v>
      </c>
      <c r="K278" s="703">
        <f>J117</f>
        <v>50</v>
      </c>
      <c r="L278" s="703">
        <f t="shared" ref="L278:N278" si="211">K117</f>
        <v>-5.5</v>
      </c>
      <c r="M278" s="703">
        <f t="shared" si="211"/>
        <v>-5.6</v>
      </c>
      <c r="N278" s="703">
        <f t="shared" si="211"/>
        <v>0</v>
      </c>
      <c r="O278" s="703">
        <f>N117</f>
        <v>4.9999999999999822E-2</v>
      </c>
      <c r="Q278" s="1549"/>
      <c r="R278" s="703">
        <v>11</v>
      </c>
      <c r="S278" s="703">
        <f>Q117</f>
        <v>850</v>
      </c>
      <c r="T278" s="704" t="str">
        <f t="shared" ref="T278:V278" si="212">R117</f>
        <v>-</v>
      </c>
      <c r="U278" s="704" t="str">
        <f t="shared" si="212"/>
        <v>-</v>
      </c>
      <c r="V278" s="704">
        <f t="shared" si="212"/>
        <v>0</v>
      </c>
      <c r="W278" s="704">
        <f>U117</f>
        <v>0</v>
      </c>
      <c r="Y278" s="701">
        <v>6</v>
      </c>
      <c r="Z278" s="702">
        <f>X60</f>
        <v>1.6</v>
      </c>
      <c r="AE278" s="686"/>
    </row>
    <row r="279" spans="1:31" ht="13" x14ac:dyDescent="0.3">
      <c r="A279" s="1549"/>
      <c r="B279" s="703">
        <v>12</v>
      </c>
      <c r="C279" s="703">
        <f>C128</f>
        <v>25</v>
      </c>
      <c r="D279" s="703">
        <f t="shared" ref="D279:F279" si="213">D128</f>
        <v>9.9999999999999995E-7</v>
      </c>
      <c r="E279" s="703" t="str">
        <f t="shared" si="213"/>
        <v>-</v>
      </c>
      <c r="F279" s="703">
        <f t="shared" si="213"/>
        <v>0</v>
      </c>
      <c r="G279" s="703">
        <f>G128</f>
        <v>0</v>
      </c>
      <c r="I279" s="1549"/>
      <c r="J279" s="703">
        <v>12</v>
      </c>
      <c r="K279" s="703">
        <f>J128</f>
        <v>50</v>
      </c>
      <c r="L279" s="703">
        <f t="shared" ref="L279:N279" si="214">K128</f>
        <v>9.9999999999999995E-7</v>
      </c>
      <c r="M279" s="703" t="str">
        <f t="shared" si="214"/>
        <v>-</v>
      </c>
      <c r="N279" s="703">
        <f t="shared" si="214"/>
        <v>0</v>
      </c>
      <c r="O279" s="703">
        <f>N128</f>
        <v>0</v>
      </c>
      <c r="Q279" s="1549"/>
      <c r="R279" s="703">
        <v>12</v>
      </c>
      <c r="S279" s="703">
        <f>Q128</f>
        <v>900</v>
      </c>
      <c r="T279" s="704">
        <f t="shared" ref="T279:V279" si="215">R128</f>
        <v>-0.6</v>
      </c>
      <c r="U279" s="704" t="str">
        <f t="shared" si="215"/>
        <v>-</v>
      </c>
      <c r="V279" s="704">
        <f t="shared" si="215"/>
        <v>0</v>
      </c>
      <c r="W279" s="704">
        <f>U128</f>
        <v>0</v>
      </c>
      <c r="Y279" s="701">
        <v>7</v>
      </c>
      <c r="Z279" s="702">
        <f>X71</f>
        <v>2</v>
      </c>
      <c r="AE279" s="686"/>
    </row>
    <row r="280" spans="1:31" ht="13" x14ac:dyDescent="0.3">
      <c r="A280" s="1549"/>
      <c r="B280" s="703">
        <v>13</v>
      </c>
      <c r="C280" s="703">
        <f>C139</f>
        <v>25</v>
      </c>
      <c r="D280" s="703">
        <f t="shared" ref="D280:F280" si="216">D139</f>
        <v>0.1</v>
      </c>
      <c r="E280" s="703">
        <f t="shared" si="216"/>
        <v>-0.2</v>
      </c>
      <c r="F280" s="703" t="str">
        <f t="shared" si="216"/>
        <v>-</v>
      </c>
      <c r="G280" s="703">
        <f>G139</f>
        <v>0</v>
      </c>
      <c r="I280" s="1549"/>
      <c r="J280" s="703">
        <v>13</v>
      </c>
      <c r="K280" s="703">
        <f>J139</f>
        <v>50</v>
      </c>
      <c r="L280" s="703">
        <f t="shared" ref="L280:N280" si="217">K139</f>
        <v>-1.8</v>
      </c>
      <c r="M280" s="703">
        <f t="shared" si="217"/>
        <v>-1.3</v>
      </c>
      <c r="N280" s="703" t="str">
        <f t="shared" si="217"/>
        <v>-</v>
      </c>
      <c r="O280" s="703">
        <f>N139</f>
        <v>0</v>
      </c>
      <c r="Q280" s="1549"/>
      <c r="R280" s="703">
        <v>13</v>
      </c>
      <c r="S280" s="703">
        <f>Q139</f>
        <v>980</v>
      </c>
      <c r="T280" s="704">
        <f t="shared" ref="T280:V280" si="218">R139</f>
        <v>3.9</v>
      </c>
      <c r="U280" s="704">
        <f t="shared" si="218"/>
        <v>1</v>
      </c>
      <c r="V280" s="704" t="str">
        <f t="shared" si="218"/>
        <v>-</v>
      </c>
      <c r="W280" s="704">
        <f>U139</f>
        <v>0</v>
      </c>
      <c r="Y280" s="701">
        <v>8</v>
      </c>
      <c r="Z280" s="702">
        <f>X82</f>
        <v>2.1</v>
      </c>
      <c r="AE280" s="686"/>
    </row>
    <row r="281" spans="1:31" ht="13" x14ac:dyDescent="0.3">
      <c r="A281" s="1549"/>
      <c r="B281" s="703">
        <v>14</v>
      </c>
      <c r="C281" s="703">
        <f>C150</f>
        <v>25</v>
      </c>
      <c r="D281" s="703">
        <f t="shared" ref="D281:F281" si="219">D150</f>
        <v>-0.1</v>
      </c>
      <c r="E281" s="703">
        <f t="shared" si="219"/>
        <v>-0.1</v>
      </c>
      <c r="F281" s="703" t="str">
        <f t="shared" si="219"/>
        <v>-</v>
      </c>
      <c r="G281" s="703">
        <f>G150</f>
        <v>0</v>
      </c>
      <c r="I281" s="1549"/>
      <c r="J281" s="703">
        <v>14</v>
      </c>
      <c r="K281" s="703">
        <f>J151</f>
        <v>60</v>
      </c>
      <c r="L281" s="703">
        <f t="shared" ref="L281:N281" si="220">K151</f>
        <v>0.3</v>
      </c>
      <c r="M281" s="703">
        <f t="shared" si="220"/>
        <v>-0.6</v>
      </c>
      <c r="N281" s="703" t="str">
        <f t="shared" si="220"/>
        <v>-</v>
      </c>
      <c r="O281" s="703">
        <f>N151</f>
        <v>0</v>
      </c>
      <c r="Q281" s="1549"/>
      <c r="R281" s="703">
        <v>14</v>
      </c>
      <c r="S281" s="703">
        <f>Q150</f>
        <v>980</v>
      </c>
      <c r="T281" s="704">
        <f t="shared" ref="T281:V281" si="221">R150</f>
        <v>3.9</v>
      </c>
      <c r="U281" s="704">
        <f t="shared" si="221"/>
        <v>1</v>
      </c>
      <c r="V281" s="704" t="str">
        <f t="shared" si="221"/>
        <v>-</v>
      </c>
      <c r="W281" s="704">
        <f>U150</f>
        <v>0</v>
      </c>
      <c r="Y281" s="701">
        <v>9</v>
      </c>
      <c r="Z281" s="702">
        <f>X93</f>
        <v>2.2000000000000002</v>
      </c>
      <c r="AE281" s="686"/>
    </row>
    <row r="282" spans="1:31" ht="13" x14ac:dyDescent="0.3">
      <c r="A282" s="1549"/>
      <c r="B282" s="703">
        <v>15</v>
      </c>
      <c r="C282" s="703">
        <f>C161</f>
        <v>25</v>
      </c>
      <c r="D282" s="703">
        <f t="shared" ref="D282:F282" si="222">D161</f>
        <v>0.2</v>
      </c>
      <c r="E282" s="703">
        <f t="shared" si="222"/>
        <v>-0.4</v>
      </c>
      <c r="F282" s="703" t="str">
        <f t="shared" si="222"/>
        <v>-</v>
      </c>
      <c r="G282" s="703">
        <f>G161</f>
        <v>0</v>
      </c>
      <c r="I282" s="1549"/>
      <c r="J282" s="703">
        <v>15</v>
      </c>
      <c r="K282" s="703">
        <f>J161</f>
        <v>50</v>
      </c>
      <c r="L282" s="703">
        <f t="shared" ref="L282:N282" si="223">K161</f>
        <v>-1.4</v>
      </c>
      <c r="M282" s="703">
        <f t="shared" si="223"/>
        <v>-0.3</v>
      </c>
      <c r="N282" s="703" t="str">
        <f t="shared" si="223"/>
        <v>-</v>
      </c>
      <c r="O282" s="703">
        <f>N161</f>
        <v>0</v>
      </c>
      <c r="Q282" s="1549"/>
      <c r="R282" s="703">
        <v>15</v>
      </c>
      <c r="S282" s="703">
        <f>Q161</f>
        <v>980</v>
      </c>
      <c r="T282" s="704">
        <f t="shared" ref="T282:V282" si="224">R161</f>
        <v>4.3</v>
      </c>
      <c r="U282" s="704">
        <f t="shared" si="224"/>
        <v>1</v>
      </c>
      <c r="V282" s="704" t="str">
        <f t="shared" si="224"/>
        <v>-</v>
      </c>
      <c r="W282" s="704">
        <f>U161</f>
        <v>0</v>
      </c>
      <c r="Y282" s="701">
        <v>10</v>
      </c>
      <c r="Z282" s="702">
        <f>X104</f>
        <v>0</v>
      </c>
      <c r="AE282" s="686"/>
    </row>
    <row r="283" spans="1:31" ht="13" x14ac:dyDescent="0.3">
      <c r="A283" s="1549"/>
      <c r="B283" s="703">
        <v>16</v>
      </c>
      <c r="C283" s="703">
        <f>C172</f>
        <v>25</v>
      </c>
      <c r="D283" s="703">
        <f t="shared" ref="D283:F283" si="225">D172</f>
        <v>0.5</v>
      </c>
      <c r="E283" s="703">
        <f t="shared" si="225"/>
        <v>0.2</v>
      </c>
      <c r="F283" s="703">
        <f t="shared" si="225"/>
        <v>0</v>
      </c>
      <c r="G283" s="703">
        <f>G172</f>
        <v>0.15</v>
      </c>
      <c r="I283" s="1549"/>
      <c r="J283" s="703">
        <v>16</v>
      </c>
      <c r="K283" s="703">
        <f>J172</f>
        <v>50</v>
      </c>
      <c r="L283" s="703">
        <f t="shared" ref="L283:N283" si="226">K172</f>
        <v>-2</v>
      </c>
      <c r="M283" s="703">
        <f t="shared" si="226"/>
        <v>-1.4</v>
      </c>
      <c r="N283" s="703">
        <f t="shared" si="226"/>
        <v>0</v>
      </c>
      <c r="O283" s="703">
        <f>N172</f>
        <v>0.30000000000000004</v>
      </c>
      <c r="Q283" s="1549"/>
      <c r="R283" s="703">
        <v>16</v>
      </c>
      <c r="S283" s="703">
        <f>Q172</f>
        <v>980</v>
      </c>
      <c r="T283" s="704">
        <f t="shared" ref="T283:V283" si="227">R172</f>
        <v>4.5</v>
      </c>
      <c r="U283" s="704" t="str">
        <f t="shared" si="227"/>
        <v>-</v>
      </c>
      <c r="V283" s="704">
        <f t="shared" si="227"/>
        <v>0</v>
      </c>
      <c r="W283" s="704">
        <f>U172</f>
        <v>0</v>
      </c>
      <c r="Y283" s="701">
        <v>11</v>
      </c>
      <c r="Z283" s="702">
        <f>X115</f>
        <v>0</v>
      </c>
      <c r="AE283" s="686"/>
    </row>
    <row r="284" spans="1:31" ht="13" x14ac:dyDescent="0.3">
      <c r="A284" s="1549"/>
      <c r="B284" s="703">
        <v>17</v>
      </c>
      <c r="C284" s="703">
        <f>C183</f>
        <v>25</v>
      </c>
      <c r="D284" s="703">
        <f t="shared" ref="D284:F284" si="228">D183</f>
        <v>0.5</v>
      </c>
      <c r="E284" s="703">
        <f t="shared" si="228"/>
        <v>0</v>
      </c>
      <c r="F284" s="703">
        <f t="shared" si="228"/>
        <v>0</v>
      </c>
      <c r="G284" s="703">
        <f>G183</f>
        <v>0.25</v>
      </c>
      <c r="I284" s="1549"/>
      <c r="J284" s="703">
        <v>17</v>
      </c>
      <c r="K284" s="703">
        <f>J183</f>
        <v>50</v>
      </c>
      <c r="L284" s="703">
        <f t="shared" ref="L284:N284" si="229">K183</f>
        <v>-1.9</v>
      </c>
      <c r="M284" s="703">
        <f t="shared" si="229"/>
        <v>0.2</v>
      </c>
      <c r="N284" s="703">
        <f t="shared" si="229"/>
        <v>0</v>
      </c>
      <c r="O284" s="703">
        <f>N183</f>
        <v>1.05</v>
      </c>
      <c r="Q284" s="1549"/>
      <c r="R284" s="703">
        <v>17</v>
      </c>
      <c r="S284" s="703">
        <f>Q183</f>
        <v>980</v>
      </c>
      <c r="T284" s="704">
        <f t="shared" ref="T284:V284" si="230">R183</f>
        <v>4.5999999999999996</v>
      </c>
      <c r="U284" s="704">
        <f t="shared" si="230"/>
        <v>-0.6</v>
      </c>
      <c r="V284" s="704">
        <f t="shared" si="230"/>
        <v>0</v>
      </c>
      <c r="W284" s="704">
        <f>U183</f>
        <v>2.5999999999999996</v>
      </c>
      <c r="Y284" s="701">
        <v>12</v>
      </c>
      <c r="Z284" s="724">
        <f>X126</f>
        <v>2.4</v>
      </c>
      <c r="AE284" s="686"/>
    </row>
    <row r="285" spans="1:31" ht="13" x14ac:dyDescent="0.3">
      <c r="A285" s="1549"/>
      <c r="B285" s="703">
        <v>18</v>
      </c>
      <c r="C285" s="703">
        <f>C194</f>
        <v>25</v>
      </c>
      <c r="D285" s="703">
        <f t="shared" ref="D285:F285" si="231">D194</f>
        <v>0.2</v>
      </c>
      <c r="E285" s="703">
        <f t="shared" si="231"/>
        <v>-0.2</v>
      </c>
      <c r="F285" s="703">
        <f t="shared" si="231"/>
        <v>0</v>
      </c>
      <c r="G285" s="703">
        <f>G194</f>
        <v>0.2</v>
      </c>
      <c r="I285" s="1549"/>
      <c r="J285" s="703">
        <v>18</v>
      </c>
      <c r="K285" s="703">
        <f>J194</f>
        <v>50</v>
      </c>
      <c r="L285" s="703">
        <f t="shared" ref="L285:N285" si="232">K194</f>
        <v>-2.4</v>
      </c>
      <c r="M285" s="703">
        <f t="shared" si="232"/>
        <v>-0.2</v>
      </c>
      <c r="N285" s="703">
        <f t="shared" si="232"/>
        <v>0</v>
      </c>
      <c r="O285" s="703">
        <f>N194</f>
        <v>1.0999999999999999</v>
      </c>
      <c r="Q285" s="1549"/>
      <c r="R285" s="703">
        <v>18</v>
      </c>
      <c r="S285" s="703">
        <f>Q194</f>
        <v>980</v>
      </c>
      <c r="T285" s="704">
        <f t="shared" ref="T285:V285" si="233">R194</f>
        <v>4.5</v>
      </c>
      <c r="U285" s="704" t="str">
        <f t="shared" si="233"/>
        <v>-</v>
      </c>
      <c r="V285" s="704">
        <f t="shared" si="233"/>
        <v>0</v>
      </c>
      <c r="W285" s="704">
        <f>U194</f>
        <v>0</v>
      </c>
      <c r="Y285" s="701">
        <v>13</v>
      </c>
      <c r="Z285" s="702">
        <f>X137</f>
        <v>2.4</v>
      </c>
      <c r="AE285" s="686"/>
    </row>
    <row r="286" spans="1:31" ht="13" x14ac:dyDescent="0.3">
      <c r="A286" s="1549"/>
      <c r="B286" s="703">
        <v>19</v>
      </c>
      <c r="C286" s="703">
        <f>C194</f>
        <v>25</v>
      </c>
      <c r="D286" s="703">
        <f t="shared" ref="D286:F286" si="234">D194</f>
        <v>0.2</v>
      </c>
      <c r="E286" s="703">
        <f t="shared" si="234"/>
        <v>-0.2</v>
      </c>
      <c r="F286" s="703">
        <f t="shared" si="234"/>
        <v>0</v>
      </c>
      <c r="G286" s="703">
        <f>G194</f>
        <v>0.2</v>
      </c>
      <c r="I286" s="1549"/>
      <c r="J286" s="703">
        <v>19</v>
      </c>
      <c r="K286" s="703">
        <f>J205</f>
        <v>50</v>
      </c>
      <c r="L286" s="703">
        <f t="shared" ref="L286:N286" si="235">K205</f>
        <v>-0.2</v>
      </c>
      <c r="M286" s="703" t="str">
        <f t="shared" si="235"/>
        <v>-</v>
      </c>
      <c r="N286" s="703">
        <f t="shared" si="235"/>
        <v>0</v>
      </c>
      <c r="O286" s="703">
        <f>N205</f>
        <v>0</v>
      </c>
      <c r="Q286" s="1549"/>
      <c r="R286" s="703">
        <v>19</v>
      </c>
      <c r="S286" s="703">
        <f>Q205</f>
        <v>850</v>
      </c>
      <c r="T286" s="704">
        <f t="shared" ref="T286:V286" si="236">R205</f>
        <v>2.4</v>
      </c>
      <c r="U286" s="704" t="str">
        <f t="shared" si="236"/>
        <v>-</v>
      </c>
      <c r="V286" s="704">
        <f t="shared" si="236"/>
        <v>0</v>
      </c>
      <c r="W286" s="704">
        <f>U205</f>
        <v>0</v>
      </c>
      <c r="Y286" s="701">
        <v>14</v>
      </c>
      <c r="Z286" s="702">
        <f>X148</f>
        <v>2.4</v>
      </c>
      <c r="AE286" s="686"/>
    </row>
    <row r="287" spans="1:31" ht="13.5" thickBot="1" x14ac:dyDescent="0.35">
      <c r="A287" s="1549"/>
      <c r="B287" s="703">
        <v>20</v>
      </c>
      <c r="C287" s="703">
        <f>C216</f>
        <v>24.6</v>
      </c>
      <c r="D287" s="703">
        <f t="shared" ref="D287:F287" si="237">D216</f>
        <v>9.9999999999999995E-7</v>
      </c>
      <c r="E287" s="703" t="str">
        <f t="shared" si="237"/>
        <v>-</v>
      </c>
      <c r="F287" s="703">
        <f t="shared" si="237"/>
        <v>9.9999999999999995E-7</v>
      </c>
      <c r="G287" s="703">
        <f>G216</f>
        <v>0</v>
      </c>
      <c r="I287" s="1549"/>
      <c r="J287" s="703">
        <v>20</v>
      </c>
      <c r="K287" s="703">
        <f>J216</f>
        <v>62.5</v>
      </c>
      <c r="L287" s="703">
        <f t="shared" ref="L287:N287" si="238">K216</f>
        <v>9.9999999999999995E-7</v>
      </c>
      <c r="M287" s="703" t="str">
        <f t="shared" si="238"/>
        <v>-</v>
      </c>
      <c r="N287" s="703">
        <f t="shared" si="238"/>
        <v>0</v>
      </c>
      <c r="O287" s="703">
        <f>N216</f>
        <v>0</v>
      </c>
      <c r="Q287" s="1551"/>
      <c r="R287" s="712">
        <v>20</v>
      </c>
      <c r="S287" s="712">
        <f>Q216</f>
        <v>850</v>
      </c>
      <c r="T287" s="725" t="str">
        <f t="shared" ref="T287:V287" si="239">R216</f>
        <v>-</v>
      </c>
      <c r="U287" s="725" t="str">
        <f t="shared" si="239"/>
        <v>-</v>
      </c>
      <c r="V287" s="725">
        <f t="shared" si="239"/>
        <v>0</v>
      </c>
      <c r="W287" s="725">
        <f>U216</f>
        <v>0</v>
      </c>
      <c r="Y287" s="701">
        <v>15</v>
      </c>
      <c r="Z287" s="702">
        <f>X159</f>
        <v>2.6</v>
      </c>
      <c r="AE287" s="715"/>
    </row>
    <row r="288" spans="1:31" ht="13.5" thickBot="1" x14ac:dyDescent="0.35">
      <c r="A288" s="8"/>
      <c r="B288" s="8"/>
      <c r="C288" s="8"/>
      <c r="D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Q288" s="726"/>
      <c r="R288" s="728"/>
      <c r="S288" s="446"/>
      <c r="T288" s="447"/>
      <c r="U288" s="447"/>
      <c r="V288" s="447"/>
      <c r="W288" s="447"/>
      <c r="Y288" s="701">
        <v>16</v>
      </c>
      <c r="Z288" s="709">
        <f>X170</f>
        <v>2.2000000000000002</v>
      </c>
      <c r="AE288" s="686"/>
    </row>
    <row r="289" spans="1:31" ht="13" x14ac:dyDescent="0.3">
      <c r="A289" s="1549">
        <v>4</v>
      </c>
      <c r="B289" s="703">
        <v>1</v>
      </c>
      <c r="C289" s="703">
        <f>C8</f>
        <v>30</v>
      </c>
      <c r="D289" s="703">
        <f t="shared" ref="D289:F289" si="240">D8</f>
        <v>9.9999999999999995E-7</v>
      </c>
      <c r="E289" s="703">
        <f t="shared" si="240"/>
        <v>-0.2</v>
      </c>
      <c r="F289" s="703">
        <f t="shared" si="240"/>
        <v>0</v>
      </c>
      <c r="G289" s="703">
        <f>G8</f>
        <v>0.10000050000000001</v>
      </c>
      <c r="I289" s="1549">
        <v>4</v>
      </c>
      <c r="J289" s="703">
        <v>1</v>
      </c>
      <c r="K289" s="703">
        <f>J8</f>
        <v>60</v>
      </c>
      <c r="L289" s="703">
        <f t="shared" ref="L289:N289" si="241">K8</f>
        <v>-5.3</v>
      </c>
      <c r="M289" s="703">
        <f t="shared" si="241"/>
        <v>-5.2</v>
      </c>
      <c r="N289" s="703">
        <f t="shared" si="241"/>
        <v>0</v>
      </c>
      <c r="O289" s="703">
        <f>N8</f>
        <v>4.9999999999999822E-2</v>
      </c>
      <c r="Q289" s="1550">
        <v>4</v>
      </c>
      <c r="R289" s="720">
        <v>1</v>
      </c>
      <c r="S289" s="720">
        <f>Q8</f>
        <v>900</v>
      </c>
      <c r="T289" s="727" t="str">
        <f t="shared" ref="T289:V289" si="242">R8</f>
        <v>-</v>
      </c>
      <c r="U289" s="727" t="str">
        <f t="shared" si="242"/>
        <v>-</v>
      </c>
      <c r="V289" s="727">
        <f t="shared" si="242"/>
        <v>0</v>
      </c>
      <c r="W289" s="727">
        <f>U8</f>
        <v>0</v>
      </c>
      <c r="Y289" s="701">
        <v>17</v>
      </c>
      <c r="Z289" s="709">
        <f>X181</f>
        <v>2.1</v>
      </c>
      <c r="AE289" s="723"/>
    </row>
    <row r="290" spans="1:31" ht="13" x14ac:dyDescent="0.3">
      <c r="A290" s="1549"/>
      <c r="B290" s="703">
        <v>2</v>
      </c>
      <c r="C290" s="703">
        <f>C19</f>
        <v>30</v>
      </c>
      <c r="D290" s="703">
        <f t="shared" ref="D290:F290" si="243">D19</f>
        <v>0.4</v>
      </c>
      <c r="E290" s="703">
        <f t="shared" si="243"/>
        <v>0.2</v>
      </c>
      <c r="F290" s="703">
        <f t="shared" si="243"/>
        <v>-0.3</v>
      </c>
      <c r="G290" s="703">
        <f>G19</f>
        <v>0.35</v>
      </c>
      <c r="I290" s="1549"/>
      <c r="J290" s="703">
        <v>2</v>
      </c>
      <c r="K290" s="703">
        <f>J19</f>
        <v>60</v>
      </c>
      <c r="L290" s="703">
        <f t="shared" ref="L290:N290" si="244">K19</f>
        <v>-5.7</v>
      </c>
      <c r="M290" s="703">
        <f t="shared" si="244"/>
        <v>-4</v>
      </c>
      <c r="N290" s="703">
        <f t="shared" si="244"/>
        <v>-1.3</v>
      </c>
      <c r="O290" s="703">
        <f>N19</f>
        <v>2.2000000000000002</v>
      </c>
      <c r="Q290" s="1549"/>
      <c r="R290" s="703">
        <v>2</v>
      </c>
      <c r="S290" s="703">
        <f>Q19</f>
        <v>900</v>
      </c>
      <c r="T290" s="704" t="str">
        <f t="shared" ref="T290:V290" si="245">R19</f>
        <v>-</v>
      </c>
      <c r="U290" s="704" t="str">
        <f t="shared" si="245"/>
        <v>-</v>
      </c>
      <c r="V290" s="704">
        <f t="shared" si="245"/>
        <v>0</v>
      </c>
      <c r="W290" s="704">
        <f>U19</f>
        <v>0</v>
      </c>
      <c r="Y290" s="701">
        <v>18</v>
      </c>
      <c r="Z290" s="709">
        <f>X192</f>
        <v>2.1</v>
      </c>
      <c r="AE290" s="686"/>
    </row>
    <row r="291" spans="1:31" ht="13" x14ac:dyDescent="0.3">
      <c r="A291" s="1549"/>
      <c r="B291" s="703">
        <v>3</v>
      </c>
      <c r="C291" s="703">
        <f>C30</f>
        <v>30</v>
      </c>
      <c r="D291" s="703">
        <f t="shared" ref="D291:F291" si="246">D30</f>
        <v>0.3</v>
      </c>
      <c r="E291" s="703">
        <f t="shared" si="246"/>
        <v>9.9999999999999995E-7</v>
      </c>
      <c r="F291" s="703">
        <f t="shared" si="246"/>
        <v>-0.3</v>
      </c>
      <c r="G291" s="703">
        <f>G30</f>
        <v>0.3</v>
      </c>
      <c r="I291" s="1549"/>
      <c r="J291" s="703">
        <v>3</v>
      </c>
      <c r="K291" s="703">
        <f>J30</f>
        <v>60</v>
      </c>
      <c r="L291" s="703">
        <f t="shared" ref="L291:N291" si="247">K30</f>
        <v>-6.2</v>
      </c>
      <c r="M291" s="703">
        <f t="shared" si="247"/>
        <v>-3.2</v>
      </c>
      <c r="N291" s="703">
        <f t="shared" si="247"/>
        <v>-4.3</v>
      </c>
      <c r="O291" s="703">
        <f>N30</f>
        <v>1.5</v>
      </c>
      <c r="Q291" s="1549"/>
      <c r="R291" s="703">
        <v>3</v>
      </c>
      <c r="S291" s="703">
        <f>Q30</f>
        <v>900</v>
      </c>
      <c r="T291" s="704" t="str">
        <f t="shared" ref="T291:V291" si="248">R30</f>
        <v>-</v>
      </c>
      <c r="U291" s="704" t="str">
        <f t="shared" si="248"/>
        <v>-</v>
      </c>
      <c r="V291" s="704">
        <f t="shared" si="248"/>
        <v>0</v>
      </c>
      <c r="W291" s="704">
        <f>U30</f>
        <v>0</v>
      </c>
      <c r="Y291" s="701">
        <v>19</v>
      </c>
      <c r="Z291" s="709">
        <f>X203</f>
        <v>0.4</v>
      </c>
      <c r="AE291" s="686"/>
    </row>
    <row r="292" spans="1:31" ht="13.5" thickBot="1" x14ac:dyDescent="0.35">
      <c r="A292" s="1549"/>
      <c r="B292" s="703">
        <v>4</v>
      </c>
      <c r="C292" s="703">
        <f>C41</f>
        <v>30</v>
      </c>
      <c r="D292" s="703">
        <f t="shared" ref="D292:F292" si="249">D41</f>
        <v>-0.1</v>
      </c>
      <c r="E292" s="703">
        <f t="shared" si="249"/>
        <v>-0.6</v>
      </c>
      <c r="F292" s="703">
        <f t="shared" si="249"/>
        <v>0</v>
      </c>
      <c r="G292" s="703">
        <f>G41</f>
        <v>0.25</v>
      </c>
      <c r="I292" s="1549"/>
      <c r="J292" s="703">
        <v>4</v>
      </c>
      <c r="K292" s="703">
        <f>J41</f>
        <v>60</v>
      </c>
      <c r="L292" s="703">
        <f t="shared" ref="L292:N292" si="250">K41</f>
        <v>-4.2</v>
      </c>
      <c r="M292" s="703">
        <f t="shared" si="250"/>
        <v>-0.3</v>
      </c>
      <c r="N292" s="703">
        <f t="shared" si="250"/>
        <v>0</v>
      </c>
      <c r="O292" s="703">
        <f>N41</f>
        <v>1.9500000000000002</v>
      </c>
      <c r="Q292" s="1549"/>
      <c r="R292" s="703">
        <v>4</v>
      </c>
      <c r="S292" s="703">
        <f>Q41</f>
        <v>900</v>
      </c>
      <c r="T292" s="704" t="str">
        <f t="shared" ref="T292:V292" si="251">R41</f>
        <v>-</v>
      </c>
      <c r="U292" s="704" t="str">
        <f t="shared" si="251"/>
        <v>-</v>
      </c>
      <c r="V292" s="704">
        <f t="shared" si="251"/>
        <v>0</v>
      </c>
      <c r="W292" s="704">
        <f>U41</f>
        <v>0</v>
      </c>
      <c r="Y292" s="710">
        <v>20</v>
      </c>
      <c r="Z292" s="711">
        <f>X214</f>
        <v>0</v>
      </c>
      <c r="AE292" s="686"/>
    </row>
    <row r="293" spans="1:31" ht="13" x14ac:dyDescent="0.3">
      <c r="A293" s="1549"/>
      <c r="B293" s="703">
        <v>5</v>
      </c>
      <c r="C293" s="703">
        <f>C52</f>
        <v>30</v>
      </c>
      <c r="D293" s="703">
        <f t="shared" ref="D293:F293" si="252">D52</f>
        <v>0.4</v>
      </c>
      <c r="E293" s="703">
        <f t="shared" si="252"/>
        <v>0.6</v>
      </c>
      <c r="F293" s="703">
        <f t="shared" si="252"/>
        <v>0.1</v>
      </c>
      <c r="G293" s="703">
        <f>G52</f>
        <v>0.25</v>
      </c>
      <c r="I293" s="1549"/>
      <c r="J293" s="703">
        <v>5</v>
      </c>
      <c r="K293" s="703">
        <f>J52</f>
        <v>60</v>
      </c>
      <c r="L293" s="703">
        <f t="shared" ref="L293:N293" si="253">K52</f>
        <v>-8</v>
      </c>
      <c r="M293" s="703">
        <f t="shared" si="253"/>
        <v>-5.2</v>
      </c>
      <c r="N293" s="703">
        <f t="shared" si="253"/>
        <v>-4.2</v>
      </c>
      <c r="O293" s="703">
        <f>N52</f>
        <v>1.9</v>
      </c>
      <c r="Q293" s="1549"/>
      <c r="R293" s="703">
        <v>5</v>
      </c>
      <c r="S293" s="703">
        <f>Q52</f>
        <v>900</v>
      </c>
      <c r="T293" s="704" t="str">
        <f t="shared" ref="T293:V293" si="254">R52</f>
        <v>-</v>
      </c>
      <c r="U293" s="704" t="str">
        <f t="shared" si="254"/>
        <v>-</v>
      </c>
      <c r="V293" s="704">
        <f t="shared" si="254"/>
        <v>0</v>
      </c>
      <c r="W293" s="704">
        <f>U52</f>
        <v>0</v>
      </c>
      <c r="AE293" s="686"/>
    </row>
    <row r="294" spans="1:31" ht="13" x14ac:dyDescent="0.3">
      <c r="A294" s="1549"/>
      <c r="B294" s="703">
        <v>6</v>
      </c>
      <c r="C294" s="703">
        <f>C63</f>
        <v>30</v>
      </c>
      <c r="D294" s="703">
        <f t="shared" ref="D294:F294" si="255">D63</f>
        <v>0.1</v>
      </c>
      <c r="E294" s="703">
        <f t="shared" si="255"/>
        <v>-0.5</v>
      </c>
      <c r="F294" s="703">
        <f t="shared" si="255"/>
        <v>0</v>
      </c>
      <c r="G294" s="703">
        <f>G63</f>
        <v>0.3</v>
      </c>
      <c r="I294" s="1549"/>
      <c r="J294" s="703">
        <v>6</v>
      </c>
      <c r="K294" s="703">
        <f>J63</f>
        <v>60</v>
      </c>
      <c r="L294" s="703">
        <f t="shared" ref="L294:N294" si="256">K63</f>
        <v>-6.4</v>
      </c>
      <c r="M294" s="703">
        <f t="shared" si="256"/>
        <v>1.1000000000000001</v>
      </c>
      <c r="N294" s="703">
        <f t="shared" si="256"/>
        <v>0</v>
      </c>
      <c r="O294" s="703">
        <f>N63</f>
        <v>3.75</v>
      </c>
      <c r="Q294" s="1549"/>
      <c r="R294" s="703">
        <v>6</v>
      </c>
      <c r="S294" s="703">
        <f>Q63</f>
        <v>900</v>
      </c>
      <c r="T294" s="704">
        <f t="shared" ref="T294:V294" si="257">R63</f>
        <v>0.9</v>
      </c>
      <c r="U294" s="704">
        <f t="shared" si="257"/>
        <v>0.7</v>
      </c>
      <c r="V294" s="704">
        <f t="shared" si="257"/>
        <v>0</v>
      </c>
      <c r="W294" s="704">
        <f>U63</f>
        <v>0.10000000000000003</v>
      </c>
      <c r="AE294" s="686"/>
    </row>
    <row r="295" spans="1:31" ht="13" x14ac:dyDescent="0.3">
      <c r="A295" s="1549"/>
      <c r="B295" s="703">
        <v>7</v>
      </c>
      <c r="C295" s="703">
        <f>C74</f>
        <v>30</v>
      </c>
      <c r="D295" s="703">
        <f t="shared" ref="D295:F295" si="258">D74</f>
        <v>-0.2</v>
      </c>
      <c r="E295" s="703">
        <f t="shared" si="258"/>
        <v>9.9999999999999995E-7</v>
      </c>
      <c r="F295" s="703">
        <f t="shared" si="258"/>
        <v>-0.6</v>
      </c>
      <c r="G295" s="703">
        <f>G74</f>
        <v>0.3000005</v>
      </c>
      <c r="I295" s="1549"/>
      <c r="J295" s="703">
        <v>7</v>
      </c>
      <c r="K295" s="703">
        <f>J74</f>
        <v>60</v>
      </c>
      <c r="L295" s="703">
        <f t="shared" ref="L295:N295" si="259">K74</f>
        <v>-2.2000000000000002</v>
      </c>
      <c r="M295" s="703">
        <f t="shared" si="259"/>
        <v>-2.1</v>
      </c>
      <c r="N295" s="703">
        <f t="shared" si="259"/>
        <v>0.7</v>
      </c>
      <c r="O295" s="703">
        <f>N74</f>
        <v>1.4500000000000002</v>
      </c>
      <c r="Q295" s="1549"/>
      <c r="R295" s="703">
        <v>7</v>
      </c>
      <c r="S295" s="703">
        <f>Q74</f>
        <v>990</v>
      </c>
      <c r="T295" s="704">
        <f t="shared" ref="T295:V295" si="260">R74</f>
        <v>0.5</v>
      </c>
      <c r="U295" s="704" t="str">
        <f t="shared" si="260"/>
        <v>-</v>
      </c>
      <c r="V295" s="704" t="str">
        <f t="shared" si="260"/>
        <v>-</v>
      </c>
      <c r="W295" s="704">
        <f>U74</f>
        <v>0</v>
      </c>
      <c r="AE295" s="686"/>
    </row>
    <row r="296" spans="1:31" ht="13" x14ac:dyDescent="0.3">
      <c r="A296" s="1549"/>
      <c r="B296" s="703">
        <v>8</v>
      </c>
      <c r="C296" s="703">
        <f>C85</f>
        <v>30</v>
      </c>
      <c r="D296" s="703">
        <f t="shared" ref="D296:F296" si="261">D85</f>
        <v>-0.2</v>
      </c>
      <c r="E296" s="703">
        <f t="shared" si="261"/>
        <v>-0.4</v>
      </c>
      <c r="F296" s="703">
        <f t="shared" si="261"/>
        <v>0</v>
      </c>
      <c r="G296" s="703">
        <f>G85</f>
        <v>0.1</v>
      </c>
      <c r="I296" s="1549"/>
      <c r="J296" s="703">
        <v>8</v>
      </c>
      <c r="K296" s="703">
        <f>J85</f>
        <v>60</v>
      </c>
      <c r="L296" s="703">
        <f t="shared" ref="L296:N296" si="262">K85</f>
        <v>-3.9</v>
      </c>
      <c r="M296" s="703">
        <f t="shared" si="262"/>
        <v>-1.1000000000000001</v>
      </c>
      <c r="N296" s="703">
        <f t="shared" si="262"/>
        <v>0</v>
      </c>
      <c r="O296" s="703">
        <f>N85</f>
        <v>1.4</v>
      </c>
      <c r="Q296" s="1549"/>
      <c r="R296" s="703">
        <v>8</v>
      </c>
      <c r="S296" s="703">
        <f>Q85</f>
        <v>900</v>
      </c>
      <c r="T296" s="704">
        <f t="shared" ref="T296:V296" si="263">R85</f>
        <v>-4.4000000000000004</v>
      </c>
      <c r="U296" s="704">
        <f t="shared" si="263"/>
        <v>9.9999999999999995E-7</v>
      </c>
      <c r="V296" s="704">
        <f t="shared" si="263"/>
        <v>0</v>
      </c>
      <c r="W296" s="704">
        <f>U85</f>
        <v>2.2000005000000002</v>
      </c>
      <c r="AE296" s="686"/>
    </row>
    <row r="297" spans="1:31" ht="13" x14ac:dyDescent="0.3">
      <c r="A297" s="1549"/>
      <c r="B297" s="703">
        <v>9</v>
      </c>
      <c r="C297" s="703">
        <f>C96</f>
        <v>30</v>
      </c>
      <c r="D297" s="703">
        <f t="shared" ref="D297:F297" si="264">D96</f>
        <v>-0.5</v>
      </c>
      <c r="E297" s="703" t="str">
        <f t="shared" si="264"/>
        <v>-</v>
      </c>
      <c r="F297" s="703">
        <f t="shared" si="264"/>
        <v>0</v>
      </c>
      <c r="G297" s="703">
        <f>G96</f>
        <v>0</v>
      </c>
      <c r="I297" s="1549"/>
      <c r="J297" s="703">
        <v>9</v>
      </c>
      <c r="K297" s="703">
        <f>J96</f>
        <v>60</v>
      </c>
      <c r="L297" s="703">
        <f t="shared" ref="L297:N297" si="265">K96</f>
        <v>-0.8</v>
      </c>
      <c r="M297" s="703" t="str">
        <f t="shared" si="265"/>
        <v>-</v>
      </c>
      <c r="N297" s="703">
        <f t="shared" si="265"/>
        <v>0</v>
      </c>
      <c r="O297" s="703">
        <f>N96</f>
        <v>0</v>
      </c>
      <c r="Q297" s="1549"/>
      <c r="R297" s="703">
        <v>9</v>
      </c>
      <c r="S297" s="703">
        <f>Q96</f>
        <v>900</v>
      </c>
      <c r="T297" s="704">
        <f t="shared" ref="T297:V297" si="266">R96</f>
        <v>9.9999999999999995E-7</v>
      </c>
      <c r="U297" s="704" t="str">
        <f t="shared" si="266"/>
        <v>-</v>
      </c>
      <c r="V297" s="704">
        <f t="shared" si="266"/>
        <v>0</v>
      </c>
      <c r="W297" s="704">
        <f>U96</f>
        <v>0</v>
      </c>
      <c r="AE297" s="686"/>
    </row>
    <row r="298" spans="1:31" ht="13" x14ac:dyDescent="0.3">
      <c r="A298" s="1549"/>
      <c r="B298" s="703">
        <v>10</v>
      </c>
      <c r="C298" s="703">
        <f>C107</f>
        <v>30</v>
      </c>
      <c r="D298" s="703">
        <f t="shared" ref="D298:F298" si="267">D107</f>
        <v>0.1</v>
      </c>
      <c r="E298" s="703">
        <f t="shared" si="267"/>
        <v>0.2</v>
      </c>
      <c r="F298" s="703">
        <f t="shared" si="267"/>
        <v>0</v>
      </c>
      <c r="G298" s="703">
        <f>G107</f>
        <v>0.05</v>
      </c>
      <c r="I298" s="1549"/>
      <c r="J298" s="703">
        <v>10</v>
      </c>
      <c r="K298" s="703">
        <f>J107</f>
        <v>60</v>
      </c>
      <c r="L298" s="703">
        <f t="shared" ref="L298:N298" si="268">K107</f>
        <v>-2.1</v>
      </c>
      <c r="M298" s="703">
        <f t="shared" si="268"/>
        <v>-5.6</v>
      </c>
      <c r="N298" s="703">
        <f t="shared" si="268"/>
        <v>0</v>
      </c>
      <c r="O298" s="703">
        <f>N107</f>
        <v>1.7499999999999998</v>
      </c>
      <c r="Q298" s="1549"/>
      <c r="R298" s="703">
        <v>10</v>
      </c>
      <c r="S298" s="703">
        <f>Q107</f>
        <v>900</v>
      </c>
      <c r="T298" s="704" t="str">
        <f t="shared" ref="T298:V298" si="269">R107</f>
        <v>-</v>
      </c>
      <c r="U298" s="704" t="str">
        <f t="shared" si="269"/>
        <v>-</v>
      </c>
      <c r="V298" s="704">
        <f t="shared" si="269"/>
        <v>0</v>
      </c>
      <c r="W298" s="704">
        <f>U107</f>
        <v>0</v>
      </c>
      <c r="AE298" s="686"/>
    </row>
    <row r="299" spans="1:31" ht="13" x14ac:dyDescent="0.3">
      <c r="A299" s="1549"/>
      <c r="B299" s="703">
        <v>11</v>
      </c>
      <c r="C299" s="703">
        <f>C118</f>
        <v>30</v>
      </c>
      <c r="D299" s="703">
        <f t="shared" ref="D299:F299" si="270">D118</f>
        <v>0.5</v>
      </c>
      <c r="E299" s="703">
        <f t="shared" si="270"/>
        <v>0.4</v>
      </c>
      <c r="F299" s="703">
        <f t="shared" si="270"/>
        <v>0</v>
      </c>
      <c r="G299" s="703">
        <f>G118</f>
        <v>4.9999999999999989E-2</v>
      </c>
      <c r="I299" s="1549"/>
      <c r="J299" s="703">
        <v>11</v>
      </c>
      <c r="K299" s="703">
        <f>J118</f>
        <v>60</v>
      </c>
      <c r="L299" s="703">
        <f t="shared" ref="L299:N299" si="271">K118</f>
        <v>-4.8</v>
      </c>
      <c r="M299" s="703">
        <f t="shared" si="271"/>
        <v>-4.5</v>
      </c>
      <c r="N299" s="703">
        <f t="shared" si="271"/>
        <v>0</v>
      </c>
      <c r="O299" s="703">
        <f>N118</f>
        <v>0.14999999999999991</v>
      </c>
      <c r="Q299" s="1549"/>
      <c r="R299" s="703">
        <v>11</v>
      </c>
      <c r="S299" s="703">
        <f>Q118</f>
        <v>900</v>
      </c>
      <c r="T299" s="704" t="str">
        <f t="shared" ref="T299:V299" si="272">R118</f>
        <v>-</v>
      </c>
      <c r="U299" s="704" t="str">
        <f t="shared" si="272"/>
        <v>-</v>
      </c>
      <c r="V299" s="704">
        <f t="shared" si="272"/>
        <v>0</v>
      </c>
      <c r="W299" s="704">
        <f>U118</f>
        <v>0</v>
      </c>
      <c r="AE299" s="686"/>
    </row>
    <row r="300" spans="1:31" ht="13" x14ac:dyDescent="0.3">
      <c r="A300" s="1549"/>
      <c r="B300" s="703">
        <v>12</v>
      </c>
      <c r="C300" s="703">
        <f>C129</f>
        <v>30</v>
      </c>
      <c r="D300" s="703">
        <f t="shared" ref="D300:F300" si="273">D129</f>
        <v>-0.1</v>
      </c>
      <c r="E300" s="703" t="str">
        <f t="shared" si="273"/>
        <v>-</v>
      </c>
      <c r="F300" s="703">
        <f t="shared" si="273"/>
        <v>0</v>
      </c>
      <c r="G300" s="703">
        <f>G129</f>
        <v>0</v>
      </c>
      <c r="I300" s="1549"/>
      <c r="J300" s="703">
        <v>12</v>
      </c>
      <c r="K300" s="703">
        <f>J129</f>
        <v>60</v>
      </c>
      <c r="L300" s="703">
        <f t="shared" ref="L300:N300" si="274">K129</f>
        <v>9.9999999999999995E-7</v>
      </c>
      <c r="M300" s="703" t="str">
        <f t="shared" si="274"/>
        <v>-</v>
      </c>
      <c r="N300" s="703">
        <f t="shared" si="274"/>
        <v>0</v>
      </c>
      <c r="O300" s="703">
        <f>N129</f>
        <v>0</v>
      </c>
      <c r="Q300" s="1549"/>
      <c r="R300" s="703">
        <v>12</v>
      </c>
      <c r="S300" s="703">
        <f>Q129</f>
        <v>950</v>
      </c>
      <c r="T300" s="704">
        <f t="shared" ref="T300:V300" si="275">R129</f>
        <v>-0.7</v>
      </c>
      <c r="U300" s="704" t="str">
        <f t="shared" si="275"/>
        <v>-</v>
      </c>
      <c r="V300" s="704">
        <f t="shared" si="275"/>
        <v>0</v>
      </c>
      <c r="W300" s="704">
        <f>U129</f>
        <v>0</v>
      </c>
      <c r="AE300" s="686"/>
    </row>
    <row r="301" spans="1:31" ht="13" x14ac:dyDescent="0.3">
      <c r="A301" s="1549"/>
      <c r="B301" s="703">
        <v>13</v>
      </c>
      <c r="C301" s="703">
        <f>C151</f>
        <v>30</v>
      </c>
      <c r="D301" s="703">
        <f t="shared" ref="D301:F301" si="276">D151</f>
        <v>-0.4</v>
      </c>
      <c r="E301" s="703">
        <f t="shared" si="276"/>
        <v>-0.3</v>
      </c>
      <c r="F301" s="703" t="str">
        <f t="shared" si="276"/>
        <v>-</v>
      </c>
      <c r="G301" s="703">
        <f>G151</f>
        <v>0</v>
      </c>
      <c r="I301" s="1549"/>
      <c r="J301" s="703">
        <v>13</v>
      </c>
      <c r="K301" s="703">
        <f>J140</f>
        <v>60</v>
      </c>
      <c r="L301" s="703">
        <f t="shared" ref="L301:N301" si="277">K140</f>
        <v>-1.6</v>
      </c>
      <c r="M301" s="703">
        <f t="shared" si="277"/>
        <v>-1.5</v>
      </c>
      <c r="N301" s="703" t="str">
        <f t="shared" si="277"/>
        <v>-</v>
      </c>
      <c r="O301" s="703">
        <f>N140</f>
        <v>0</v>
      </c>
      <c r="Q301" s="1549"/>
      <c r="R301" s="703">
        <v>13</v>
      </c>
      <c r="S301" s="703">
        <f>Q140</f>
        <v>990</v>
      </c>
      <c r="T301" s="704">
        <f t="shared" ref="T301:V301" si="278">R140</f>
        <v>3.8</v>
      </c>
      <c r="U301" s="704">
        <f t="shared" si="278"/>
        <v>1.1000000000000001</v>
      </c>
      <c r="V301" s="704" t="str">
        <f t="shared" si="278"/>
        <v>-</v>
      </c>
      <c r="W301" s="704">
        <f>U140</f>
        <v>0</v>
      </c>
      <c r="AE301" s="686"/>
    </row>
    <row r="302" spans="1:31" ht="13" x14ac:dyDescent="0.3">
      <c r="A302" s="1549"/>
      <c r="B302" s="703">
        <v>14</v>
      </c>
      <c r="C302" s="703">
        <f>C151</f>
        <v>30</v>
      </c>
      <c r="D302" s="703">
        <f t="shared" ref="D302:F302" si="279">D151</f>
        <v>-0.4</v>
      </c>
      <c r="E302" s="703">
        <f t="shared" si="279"/>
        <v>-0.3</v>
      </c>
      <c r="F302" s="703" t="str">
        <f t="shared" si="279"/>
        <v>-</v>
      </c>
      <c r="G302" s="703">
        <f>G151</f>
        <v>0</v>
      </c>
      <c r="I302" s="1549"/>
      <c r="J302" s="703">
        <v>14</v>
      </c>
      <c r="K302" s="703">
        <f>J151</f>
        <v>60</v>
      </c>
      <c r="L302" s="703">
        <f t="shared" ref="L302:N302" si="280">K151</f>
        <v>0.3</v>
      </c>
      <c r="M302" s="703">
        <f t="shared" si="280"/>
        <v>-0.6</v>
      </c>
      <c r="N302" s="703" t="str">
        <f t="shared" si="280"/>
        <v>-</v>
      </c>
      <c r="O302" s="703">
        <f>N151</f>
        <v>0</v>
      </c>
      <c r="Q302" s="1549"/>
      <c r="R302" s="703">
        <v>14</v>
      </c>
      <c r="S302" s="703">
        <f>Q151</f>
        <v>990</v>
      </c>
      <c r="T302" s="704">
        <f t="shared" ref="T302:V302" si="281">R151</f>
        <v>3.9</v>
      </c>
      <c r="U302" s="704">
        <f t="shared" si="281"/>
        <v>1.1000000000000001</v>
      </c>
      <c r="V302" s="704" t="str">
        <f t="shared" si="281"/>
        <v>-</v>
      </c>
      <c r="W302" s="704">
        <f>U151</f>
        <v>0</v>
      </c>
      <c r="AE302" s="686"/>
    </row>
    <row r="303" spans="1:31" ht="13" x14ac:dyDescent="0.3">
      <c r="A303" s="1549"/>
      <c r="B303" s="703">
        <v>15</v>
      </c>
      <c r="C303" s="703">
        <f>C162</f>
        <v>30</v>
      </c>
      <c r="D303" s="703">
        <f t="shared" ref="D303:F303" si="282">D162</f>
        <v>0.4</v>
      </c>
      <c r="E303" s="703">
        <f t="shared" si="282"/>
        <v>-0.2</v>
      </c>
      <c r="F303" s="703" t="str">
        <f t="shared" si="282"/>
        <v>-</v>
      </c>
      <c r="G303" s="703">
        <f>G162</f>
        <v>0</v>
      </c>
      <c r="I303" s="1549"/>
      <c r="J303" s="703">
        <v>15</v>
      </c>
      <c r="K303" s="703">
        <f>J162</f>
        <v>60</v>
      </c>
      <c r="L303" s="703">
        <f t="shared" ref="L303:N303" si="283">K162</f>
        <v>-1.1000000000000001</v>
      </c>
      <c r="M303" s="703">
        <f t="shared" si="283"/>
        <v>-0.5</v>
      </c>
      <c r="N303" s="703" t="str">
        <f t="shared" si="283"/>
        <v>-</v>
      </c>
      <c r="O303" s="703">
        <f>N162</f>
        <v>0</v>
      </c>
      <c r="Q303" s="1549"/>
      <c r="R303" s="703">
        <v>15</v>
      </c>
      <c r="S303" s="703">
        <f>Q162</f>
        <v>990</v>
      </c>
      <c r="T303" s="704">
        <f t="shared" ref="T303:V303" si="284">R162</f>
        <v>4.2</v>
      </c>
      <c r="U303" s="704">
        <f t="shared" si="284"/>
        <v>1.1000000000000001</v>
      </c>
      <c r="V303" s="704" t="str">
        <f t="shared" si="284"/>
        <v>-</v>
      </c>
      <c r="W303" s="704">
        <f>U162</f>
        <v>0</v>
      </c>
      <c r="AE303" s="686"/>
    </row>
    <row r="304" spans="1:31" ht="13" x14ac:dyDescent="0.3">
      <c r="A304" s="1549"/>
      <c r="B304" s="703">
        <v>16</v>
      </c>
      <c r="C304" s="703">
        <f>C173</f>
        <v>30</v>
      </c>
      <c r="D304" s="703">
        <f t="shared" ref="D304:F304" si="285">D173</f>
        <v>0.6</v>
      </c>
      <c r="E304" s="703">
        <f t="shared" si="285"/>
        <v>0.2</v>
      </c>
      <c r="F304" s="703">
        <f t="shared" si="285"/>
        <v>0</v>
      </c>
      <c r="G304" s="703">
        <f>G173</f>
        <v>0.19999999999999998</v>
      </c>
      <c r="I304" s="1549"/>
      <c r="J304" s="703">
        <v>16</v>
      </c>
      <c r="K304" s="703">
        <f>J173</f>
        <v>60</v>
      </c>
      <c r="L304" s="703">
        <f t="shared" ref="L304:N304" si="286">K173</f>
        <v>-1.9</v>
      </c>
      <c r="M304" s="703">
        <f t="shared" si="286"/>
        <v>-1.5</v>
      </c>
      <c r="N304" s="703">
        <f t="shared" si="286"/>
        <v>0</v>
      </c>
      <c r="O304" s="703">
        <f>N173</f>
        <v>0.19999999999999996</v>
      </c>
      <c r="Q304" s="1549"/>
      <c r="R304" s="703">
        <v>16</v>
      </c>
      <c r="S304" s="703">
        <f>Q173</f>
        <v>990</v>
      </c>
      <c r="T304" s="704">
        <f t="shared" ref="T304:V304" si="287">R173</f>
        <v>4.4000000000000004</v>
      </c>
      <c r="U304" s="704" t="str">
        <f t="shared" si="287"/>
        <v>-</v>
      </c>
      <c r="V304" s="704">
        <f t="shared" si="287"/>
        <v>0</v>
      </c>
      <c r="W304" s="704">
        <f>U173</f>
        <v>0</v>
      </c>
      <c r="AE304" s="686"/>
    </row>
    <row r="305" spans="1:31" ht="13" x14ac:dyDescent="0.3">
      <c r="A305" s="1549"/>
      <c r="B305" s="703">
        <v>17</v>
      </c>
      <c r="C305" s="703">
        <f>C184</f>
        <v>30</v>
      </c>
      <c r="D305" s="703">
        <f t="shared" ref="D305:F305" si="288">D184</f>
        <v>0.6</v>
      </c>
      <c r="E305" s="703">
        <f t="shared" si="288"/>
        <v>-0.2</v>
      </c>
      <c r="F305" s="703">
        <f t="shared" si="288"/>
        <v>0</v>
      </c>
      <c r="G305" s="703">
        <f>G184</f>
        <v>0.4</v>
      </c>
      <c r="I305" s="1549"/>
      <c r="J305" s="703">
        <v>17</v>
      </c>
      <c r="K305" s="703">
        <f>J184</f>
        <v>60</v>
      </c>
      <c r="L305" s="703">
        <f t="shared" ref="L305:N305" si="289">K184</f>
        <v>-1.7</v>
      </c>
      <c r="M305" s="703">
        <f t="shared" si="289"/>
        <v>0</v>
      </c>
      <c r="N305" s="703">
        <f t="shared" si="289"/>
        <v>0</v>
      </c>
      <c r="O305" s="703">
        <f>N184</f>
        <v>0.85</v>
      </c>
      <c r="Q305" s="1549"/>
      <c r="R305" s="703">
        <v>17</v>
      </c>
      <c r="S305" s="703">
        <f>Q184</f>
        <v>990</v>
      </c>
      <c r="T305" s="704">
        <f t="shared" ref="T305:V305" si="290">R184</f>
        <v>4.5999999999999996</v>
      </c>
      <c r="U305" s="704">
        <f t="shared" si="290"/>
        <v>-0.6</v>
      </c>
      <c r="V305" s="704">
        <f t="shared" si="290"/>
        <v>0</v>
      </c>
      <c r="W305" s="704">
        <f>U184</f>
        <v>2.5999999999999996</v>
      </c>
      <c r="AE305" s="686"/>
    </row>
    <row r="306" spans="1:31" ht="13" x14ac:dyDescent="0.3">
      <c r="A306" s="1549"/>
      <c r="B306" s="703">
        <v>18</v>
      </c>
      <c r="C306" s="703">
        <f>C195</f>
        <v>30</v>
      </c>
      <c r="D306" s="703">
        <f t="shared" ref="D306:F306" si="291">D195</f>
        <v>0.3</v>
      </c>
      <c r="E306" s="703">
        <f t="shared" si="291"/>
        <v>-0.2</v>
      </c>
      <c r="F306" s="703">
        <f t="shared" si="291"/>
        <v>0</v>
      </c>
      <c r="G306" s="703">
        <f>G195</f>
        <v>0.25</v>
      </c>
      <c r="I306" s="1549"/>
      <c r="J306" s="703">
        <v>18</v>
      </c>
      <c r="K306" s="703">
        <f>J195</f>
        <v>60</v>
      </c>
      <c r="L306" s="703">
        <f t="shared" ref="L306:N306" si="292">K195</f>
        <v>-2.1</v>
      </c>
      <c r="M306" s="703">
        <f t="shared" si="292"/>
        <v>-0.2</v>
      </c>
      <c r="N306" s="703">
        <f t="shared" si="292"/>
        <v>0</v>
      </c>
      <c r="O306" s="703">
        <f>N195</f>
        <v>0.95000000000000007</v>
      </c>
      <c r="Q306" s="1549"/>
      <c r="R306" s="703">
        <v>18</v>
      </c>
      <c r="S306" s="703">
        <f>Q195</f>
        <v>990</v>
      </c>
      <c r="T306" s="704">
        <f t="shared" ref="T306:V306" si="293">R195</f>
        <v>4.5</v>
      </c>
      <c r="U306" s="704" t="str">
        <f t="shared" si="293"/>
        <v>-</v>
      </c>
      <c r="V306" s="704">
        <f t="shared" si="293"/>
        <v>0</v>
      </c>
      <c r="W306" s="704">
        <f>U195</f>
        <v>0</v>
      </c>
      <c r="AE306" s="686"/>
    </row>
    <row r="307" spans="1:31" ht="13" x14ac:dyDescent="0.3">
      <c r="A307" s="1549"/>
      <c r="B307" s="703">
        <v>19</v>
      </c>
      <c r="C307" s="703">
        <f>C206</f>
        <v>30</v>
      </c>
      <c r="D307" s="703">
        <f t="shared" ref="D307:F307" si="294">D206</f>
        <v>-0.1</v>
      </c>
      <c r="E307" s="703" t="str">
        <f t="shared" si="294"/>
        <v>-</v>
      </c>
      <c r="F307" s="703">
        <f t="shared" si="294"/>
        <v>0</v>
      </c>
      <c r="G307" s="703">
        <f>G206</f>
        <v>0</v>
      </c>
      <c r="I307" s="1549"/>
      <c r="J307" s="703">
        <v>19</v>
      </c>
      <c r="K307" s="703">
        <f>J206</f>
        <v>60</v>
      </c>
      <c r="L307" s="703">
        <f t="shared" ref="L307:N307" si="295">K206</f>
        <v>0.4</v>
      </c>
      <c r="M307" s="703" t="str">
        <f t="shared" si="295"/>
        <v>-</v>
      </c>
      <c r="N307" s="703">
        <f t="shared" si="295"/>
        <v>0</v>
      </c>
      <c r="O307" s="703">
        <f>N206</f>
        <v>0</v>
      </c>
      <c r="Q307" s="1549"/>
      <c r="R307" s="703">
        <v>19</v>
      </c>
      <c r="S307" s="703">
        <f>Q206</f>
        <v>900</v>
      </c>
      <c r="T307" s="704">
        <f t="shared" ref="T307:V307" si="296">R206</f>
        <v>2.2999999999999998</v>
      </c>
      <c r="U307" s="704" t="str">
        <f t="shared" si="296"/>
        <v>-</v>
      </c>
      <c r="V307" s="704">
        <f t="shared" si="296"/>
        <v>0</v>
      </c>
      <c r="W307" s="704">
        <f>U206</f>
        <v>0</v>
      </c>
      <c r="AE307" s="686"/>
    </row>
    <row r="308" spans="1:31" ht="13.5" thickBot="1" x14ac:dyDescent="0.35">
      <c r="A308" s="1549"/>
      <c r="B308" s="703">
        <v>20</v>
      </c>
      <c r="C308" s="703">
        <f>C217</f>
        <v>29.5</v>
      </c>
      <c r="D308" s="703">
        <f t="shared" ref="D308:F308" si="297">D217</f>
        <v>9.9999999999999995E-7</v>
      </c>
      <c r="E308" s="703" t="str">
        <f t="shared" si="297"/>
        <v>-</v>
      </c>
      <c r="F308" s="703">
        <f t="shared" si="297"/>
        <v>9.9999999999999995E-7</v>
      </c>
      <c r="G308" s="703">
        <f>G217</f>
        <v>0</v>
      </c>
      <c r="I308" s="1549"/>
      <c r="J308" s="703">
        <v>20</v>
      </c>
      <c r="K308" s="703">
        <f>J217</f>
        <v>71.5</v>
      </c>
      <c r="L308" s="703">
        <f t="shared" ref="L308:N308" si="298">K217</f>
        <v>9.9999999999999995E-7</v>
      </c>
      <c r="M308" s="703" t="str">
        <f t="shared" si="298"/>
        <v>-</v>
      </c>
      <c r="N308" s="703">
        <f t="shared" si="298"/>
        <v>0</v>
      </c>
      <c r="O308" s="703">
        <f>N217</f>
        <v>0</v>
      </c>
      <c r="Q308" s="1551"/>
      <c r="R308" s="712">
        <v>20</v>
      </c>
      <c r="S308" s="712">
        <f>Q217</f>
        <v>900</v>
      </c>
      <c r="T308" s="725" t="str">
        <f t="shared" ref="T308:V308" si="299">R217</f>
        <v>-</v>
      </c>
      <c r="U308" s="725" t="str">
        <f t="shared" si="299"/>
        <v>-</v>
      </c>
      <c r="V308" s="725">
        <f t="shared" si="299"/>
        <v>0</v>
      </c>
      <c r="W308" s="725">
        <f>U217</f>
        <v>0</v>
      </c>
      <c r="AE308" s="715"/>
    </row>
    <row r="309" spans="1:31" ht="13.5" thickBot="1" x14ac:dyDescent="0.35">
      <c r="A309" s="8"/>
      <c r="B309" s="8"/>
      <c r="C309" s="8"/>
      <c r="D309" s="8"/>
      <c r="E309" s="8"/>
      <c r="F309" s="8"/>
      <c r="G309" s="8"/>
      <c r="I309" s="8"/>
      <c r="J309" s="8"/>
      <c r="K309" s="8"/>
      <c r="L309" s="8"/>
      <c r="M309" s="8"/>
      <c r="N309" s="8"/>
      <c r="O309" s="8"/>
      <c r="Q309" s="726"/>
      <c r="R309" s="728"/>
      <c r="S309" s="446"/>
      <c r="T309" s="447"/>
      <c r="U309" s="447"/>
      <c r="V309" s="447"/>
      <c r="W309" s="447"/>
      <c r="AE309" s="686"/>
    </row>
    <row r="310" spans="1:31" ht="13" x14ac:dyDescent="0.3">
      <c r="A310" s="1549">
        <v>5</v>
      </c>
      <c r="B310" s="703">
        <v>1</v>
      </c>
      <c r="C310" s="703">
        <f>C9</f>
        <v>35</v>
      </c>
      <c r="D310" s="703">
        <f t="shared" ref="D310:F310" si="300">D9</f>
        <v>-0.1</v>
      </c>
      <c r="E310" s="703">
        <f t="shared" si="300"/>
        <v>-0.5</v>
      </c>
      <c r="F310" s="703">
        <f t="shared" si="300"/>
        <v>0</v>
      </c>
      <c r="G310" s="703">
        <f>G9</f>
        <v>0.25</v>
      </c>
      <c r="I310" s="1549">
        <v>5</v>
      </c>
      <c r="J310" s="703">
        <v>1</v>
      </c>
      <c r="K310" s="703">
        <f>J20</f>
        <v>70</v>
      </c>
      <c r="L310" s="703">
        <f t="shared" ref="L310:N310" si="301">K20</f>
        <v>-3.4</v>
      </c>
      <c r="M310" s="703">
        <f t="shared" si="301"/>
        <v>-2.4</v>
      </c>
      <c r="N310" s="703">
        <f t="shared" si="301"/>
        <v>-1.1000000000000001</v>
      </c>
      <c r="O310" s="703">
        <f>N20</f>
        <v>1.1499999999999999</v>
      </c>
      <c r="Q310" s="1550">
        <v>5</v>
      </c>
      <c r="R310" s="720">
        <v>1</v>
      </c>
      <c r="S310" s="720">
        <f>Q9</f>
        <v>1000</v>
      </c>
      <c r="T310" s="727" t="str">
        <f t="shared" ref="T310:V310" si="302">R9</f>
        <v>-</v>
      </c>
      <c r="U310" s="727" t="str">
        <f t="shared" si="302"/>
        <v>-</v>
      </c>
      <c r="V310" s="727">
        <f t="shared" si="302"/>
        <v>0</v>
      </c>
      <c r="W310" s="727">
        <f>U9</f>
        <v>0</v>
      </c>
      <c r="AE310" s="723"/>
    </row>
    <row r="311" spans="1:31" ht="13" x14ac:dyDescent="0.3">
      <c r="A311" s="1549"/>
      <c r="B311" s="703">
        <v>2</v>
      </c>
      <c r="C311" s="703">
        <f>C20</f>
        <v>35</v>
      </c>
      <c r="D311" s="703">
        <f t="shared" ref="D311:F311" si="303">D20</f>
        <v>0.5</v>
      </c>
      <c r="E311" s="703">
        <f t="shared" si="303"/>
        <v>-0.1</v>
      </c>
      <c r="F311" s="703">
        <f t="shared" si="303"/>
        <v>-0.3</v>
      </c>
      <c r="G311" s="703">
        <f>G20</f>
        <v>0.4</v>
      </c>
      <c r="I311" s="1549"/>
      <c r="J311" s="703">
        <v>2</v>
      </c>
      <c r="K311" s="703">
        <f>J20</f>
        <v>70</v>
      </c>
      <c r="L311" s="703">
        <f t="shared" ref="L311:N311" si="304">K20</f>
        <v>-3.4</v>
      </c>
      <c r="M311" s="703">
        <f t="shared" si="304"/>
        <v>-2.4</v>
      </c>
      <c r="N311" s="703">
        <f t="shared" si="304"/>
        <v>-1.1000000000000001</v>
      </c>
      <c r="O311" s="703">
        <f>N20</f>
        <v>1.1499999999999999</v>
      </c>
      <c r="Q311" s="1549"/>
      <c r="R311" s="703">
        <v>2</v>
      </c>
      <c r="S311" s="703">
        <f>Q20</f>
        <v>1000</v>
      </c>
      <c r="T311" s="704" t="str">
        <f t="shared" ref="T311:V311" si="305">R20</f>
        <v>-</v>
      </c>
      <c r="U311" s="704" t="str">
        <f t="shared" si="305"/>
        <v>-</v>
      </c>
      <c r="V311" s="704">
        <f t="shared" si="305"/>
        <v>0</v>
      </c>
      <c r="W311" s="704">
        <f>U20</f>
        <v>0</v>
      </c>
      <c r="AE311" s="686"/>
    </row>
    <row r="312" spans="1:31" ht="13" x14ac:dyDescent="0.3">
      <c r="A312" s="1549"/>
      <c r="B312" s="703">
        <v>3</v>
      </c>
      <c r="C312" s="703">
        <f>C31</f>
        <v>35</v>
      </c>
      <c r="D312" s="703">
        <f t="shared" ref="D312:F312" si="306">D31</f>
        <v>0.3</v>
      </c>
      <c r="E312" s="703">
        <f t="shared" si="306"/>
        <v>-0.3</v>
      </c>
      <c r="F312" s="703">
        <f t="shared" si="306"/>
        <v>-0.5</v>
      </c>
      <c r="G312" s="703">
        <f>G31</f>
        <v>0.4</v>
      </c>
      <c r="I312" s="1549"/>
      <c r="J312" s="703">
        <v>3</v>
      </c>
      <c r="K312" s="703">
        <f>J31</f>
        <v>70</v>
      </c>
      <c r="L312" s="703">
        <f t="shared" ref="L312:N312" si="307">K31</f>
        <v>-4.4000000000000004</v>
      </c>
      <c r="M312" s="703">
        <f t="shared" si="307"/>
        <v>-2</v>
      </c>
      <c r="N312" s="703">
        <f t="shared" si="307"/>
        <v>-3.6</v>
      </c>
      <c r="O312" s="703">
        <f>N31</f>
        <v>1.2000000000000002</v>
      </c>
      <c r="Q312" s="1549"/>
      <c r="R312" s="703">
        <v>3</v>
      </c>
      <c r="S312" s="703">
        <f>Q31</f>
        <v>1000</v>
      </c>
      <c r="T312" s="704" t="str">
        <f t="shared" ref="T312:V312" si="308">R31</f>
        <v>-</v>
      </c>
      <c r="U312" s="704" t="str">
        <f t="shared" si="308"/>
        <v>-</v>
      </c>
      <c r="V312" s="704">
        <f t="shared" si="308"/>
        <v>0</v>
      </c>
      <c r="W312" s="704">
        <f>U31</f>
        <v>0</v>
      </c>
      <c r="AE312" s="686"/>
    </row>
    <row r="313" spans="1:31" ht="13" x14ac:dyDescent="0.3">
      <c r="A313" s="1549"/>
      <c r="B313" s="703">
        <v>4</v>
      </c>
      <c r="C313" s="703">
        <f>C42</f>
        <v>35</v>
      </c>
      <c r="D313" s="703">
        <f t="shared" ref="D313:F313" si="309">D42</f>
        <v>-0.3</v>
      </c>
      <c r="E313" s="703">
        <f t="shared" si="309"/>
        <v>-0.6</v>
      </c>
      <c r="F313" s="703">
        <f t="shared" si="309"/>
        <v>0</v>
      </c>
      <c r="G313" s="703">
        <f>G42</f>
        <v>0.15</v>
      </c>
      <c r="I313" s="1549"/>
      <c r="J313" s="703">
        <v>4</v>
      </c>
      <c r="K313" s="703">
        <f>J42</f>
        <v>70</v>
      </c>
      <c r="L313" s="703">
        <f t="shared" ref="L313:N313" si="310">K42</f>
        <v>-4</v>
      </c>
      <c r="M313" s="703">
        <f t="shared" si="310"/>
        <v>0.7</v>
      </c>
      <c r="N313" s="703">
        <f t="shared" si="310"/>
        <v>0</v>
      </c>
      <c r="O313" s="703">
        <f>N42</f>
        <v>2.35</v>
      </c>
      <c r="Q313" s="1549"/>
      <c r="R313" s="703">
        <v>4</v>
      </c>
      <c r="S313" s="703">
        <f>Q42</f>
        <v>1000</v>
      </c>
      <c r="T313" s="704" t="str">
        <f t="shared" ref="T313:V313" si="311">R42</f>
        <v>-</v>
      </c>
      <c r="U313" s="704" t="str">
        <f t="shared" si="311"/>
        <v>-</v>
      </c>
      <c r="V313" s="704">
        <f t="shared" si="311"/>
        <v>0</v>
      </c>
      <c r="W313" s="704">
        <f>U42</f>
        <v>0</v>
      </c>
      <c r="AE313" s="686"/>
    </row>
    <row r="314" spans="1:31" ht="13" x14ac:dyDescent="0.3">
      <c r="A314" s="1549"/>
      <c r="B314" s="703">
        <v>5</v>
      </c>
      <c r="C314" s="703">
        <f>C53</f>
        <v>35</v>
      </c>
      <c r="D314" s="703">
        <f t="shared" ref="D314:F314" si="312">D53</f>
        <v>0.4</v>
      </c>
      <c r="E314" s="703">
        <f t="shared" si="312"/>
        <v>0.7</v>
      </c>
      <c r="F314" s="703">
        <f t="shared" si="312"/>
        <v>9.9999999999999995E-7</v>
      </c>
      <c r="G314" s="703">
        <f>G53</f>
        <v>0.34999949999999996</v>
      </c>
      <c r="I314" s="1549"/>
      <c r="J314" s="703">
        <v>5</v>
      </c>
      <c r="K314" s="703">
        <f>J53</f>
        <v>70</v>
      </c>
      <c r="L314" s="703">
        <f t="shared" ref="L314:N314" si="313">K53</f>
        <v>-7.1</v>
      </c>
      <c r="M314" s="703">
        <f t="shared" si="313"/>
        <v>-4.0999999999999996</v>
      </c>
      <c r="N314" s="703">
        <f t="shared" si="313"/>
        <v>-2.1</v>
      </c>
      <c r="O314" s="703">
        <f>N53</f>
        <v>2.5</v>
      </c>
      <c r="Q314" s="1549"/>
      <c r="R314" s="703">
        <v>5</v>
      </c>
      <c r="S314" s="703">
        <f>Q53</f>
        <v>1000</v>
      </c>
      <c r="T314" s="704" t="str">
        <f t="shared" ref="T314:V314" si="314">R53</f>
        <v>-</v>
      </c>
      <c r="U314" s="704" t="str">
        <f t="shared" si="314"/>
        <v>-</v>
      </c>
      <c r="V314" s="704">
        <f t="shared" si="314"/>
        <v>0</v>
      </c>
      <c r="W314" s="704">
        <f>U53</f>
        <v>0</v>
      </c>
      <c r="AE314" s="686"/>
    </row>
    <row r="315" spans="1:31" ht="13" x14ac:dyDescent="0.3">
      <c r="A315" s="1549"/>
      <c r="B315" s="703">
        <v>6</v>
      </c>
      <c r="C315" s="703">
        <f>C64</f>
        <v>35</v>
      </c>
      <c r="D315" s="703">
        <f t="shared" ref="D315:F315" si="315">D64</f>
        <v>0.1</v>
      </c>
      <c r="E315" s="703">
        <f t="shared" si="315"/>
        <v>-0.9</v>
      </c>
      <c r="F315" s="703">
        <f t="shared" si="315"/>
        <v>0</v>
      </c>
      <c r="G315" s="703">
        <f>G64</f>
        <v>0.5</v>
      </c>
      <c r="I315" s="1549"/>
      <c r="J315" s="703">
        <v>6</v>
      </c>
      <c r="K315" s="703">
        <f>J64</f>
        <v>70</v>
      </c>
      <c r="L315" s="703">
        <f t="shared" ref="L315:N315" si="316">K64</f>
        <v>-6.7</v>
      </c>
      <c r="M315" s="703">
        <f t="shared" si="316"/>
        <v>0.9</v>
      </c>
      <c r="N315" s="703">
        <f t="shared" si="316"/>
        <v>0</v>
      </c>
      <c r="O315" s="703">
        <f>N64</f>
        <v>3.8000000000000003</v>
      </c>
      <c r="Q315" s="1549"/>
      <c r="R315" s="703">
        <v>6</v>
      </c>
      <c r="S315" s="703">
        <f>Q64</f>
        <v>1000</v>
      </c>
      <c r="T315" s="704">
        <f t="shared" ref="T315:V315" si="317">R64</f>
        <v>0.9</v>
      </c>
      <c r="U315" s="704">
        <f t="shared" si="317"/>
        <v>-0.3</v>
      </c>
      <c r="V315" s="704">
        <f t="shared" si="317"/>
        <v>0</v>
      </c>
      <c r="W315" s="704">
        <f>U64</f>
        <v>0.6</v>
      </c>
      <c r="AE315" s="686"/>
    </row>
    <row r="316" spans="1:31" ht="13" x14ac:dyDescent="0.3">
      <c r="A316" s="1549"/>
      <c r="B316" s="703">
        <v>7</v>
      </c>
      <c r="C316" s="703">
        <f>C75</f>
        <v>35</v>
      </c>
      <c r="D316" s="703">
        <f t="shared" ref="D316:F316" si="318">D75</f>
        <v>-0.4</v>
      </c>
      <c r="E316" s="703">
        <f t="shared" si="318"/>
        <v>9.9999999999999995E-7</v>
      </c>
      <c r="F316" s="703">
        <f t="shared" si="318"/>
        <v>-1.1000000000000001</v>
      </c>
      <c r="G316" s="703">
        <f>G75</f>
        <v>0.5500005</v>
      </c>
      <c r="I316" s="1549"/>
      <c r="J316" s="703">
        <v>7</v>
      </c>
      <c r="K316" s="703">
        <f>J75</f>
        <v>70</v>
      </c>
      <c r="L316" s="703">
        <f t="shared" ref="L316:N316" si="319">K75</f>
        <v>-2.1</v>
      </c>
      <c r="M316" s="703">
        <f t="shared" si="319"/>
        <v>-2.2999999999999998</v>
      </c>
      <c r="N316" s="703">
        <f t="shared" si="319"/>
        <v>0.9</v>
      </c>
      <c r="O316" s="703">
        <f>N75</f>
        <v>1.5999999999999999</v>
      </c>
      <c r="Q316" s="1549"/>
      <c r="R316" s="703">
        <v>7</v>
      </c>
      <c r="S316" s="703">
        <f>Q75</f>
        <v>1000</v>
      </c>
      <c r="T316" s="704">
        <f t="shared" ref="T316:V316" si="320">R75</f>
        <v>0.4</v>
      </c>
      <c r="U316" s="704">
        <f t="shared" si="320"/>
        <v>-3.9</v>
      </c>
      <c r="V316" s="704">
        <f t="shared" si="320"/>
        <v>-0.4</v>
      </c>
      <c r="W316" s="704">
        <f>U75</f>
        <v>2.15</v>
      </c>
      <c r="AE316" s="686"/>
    </row>
    <row r="317" spans="1:31" ht="13" x14ac:dyDescent="0.3">
      <c r="A317" s="1549"/>
      <c r="B317" s="703">
        <v>8</v>
      </c>
      <c r="C317" s="703">
        <f>C86</f>
        <v>35</v>
      </c>
      <c r="D317" s="703">
        <f t="shared" ref="D317:F317" si="321">D86</f>
        <v>-0.1</v>
      </c>
      <c r="E317" s="703">
        <f t="shared" si="321"/>
        <v>-0.5</v>
      </c>
      <c r="F317" s="703">
        <f t="shared" si="321"/>
        <v>0</v>
      </c>
      <c r="G317" s="703">
        <f>G86</f>
        <v>0.2</v>
      </c>
      <c r="I317" s="1549"/>
      <c r="J317" s="703">
        <v>8</v>
      </c>
      <c r="K317" s="703">
        <f>J86</f>
        <v>70</v>
      </c>
      <c r="L317" s="703">
        <f t="shared" ref="L317:N317" si="322">K86</f>
        <v>-4.0999999999999996</v>
      </c>
      <c r="M317" s="703">
        <f t="shared" si="322"/>
        <v>-1.2</v>
      </c>
      <c r="N317" s="703">
        <f t="shared" si="322"/>
        <v>0</v>
      </c>
      <c r="O317" s="703">
        <f>N86</f>
        <v>1.4499999999999997</v>
      </c>
      <c r="Q317" s="1549"/>
      <c r="R317" s="703">
        <v>8</v>
      </c>
      <c r="S317" s="703">
        <f>Q86</f>
        <v>1000</v>
      </c>
      <c r="T317" s="704">
        <f t="shared" ref="T317:V317" si="323">R86</f>
        <v>-3.5</v>
      </c>
      <c r="U317" s="704">
        <f t="shared" si="323"/>
        <v>0.2</v>
      </c>
      <c r="V317" s="704">
        <f t="shared" si="323"/>
        <v>0</v>
      </c>
      <c r="W317" s="704">
        <f>U86</f>
        <v>1.85</v>
      </c>
      <c r="AE317" s="686"/>
    </row>
    <row r="318" spans="1:31" ht="13" x14ac:dyDescent="0.3">
      <c r="A318" s="1549"/>
      <c r="B318" s="703">
        <v>9</v>
      </c>
      <c r="C318" s="703">
        <f>C97</f>
        <v>35</v>
      </c>
      <c r="D318" s="703">
        <f t="shared" ref="D318:F318" si="324">D97</f>
        <v>-0.5</v>
      </c>
      <c r="E318" s="703" t="str">
        <f t="shared" si="324"/>
        <v>-</v>
      </c>
      <c r="F318" s="703">
        <f t="shared" si="324"/>
        <v>0</v>
      </c>
      <c r="G318" s="703">
        <f>G97</f>
        <v>0</v>
      </c>
      <c r="I318" s="1549"/>
      <c r="J318" s="703">
        <v>9</v>
      </c>
      <c r="K318" s="703">
        <f>J97</f>
        <v>70</v>
      </c>
      <c r="L318" s="703">
        <f t="shared" ref="L318:N318" si="325">K97</f>
        <v>-0.6</v>
      </c>
      <c r="M318" s="703" t="str">
        <f t="shared" si="325"/>
        <v>-</v>
      </c>
      <c r="N318" s="703">
        <f t="shared" si="325"/>
        <v>0</v>
      </c>
      <c r="O318" s="703">
        <f>N97</f>
        <v>0</v>
      </c>
      <c r="Q318" s="1549"/>
      <c r="R318" s="703">
        <v>9</v>
      </c>
      <c r="S318" s="703">
        <f>Q97</f>
        <v>1000</v>
      </c>
      <c r="T318" s="704">
        <f t="shared" ref="T318:V318" si="326">R97</f>
        <v>0.2</v>
      </c>
      <c r="U318" s="704" t="str">
        <f t="shared" si="326"/>
        <v>-</v>
      </c>
      <c r="V318" s="704">
        <f t="shared" si="326"/>
        <v>0</v>
      </c>
      <c r="W318" s="704">
        <f>U97</f>
        <v>0</v>
      </c>
      <c r="AE318" s="686"/>
    </row>
    <row r="319" spans="1:31" ht="13" x14ac:dyDescent="0.3">
      <c r="A319" s="1549"/>
      <c r="B319" s="703">
        <v>10</v>
      </c>
      <c r="C319" s="703">
        <f>C108</f>
        <v>35</v>
      </c>
      <c r="D319" s="703">
        <f t="shared" ref="D319:F319" si="327">D108</f>
        <v>0.2</v>
      </c>
      <c r="E319" s="703">
        <f t="shared" si="327"/>
        <v>0.8</v>
      </c>
      <c r="F319" s="703">
        <f t="shared" si="327"/>
        <v>0</v>
      </c>
      <c r="G319" s="703">
        <f>G108</f>
        <v>0.30000000000000004</v>
      </c>
      <c r="I319" s="1549"/>
      <c r="J319" s="703">
        <v>10</v>
      </c>
      <c r="K319" s="703">
        <f>J108</f>
        <v>70</v>
      </c>
      <c r="L319" s="703">
        <f t="shared" ref="L319:N319" si="328">K108</f>
        <v>-0.3</v>
      </c>
      <c r="M319" s="703">
        <f t="shared" si="328"/>
        <v>-5.0999999999999996</v>
      </c>
      <c r="N319" s="703">
        <f t="shared" si="328"/>
        <v>0</v>
      </c>
      <c r="O319" s="703">
        <f>N108</f>
        <v>2.4</v>
      </c>
      <c r="Q319" s="1549"/>
      <c r="R319" s="703">
        <v>10</v>
      </c>
      <c r="S319" s="703">
        <f>Q108</f>
        <v>1000</v>
      </c>
      <c r="T319" s="704" t="str">
        <f t="shared" ref="T319:V319" si="329">R108</f>
        <v>-</v>
      </c>
      <c r="U319" s="704" t="str">
        <f t="shared" si="329"/>
        <v>-</v>
      </c>
      <c r="V319" s="704">
        <f t="shared" si="329"/>
        <v>0</v>
      </c>
      <c r="W319" s="704">
        <f>U108</f>
        <v>0</v>
      </c>
      <c r="AE319" s="686"/>
    </row>
    <row r="320" spans="1:31" ht="13" x14ac:dyDescent="0.3">
      <c r="A320" s="1549"/>
      <c r="B320" s="703">
        <v>11</v>
      </c>
      <c r="C320" s="703">
        <f>C119</f>
        <v>35</v>
      </c>
      <c r="D320" s="703">
        <f t="shared" ref="D320:F320" si="330">D119</f>
        <v>0.5</v>
      </c>
      <c r="E320" s="703">
        <f t="shared" si="330"/>
        <v>0.4</v>
      </c>
      <c r="F320" s="703">
        <f t="shared" si="330"/>
        <v>0</v>
      </c>
      <c r="G320" s="703">
        <f>G119</f>
        <v>4.9999999999999989E-2</v>
      </c>
      <c r="I320" s="1549"/>
      <c r="J320" s="703">
        <v>11</v>
      </c>
      <c r="K320" s="703">
        <f>J119</f>
        <v>70</v>
      </c>
      <c r="L320" s="703">
        <f t="shared" ref="L320:N320" si="331">K119</f>
        <v>-3.4</v>
      </c>
      <c r="M320" s="703">
        <f t="shared" si="331"/>
        <v>-1.7</v>
      </c>
      <c r="N320" s="703">
        <f t="shared" si="331"/>
        <v>0</v>
      </c>
      <c r="O320" s="703">
        <f>N119</f>
        <v>0.85</v>
      </c>
      <c r="Q320" s="1549"/>
      <c r="R320" s="703">
        <v>11</v>
      </c>
      <c r="S320" s="703">
        <f>Q119</f>
        <v>1000</v>
      </c>
      <c r="T320" s="704" t="str">
        <f t="shared" ref="T320:V320" si="332">R119</f>
        <v>-</v>
      </c>
      <c r="U320" s="704" t="str">
        <f t="shared" si="332"/>
        <v>-</v>
      </c>
      <c r="V320" s="704">
        <f t="shared" si="332"/>
        <v>0</v>
      </c>
      <c r="W320" s="704">
        <f>U119</f>
        <v>0</v>
      </c>
      <c r="AE320" s="686"/>
    </row>
    <row r="321" spans="1:31" ht="13" x14ac:dyDescent="0.3">
      <c r="A321" s="1549"/>
      <c r="B321" s="703">
        <v>12</v>
      </c>
      <c r="C321" s="703">
        <f>C130</f>
        <v>35</v>
      </c>
      <c r="D321" s="703">
        <f t="shared" ref="D321:F321" si="333">D130</f>
        <v>-0.2</v>
      </c>
      <c r="E321" s="703" t="str">
        <f t="shared" si="333"/>
        <v>-</v>
      </c>
      <c r="F321" s="703">
        <f t="shared" si="333"/>
        <v>0</v>
      </c>
      <c r="G321" s="703">
        <f>G130</f>
        <v>0</v>
      </c>
      <c r="I321" s="1549"/>
      <c r="J321" s="703">
        <v>12</v>
      </c>
      <c r="K321" s="703">
        <f>J130</f>
        <v>70</v>
      </c>
      <c r="L321" s="703">
        <f t="shared" ref="L321:N321" si="334">K130</f>
        <v>-0.1</v>
      </c>
      <c r="M321" s="703" t="str">
        <f t="shared" si="334"/>
        <v>-</v>
      </c>
      <c r="N321" s="703">
        <f t="shared" si="334"/>
        <v>0</v>
      </c>
      <c r="O321" s="703">
        <f>N130</f>
        <v>0</v>
      </c>
      <c r="Q321" s="1549"/>
      <c r="R321" s="703">
        <v>12</v>
      </c>
      <c r="S321" s="703">
        <f>Q130</f>
        <v>1000</v>
      </c>
      <c r="T321" s="704">
        <f t="shared" ref="T321:V321" si="335">R130</f>
        <v>-0.8</v>
      </c>
      <c r="U321" s="704" t="str">
        <f t="shared" si="335"/>
        <v>-</v>
      </c>
      <c r="V321" s="704">
        <f t="shared" si="335"/>
        <v>0</v>
      </c>
      <c r="W321" s="704">
        <f>U130</f>
        <v>0</v>
      </c>
      <c r="AE321" s="686"/>
    </row>
    <row r="322" spans="1:31" ht="13" x14ac:dyDescent="0.3">
      <c r="A322" s="1549"/>
      <c r="B322" s="703">
        <v>13</v>
      </c>
      <c r="C322" s="703">
        <f>C141</f>
        <v>35</v>
      </c>
      <c r="D322" s="703">
        <f t="shared" ref="D322:F322" si="336">D141</f>
        <v>-0.2</v>
      </c>
      <c r="E322" s="703">
        <f t="shared" si="336"/>
        <v>0.3</v>
      </c>
      <c r="F322" s="703" t="str">
        <f t="shared" si="336"/>
        <v>-</v>
      </c>
      <c r="G322" s="703">
        <f>G141</f>
        <v>0</v>
      </c>
      <c r="I322" s="1549"/>
      <c r="J322" s="703">
        <v>13</v>
      </c>
      <c r="K322" s="703">
        <f>J141</f>
        <v>70</v>
      </c>
      <c r="L322" s="703">
        <f t="shared" ref="L322:N322" si="337">K141</f>
        <v>-1.4</v>
      </c>
      <c r="M322" s="703">
        <f t="shared" si="337"/>
        <v>-1.9</v>
      </c>
      <c r="N322" s="703" t="str">
        <f t="shared" si="337"/>
        <v>-</v>
      </c>
      <c r="O322" s="703">
        <f>N141</f>
        <v>0</v>
      </c>
      <c r="Q322" s="1549"/>
      <c r="R322" s="703">
        <v>13</v>
      </c>
      <c r="S322" s="703">
        <f>Q141</f>
        <v>1000</v>
      </c>
      <c r="T322" s="704">
        <f t="shared" ref="T322:V322" si="338">R141</f>
        <v>3.7</v>
      </c>
      <c r="U322" s="704">
        <f t="shared" si="338"/>
        <v>1.1000000000000001</v>
      </c>
      <c r="V322" s="704" t="str">
        <f t="shared" si="338"/>
        <v>-</v>
      </c>
      <c r="W322" s="704">
        <f>U141</f>
        <v>0</v>
      </c>
      <c r="AE322" s="686"/>
    </row>
    <row r="323" spans="1:31" ht="13" x14ac:dyDescent="0.3">
      <c r="A323" s="1549"/>
      <c r="B323" s="703">
        <v>14</v>
      </c>
      <c r="C323" s="703">
        <f>C152</f>
        <v>35</v>
      </c>
      <c r="D323" s="703">
        <f t="shared" ref="D323:F323" si="339">D152</f>
        <v>-0.6</v>
      </c>
      <c r="E323" s="703">
        <f t="shared" si="339"/>
        <v>-0.6</v>
      </c>
      <c r="F323" s="703" t="str">
        <f t="shared" si="339"/>
        <v>-</v>
      </c>
      <c r="G323" s="703">
        <f>G152</f>
        <v>0</v>
      </c>
      <c r="I323" s="1549"/>
      <c r="J323" s="703">
        <v>14</v>
      </c>
      <c r="K323" s="703">
        <f>J152</f>
        <v>70</v>
      </c>
      <c r="L323" s="703">
        <f t="shared" ref="L323:N323" si="340">K152</f>
        <v>0.7</v>
      </c>
      <c r="M323" s="703">
        <f t="shared" si="340"/>
        <v>-0.8</v>
      </c>
      <c r="N323" s="703" t="str">
        <f t="shared" si="340"/>
        <v>-</v>
      </c>
      <c r="O323" s="703">
        <f>N152</f>
        <v>0</v>
      </c>
      <c r="Q323" s="1549"/>
      <c r="R323" s="703">
        <v>14</v>
      </c>
      <c r="S323" s="703">
        <f>Q152</f>
        <v>1000</v>
      </c>
      <c r="T323" s="704">
        <f t="shared" ref="T323:V323" si="341">R152</f>
        <v>3.8</v>
      </c>
      <c r="U323" s="704">
        <f t="shared" si="341"/>
        <v>1.1000000000000001</v>
      </c>
      <c r="V323" s="704" t="str">
        <f t="shared" si="341"/>
        <v>-</v>
      </c>
      <c r="W323" s="704">
        <f>U152</f>
        <v>0</v>
      </c>
      <c r="AE323" s="686"/>
    </row>
    <row r="324" spans="1:31" ht="13" x14ac:dyDescent="0.3">
      <c r="A324" s="1549"/>
      <c r="B324" s="703">
        <v>15</v>
      </c>
      <c r="C324" s="703">
        <f>C163</f>
        <v>35</v>
      </c>
      <c r="D324" s="703">
        <f t="shared" ref="D324:F324" si="342">D163</f>
        <v>0.8</v>
      </c>
      <c r="E324" s="703">
        <f t="shared" si="342"/>
        <v>-0.1</v>
      </c>
      <c r="F324" s="703" t="str">
        <f t="shared" si="342"/>
        <v>-</v>
      </c>
      <c r="G324" s="703">
        <f>G163</f>
        <v>0</v>
      </c>
      <c r="I324" s="1549"/>
      <c r="J324" s="703">
        <v>15</v>
      </c>
      <c r="K324" s="703">
        <f>J163</f>
        <v>70</v>
      </c>
      <c r="L324" s="703">
        <f t="shared" ref="L324:N324" si="343">K163</f>
        <v>-0.7</v>
      </c>
      <c r="M324" s="703">
        <f t="shared" si="343"/>
        <v>-0.8</v>
      </c>
      <c r="N324" s="703" t="str">
        <f t="shared" si="343"/>
        <v>-</v>
      </c>
      <c r="O324" s="703">
        <f>N163</f>
        <v>0</v>
      </c>
      <c r="Q324" s="1549"/>
      <c r="R324" s="703">
        <v>15</v>
      </c>
      <c r="S324" s="703">
        <f>Q163</f>
        <v>1000</v>
      </c>
      <c r="T324" s="704">
        <f t="shared" ref="T324:V324" si="344">R163</f>
        <v>4.0999999999999996</v>
      </c>
      <c r="U324" s="704">
        <f t="shared" si="344"/>
        <v>1.1000000000000001</v>
      </c>
      <c r="V324" s="704" t="str">
        <f t="shared" si="344"/>
        <v>-</v>
      </c>
      <c r="W324" s="704">
        <f>U163</f>
        <v>0</v>
      </c>
      <c r="AE324" s="686"/>
    </row>
    <row r="325" spans="1:31" ht="13" x14ac:dyDescent="0.3">
      <c r="A325" s="1549"/>
      <c r="B325" s="703">
        <v>16</v>
      </c>
      <c r="C325" s="703">
        <f>C174</f>
        <v>35</v>
      </c>
      <c r="D325" s="703">
        <f t="shared" ref="D325:F325" si="345">D174</f>
        <v>0.6</v>
      </c>
      <c r="E325" s="703">
        <f t="shared" si="345"/>
        <v>0.1</v>
      </c>
      <c r="F325" s="703">
        <f t="shared" si="345"/>
        <v>0</v>
      </c>
      <c r="G325" s="703">
        <f>G174</f>
        <v>0.25</v>
      </c>
      <c r="I325" s="1549"/>
      <c r="J325" s="703">
        <v>16</v>
      </c>
      <c r="K325" s="703">
        <f>J174</f>
        <v>70</v>
      </c>
      <c r="L325" s="703">
        <f t="shared" ref="L325:N325" si="346">K174</f>
        <v>-2.1</v>
      </c>
      <c r="M325" s="703">
        <f t="shared" si="346"/>
        <v>-1.8</v>
      </c>
      <c r="N325" s="703">
        <f t="shared" si="346"/>
        <v>0</v>
      </c>
      <c r="O325" s="703">
        <f>N174</f>
        <v>0.15000000000000002</v>
      </c>
      <c r="Q325" s="1549"/>
      <c r="R325" s="703">
        <v>16</v>
      </c>
      <c r="S325" s="703">
        <f>Q174</f>
        <v>1000</v>
      </c>
      <c r="T325" s="704">
        <f t="shared" ref="T325:V325" si="347">R174</f>
        <v>4.3</v>
      </c>
      <c r="U325" s="704">
        <f t="shared" si="347"/>
        <v>-0.4</v>
      </c>
      <c r="V325" s="704">
        <f t="shared" si="347"/>
        <v>0</v>
      </c>
      <c r="W325" s="704">
        <f>U174</f>
        <v>2.35</v>
      </c>
      <c r="AE325" s="686"/>
    </row>
    <row r="326" spans="1:31" ht="13" x14ac:dyDescent="0.3">
      <c r="A326" s="1549"/>
      <c r="B326" s="703">
        <v>17</v>
      </c>
      <c r="C326" s="703">
        <f>C185</f>
        <v>35</v>
      </c>
      <c r="D326" s="703">
        <f t="shared" ref="D326:F326" si="348">D185</f>
        <v>0.7</v>
      </c>
      <c r="E326" s="703">
        <f t="shared" si="348"/>
        <v>-0.5</v>
      </c>
      <c r="F326" s="703">
        <f t="shared" si="348"/>
        <v>0</v>
      </c>
      <c r="G326" s="703">
        <f>G185</f>
        <v>0.6</v>
      </c>
      <c r="I326" s="1549"/>
      <c r="J326" s="703">
        <v>17</v>
      </c>
      <c r="K326" s="703">
        <f>J185</f>
        <v>70</v>
      </c>
      <c r="L326" s="703">
        <f t="shared" ref="L326:N326" si="349">K185</f>
        <v>-1.8</v>
      </c>
      <c r="M326" s="703">
        <f t="shared" si="349"/>
        <v>-0.3</v>
      </c>
      <c r="N326" s="703">
        <f t="shared" si="349"/>
        <v>0</v>
      </c>
      <c r="O326" s="703">
        <f>N185</f>
        <v>0.75</v>
      </c>
      <c r="Q326" s="1549"/>
      <c r="R326" s="703">
        <v>17</v>
      </c>
      <c r="S326" s="703">
        <f>Q185</f>
        <v>1000</v>
      </c>
      <c r="T326" s="704">
        <f t="shared" ref="T326:V326" si="350">R185</f>
        <v>4.5</v>
      </c>
      <c r="U326" s="704">
        <f t="shared" si="350"/>
        <v>-0.6</v>
      </c>
      <c r="V326" s="704">
        <f t="shared" si="350"/>
        <v>0</v>
      </c>
      <c r="W326" s="704">
        <f>U185</f>
        <v>2.5499999999999998</v>
      </c>
      <c r="AE326" s="686"/>
    </row>
    <row r="327" spans="1:31" ht="13" x14ac:dyDescent="0.3">
      <c r="A327" s="1549"/>
      <c r="B327" s="703">
        <v>18</v>
      </c>
      <c r="C327" s="703">
        <f>C196</f>
        <v>35</v>
      </c>
      <c r="D327" s="703">
        <f t="shared" ref="D327:F327" si="351">D196</f>
        <v>0.4</v>
      </c>
      <c r="E327" s="703">
        <f t="shared" si="351"/>
        <v>-0.3</v>
      </c>
      <c r="F327" s="703">
        <f t="shared" si="351"/>
        <v>0</v>
      </c>
      <c r="G327" s="703">
        <f>G196</f>
        <v>0.35</v>
      </c>
      <c r="I327" s="1549"/>
      <c r="J327" s="703">
        <v>18</v>
      </c>
      <c r="K327" s="703">
        <f>J196</f>
        <v>70</v>
      </c>
      <c r="L327" s="703">
        <f t="shared" ref="L327:N327" si="352">K196</f>
        <v>-2.2000000000000002</v>
      </c>
      <c r="M327" s="703">
        <f t="shared" si="352"/>
        <v>-0.3</v>
      </c>
      <c r="N327" s="703">
        <f t="shared" si="352"/>
        <v>0</v>
      </c>
      <c r="O327" s="703">
        <f>N196</f>
        <v>0.95000000000000007</v>
      </c>
      <c r="Q327" s="1549"/>
      <c r="R327" s="703">
        <v>18</v>
      </c>
      <c r="S327" s="703">
        <f>Q196</f>
        <v>1000</v>
      </c>
      <c r="T327" s="704">
        <f t="shared" ref="T327:V327" si="353">R196</f>
        <v>4.4000000000000004</v>
      </c>
      <c r="U327" s="704">
        <f t="shared" si="353"/>
        <v>-0.8</v>
      </c>
      <c r="V327" s="704">
        <f t="shared" si="353"/>
        <v>0</v>
      </c>
      <c r="W327" s="704">
        <f>U196</f>
        <v>2.6</v>
      </c>
      <c r="AE327" s="686"/>
    </row>
    <row r="328" spans="1:31" ht="13" x14ac:dyDescent="0.3">
      <c r="A328" s="1549"/>
      <c r="B328" s="703">
        <v>19</v>
      </c>
      <c r="C328" s="703">
        <f>C207</f>
        <v>35</v>
      </c>
      <c r="D328" s="703">
        <f t="shared" ref="D328:F328" si="354">D207</f>
        <v>-0.1</v>
      </c>
      <c r="E328" s="703" t="str">
        <f t="shared" si="354"/>
        <v>-</v>
      </c>
      <c r="F328" s="703">
        <f t="shared" si="354"/>
        <v>0</v>
      </c>
      <c r="G328" s="703">
        <f>G207</f>
        <v>0</v>
      </c>
      <c r="I328" s="1549"/>
      <c r="J328" s="703">
        <v>19</v>
      </c>
      <c r="K328" s="703">
        <f>J207</f>
        <v>70</v>
      </c>
      <c r="L328" s="703">
        <f t="shared" ref="L328:N328" si="355">K207</f>
        <v>-0.7</v>
      </c>
      <c r="M328" s="703" t="str">
        <f t="shared" si="355"/>
        <v>-</v>
      </c>
      <c r="N328" s="703">
        <f t="shared" si="355"/>
        <v>0</v>
      </c>
      <c r="O328" s="703">
        <f>N207</f>
        <v>0</v>
      </c>
      <c r="Q328" s="1549"/>
      <c r="R328" s="703">
        <v>19</v>
      </c>
      <c r="S328" s="703">
        <f>Q207</f>
        <v>1000</v>
      </c>
      <c r="T328" s="704">
        <f t="shared" ref="T328:V328" si="356">R207</f>
        <v>2.2000000000000002</v>
      </c>
      <c r="U328" s="704" t="str">
        <f t="shared" si="356"/>
        <v>-</v>
      </c>
      <c r="V328" s="704">
        <f t="shared" si="356"/>
        <v>0</v>
      </c>
      <c r="W328" s="704">
        <f>U207</f>
        <v>0</v>
      </c>
      <c r="AE328" s="686"/>
    </row>
    <row r="329" spans="1:31" ht="13.5" thickBot="1" x14ac:dyDescent="0.35">
      <c r="A329" s="1549"/>
      <c r="B329" s="703">
        <v>20</v>
      </c>
      <c r="C329" s="703">
        <f>C218</f>
        <v>34.5</v>
      </c>
      <c r="D329" s="703">
        <f t="shared" ref="D329:F329" si="357">D218</f>
        <v>9.9999999999999995E-7</v>
      </c>
      <c r="E329" s="703" t="str">
        <f t="shared" si="357"/>
        <v>-</v>
      </c>
      <c r="F329" s="703">
        <f t="shared" si="357"/>
        <v>9.9999999999999995E-7</v>
      </c>
      <c r="G329" s="703">
        <f>G218</f>
        <v>0</v>
      </c>
      <c r="I329" s="1549"/>
      <c r="J329" s="703">
        <v>20</v>
      </c>
      <c r="K329" s="703">
        <f>J218</f>
        <v>80.8</v>
      </c>
      <c r="L329" s="703">
        <f t="shared" ref="L329:N329" si="358">K218</f>
        <v>9.9999999999999995E-7</v>
      </c>
      <c r="M329" s="703" t="str">
        <f t="shared" si="358"/>
        <v>-</v>
      </c>
      <c r="N329" s="703">
        <f t="shared" si="358"/>
        <v>0</v>
      </c>
      <c r="O329" s="703">
        <f>N218</f>
        <v>0</v>
      </c>
      <c r="Q329" s="1551"/>
      <c r="R329" s="712">
        <v>20</v>
      </c>
      <c r="S329" s="712">
        <f>Q218</f>
        <v>1000</v>
      </c>
      <c r="T329" s="725" t="str">
        <f t="shared" ref="T329:V329" si="359">R218</f>
        <v>-</v>
      </c>
      <c r="U329" s="725" t="str">
        <f t="shared" si="359"/>
        <v>-</v>
      </c>
      <c r="V329" s="725">
        <f t="shared" si="359"/>
        <v>0</v>
      </c>
      <c r="W329" s="725">
        <f>U218</f>
        <v>0</v>
      </c>
      <c r="AE329" s="715"/>
    </row>
    <row r="330" spans="1:31" ht="13.5" thickBot="1" x14ac:dyDescent="0.35">
      <c r="A330" s="8"/>
      <c r="B330" s="8"/>
      <c r="C330" s="8"/>
      <c r="D330" s="8"/>
      <c r="E330" s="8"/>
      <c r="F330" s="8"/>
      <c r="G330" s="8"/>
      <c r="I330" s="8"/>
      <c r="J330" s="8"/>
      <c r="K330" s="8"/>
      <c r="L330" s="8"/>
      <c r="M330" s="8"/>
      <c r="N330" s="8"/>
      <c r="O330" s="8"/>
      <c r="Q330" s="726"/>
      <c r="R330" s="716"/>
      <c r="S330" s="446"/>
      <c r="T330" s="447"/>
      <c r="U330" s="447"/>
      <c r="V330" s="447"/>
      <c r="W330" s="447"/>
      <c r="AE330" s="686"/>
    </row>
    <row r="331" spans="1:31" ht="13" x14ac:dyDescent="0.3">
      <c r="A331" s="1549">
        <v>6</v>
      </c>
      <c r="B331" s="703">
        <v>1</v>
      </c>
      <c r="C331" s="703">
        <f>C10</f>
        <v>37</v>
      </c>
      <c r="D331" s="703">
        <f t="shared" ref="D331:F331" si="360">D10</f>
        <v>-0.2</v>
      </c>
      <c r="E331" s="703">
        <f t="shared" si="360"/>
        <v>-0.6</v>
      </c>
      <c r="F331" s="703">
        <f t="shared" si="360"/>
        <v>0</v>
      </c>
      <c r="G331" s="703">
        <f>G10</f>
        <v>0.3</v>
      </c>
      <c r="I331" s="1549">
        <v>6</v>
      </c>
      <c r="J331" s="703">
        <v>1</v>
      </c>
      <c r="K331" s="703">
        <f>J10</f>
        <v>80</v>
      </c>
      <c r="L331" s="703">
        <f t="shared" ref="L331:N331" si="361">K10</f>
        <v>-3.2</v>
      </c>
      <c r="M331" s="703">
        <f t="shared" si="361"/>
        <v>0.7</v>
      </c>
      <c r="N331" s="703">
        <f t="shared" si="361"/>
        <v>0</v>
      </c>
      <c r="O331" s="703">
        <f>N10</f>
        <v>1.9500000000000002</v>
      </c>
      <c r="Q331" s="1550">
        <v>6</v>
      </c>
      <c r="R331" s="720">
        <v>1</v>
      </c>
      <c r="S331" s="720">
        <f>Q10</f>
        <v>1005</v>
      </c>
      <c r="T331" s="727" t="str">
        <f t="shared" ref="T331:V331" si="362">R10</f>
        <v>-</v>
      </c>
      <c r="U331" s="727" t="str">
        <f t="shared" si="362"/>
        <v>-</v>
      </c>
      <c r="V331" s="727">
        <f t="shared" si="362"/>
        <v>0</v>
      </c>
      <c r="W331" s="727">
        <f>U10</f>
        <v>0</v>
      </c>
      <c r="AE331" s="723"/>
    </row>
    <row r="332" spans="1:31" ht="13" x14ac:dyDescent="0.3">
      <c r="A332" s="1549"/>
      <c r="B332" s="703">
        <v>2</v>
      </c>
      <c r="C332" s="703">
        <f>C21</f>
        <v>37</v>
      </c>
      <c r="D332" s="703">
        <f t="shared" ref="D332:F332" si="363">D21</f>
        <v>0.6</v>
      </c>
      <c r="E332" s="703">
        <f t="shared" si="363"/>
        <v>-0.2</v>
      </c>
      <c r="F332" s="703">
        <f t="shared" si="363"/>
        <v>-0.3</v>
      </c>
      <c r="G332" s="703">
        <f>G21</f>
        <v>0.44999999999999996</v>
      </c>
      <c r="I332" s="1549"/>
      <c r="J332" s="703">
        <v>2</v>
      </c>
      <c r="K332" s="703">
        <f>J21</f>
        <v>80</v>
      </c>
      <c r="L332" s="703">
        <f t="shared" ref="L332:N332" si="364">K21</f>
        <v>-1.1000000000000001</v>
      </c>
      <c r="M332" s="703">
        <f t="shared" si="364"/>
        <v>-0.5</v>
      </c>
      <c r="N332" s="703">
        <f t="shared" si="364"/>
        <v>-0.7</v>
      </c>
      <c r="O332" s="703">
        <f>N21</f>
        <v>0.30000000000000004</v>
      </c>
      <c r="Q332" s="1549"/>
      <c r="R332" s="703">
        <v>2</v>
      </c>
      <c r="S332" s="703">
        <f>Q21</f>
        <v>1005</v>
      </c>
      <c r="T332" s="704" t="str">
        <f t="shared" ref="T332:V332" si="365">R21</f>
        <v>-</v>
      </c>
      <c r="U332" s="704" t="str">
        <f t="shared" si="365"/>
        <v>-</v>
      </c>
      <c r="V332" s="704">
        <f t="shared" si="365"/>
        <v>0</v>
      </c>
      <c r="W332" s="704">
        <f>U21</f>
        <v>0</v>
      </c>
      <c r="AE332" s="686"/>
    </row>
    <row r="333" spans="1:31" ht="13" x14ac:dyDescent="0.3">
      <c r="A333" s="1549"/>
      <c r="B333" s="703">
        <v>3</v>
      </c>
      <c r="C333" s="703">
        <f>C32</f>
        <v>37</v>
      </c>
      <c r="D333" s="703">
        <f t="shared" ref="D333:F333" si="366">D32</f>
        <v>0.3</v>
      </c>
      <c r="E333" s="703">
        <f t="shared" si="366"/>
        <v>-0.2</v>
      </c>
      <c r="F333" s="703">
        <f t="shared" si="366"/>
        <v>-0.6</v>
      </c>
      <c r="G333" s="703">
        <f>G32</f>
        <v>0.44999999999999996</v>
      </c>
      <c r="I333" s="1549"/>
      <c r="J333" s="703">
        <v>3</v>
      </c>
      <c r="K333" s="703">
        <f>J32</f>
        <v>80</v>
      </c>
      <c r="L333" s="703">
        <f t="shared" ref="L333:N333" si="367">K32</f>
        <v>-2.7</v>
      </c>
      <c r="M333" s="703">
        <f t="shared" si="367"/>
        <v>-0.8</v>
      </c>
      <c r="N333" s="703">
        <f t="shared" si="367"/>
        <v>-2.9</v>
      </c>
      <c r="O333" s="703">
        <f>N32</f>
        <v>1.0499999999999998</v>
      </c>
      <c r="Q333" s="1549"/>
      <c r="R333" s="703">
        <v>3</v>
      </c>
      <c r="S333" s="703">
        <f>Q32</f>
        <v>1005</v>
      </c>
      <c r="T333" s="704" t="str">
        <f t="shared" ref="T333:V333" si="368">R32</f>
        <v>-</v>
      </c>
      <c r="U333" s="704" t="str">
        <f t="shared" si="368"/>
        <v>-</v>
      </c>
      <c r="V333" s="704">
        <f t="shared" si="368"/>
        <v>0</v>
      </c>
      <c r="W333" s="704">
        <f>U32</f>
        <v>0</v>
      </c>
      <c r="AE333" s="686"/>
    </row>
    <row r="334" spans="1:31" ht="13" x14ac:dyDescent="0.3">
      <c r="A334" s="1549"/>
      <c r="B334" s="703">
        <v>4</v>
      </c>
      <c r="C334" s="703">
        <f>C43</f>
        <v>37</v>
      </c>
      <c r="D334" s="703">
        <f t="shared" ref="D334:F334" si="369">D43</f>
        <v>-0.4</v>
      </c>
      <c r="E334" s="703">
        <f t="shared" si="369"/>
        <v>-0.6</v>
      </c>
      <c r="F334" s="703">
        <f t="shared" si="369"/>
        <v>0</v>
      </c>
      <c r="G334" s="703">
        <f>G43</f>
        <v>9.9999999999999978E-2</v>
      </c>
      <c r="I334" s="1549"/>
      <c r="J334" s="703">
        <v>4</v>
      </c>
      <c r="K334" s="703">
        <f>J43</f>
        <v>80</v>
      </c>
      <c r="L334" s="703">
        <f t="shared" ref="L334:N334" si="370">K43</f>
        <v>-3.8</v>
      </c>
      <c r="M334" s="703">
        <f t="shared" si="370"/>
        <v>1.9</v>
      </c>
      <c r="N334" s="703">
        <f t="shared" si="370"/>
        <v>0</v>
      </c>
      <c r="O334" s="703">
        <f>N43</f>
        <v>2.8499999999999996</v>
      </c>
      <c r="Q334" s="1549"/>
      <c r="R334" s="703">
        <v>4</v>
      </c>
      <c r="S334" s="703">
        <f>Q43</f>
        <v>1005</v>
      </c>
      <c r="T334" s="704" t="str">
        <f t="shared" ref="T334:V334" si="371">R43</f>
        <v>-</v>
      </c>
      <c r="U334" s="704" t="str">
        <f t="shared" si="371"/>
        <v>-</v>
      </c>
      <c r="V334" s="704">
        <f t="shared" si="371"/>
        <v>0</v>
      </c>
      <c r="W334" s="704">
        <f>U43</f>
        <v>0</v>
      </c>
      <c r="AE334" s="686"/>
    </row>
    <row r="335" spans="1:31" ht="13" x14ac:dyDescent="0.3">
      <c r="A335" s="1549"/>
      <c r="B335" s="703">
        <v>5</v>
      </c>
      <c r="C335" s="703">
        <f>C54</f>
        <v>37</v>
      </c>
      <c r="D335" s="703">
        <f t="shared" ref="D335:F335" si="372">D54</f>
        <v>0.03</v>
      </c>
      <c r="E335" s="703">
        <f t="shared" si="372"/>
        <v>0.7</v>
      </c>
      <c r="F335" s="703">
        <f t="shared" si="372"/>
        <v>9.9999999999999995E-7</v>
      </c>
      <c r="G335" s="703">
        <f>G54</f>
        <v>0.34999949999999996</v>
      </c>
      <c r="I335" s="1549"/>
      <c r="J335" s="703">
        <v>5</v>
      </c>
      <c r="K335" s="703">
        <f>J54</f>
        <v>80</v>
      </c>
      <c r="L335" s="703">
        <f t="shared" ref="L335:N335" si="373">K54</f>
        <v>-6.3</v>
      </c>
      <c r="M335" s="703">
        <f t="shared" si="373"/>
        <v>-3</v>
      </c>
      <c r="N335" s="703">
        <f t="shared" si="373"/>
        <v>0.2</v>
      </c>
      <c r="O335" s="703">
        <f>N54</f>
        <v>3.25</v>
      </c>
      <c r="Q335" s="1549"/>
      <c r="R335" s="703">
        <v>5</v>
      </c>
      <c r="S335" s="703">
        <f>Q54</f>
        <v>1005</v>
      </c>
      <c r="T335" s="704" t="str">
        <f t="shared" ref="T335:V335" si="374">R54</f>
        <v>-</v>
      </c>
      <c r="U335" s="704" t="str">
        <f t="shared" si="374"/>
        <v>-</v>
      </c>
      <c r="V335" s="704">
        <f t="shared" si="374"/>
        <v>0</v>
      </c>
      <c r="W335" s="704">
        <f>U54</f>
        <v>0</v>
      </c>
      <c r="AE335" s="686"/>
    </row>
    <row r="336" spans="1:31" ht="13" x14ac:dyDescent="0.3">
      <c r="A336" s="1549"/>
      <c r="B336" s="703">
        <v>6</v>
      </c>
      <c r="C336" s="703">
        <f>C65</f>
        <v>37</v>
      </c>
      <c r="D336" s="703">
        <f t="shared" ref="D336:F336" si="375">D65</f>
        <v>0.1</v>
      </c>
      <c r="E336" s="703">
        <f t="shared" si="375"/>
        <v>-1.1000000000000001</v>
      </c>
      <c r="F336" s="703">
        <f t="shared" si="375"/>
        <v>0</v>
      </c>
      <c r="G336" s="703">
        <f>G65</f>
        <v>0.60000000000000009</v>
      </c>
      <c r="I336" s="1549"/>
      <c r="J336" s="703">
        <v>6</v>
      </c>
      <c r="K336" s="703">
        <f>J65</f>
        <v>80</v>
      </c>
      <c r="L336" s="703">
        <f t="shared" ref="L336:N336" si="376">K65</f>
        <v>-6.3</v>
      </c>
      <c r="M336" s="703">
        <f t="shared" si="376"/>
        <v>0.8</v>
      </c>
      <c r="N336" s="703">
        <f t="shared" si="376"/>
        <v>0</v>
      </c>
      <c r="O336" s="703">
        <f>N65</f>
        <v>3.55</v>
      </c>
      <c r="Q336" s="1549"/>
      <c r="R336" s="703">
        <v>6</v>
      </c>
      <c r="S336" s="703">
        <f>Q65</f>
        <v>1005</v>
      </c>
      <c r="T336" s="704">
        <f t="shared" ref="T336:V336" si="377">R65</f>
        <v>0.9</v>
      </c>
      <c r="U336" s="704">
        <f t="shared" si="377"/>
        <v>-0.3</v>
      </c>
      <c r="V336" s="704">
        <f t="shared" si="377"/>
        <v>0</v>
      </c>
      <c r="W336" s="704">
        <f>U65</f>
        <v>0.6</v>
      </c>
      <c r="AE336" s="686"/>
    </row>
    <row r="337" spans="1:31" ht="13" x14ac:dyDescent="0.3">
      <c r="A337" s="1549"/>
      <c r="B337" s="703">
        <v>7</v>
      </c>
      <c r="C337" s="703">
        <f>C76</f>
        <v>37</v>
      </c>
      <c r="D337" s="703">
        <f t="shared" ref="D337:F337" si="378">D76</f>
        <v>-0.4</v>
      </c>
      <c r="E337" s="703">
        <f t="shared" si="378"/>
        <v>9.9999999999999995E-7</v>
      </c>
      <c r="F337" s="703">
        <f t="shared" si="378"/>
        <v>-1.4</v>
      </c>
      <c r="G337" s="703">
        <f>G76</f>
        <v>0.70000049999999991</v>
      </c>
      <c r="I337" s="1549"/>
      <c r="J337" s="703">
        <v>7</v>
      </c>
      <c r="K337" s="703">
        <f>J76</f>
        <v>80</v>
      </c>
      <c r="L337" s="703">
        <f t="shared" ref="L337:N337" si="379">K76</f>
        <v>-1.9</v>
      </c>
      <c r="M337" s="703">
        <f t="shared" si="379"/>
        <v>-2.6</v>
      </c>
      <c r="N337" s="703">
        <f t="shared" si="379"/>
        <v>1.2</v>
      </c>
      <c r="O337" s="703">
        <f>N76</f>
        <v>1.9</v>
      </c>
      <c r="Q337" s="1549"/>
      <c r="R337" s="703">
        <v>7</v>
      </c>
      <c r="S337" s="703">
        <f>Q76</f>
        <v>1005</v>
      </c>
      <c r="T337" s="704" t="str">
        <f t="shared" ref="T337:V337" si="380">R76</f>
        <v>-</v>
      </c>
      <c r="U337" s="704">
        <f t="shared" si="380"/>
        <v>-3.8</v>
      </c>
      <c r="V337" s="704">
        <f t="shared" si="380"/>
        <v>-0.5</v>
      </c>
      <c r="W337" s="704">
        <f>U76</f>
        <v>1.65</v>
      </c>
      <c r="AE337" s="686"/>
    </row>
    <row r="338" spans="1:31" ht="13" x14ac:dyDescent="0.3">
      <c r="A338" s="1549"/>
      <c r="B338" s="703">
        <v>8</v>
      </c>
      <c r="C338" s="703">
        <f>C87</f>
        <v>37</v>
      </c>
      <c r="D338" s="703">
        <f t="shared" ref="D338:F338" si="381">D87</f>
        <v>-0.1</v>
      </c>
      <c r="E338" s="703">
        <f t="shared" si="381"/>
        <v>-0.5</v>
      </c>
      <c r="F338" s="703">
        <f t="shared" si="381"/>
        <v>0</v>
      </c>
      <c r="G338" s="703">
        <f>G87</f>
        <v>0.2</v>
      </c>
      <c r="I338" s="1549"/>
      <c r="J338" s="703">
        <v>8</v>
      </c>
      <c r="K338" s="703">
        <f>J87</f>
        <v>80</v>
      </c>
      <c r="L338" s="703">
        <f t="shared" ref="L338:N338" si="382">K87</f>
        <v>-4.5</v>
      </c>
      <c r="M338" s="703">
        <f t="shared" si="382"/>
        <v>-1.2</v>
      </c>
      <c r="N338" s="703">
        <f t="shared" si="382"/>
        <v>0</v>
      </c>
      <c r="O338" s="703">
        <f>N87</f>
        <v>1.65</v>
      </c>
      <c r="Q338" s="1549"/>
      <c r="R338" s="703">
        <v>8</v>
      </c>
      <c r="S338" s="703">
        <f>Q87</f>
        <v>1005</v>
      </c>
      <c r="T338" s="704">
        <f t="shared" ref="T338:V338" si="383">R87</f>
        <v>-3.4</v>
      </c>
      <c r="U338" s="704">
        <f t="shared" si="383"/>
        <v>0.2</v>
      </c>
      <c r="V338" s="704">
        <f t="shared" si="383"/>
        <v>0</v>
      </c>
      <c r="W338" s="704">
        <f>U87</f>
        <v>1.8</v>
      </c>
      <c r="AE338" s="686"/>
    </row>
    <row r="339" spans="1:31" ht="13" x14ac:dyDescent="0.3">
      <c r="A339" s="1549"/>
      <c r="B339" s="703">
        <v>9</v>
      </c>
      <c r="C339" s="703">
        <f>C98</f>
        <v>37</v>
      </c>
      <c r="D339" s="703">
        <f t="shared" ref="D339:F339" si="384">D98</f>
        <v>-0.5</v>
      </c>
      <c r="E339" s="703" t="str">
        <f t="shared" si="384"/>
        <v>-</v>
      </c>
      <c r="F339" s="703">
        <f t="shared" si="384"/>
        <v>0</v>
      </c>
      <c r="G339" s="703">
        <f>G98</f>
        <v>0</v>
      </c>
      <c r="I339" s="1549"/>
      <c r="J339" s="703">
        <v>9</v>
      </c>
      <c r="K339" s="703">
        <f>J98</f>
        <v>80</v>
      </c>
      <c r="L339" s="703">
        <f t="shared" ref="L339:N339" si="385">K98</f>
        <v>-0.5</v>
      </c>
      <c r="M339" s="703" t="str">
        <f t="shared" si="385"/>
        <v>-</v>
      </c>
      <c r="N339" s="703">
        <f t="shared" si="385"/>
        <v>0</v>
      </c>
      <c r="O339" s="703">
        <f>N98</f>
        <v>0</v>
      </c>
      <c r="Q339" s="1549"/>
      <c r="R339" s="703">
        <v>9</v>
      </c>
      <c r="S339" s="703">
        <f>Q98</f>
        <v>1005</v>
      </c>
      <c r="T339" s="704">
        <f t="shared" ref="T339:V339" si="386">R98</f>
        <v>0.2</v>
      </c>
      <c r="U339" s="704" t="str">
        <f t="shared" si="386"/>
        <v>-</v>
      </c>
      <c r="V339" s="704">
        <f t="shared" si="386"/>
        <v>0</v>
      </c>
      <c r="W339" s="704">
        <f>U98</f>
        <v>0</v>
      </c>
      <c r="AE339" s="686"/>
    </row>
    <row r="340" spans="1:31" ht="13" x14ac:dyDescent="0.3">
      <c r="A340" s="1549"/>
      <c r="B340" s="703">
        <v>10</v>
      </c>
      <c r="C340" s="703">
        <f>C109</f>
        <v>37</v>
      </c>
      <c r="D340" s="703">
        <f t="shared" ref="D340:F340" si="387">D109</f>
        <v>0.2</v>
      </c>
      <c r="E340" s="703">
        <f t="shared" si="387"/>
        <v>0.4</v>
      </c>
      <c r="F340" s="703">
        <f t="shared" si="387"/>
        <v>0</v>
      </c>
      <c r="G340" s="703">
        <f>G109</f>
        <v>0.1</v>
      </c>
      <c r="I340" s="1549"/>
      <c r="J340" s="703">
        <v>10</v>
      </c>
      <c r="K340" s="703">
        <f>J109</f>
        <v>80</v>
      </c>
      <c r="L340" s="703">
        <f t="shared" ref="L340:N340" si="388">K109</f>
        <v>2.2000000000000002</v>
      </c>
      <c r="M340" s="703">
        <f t="shared" si="388"/>
        <v>-4.7</v>
      </c>
      <c r="N340" s="703">
        <f t="shared" si="388"/>
        <v>0</v>
      </c>
      <c r="O340" s="703">
        <f>N109</f>
        <v>3.45</v>
      </c>
      <c r="Q340" s="1549"/>
      <c r="R340" s="703">
        <v>10</v>
      </c>
      <c r="S340" s="703">
        <f>Q109</f>
        <v>1005</v>
      </c>
      <c r="T340" s="704" t="str">
        <f t="shared" ref="T340:V340" si="389">R109</f>
        <v>-</v>
      </c>
      <c r="U340" s="704" t="str">
        <f t="shared" si="389"/>
        <v>-</v>
      </c>
      <c r="V340" s="704">
        <f t="shared" si="389"/>
        <v>0</v>
      </c>
      <c r="W340" s="704">
        <f>U109</f>
        <v>0</v>
      </c>
      <c r="AE340" s="686"/>
    </row>
    <row r="341" spans="1:31" ht="13" x14ac:dyDescent="0.3">
      <c r="A341" s="1549"/>
      <c r="B341" s="703">
        <v>11</v>
      </c>
      <c r="C341" s="703">
        <f>C120</f>
        <v>37</v>
      </c>
      <c r="D341" s="703">
        <f t="shared" ref="D341:F341" si="390">D120</f>
        <v>0.5</v>
      </c>
      <c r="E341" s="703">
        <f t="shared" si="390"/>
        <v>0.5</v>
      </c>
      <c r="F341" s="703">
        <f t="shared" si="390"/>
        <v>0</v>
      </c>
      <c r="G341" s="703">
        <f>G120</f>
        <v>0</v>
      </c>
      <c r="I341" s="1549"/>
      <c r="J341" s="703">
        <v>11</v>
      </c>
      <c r="K341" s="703">
        <f>J120</f>
        <v>80</v>
      </c>
      <c r="L341" s="703">
        <f t="shared" ref="L341:N341" si="391">K120</f>
        <v>-1.4</v>
      </c>
      <c r="M341" s="703">
        <f t="shared" si="391"/>
        <v>2.6</v>
      </c>
      <c r="N341" s="703">
        <f t="shared" si="391"/>
        <v>0</v>
      </c>
      <c r="O341" s="703">
        <f>N120</f>
        <v>2</v>
      </c>
      <c r="Q341" s="1549"/>
      <c r="R341" s="703">
        <v>11</v>
      </c>
      <c r="S341" s="703">
        <f>Q120</f>
        <v>1005</v>
      </c>
      <c r="T341" s="704" t="str">
        <f t="shared" ref="T341:V341" si="392">R120</f>
        <v>-</v>
      </c>
      <c r="U341" s="704" t="str">
        <f t="shared" si="392"/>
        <v>-</v>
      </c>
      <c r="V341" s="704">
        <f t="shared" si="392"/>
        <v>0</v>
      </c>
      <c r="W341" s="704">
        <f>U120</f>
        <v>0</v>
      </c>
      <c r="AE341" s="686"/>
    </row>
    <row r="342" spans="1:31" ht="13" x14ac:dyDescent="0.3">
      <c r="A342" s="1549"/>
      <c r="B342" s="703">
        <v>12</v>
      </c>
      <c r="C342" s="703">
        <f>C131</f>
        <v>37</v>
      </c>
      <c r="D342" s="703">
        <f t="shared" ref="D342:F342" si="393">D131</f>
        <v>-0.3</v>
      </c>
      <c r="E342" s="703" t="str">
        <f t="shared" si="393"/>
        <v>-</v>
      </c>
      <c r="F342" s="703">
        <f t="shared" si="393"/>
        <v>0</v>
      </c>
      <c r="G342" s="703">
        <f>G131</f>
        <v>0</v>
      </c>
      <c r="I342" s="1549"/>
      <c r="J342" s="703">
        <v>12</v>
      </c>
      <c r="K342" s="703">
        <f>J131</f>
        <v>80</v>
      </c>
      <c r="L342" s="703">
        <f t="shared" ref="L342:N342" si="394">K131</f>
        <v>-0.5</v>
      </c>
      <c r="M342" s="703" t="str">
        <f t="shared" si="394"/>
        <v>-</v>
      </c>
      <c r="N342" s="703">
        <f t="shared" si="394"/>
        <v>0</v>
      </c>
      <c r="O342" s="703">
        <f>N131</f>
        <v>0</v>
      </c>
      <c r="Q342" s="1549"/>
      <c r="R342" s="703">
        <v>12</v>
      </c>
      <c r="S342" s="703">
        <f>Q131</f>
        <v>1005</v>
      </c>
      <c r="T342" s="704">
        <f t="shared" ref="T342:V342" si="395">R131</f>
        <v>-0.8</v>
      </c>
      <c r="U342" s="704" t="str">
        <f t="shared" si="395"/>
        <v>-</v>
      </c>
      <c r="V342" s="704">
        <f t="shared" si="395"/>
        <v>0</v>
      </c>
      <c r="W342" s="704">
        <f>U131</f>
        <v>0</v>
      </c>
      <c r="AE342" s="686"/>
    </row>
    <row r="343" spans="1:31" ht="13" x14ac:dyDescent="0.3">
      <c r="A343" s="1549"/>
      <c r="B343" s="703">
        <v>13</v>
      </c>
      <c r="C343" s="703">
        <f>C142</f>
        <v>37</v>
      </c>
      <c r="D343" s="703">
        <f t="shared" ref="D343:F343" si="396">D142</f>
        <v>-0.2</v>
      </c>
      <c r="E343" s="703">
        <f t="shared" si="396"/>
        <v>0.4</v>
      </c>
      <c r="F343" s="703" t="str">
        <f t="shared" si="396"/>
        <v>-</v>
      </c>
      <c r="G343" s="703">
        <f>G142</f>
        <v>0</v>
      </c>
      <c r="I343" s="1549"/>
      <c r="J343" s="703">
        <v>13</v>
      </c>
      <c r="K343" s="703">
        <f>J142</f>
        <v>80</v>
      </c>
      <c r="L343" s="703">
        <f t="shared" ref="L343:N343" si="397">K142</f>
        <v>-1.2</v>
      </c>
      <c r="M343" s="703">
        <f t="shared" si="397"/>
        <v>-2.5</v>
      </c>
      <c r="N343" s="703" t="str">
        <f t="shared" si="397"/>
        <v>-</v>
      </c>
      <c r="O343" s="703">
        <f>N142</f>
        <v>0</v>
      </c>
      <c r="Q343" s="1549"/>
      <c r="R343" s="703">
        <v>13</v>
      </c>
      <c r="S343" s="703">
        <f>Q142</f>
        <v>1005</v>
      </c>
      <c r="T343" s="704">
        <f t="shared" ref="T343:V343" si="398">R142</f>
        <v>3.6</v>
      </c>
      <c r="U343" s="704">
        <f t="shared" si="398"/>
        <v>1.1000000000000001</v>
      </c>
      <c r="V343" s="704" t="str">
        <f t="shared" si="398"/>
        <v>-</v>
      </c>
      <c r="W343" s="704">
        <f>U142</f>
        <v>0</v>
      </c>
      <c r="AE343" s="686"/>
    </row>
    <row r="344" spans="1:31" ht="13" x14ac:dyDescent="0.3">
      <c r="A344" s="1549"/>
      <c r="B344" s="703">
        <v>14</v>
      </c>
      <c r="C344" s="703">
        <f>C153</f>
        <v>37</v>
      </c>
      <c r="D344" s="703">
        <f t="shared" ref="D344:F344" si="399">D153</f>
        <v>-0.7</v>
      </c>
      <c r="E344" s="703">
        <f t="shared" si="399"/>
        <v>-0.8</v>
      </c>
      <c r="F344" s="703" t="str">
        <f t="shared" si="399"/>
        <v>-</v>
      </c>
      <c r="G344" s="703">
        <f>G153</f>
        <v>0</v>
      </c>
      <c r="I344" s="1549"/>
      <c r="J344" s="703">
        <v>14</v>
      </c>
      <c r="K344" s="703">
        <f>J153</f>
        <v>80</v>
      </c>
      <c r="L344" s="703">
        <f t="shared" ref="L344:N344" si="400">K153</f>
        <v>1.1000000000000001</v>
      </c>
      <c r="M344" s="703">
        <f t="shared" si="400"/>
        <v>-0.9</v>
      </c>
      <c r="N344" s="703" t="str">
        <f t="shared" si="400"/>
        <v>-</v>
      </c>
      <c r="O344" s="703">
        <f>N153</f>
        <v>0</v>
      </c>
      <c r="Q344" s="1549"/>
      <c r="R344" s="703">
        <v>14</v>
      </c>
      <c r="S344" s="703">
        <f>Q153</f>
        <v>1005</v>
      </c>
      <c r="T344" s="704">
        <f t="shared" ref="T344:V344" si="401">R153</f>
        <v>3.8</v>
      </c>
      <c r="U344" s="704">
        <f t="shared" si="401"/>
        <v>1.1000000000000001</v>
      </c>
      <c r="V344" s="704" t="str">
        <f t="shared" si="401"/>
        <v>-</v>
      </c>
      <c r="W344" s="704">
        <f>U153</f>
        <v>0</v>
      </c>
      <c r="AE344" s="686"/>
    </row>
    <row r="345" spans="1:31" ht="13" x14ac:dyDescent="0.3">
      <c r="A345" s="1549"/>
      <c r="B345" s="703">
        <v>15</v>
      </c>
      <c r="C345" s="703">
        <f>C164</f>
        <v>37</v>
      </c>
      <c r="D345" s="703">
        <f t="shared" ref="D345:F345" si="402">D164</f>
        <v>1</v>
      </c>
      <c r="E345" s="703">
        <f t="shared" si="402"/>
        <v>-0.1</v>
      </c>
      <c r="F345" s="703" t="str">
        <f t="shared" si="402"/>
        <v>-</v>
      </c>
      <c r="G345" s="703">
        <f>G164</f>
        <v>0</v>
      </c>
      <c r="I345" s="1549"/>
      <c r="J345" s="703">
        <v>15</v>
      </c>
      <c r="K345" s="703">
        <f>J164</f>
        <v>80</v>
      </c>
      <c r="L345" s="703">
        <f t="shared" ref="L345:N345" si="403">K164</f>
        <v>-0.4</v>
      </c>
      <c r="M345" s="703">
        <f t="shared" si="403"/>
        <v>-1.3</v>
      </c>
      <c r="N345" s="703" t="str">
        <f t="shared" si="403"/>
        <v>-</v>
      </c>
      <c r="O345" s="703">
        <f>N164</f>
        <v>0</v>
      </c>
      <c r="Q345" s="1549"/>
      <c r="R345" s="703">
        <v>15</v>
      </c>
      <c r="S345" s="703">
        <f>Q164</f>
        <v>1005</v>
      </c>
      <c r="T345" s="704">
        <f t="shared" ref="T345:V345" si="404">R164</f>
        <v>4</v>
      </c>
      <c r="U345" s="704">
        <f t="shared" si="404"/>
        <v>1.1000000000000001</v>
      </c>
      <c r="V345" s="704" t="str">
        <f t="shared" si="404"/>
        <v>-</v>
      </c>
      <c r="W345" s="704">
        <f>U164</f>
        <v>0</v>
      </c>
      <c r="AE345" s="686"/>
    </row>
    <row r="346" spans="1:31" ht="13" x14ac:dyDescent="0.3">
      <c r="A346" s="1549"/>
      <c r="B346" s="703">
        <v>16</v>
      </c>
      <c r="C346" s="703">
        <f>C175</f>
        <v>37</v>
      </c>
      <c r="D346" s="703">
        <f t="shared" ref="D346:F346" si="405">D175</f>
        <v>0.6</v>
      </c>
      <c r="E346" s="703">
        <f t="shared" si="405"/>
        <v>9.9999999999999995E-7</v>
      </c>
      <c r="F346" s="703">
        <f t="shared" si="405"/>
        <v>0</v>
      </c>
      <c r="G346" s="703">
        <f>G175</f>
        <v>0.29999949999999997</v>
      </c>
      <c r="I346" s="1549"/>
      <c r="J346" s="703">
        <v>16</v>
      </c>
      <c r="K346" s="703">
        <f>J175</f>
        <v>80</v>
      </c>
      <c r="L346" s="703">
        <f t="shared" ref="L346:N346" si="406">K175</f>
        <v>-2.5</v>
      </c>
      <c r="M346" s="703">
        <f t="shared" si="406"/>
        <v>-2.2999999999999998</v>
      </c>
      <c r="N346" s="703">
        <f t="shared" si="406"/>
        <v>0</v>
      </c>
      <c r="O346" s="703">
        <f>N175</f>
        <v>0.10000000000000009</v>
      </c>
      <c r="Q346" s="1549"/>
      <c r="R346" s="703">
        <v>16</v>
      </c>
      <c r="S346" s="703">
        <f>Q175</f>
        <v>1005</v>
      </c>
      <c r="T346" s="704" t="str">
        <f t="shared" ref="T346:V346" si="407">R175</f>
        <v>-</v>
      </c>
      <c r="U346" s="704">
        <f t="shared" si="407"/>
        <v>-0.4</v>
      </c>
      <c r="V346" s="704">
        <f t="shared" si="407"/>
        <v>0</v>
      </c>
      <c r="W346" s="704">
        <f>U175</f>
        <v>0</v>
      </c>
      <c r="AE346" s="686"/>
    </row>
    <row r="347" spans="1:31" ht="13" x14ac:dyDescent="0.3">
      <c r="A347" s="1549"/>
      <c r="B347" s="703">
        <v>17</v>
      </c>
      <c r="C347" s="703">
        <f>C186</f>
        <v>37</v>
      </c>
      <c r="D347" s="703">
        <f t="shared" ref="D347:F347" si="408">D186</f>
        <v>0.7</v>
      </c>
      <c r="E347" s="703">
        <f t="shared" si="408"/>
        <v>-0.6</v>
      </c>
      <c r="F347" s="703">
        <f t="shared" si="408"/>
        <v>0</v>
      </c>
      <c r="G347" s="703">
        <f>G186</f>
        <v>0.64999999999999991</v>
      </c>
      <c r="I347" s="1549"/>
      <c r="J347" s="703">
        <v>17</v>
      </c>
      <c r="K347" s="703">
        <f>J186</f>
        <v>80</v>
      </c>
      <c r="L347" s="703">
        <f t="shared" ref="L347:N347" si="409">K186</f>
        <v>-2.2000000000000002</v>
      </c>
      <c r="M347" s="703">
        <f t="shared" si="409"/>
        <v>-0.8</v>
      </c>
      <c r="N347" s="703">
        <f t="shared" si="409"/>
        <v>0</v>
      </c>
      <c r="O347" s="703">
        <f>N186</f>
        <v>0.70000000000000007</v>
      </c>
      <c r="Q347" s="1549"/>
      <c r="R347" s="703">
        <v>17</v>
      </c>
      <c r="S347" s="703">
        <f>Q186</f>
        <v>1005</v>
      </c>
      <c r="T347" s="704" t="str">
        <f t="shared" ref="T347:V347" si="410">R186</f>
        <v>-</v>
      </c>
      <c r="U347" s="704">
        <f t="shared" si="410"/>
        <v>-0.6</v>
      </c>
      <c r="V347" s="704">
        <f t="shared" si="410"/>
        <v>0</v>
      </c>
      <c r="W347" s="704">
        <f>U186</f>
        <v>0</v>
      </c>
      <c r="AE347" s="686"/>
    </row>
    <row r="348" spans="1:31" ht="13" x14ac:dyDescent="0.3">
      <c r="A348" s="1549"/>
      <c r="B348" s="703">
        <v>18</v>
      </c>
      <c r="C348" s="703">
        <f>C197</f>
        <v>37</v>
      </c>
      <c r="D348" s="703">
        <f t="shared" ref="D348:F348" si="411">D197</f>
        <v>0.4</v>
      </c>
      <c r="E348" s="703">
        <f t="shared" si="411"/>
        <v>-0.3</v>
      </c>
      <c r="F348" s="703">
        <f t="shared" si="411"/>
        <v>0</v>
      </c>
      <c r="G348" s="703">
        <f>G197</f>
        <v>0.35</v>
      </c>
      <c r="I348" s="1549"/>
      <c r="J348" s="703">
        <v>18</v>
      </c>
      <c r="K348" s="703">
        <f>J197</f>
        <v>80</v>
      </c>
      <c r="L348" s="703">
        <f t="shared" ref="L348:N348" si="412">K197</f>
        <v>-2.4</v>
      </c>
      <c r="M348" s="703">
        <f t="shared" si="412"/>
        <v>-0.5</v>
      </c>
      <c r="N348" s="703">
        <f t="shared" si="412"/>
        <v>0</v>
      </c>
      <c r="O348" s="703">
        <f>N197</f>
        <v>0.95</v>
      </c>
      <c r="Q348" s="1549"/>
      <c r="R348" s="703">
        <v>18</v>
      </c>
      <c r="S348" s="703">
        <f>Q197</f>
        <v>1005</v>
      </c>
      <c r="T348" s="704" t="str">
        <f t="shared" ref="T348:V348" si="413">R197</f>
        <v>-</v>
      </c>
      <c r="U348" s="704">
        <f t="shared" si="413"/>
        <v>-0.7</v>
      </c>
      <c r="V348" s="704">
        <f t="shared" si="413"/>
        <v>0</v>
      </c>
      <c r="W348" s="704">
        <f>U197</f>
        <v>0</v>
      </c>
      <c r="AE348" s="686"/>
    </row>
    <row r="349" spans="1:31" ht="13" x14ac:dyDescent="0.3">
      <c r="A349" s="1549"/>
      <c r="B349" s="703">
        <v>19</v>
      </c>
      <c r="C349" s="703">
        <f>C208</f>
        <v>37</v>
      </c>
      <c r="D349" s="703">
        <f t="shared" ref="D349:F349" si="414">D208</f>
        <v>9.9999999999999995E-7</v>
      </c>
      <c r="E349" s="703" t="str">
        <f t="shared" si="414"/>
        <v>-</v>
      </c>
      <c r="F349" s="703">
        <f t="shared" si="414"/>
        <v>0</v>
      </c>
      <c r="G349" s="703">
        <f>G208</f>
        <v>0</v>
      </c>
      <c r="I349" s="1549"/>
      <c r="J349" s="703">
        <v>19</v>
      </c>
      <c r="K349" s="703">
        <f>J208</f>
        <v>80</v>
      </c>
      <c r="L349" s="703">
        <f t="shared" ref="L349:N349" si="415">K208</f>
        <v>-0.9</v>
      </c>
      <c r="M349" s="703" t="str">
        <f t="shared" si="415"/>
        <v>-</v>
      </c>
      <c r="N349" s="703">
        <f t="shared" si="415"/>
        <v>0</v>
      </c>
      <c r="O349" s="703">
        <f>N208</f>
        <v>0</v>
      </c>
      <c r="Q349" s="1549"/>
      <c r="R349" s="703">
        <v>19</v>
      </c>
      <c r="S349" s="703">
        <f>Q208</f>
        <v>1005</v>
      </c>
      <c r="T349" s="704">
        <f t="shared" ref="T349:V349" si="416">R208</f>
        <v>2.2000000000000002</v>
      </c>
      <c r="U349" s="704" t="str">
        <f t="shared" si="416"/>
        <v>-</v>
      </c>
      <c r="V349" s="704">
        <f t="shared" si="416"/>
        <v>0</v>
      </c>
      <c r="W349" s="704">
        <f>U208</f>
        <v>0</v>
      </c>
      <c r="AE349" s="686"/>
    </row>
    <row r="350" spans="1:31" ht="13.5" thickBot="1" x14ac:dyDescent="0.35">
      <c r="A350" s="1549"/>
      <c r="B350" s="703">
        <v>20</v>
      </c>
      <c r="C350" s="703">
        <f>C219</f>
        <v>39.5</v>
      </c>
      <c r="D350" s="703">
        <f t="shared" ref="D350:F350" si="417">D219</f>
        <v>9.9999999999999995E-7</v>
      </c>
      <c r="E350" s="703" t="str">
        <f t="shared" si="417"/>
        <v>-</v>
      </c>
      <c r="F350" s="703">
        <f t="shared" si="417"/>
        <v>9.9999999999999995E-7</v>
      </c>
      <c r="G350" s="703">
        <f>G219</f>
        <v>0</v>
      </c>
      <c r="I350" s="1549"/>
      <c r="J350" s="703">
        <v>20</v>
      </c>
      <c r="K350" s="703">
        <f>J219</f>
        <v>88.7</v>
      </c>
      <c r="L350" s="703">
        <f t="shared" ref="L350:N350" si="418">K219</f>
        <v>9.9999999999999995E-7</v>
      </c>
      <c r="M350" s="703" t="str">
        <f t="shared" si="418"/>
        <v>-</v>
      </c>
      <c r="N350" s="703">
        <f t="shared" si="418"/>
        <v>0</v>
      </c>
      <c r="O350" s="703">
        <f>N219</f>
        <v>0</v>
      </c>
      <c r="Q350" s="1551"/>
      <c r="R350" s="712">
        <v>20</v>
      </c>
      <c r="S350" s="712">
        <f>Q219</f>
        <v>1005</v>
      </c>
      <c r="T350" s="725" t="str">
        <f t="shared" ref="T350:V350" si="419">R219</f>
        <v>-</v>
      </c>
      <c r="U350" s="725" t="str">
        <f t="shared" si="419"/>
        <v>-</v>
      </c>
      <c r="V350" s="725">
        <f t="shared" si="419"/>
        <v>0</v>
      </c>
      <c r="W350" s="725">
        <f>U219</f>
        <v>0</v>
      </c>
      <c r="AE350" s="715"/>
    </row>
    <row r="351" spans="1:31" ht="13.5" thickBot="1" x14ac:dyDescent="0.35">
      <c r="A351" s="8"/>
      <c r="B351" s="8"/>
      <c r="C351" s="8"/>
      <c r="D351" s="8"/>
      <c r="E351" s="8"/>
      <c r="F351" s="8"/>
      <c r="G351" s="8"/>
      <c r="I351" s="8"/>
      <c r="J351" s="8"/>
      <c r="K351" s="8"/>
      <c r="L351" s="8"/>
      <c r="M351" s="8"/>
      <c r="N351" s="8"/>
      <c r="O351" s="8"/>
      <c r="Q351" s="231"/>
      <c r="R351" s="716"/>
      <c r="S351" s="446"/>
      <c r="T351" s="447"/>
      <c r="U351" s="447"/>
      <c r="V351" s="447"/>
      <c r="W351" s="447"/>
      <c r="AE351" s="686"/>
    </row>
    <row r="352" spans="1:31" ht="13" x14ac:dyDescent="0.3">
      <c r="A352" s="1549">
        <v>7</v>
      </c>
      <c r="B352" s="703">
        <v>1</v>
      </c>
      <c r="C352" s="703">
        <f>C11</f>
        <v>40</v>
      </c>
      <c r="D352" s="703">
        <f t="shared" ref="D352:F352" si="420">D11</f>
        <v>-0.3</v>
      </c>
      <c r="E352" s="703">
        <f t="shared" si="420"/>
        <v>-0.8</v>
      </c>
      <c r="F352" s="703">
        <f t="shared" si="420"/>
        <v>0</v>
      </c>
      <c r="G352" s="703">
        <f>G11</f>
        <v>0.4</v>
      </c>
      <c r="I352" s="1549">
        <v>7</v>
      </c>
      <c r="J352" s="703">
        <v>1</v>
      </c>
      <c r="K352" s="703">
        <f>J11</f>
        <v>90</v>
      </c>
      <c r="L352" s="703">
        <f t="shared" ref="L352:N352" si="421">K11</f>
        <v>-1.6</v>
      </c>
      <c r="M352" s="703">
        <f t="shared" si="421"/>
        <v>4.5</v>
      </c>
      <c r="N352" s="703">
        <f t="shared" si="421"/>
        <v>0</v>
      </c>
      <c r="O352" s="703">
        <f>N11</f>
        <v>3.05</v>
      </c>
      <c r="Q352" s="1552">
        <v>7</v>
      </c>
      <c r="R352" s="720">
        <v>1</v>
      </c>
      <c r="S352" s="720">
        <f>Q11</f>
        <v>1020</v>
      </c>
      <c r="T352" s="727" t="str">
        <f t="shared" ref="T352:V352" si="422">R11</f>
        <v>-</v>
      </c>
      <c r="U352" s="727" t="str">
        <f t="shared" si="422"/>
        <v>-</v>
      </c>
      <c r="V352" s="727">
        <f t="shared" si="422"/>
        <v>0</v>
      </c>
      <c r="W352" s="727">
        <f>U11</f>
        <v>0</v>
      </c>
      <c r="AE352" s="723"/>
    </row>
    <row r="353" spans="1:31" ht="13" x14ac:dyDescent="0.3">
      <c r="A353" s="1549"/>
      <c r="B353" s="703">
        <v>2</v>
      </c>
      <c r="C353" s="703">
        <f>C22</f>
        <v>40</v>
      </c>
      <c r="D353" s="703">
        <f t="shared" ref="D353:F353" si="423">D22</f>
        <v>0.6</v>
      </c>
      <c r="E353" s="703">
        <f t="shared" si="423"/>
        <v>-0.1</v>
      </c>
      <c r="F353" s="703">
        <f t="shared" si="423"/>
        <v>-0.3</v>
      </c>
      <c r="G353" s="703">
        <f>G22</f>
        <v>0.44999999999999996</v>
      </c>
      <c r="I353" s="1549"/>
      <c r="J353" s="703">
        <v>2</v>
      </c>
      <c r="K353" s="703">
        <f>J22</f>
        <v>90</v>
      </c>
      <c r="L353" s="703">
        <f t="shared" ref="L353:N353" si="424">K22</f>
        <v>1.2</v>
      </c>
      <c r="M353" s="703">
        <f t="shared" si="424"/>
        <v>1.7</v>
      </c>
      <c r="N353" s="703">
        <f t="shared" si="424"/>
        <v>-0.3</v>
      </c>
      <c r="O353" s="703">
        <f>N22</f>
        <v>1</v>
      </c>
      <c r="Q353" s="1553"/>
      <c r="R353" s="703">
        <v>2</v>
      </c>
      <c r="S353" s="703">
        <f>Q22</f>
        <v>1020</v>
      </c>
      <c r="T353" s="704" t="str">
        <f t="shared" ref="T353:V353" si="425">R22</f>
        <v>-</v>
      </c>
      <c r="U353" s="704" t="str">
        <f t="shared" si="425"/>
        <v>-</v>
      </c>
      <c r="V353" s="704">
        <f t="shared" si="425"/>
        <v>0</v>
      </c>
      <c r="W353" s="704">
        <f>U22</f>
        <v>0</v>
      </c>
      <c r="AE353" s="686"/>
    </row>
    <row r="354" spans="1:31" ht="13" x14ac:dyDescent="0.3">
      <c r="A354" s="1549"/>
      <c r="B354" s="703">
        <v>3</v>
      </c>
      <c r="C354" s="703">
        <f>C33</f>
        <v>40</v>
      </c>
      <c r="D354" s="703">
        <f t="shared" ref="D354:F354" si="426">D33</f>
        <v>0.3</v>
      </c>
      <c r="E354" s="703">
        <f t="shared" si="426"/>
        <v>0.2</v>
      </c>
      <c r="F354" s="703">
        <f t="shared" si="426"/>
        <v>-0.7</v>
      </c>
      <c r="G354" s="703">
        <f>G33</f>
        <v>0.5</v>
      </c>
      <c r="I354" s="1549"/>
      <c r="J354" s="703">
        <v>3</v>
      </c>
      <c r="K354" s="703">
        <f>J33</f>
        <v>90</v>
      </c>
      <c r="L354" s="703">
        <f t="shared" ref="L354:N354" si="427">K33</f>
        <v>-0.9</v>
      </c>
      <c r="M354" s="703">
        <f t="shared" si="427"/>
        <v>0.3</v>
      </c>
      <c r="N354" s="703">
        <f t="shared" si="427"/>
        <v>-2</v>
      </c>
      <c r="O354" s="703">
        <f>N33</f>
        <v>1.1499999999999999</v>
      </c>
      <c r="Q354" s="1553"/>
      <c r="R354" s="703">
        <v>3</v>
      </c>
      <c r="S354" s="703">
        <f>Q33</f>
        <v>1020</v>
      </c>
      <c r="T354" s="704" t="str">
        <f t="shared" ref="T354:V354" si="428">R33</f>
        <v>-</v>
      </c>
      <c r="U354" s="704" t="str">
        <f t="shared" si="428"/>
        <v>-</v>
      </c>
      <c r="V354" s="704">
        <f t="shared" si="428"/>
        <v>0</v>
      </c>
      <c r="W354" s="704">
        <f>U33</f>
        <v>0</v>
      </c>
      <c r="AE354" s="686"/>
    </row>
    <row r="355" spans="1:31" ht="13" x14ac:dyDescent="0.3">
      <c r="A355" s="1549"/>
      <c r="B355" s="703">
        <v>4</v>
      </c>
      <c r="C355" s="703">
        <f>C44</f>
        <v>40</v>
      </c>
      <c r="D355" s="703">
        <f t="shared" ref="D355:F355" si="429">D44</f>
        <v>-0.5</v>
      </c>
      <c r="E355" s="703">
        <f t="shared" si="429"/>
        <v>-0.6</v>
      </c>
      <c r="F355" s="703">
        <f t="shared" si="429"/>
        <v>0</v>
      </c>
      <c r="G355" s="703">
        <f>G44</f>
        <v>4.9999999999999989E-2</v>
      </c>
      <c r="I355" s="1549"/>
      <c r="J355" s="703">
        <v>4</v>
      </c>
      <c r="K355" s="703">
        <f>J44</f>
        <v>90</v>
      </c>
      <c r="L355" s="703">
        <f t="shared" ref="L355:N355" si="430">K44</f>
        <v>-3.5</v>
      </c>
      <c r="M355" s="703">
        <f t="shared" si="430"/>
        <v>3.3</v>
      </c>
      <c r="N355" s="703">
        <f t="shared" si="430"/>
        <v>0</v>
      </c>
      <c r="O355" s="703">
        <f>N44</f>
        <v>3.4</v>
      </c>
      <c r="Q355" s="1553"/>
      <c r="R355" s="703">
        <v>4</v>
      </c>
      <c r="S355" s="703">
        <f>Q44</f>
        <v>1020</v>
      </c>
      <c r="T355" s="704" t="str">
        <f t="shared" ref="T355:V355" si="431">R44</f>
        <v>-</v>
      </c>
      <c r="U355" s="704" t="str">
        <f t="shared" si="431"/>
        <v>-</v>
      </c>
      <c r="V355" s="704">
        <f t="shared" si="431"/>
        <v>0</v>
      </c>
      <c r="W355" s="704">
        <f>U44</f>
        <v>0</v>
      </c>
      <c r="AE355" s="686"/>
    </row>
    <row r="356" spans="1:31" ht="13" x14ac:dyDescent="0.3">
      <c r="A356" s="1549"/>
      <c r="B356" s="703">
        <v>5</v>
      </c>
      <c r="C356" s="703">
        <f>C55</f>
        <v>40</v>
      </c>
      <c r="D356" s="703">
        <f t="shared" ref="D356:F356" si="432">D55</f>
        <v>0.3</v>
      </c>
      <c r="E356" s="703">
        <f t="shared" si="432"/>
        <v>0.7</v>
      </c>
      <c r="F356" s="703">
        <f t="shared" si="432"/>
        <v>-0.1</v>
      </c>
      <c r="G356" s="703">
        <f>G55</f>
        <v>0.39999999999999997</v>
      </c>
      <c r="I356" s="1549"/>
      <c r="J356" s="703">
        <v>5</v>
      </c>
      <c r="K356" s="703">
        <f>J55</f>
        <v>90</v>
      </c>
      <c r="L356" s="703">
        <f t="shared" ref="L356:N356" si="433">K55</f>
        <v>-5.4</v>
      </c>
      <c r="M356" s="703">
        <f t="shared" si="433"/>
        <v>-1.8</v>
      </c>
      <c r="N356" s="703">
        <f t="shared" si="433"/>
        <v>2.7</v>
      </c>
      <c r="O356" s="703">
        <f>N55</f>
        <v>4.0500000000000007</v>
      </c>
      <c r="Q356" s="1553"/>
      <c r="R356" s="703">
        <v>5</v>
      </c>
      <c r="S356" s="703">
        <f>Q55</f>
        <v>1020</v>
      </c>
      <c r="T356" s="704" t="str">
        <f t="shared" ref="T356:V356" si="434">R55</f>
        <v>-</v>
      </c>
      <c r="U356" s="704" t="str">
        <f t="shared" si="434"/>
        <v>-</v>
      </c>
      <c r="V356" s="704">
        <f t="shared" si="434"/>
        <v>0</v>
      </c>
      <c r="W356" s="704">
        <f>U55</f>
        <v>0</v>
      </c>
      <c r="AE356" s="686"/>
    </row>
    <row r="357" spans="1:31" ht="13" x14ac:dyDescent="0.3">
      <c r="A357" s="1549"/>
      <c r="B357" s="703">
        <v>6</v>
      </c>
      <c r="C357" s="703">
        <f>C66</f>
        <v>40</v>
      </c>
      <c r="D357" s="703">
        <f t="shared" ref="D357:F357" si="435">D66</f>
        <v>0.1</v>
      </c>
      <c r="E357" s="703">
        <f t="shared" si="435"/>
        <v>-1.4</v>
      </c>
      <c r="F357" s="703">
        <f t="shared" si="435"/>
        <v>0</v>
      </c>
      <c r="G357" s="703">
        <f>G66</f>
        <v>0.75</v>
      </c>
      <c r="I357" s="1549"/>
      <c r="J357" s="703">
        <v>6</v>
      </c>
      <c r="K357" s="703">
        <f>J66</f>
        <v>90</v>
      </c>
      <c r="L357" s="703">
        <f t="shared" ref="L357:N357" si="436">K66</f>
        <v>-5.2</v>
      </c>
      <c r="M357" s="703">
        <f t="shared" si="436"/>
        <v>0.7</v>
      </c>
      <c r="N357" s="703">
        <f t="shared" si="436"/>
        <v>0</v>
      </c>
      <c r="O357" s="703">
        <f>N66</f>
        <v>2.95</v>
      </c>
      <c r="Q357" s="1553"/>
      <c r="R357" s="703">
        <v>6</v>
      </c>
      <c r="S357" s="703">
        <f>Q66</f>
        <v>1020</v>
      </c>
      <c r="T357" s="704">
        <f t="shared" ref="T357:V357" si="437">R66</f>
        <v>0.9</v>
      </c>
      <c r="U357" s="704">
        <f t="shared" si="437"/>
        <v>9.9999999999999995E-7</v>
      </c>
      <c r="V357" s="704">
        <f t="shared" si="437"/>
        <v>0</v>
      </c>
      <c r="W357" s="704">
        <f>U66</f>
        <v>0.4499995</v>
      </c>
      <c r="AE357" s="686"/>
    </row>
    <row r="358" spans="1:31" ht="13" x14ac:dyDescent="0.3">
      <c r="A358" s="1549"/>
      <c r="B358" s="703">
        <v>7</v>
      </c>
      <c r="C358" s="703">
        <f>C77</f>
        <v>40</v>
      </c>
      <c r="D358" s="703">
        <f t="shared" ref="D358:F358" si="438">D77</f>
        <v>-0.5</v>
      </c>
      <c r="E358" s="703">
        <f t="shared" si="438"/>
        <v>0.1</v>
      </c>
      <c r="F358" s="703">
        <f t="shared" si="438"/>
        <v>-1.7</v>
      </c>
      <c r="G358" s="703">
        <f>G77</f>
        <v>0.9</v>
      </c>
      <c r="I358" s="1549"/>
      <c r="J358" s="703">
        <v>7</v>
      </c>
      <c r="K358" s="703">
        <f>J77</f>
        <v>90</v>
      </c>
      <c r="L358" s="703">
        <f t="shared" ref="L358:N358" si="439">K77</f>
        <v>-1.6</v>
      </c>
      <c r="M358" s="703">
        <f t="shared" si="439"/>
        <v>-3</v>
      </c>
      <c r="N358" s="703">
        <f t="shared" si="439"/>
        <v>1.8</v>
      </c>
      <c r="O358" s="703">
        <f>N77</f>
        <v>2.4</v>
      </c>
      <c r="Q358" s="1553"/>
      <c r="R358" s="703">
        <v>7</v>
      </c>
      <c r="S358" s="703">
        <f>Q77</f>
        <v>1020</v>
      </c>
      <c r="T358" s="704">
        <f t="shared" ref="T358:V358" si="440">R77</f>
        <v>0.3</v>
      </c>
      <c r="U358" s="704">
        <f t="shared" si="440"/>
        <v>-3.8</v>
      </c>
      <c r="V358" s="704">
        <f t="shared" si="440"/>
        <v>9.9999999999999995E-7</v>
      </c>
      <c r="W358" s="704">
        <f>U77</f>
        <v>2.0499999999999998</v>
      </c>
      <c r="AE358" s="686"/>
    </row>
    <row r="359" spans="1:31" ht="13" x14ac:dyDescent="0.3">
      <c r="A359" s="1549"/>
      <c r="B359" s="703">
        <v>8</v>
      </c>
      <c r="C359" s="703">
        <f>C88</f>
        <v>40</v>
      </c>
      <c r="D359" s="703">
        <f t="shared" ref="D359:F359" si="441">D88</f>
        <v>9.9999999999999995E-7</v>
      </c>
      <c r="E359" s="703">
        <f t="shared" si="441"/>
        <v>-0.4</v>
      </c>
      <c r="F359" s="703">
        <f t="shared" si="441"/>
        <v>0</v>
      </c>
      <c r="G359" s="703">
        <f>G88</f>
        <v>0.2000005</v>
      </c>
      <c r="I359" s="1549"/>
      <c r="J359" s="703">
        <v>8</v>
      </c>
      <c r="K359" s="703">
        <f>J88</f>
        <v>90</v>
      </c>
      <c r="L359" s="703">
        <f t="shared" ref="L359:N359" si="442">K88</f>
        <v>-4.9000000000000004</v>
      </c>
      <c r="M359" s="703">
        <f t="shared" si="442"/>
        <v>-1.3</v>
      </c>
      <c r="N359" s="703">
        <f t="shared" si="442"/>
        <v>0</v>
      </c>
      <c r="O359" s="703">
        <f>N88</f>
        <v>1.8000000000000003</v>
      </c>
      <c r="Q359" s="1553"/>
      <c r="R359" s="703">
        <v>8</v>
      </c>
      <c r="S359" s="703">
        <f>Q88</f>
        <v>1020</v>
      </c>
      <c r="T359" s="704">
        <f t="shared" ref="T359:V359" si="443">R88</f>
        <v>-3.4</v>
      </c>
      <c r="U359" s="704">
        <f t="shared" si="443"/>
        <v>9.9999999999999995E-7</v>
      </c>
      <c r="V359" s="704">
        <f t="shared" si="443"/>
        <v>0</v>
      </c>
      <c r="W359" s="704">
        <f>U88</f>
        <v>1.7000005</v>
      </c>
      <c r="AE359" s="686"/>
    </row>
    <row r="360" spans="1:31" ht="13" x14ac:dyDescent="0.3">
      <c r="A360" s="1549"/>
      <c r="B360" s="703">
        <v>9</v>
      </c>
      <c r="C360" s="703">
        <f>C99</f>
        <v>40</v>
      </c>
      <c r="D360" s="703">
        <f t="shared" ref="D360:F360" si="444">D99</f>
        <v>-0.4</v>
      </c>
      <c r="E360" s="703" t="str">
        <f t="shared" si="444"/>
        <v>-</v>
      </c>
      <c r="F360" s="703">
        <f t="shared" si="444"/>
        <v>0</v>
      </c>
      <c r="G360" s="703">
        <f>G99</f>
        <v>0</v>
      </c>
      <c r="I360" s="1549"/>
      <c r="J360" s="703">
        <v>9</v>
      </c>
      <c r="K360" s="703">
        <f>J99</f>
        <v>90</v>
      </c>
      <c r="L360" s="703">
        <f t="shared" ref="L360:N360" si="445">K99</f>
        <v>-0.2</v>
      </c>
      <c r="M360" s="703" t="str">
        <f t="shared" si="445"/>
        <v>-</v>
      </c>
      <c r="N360" s="703">
        <f t="shared" si="445"/>
        <v>0</v>
      </c>
      <c r="O360" s="703">
        <f>N99</f>
        <v>0</v>
      </c>
      <c r="Q360" s="1553"/>
      <c r="R360" s="703">
        <v>9</v>
      </c>
      <c r="S360" s="703">
        <f>Q99</f>
        <v>1020</v>
      </c>
      <c r="T360" s="704">
        <f t="shared" ref="T360:V360" si="446">R99</f>
        <v>9.9999999999999995E-7</v>
      </c>
      <c r="U360" s="704" t="str">
        <f t="shared" si="446"/>
        <v>-</v>
      </c>
      <c r="V360" s="704">
        <f t="shared" si="446"/>
        <v>0</v>
      </c>
      <c r="W360" s="704">
        <f>U99</f>
        <v>0</v>
      </c>
      <c r="AE360" s="686"/>
    </row>
    <row r="361" spans="1:31" ht="13" x14ac:dyDescent="0.3">
      <c r="A361" s="1549"/>
      <c r="B361" s="703">
        <v>10</v>
      </c>
      <c r="C361" s="703">
        <f>C110</f>
        <v>40</v>
      </c>
      <c r="D361" s="703">
        <f t="shared" ref="D361:F361" si="447">D110</f>
        <v>0.2</v>
      </c>
      <c r="E361" s="703">
        <f t="shared" si="447"/>
        <v>9.9999999999999995E-7</v>
      </c>
      <c r="F361" s="703">
        <f t="shared" si="447"/>
        <v>0</v>
      </c>
      <c r="G361" s="703">
        <f>G110</f>
        <v>9.9999500000000005E-2</v>
      </c>
      <c r="I361" s="1549"/>
      <c r="J361" s="703">
        <v>10</v>
      </c>
      <c r="K361" s="703">
        <f>J110</f>
        <v>90</v>
      </c>
      <c r="L361" s="703">
        <f t="shared" ref="L361:N361" si="448">K110</f>
        <v>5.4</v>
      </c>
      <c r="M361" s="703">
        <f t="shared" si="448"/>
        <v>9.9999999999999995E-7</v>
      </c>
      <c r="N361" s="703">
        <f t="shared" si="448"/>
        <v>0</v>
      </c>
      <c r="O361" s="703">
        <f>N110</f>
        <v>2.6999995000000001</v>
      </c>
      <c r="Q361" s="1553"/>
      <c r="R361" s="703">
        <v>10</v>
      </c>
      <c r="S361" s="703">
        <f>Q110</f>
        <v>1020</v>
      </c>
      <c r="T361" s="704" t="str">
        <f t="shared" ref="T361:V361" si="449">R110</f>
        <v>-</v>
      </c>
      <c r="U361" s="704" t="str">
        <f t="shared" si="449"/>
        <v>-</v>
      </c>
      <c r="V361" s="704">
        <f t="shared" si="449"/>
        <v>0</v>
      </c>
      <c r="W361" s="704">
        <f>U110</f>
        <v>0</v>
      </c>
      <c r="AE361" s="686"/>
    </row>
    <row r="362" spans="1:31" ht="13" x14ac:dyDescent="0.3">
      <c r="A362" s="1549"/>
      <c r="B362" s="703">
        <v>11</v>
      </c>
      <c r="C362" s="703">
        <f>C121</f>
        <v>40</v>
      </c>
      <c r="D362" s="703">
        <f t="shared" ref="D362:F362" si="450">D121</f>
        <v>0.5</v>
      </c>
      <c r="E362" s="703">
        <f t="shared" si="450"/>
        <v>9.9999999999999995E-7</v>
      </c>
      <c r="F362" s="703">
        <f t="shared" si="450"/>
        <v>0</v>
      </c>
      <c r="G362" s="703">
        <f>G121</f>
        <v>0.24999950000000001</v>
      </c>
      <c r="I362" s="1549"/>
      <c r="J362" s="703">
        <v>11</v>
      </c>
      <c r="K362" s="703">
        <f>J121</f>
        <v>90</v>
      </c>
      <c r="L362" s="703">
        <f t="shared" ref="L362:N362" si="451">K121</f>
        <v>1.3</v>
      </c>
      <c r="M362" s="703">
        <f t="shared" si="451"/>
        <v>9.9999999999999995E-7</v>
      </c>
      <c r="N362" s="703">
        <f t="shared" si="451"/>
        <v>0</v>
      </c>
      <c r="O362" s="703">
        <f>N121</f>
        <v>0.64999950000000006</v>
      </c>
      <c r="Q362" s="1553"/>
      <c r="R362" s="703">
        <v>11</v>
      </c>
      <c r="S362" s="703">
        <f>Q121</f>
        <v>1020</v>
      </c>
      <c r="T362" s="704" t="str">
        <f t="shared" ref="T362:V362" si="452">R121</f>
        <v>-</v>
      </c>
      <c r="U362" s="704" t="str">
        <f t="shared" si="452"/>
        <v>-</v>
      </c>
      <c r="V362" s="704">
        <f t="shared" si="452"/>
        <v>0</v>
      </c>
      <c r="W362" s="704">
        <f>U121</f>
        <v>0</v>
      </c>
      <c r="AE362" s="686"/>
    </row>
    <row r="363" spans="1:31" ht="13" x14ac:dyDescent="0.3">
      <c r="A363" s="1549"/>
      <c r="B363" s="703">
        <v>12</v>
      </c>
      <c r="C363" s="703">
        <f>C132</f>
        <v>40</v>
      </c>
      <c r="D363" s="703">
        <f t="shared" ref="D363:F363" si="453">D132</f>
        <v>-0.4</v>
      </c>
      <c r="E363" s="703" t="str">
        <f t="shared" si="453"/>
        <v>-</v>
      </c>
      <c r="F363" s="703">
        <f t="shared" si="453"/>
        <v>0</v>
      </c>
      <c r="G363" s="703">
        <f>G132</f>
        <v>0</v>
      </c>
      <c r="I363" s="1549"/>
      <c r="J363" s="703">
        <v>12</v>
      </c>
      <c r="K363" s="703">
        <f>J132</f>
        <v>90</v>
      </c>
      <c r="L363" s="703">
        <f t="shared" ref="L363:N363" si="454">K132</f>
        <v>-0.9</v>
      </c>
      <c r="M363" s="703" t="str">
        <f t="shared" si="454"/>
        <v>-</v>
      </c>
      <c r="N363" s="703">
        <f t="shared" si="454"/>
        <v>0</v>
      </c>
      <c r="O363" s="703">
        <f>N132</f>
        <v>0</v>
      </c>
      <c r="Q363" s="1553"/>
      <c r="R363" s="703">
        <v>12</v>
      </c>
      <c r="S363" s="703">
        <f>Q132</f>
        <v>1020</v>
      </c>
      <c r="T363" s="704">
        <f t="shared" ref="T363:V363" si="455">R132</f>
        <v>9.9999999999999995E-7</v>
      </c>
      <c r="U363" s="704" t="str">
        <f t="shared" si="455"/>
        <v>-</v>
      </c>
      <c r="V363" s="704">
        <f t="shared" si="455"/>
        <v>0</v>
      </c>
      <c r="W363" s="704">
        <f>U132</f>
        <v>0</v>
      </c>
      <c r="AE363" s="686"/>
    </row>
    <row r="364" spans="1:31" ht="13" x14ac:dyDescent="0.3">
      <c r="A364" s="1549"/>
      <c r="B364" s="703">
        <v>13</v>
      </c>
      <c r="C364" s="703">
        <f>C143</f>
        <v>40</v>
      </c>
      <c r="D364" s="703">
        <f t="shared" ref="D364:F364" si="456">D143</f>
        <v>-0.2</v>
      </c>
      <c r="E364" s="703">
        <f t="shared" si="456"/>
        <v>0.5</v>
      </c>
      <c r="F364" s="703" t="str">
        <f t="shared" si="456"/>
        <v>-</v>
      </c>
      <c r="G364" s="703">
        <f>G143</f>
        <v>0</v>
      </c>
      <c r="I364" s="1549"/>
      <c r="J364" s="703">
        <v>13</v>
      </c>
      <c r="K364" s="703">
        <f>J143</f>
        <v>90</v>
      </c>
      <c r="L364" s="703">
        <f t="shared" ref="L364:N364" si="457">K143</f>
        <v>-1</v>
      </c>
      <c r="M364" s="703">
        <f t="shared" si="457"/>
        <v>-3.2</v>
      </c>
      <c r="N364" s="703" t="str">
        <f t="shared" si="457"/>
        <v>-</v>
      </c>
      <c r="O364" s="703">
        <f>N143</f>
        <v>0</v>
      </c>
      <c r="Q364" s="1553"/>
      <c r="R364" s="703">
        <v>13</v>
      </c>
      <c r="S364" s="703">
        <f>Q143</f>
        <v>1010</v>
      </c>
      <c r="T364" s="704">
        <f t="shared" ref="T364:V364" si="458">R143</f>
        <v>3.5</v>
      </c>
      <c r="U364" s="704">
        <f t="shared" si="458"/>
        <v>1.1000000000000001</v>
      </c>
      <c r="V364" s="704" t="str">
        <f t="shared" si="458"/>
        <v>-</v>
      </c>
      <c r="W364" s="704">
        <f>U143</f>
        <v>0</v>
      </c>
      <c r="AE364" s="686"/>
    </row>
    <row r="365" spans="1:31" ht="13" x14ac:dyDescent="0.3">
      <c r="A365" s="1549"/>
      <c r="B365" s="703">
        <v>14</v>
      </c>
      <c r="C365" s="703">
        <f>C154</f>
        <v>40</v>
      </c>
      <c r="D365" s="703">
        <f t="shared" ref="D365:F365" si="459">D154</f>
        <v>-0.8</v>
      </c>
      <c r="E365" s="703">
        <f t="shared" si="459"/>
        <v>-1.1000000000000001</v>
      </c>
      <c r="F365" s="703" t="str">
        <f t="shared" si="459"/>
        <v>-</v>
      </c>
      <c r="G365" s="703">
        <f>G154</f>
        <v>0</v>
      </c>
      <c r="I365" s="1549"/>
      <c r="J365" s="703">
        <v>14</v>
      </c>
      <c r="K365" s="703">
        <f>J154</f>
        <v>90</v>
      </c>
      <c r="L365" s="703">
        <f t="shared" ref="L365:N365" si="460">K154</f>
        <v>1.5</v>
      </c>
      <c r="M365" s="703">
        <f t="shared" si="460"/>
        <v>-0.8</v>
      </c>
      <c r="N365" s="703" t="str">
        <f t="shared" si="460"/>
        <v>-</v>
      </c>
      <c r="O365" s="703">
        <f>N154</f>
        <v>0</v>
      </c>
      <c r="Q365" s="1553"/>
      <c r="R365" s="703">
        <v>14</v>
      </c>
      <c r="S365" s="703">
        <f>Q154</f>
        <v>1010</v>
      </c>
      <c r="T365" s="704">
        <f t="shared" ref="T365:V365" si="461">R154</f>
        <v>3.7</v>
      </c>
      <c r="U365" s="704">
        <f t="shared" si="461"/>
        <v>9.9999999999999995E-7</v>
      </c>
      <c r="V365" s="704" t="str">
        <f t="shared" si="461"/>
        <v>-</v>
      </c>
      <c r="W365" s="704">
        <f>U154</f>
        <v>0</v>
      </c>
      <c r="AE365" s="686"/>
    </row>
    <row r="366" spans="1:31" ht="13" x14ac:dyDescent="0.3">
      <c r="A366" s="1549"/>
      <c r="B366" s="703">
        <v>15</v>
      </c>
      <c r="C366" s="703">
        <f>C165</f>
        <v>40</v>
      </c>
      <c r="D366" s="703">
        <f t="shared" ref="D366:F366" si="462">D165</f>
        <v>1.4</v>
      </c>
      <c r="E366" s="703">
        <f t="shared" si="462"/>
        <v>9.9999999999999995E-7</v>
      </c>
      <c r="F366" s="703" t="str">
        <f t="shared" si="462"/>
        <v>-</v>
      </c>
      <c r="G366" s="703">
        <f>G165</f>
        <v>0</v>
      </c>
      <c r="I366" s="1549"/>
      <c r="J366" s="703">
        <v>15</v>
      </c>
      <c r="K366" s="703">
        <f>J165</f>
        <v>90</v>
      </c>
      <c r="L366" s="703">
        <f t="shared" ref="L366:N366" si="463">K165</f>
        <v>-0.1</v>
      </c>
      <c r="M366" s="703">
        <f t="shared" si="463"/>
        <v>-2</v>
      </c>
      <c r="N366" s="703" t="str">
        <f t="shared" si="463"/>
        <v>-</v>
      </c>
      <c r="O366" s="703">
        <f>N165</f>
        <v>0</v>
      </c>
      <c r="Q366" s="1553"/>
      <c r="R366" s="703">
        <v>15</v>
      </c>
      <c r="S366" s="703">
        <f>Q165</f>
        <v>1010</v>
      </c>
      <c r="T366" s="704">
        <f t="shared" ref="T366:V366" si="464">R165</f>
        <v>3.9</v>
      </c>
      <c r="U366" s="704">
        <f t="shared" si="464"/>
        <v>9.9999999999999995E-7</v>
      </c>
      <c r="V366" s="704" t="str">
        <f t="shared" si="464"/>
        <v>-</v>
      </c>
      <c r="W366" s="704">
        <f>U165</f>
        <v>0</v>
      </c>
      <c r="AE366" s="686"/>
    </row>
    <row r="367" spans="1:31" ht="13" x14ac:dyDescent="0.3">
      <c r="A367" s="1549"/>
      <c r="B367" s="703">
        <v>16</v>
      </c>
      <c r="C367" s="703">
        <f>C176</f>
        <v>40</v>
      </c>
      <c r="D367" s="703">
        <f t="shared" ref="D367:F367" si="465">D176</f>
        <v>0.6</v>
      </c>
      <c r="E367" s="703">
        <f t="shared" si="465"/>
        <v>9.9999999999999995E-7</v>
      </c>
      <c r="F367" s="703">
        <f t="shared" si="465"/>
        <v>0</v>
      </c>
      <c r="G367" s="703">
        <f>G176</f>
        <v>0.29999949999999997</v>
      </c>
      <c r="I367" s="1549"/>
      <c r="J367" s="703">
        <v>16</v>
      </c>
      <c r="K367" s="703">
        <f>J176</f>
        <v>90</v>
      </c>
      <c r="L367" s="703">
        <f t="shared" ref="L367:N367" si="466">K176</f>
        <v>-3.1</v>
      </c>
      <c r="M367" s="703">
        <f t="shared" si="466"/>
        <v>-3</v>
      </c>
      <c r="N367" s="703">
        <f t="shared" si="466"/>
        <v>0</v>
      </c>
      <c r="O367" s="703">
        <f>N176</f>
        <v>5.0000000000000044E-2</v>
      </c>
      <c r="Q367" s="1553"/>
      <c r="R367" s="703">
        <v>16</v>
      </c>
      <c r="S367" s="703">
        <f>Q176</f>
        <v>1010</v>
      </c>
      <c r="T367" s="704">
        <f t="shared" ref="T367:V367" si="467">R176</f>
        <v>4.3</v>
      </c>
      <c r="U367" s="704">
        <f t="shared" si="467"/>
        <v>9.9999999999999995E-7</v>
      </c>
      <c r="V367" s="704">
        <f t="shared" si="467"/>
        <v>0</v>
      </c>
      <c r="W367" s="704">
        <f>U176</f>
        <v>2.1499994999999998</v>
      </c>
      <c r="AE367" s="686"/>
    </row>
    <row r="368" spans="1:31" ht="13" x14ac:dyDescent="0.3">
      <c r="A368" s="1549"/>
      <c r="B368" s="703">
        <v>17</v>
      </c>
      <c r="C368" s="703">
        <f>C187</f>
        <v>40</v>
      </c>
      <c r="D368" s="703">
        <f t="shared" ref="D368:F368" si="468">D187</f>
        <v>0.7</v>
      </c>
      <c r="E368" s="703">
        <f t="shared" si="468"/>
        <v>-0.8</v>
      </c>
      <c r="F368" s="703">
        <f t="shared" si="468"/>
        <v>0</v>
      </c>
      <c r="G368" s="703">
        <f>G187</f>
        <v>0.75</v>
      </c>
      <c r="I368" s="1549"/>
      <c r="J368" s="703">
        <v>17</v>
      </c>
      <c r="K368" s="703">
        <f>J187</f>
        <v>90</v>
      </c>
      <c r="L368" s="703">
        <f t="shared" ref="L368:N368" si="469">K187</f>
        <v>-2.9</v>
      </c>
      <c r="M368" s="703">
        <f t="shared" si="469"/>
        <v>-1.4</v>
      </c>
      <c r="N368" s="703">
        <f t="shared" si="469"/>
        <v>0</v>
      </c>
      <c r="O368" s="703">
        <f>N187</f>
        <v>0.75</v>
      </c>
      <c r="Q368" s="1553"/>
      <c r="R368" s="703">
        <v>17</v>
      </c>
      <c r="S368" s="703">
        <f>Q187</f>
        <v>1020</v>
      </c>
      <c r="T368" s="704">
        <f t="shared" ref="T368:V368" si="470">R187</f>
        <v>4.5</v>
      </c>
      <c r="U368" s="704">
        <f t="shared" si="470"/>
        <v>9.9999999999999995E-7</v>
      </c>
      <c r="V368" s="704">
        <f t="shared" si="470"/>
        <v>0</v>
      </c>
      <c r="W368" s="704">
        <f>U187</f>
        <v>2.2499994999999999</v>
      </c>
      <c r="AE368" s="686"/>
    </row>
    <row r="369" spans="1:36" ht="13" x14ac:dyDescent="0.3">
      <c r="A369" s="1549"/>
      <c r="B369" s="703">
        <v>18</v>
      </c>
      <c r="C369" s="703">
        <f>C198</f>
        <v>40</v>
      </c>
      <c r="D369" s="703">
        <f t="shared" ref="D369:F369" si="471">D198</f>
        <v>0.5</v>
      </c>
      <c r="E369" s="703">
        <f t="shared" si="471"/>
        <v>-0.4</v>
      </c>
      <c r="F369" s="703">
        <f t="shared" si="471"/>
        <v>0</v>
      </c>
      <c r="G369" s="703">
        <f>G198</f>
        <v>0.45</v>
      </c>
      <c r="I369" s="1549"/>
      <c r="J369" s="703">
        <v>18</v>
      </c>
      <c r="K369" s="703">
        <f>J198</f>
        <v>90</v>
      </c>
      <c r="L369" s="703">
        <f t="shared" ref="L369:N369" si="472">K198</f>
        <v>-3</v>
      </c>
      <c r="M369" s="703">
        <f t="shared" si="472"/>
        <v>-0.8</v>
      </c>
      <c r="N369" s="703">
        <f t="shared" si="472"/>
        <v>0</v>
      </c>
      <c r="O369" s="703">
        <f>N198</f>
        <v>1.1000000000000001</v>
      </c>
      <c r="Q369" s="1553"/>
      <c r="R369" s="703">
        <v>18</v>
      </c>
      <c r="S369" s="703">
        <f>Q198</f>
        <v>1010</v>
      </c>
      <c r="T369" s="704">
        <f t="shared" ref="T369:V369" si="473">R198</f>
        <v>4.4000000000000004</v>
      </c>
      <c r="U369" s="704">
        <f t="shared" si="473"/>
        <v>9.9999999999999995E-7</v>
      </c>
      <c r="V369" s="704">
        <f t="shared" si="473"/>
        <v>0</v>
      </c>
      <c r="W369" s="704">
        <f>U198</f>
        <v>2.1999995000000001</v>
      </c>
      <c r="AE369" s="686"/>
    </row>
    <row r="370" spans="1:36" ht="13" x14ac:dyDescent="0.3">
      <c r="A370" s="1549"/>
      <c r="B370" s="703">
        <v>19</v>
      </c>
      <c r="C370" s="703">
        <f>C209</f>
        <v>40</v>
      </c>
      <c r="D370" s="703">
        <f t="shared" ref="D370:F370" si="474">D209</f>
        <v>0.2</v>
      </c>
      <c r="E370" s="703" t="str">
        <f t="shared" si="474"/>
        <v>-</v>
      </c>
      <c r="F370" s="703">
        <f t="shared" si="474"/>
        <v>0</v>
      </c>
      <c r="G370" s="703">
        <f>G209</f>
        <v>0</v>
      </c>
      <c r="I370" s="1549"/>
      <c r="J370" s="703">
        <v>19</v>
      </c>
      <c r="K370" s="703">
        <f>J209</f>
        <v>90</v>
      </c>
      <c r="L370" s="703">
        <f t="shared" ref="L370:N370" si="475">K209</f>
        <v>-0.6</v>
      </c>
      <c r="M370" s="703" t="str">
        <f t="shared" si="475"/>
        <v>-</v>
      </c>
      <c r="N370" s="703">
        <f t="shared" si="475"/>
        <v>0</v>
      </c>
      <c r="O370" s="703">
        <f>N209</f>
        <v>0</v>
      </c>
      <c r="Q370" s="1553"/>
      <c r="R370" s="703">
        <v>19</v>
      </c>
      <c r="S370" s="703">
        <f>Q209</f>
        <v>1020</v>
      </c>
      <c r="T370" s="704">
        <f t="shared" ref="T370:V370" si="476">R209</f>
        <v>2.2999999999999998</v>
      </c>
      <c r="U370" s="704" t="str">
        <f t="shared" si="476"/>
        <v>-</v>
      </c>
      <c r="V370" s="704">
        <f t="shared" si="476"/>
        <v>0</v>
      </c>
      <c r="W370" s="704">
        <f>U209</f>
        <v>0</v>
      </c>
      <c r="AE370" s="686"/>
    </row>
    <row r="371" spans="1:36" ht="13.5" thickBot="1" x14ac:dyDescent="0.35">
      <c r="A371" s="1549"/>
      <c r="B371" s="703">
        <v>20</v>
      </c>
      <c r="C371" s="703">
        <f>C220</f>
        <v>40</v>
      </c>
      <c r="D371" s="703">
        <f t="shared" ref="D371:F371" si="477">D220</f>
        <v>9.9999999999999995E-7</v>
      </c>
      <c r="E371" s="703" t="str">
        <f t="shared" si="477"/>
        <v>-</v>
      </c>
      <c r="F371" s="703">
        <f t="shared" si="477"/>
        <v>9.9999999999999995E-7</v>
      </c>
      <c r="G371" s="703">
        <f>G220</f>
        <v>0</v>
      </c>
      <c r="I371" s="1549"/>
      <c r="J371" s="703">
        <v>20</v>
      </c>
      <c r="K371" s="703">
        <f>J220</f>
        <v>90</v>
      </c>
      <c r="L371" s="703">
        <f t="shared" ref="L371:N371" si="478">K220</f>
        <v>9.9999999999999995E-7</v>
      </c>
      <c r="M371" s="703" t="str">
        <f t="shared" si="478"/>
        <v>-</v>
      </c>
      <c r="N371" s="703">
        <f t="shared" si="478"/>
        <v>0</v>
      </c>
      <c r="O371" s="703">
        <f>N220</f>
        <v>0</v>
      </c>
      <c r="Q371" s="1554"/>
      <c r="R371" s="712">
        <v>20</v>
      </c>
      <c r="S371" s="712">
        <f>Q220</f>
        <v>1020</v>
      </c>
      <c r="T371" s="725" t="str">
        <f t="shared" ref="T371:V371" si="479">R220</f>
        <v>-</v>
      </c>
      <c r="U371" s="725" t="str">
        <f t="shared" si="479"/>
        <v>-</v>
      </c>
      <c r="V371" s="725">
        <f t="shared" si="479"/>
        <v>0</v>
      </c>
      <c r="W371" s="725">
        <f>U220</f>
        <v>0</v>
      </c>
      <c r="AE371" s="715"/>
    </row>
    <row r="372" spans="1:36" ht="13.5" thickBot="1" x14ac:dyDescent="0.35">
      <c r="A372" s="729"/>
      <c r="B372" s="225"/>
      <c r="C372" s="719"/>
      <c r="D372" s="719"/>
      <c r="E372" s="719"/>
      <c r="F372" s="719"/>
      <c r="G372" s="719"/>
      <c r="H372" s="686"/>
      <c r="I372" s="536"/>
      <c r="J372" s="225"/>
      <c r="K372" s="719"/>
      <c r="L372" s="719"/>
      <c r="M372" s="719"/>
      <c r="N372" s="719"/>
      <c r="O372" s="719"/>
      <c r="P372" s="686"/>
    </row>
    <row r="373" spans="1:36" ht="29.25" customHeight="1" x14ac:dyDescent="0.25">
      <c r="A373" s="730">
        <f>A410</f>
        <v>19</v>
      </c>
      <c r="B373" s="1378" t="str">
        <f>A389</f>
        <v>Thermohygrobarometer, Merek : EXTECH, Model : SD700, SN : A.100615</v>
      </c>
      <c r="C373" s="1378"/>
      <c r="D373" s="1378"/>
      <c r="E373" s="1378"/>
      <c r="G373" s="730">
        <f>A373</f>
        <v>19</v>
      </c>
      <c r="H373" s="1378" t="str">
        <f>B373</f>
        <v>Thermohygrobarometer, Merek : EXTECH, Model : SD700, SN : A.100615</v>
      </c>
      <c r="I373" s="1378"/>
      <c r="J373" s="1378"/>
      <c r="K373" s="1378"/>
      <c r="M373" s="730">
        <f>G373</f>
        <v>19</v>
      </c>
      <c r="N373" s="1378" t="str">
        <f>H373</f>
        <v>Thermohygrobarometer, Merek : EXTECH, Model : SD700, SN : A.100615</v>
      </c>
      <c r="O373" s="1378"/>
      <c r="P373" s="1378"/>
      <c r="Q373" s="1378"/>
      <c r="S373" s="730">
        <f>A373</f>
        <v>19</v>
      </c>
      <c r="T373" s="1548" t="str">
        <f>H373</f>
        <v>Thermohygrobarometer, Merek : EXTECH, Model : SD700, SN : A.100615</v>
      </c>
      <c r="U373" s="1548"/>
      <c r="V373" s="1548"/>
      <c r="W373" s="1548"/>
      <c r="Z373" s="731"/>
      <c r="AE373" s="691"/>
    </row>
    <row r="374" spans="1:36" ht="13.5" x14ac:dyDescent="0.3">
      <c r="A374" s="732" t="s">
        <v>435</v>
      </c>
      <c r="B374" s="1385" t="s">
        <v>298</v>
      </c>
      <c r="C374" s="1385"/>
      <c r="D374" s="1385"/>
      <c r="E374" s="1385" t="s">
        <v>294</v>
      </c>
      <c r="G374" s="732" t="s">
        <v>436</v>
      </c>
      <c r="H374" s="1385" t="s">
        <v>298</v>
      </c>
      <c r="I374" s="1385"/>
      <c r="J374" s="1385"/>
      <c r="K374" s="1385" t="s">
        <v>294</v>
      </c>
      <c r="M374" s="732" t="s">
        <v>437</v>
      </c>
      <c r="N374" s="1385" t="s">
        <v>298</v>
      </c>
      <c r="O374" s="1385"/>
      <c r="P374" s="1385"/>
      <c r="Q374" s="1385" t="s">
        <v>294</v>
      </c>
      <c r="S374" s="1543"/>
      <c r="T374" s="1543" t="s">
        <v>325</v>
      </c>
      <c r="U374" s="1543" t="s">
        <v>327</v>
      </c>
      <c r="V374" s="1543" t="s">
        <v>328</v>
      </c>
      <c r="W374" s="1544" t="s">
        <v>389</v>
      </c>
      <c r="Z374" s="719"/>
    </row>
    <row r="375" spans="1:36" ht="14" x14ac:dyDescent="0.3">
      <c r="A375" s="619" t="s">
        <v>460</v>
      </c>
      <c r="B375" s="732">
        <f>VLOOKUP(B373,A390:L409,9,FALSE)</f>
        <v>2021</v>
      </c>
      <c r="C375" s="732" t="str">
        <f>VLOOKUP(B373,A390:L409,10,FALSE)</f>
        <v>-</v>
      </c>
      <c r="D375" s="732">
        <f>VLOOKUP(B373,A390:L409,11,FALSE)</f>
        <v>2016</v>
      </c>
      <c r="E375" s="1385"/>
      <c r="G375" s="733" t="s">
        <v>68</v>
      </c>
      <c r="H375" s="732">
        <f>B375</f>
        <v>2021</v>
      </c>
      <c r="I375" s="732" t="str">
        <f>C375</f>
        <v>-</v>
      </c>
      <c r="J375" s="732">
        <f>D375</f>
        <v>2016</v>
      </c>
      <c r="K375" s="1385"/>
      <c r="M375" s="733" t="s">
        <v>439</v>
      </c>
      <c r="N375" s="732">
        <f>H375</f>
        <v>2021</v>
      </c>
      <c r="O375" s="732" t="str">
        <f>I375</f>
        <v>-</v>
      </c>
      <c r="P375" s="732">
        <f>J375</f>
        <v>2016</v>
      </c>
      <c r="Q375" s="1385"/>
      <c r="S375" s="1543"/>
      <c r="T375" s="1543"/>
      <c r="U375" s="1543"/>
      <c r="V375" s="1543"/>
      <c r="W375" s="1544"/>
      <c r="Z375" s="719"/>
    </row>
    <row r="376" spans="1:36" ht="13" x14ac:dyDescent="0.3">
      <c r="A376" s="8">
        <f>VLOOKUP($A$373,$B$226:$G$245,2,FALSE)</f>
        <v>15</v>
      </c>
      <c r="B376" s="8">
        <f>VLOOKUP($A$373,$B$226:$G$245,3,FALSE)</f>
        <v>9.9999999999999995E-7</v>
      </c>
      <c r="C376" s="8" t="str">
        <f>VLOOKUP($A$373,$B$226:$G$245,4,FALSE)</f>
        <v>-</v>
      </c>
      <c r="D376" s="8">
        <f>VLOOKUP($A$373,$B$226:$G$245,5,FALSE)</f>
        <v>0</v>
      </c>
      <c r="E376" s="8">
        <f>VLOOKUP($A$373,$B$226:$G$245,6,FALSE)</f>
        <v>0</v>
      </c>
      <c r="G376" s="8">
        <f>VLOOKUP($G$373,$J$226:$O$245,2,FALSE)</f>
        <v>30</v>
      </c>
      <c r="H376" s="8">
        <f>VLOOKUP($G$373,$J$226:$O$245,3,FALSE)</f>
        <v>-1.5</v>
      </c>
      <c r="I376" s="8" t="str">
        <f>VLOOKUP($G$373,$J$226:$O$245,4,FALSE)</f>
        <v>-</v>
      </c>
      <c r="J376" s="8">
        <f>VLOOKUP($G$373,$J$226:$O$245,5,FALSE)</f>
        <v>0</v>
      </c>
      <c r="K376" s="8">
        <f>VLOOKUP($G$373,$J$226:$O$245,6,FALSE)</f>
        <v>0</v>
      </c>
      <c r="M376" s="8">
        <f>VLOOKUP($M$373,$R$226:$W$245,2,FALSE)</f>
        <v>750</v>
      </c>
      <c r="N376" s="8">
        <f>VLOOKUP($M$373,$R$226:$W$245,3,FALSE)</f>
        <v>2.5</v>
      </c>
      <c r="O376" s="8" t="str">
        <f>VLOOKUP($M$373,$R$226:$W$245,4,FALSE)</f>
        <v>-</v>
      </c>
      <c r="P376" s="8">
        <f>VLOOKUP($M$373,$R$226:$W$245,5,FALSE)</f>
        <v>0</v>
      </c>
      <c r="Q376" s="8">
        <f>VLOOKUP($M$373,$R$226:$W$245,6,FALSE)</f>
        <v>0</v>
      </c>
      <c r="S376" s="1543"/>
      <c r="T376" s="1543"/>
      <c r="U376" s="1543"/>
      <c r="V376" s="1543"/>
      <c r="W376" s="1544"/>
      <c r="Z376" s="719"/>
    </row>
    <row r="377" spans="1:36" ht="13" x14ac:dyDescent="0.3">
      <c r="A377" s="8">
        <f>VLOOKUP($A$373,$B$247:$G$266,2,FALSE)</f>
        <v>20</v>
      </c>
      <c r="B377" s="8">
        <f>VLOOKUP($A$373,$B$247:$G$266,3,FALSE)</f>
        <v>0.1</v>
      </c>
      <c r="C377" s="8" t="str">
        <f>VLOOKUP($A$373,$B$247:$G$266,4,FALSE)</f>
        <v>-</v>
      </c>
      <c r="D377" s="8">
        <f>VLOOKUP($A$373,$B$247:$G$266,5,FALSE)</f>
        <v>0</v>
      </c>
      <c r="E377" s="8">
        <f>VLOOKUP($A$373,$B$247:$G$266,6,FALSE)</f>
        <v>0</v>
      </c>
      <c r="G377" s="8">
        <f>VLOOKUP($G$373,$J$247:$O$266,2,FALSE)</f>
        <v>40</v>
      </c>
      <c r="H377" s="8">
        <f>VLOOKUP($G$373,$J$247:$O$266,3,FALSE)</f>
        <v>-0.8</v>
      </c>
      <c r="I377" s="8" t="str">
        <f>VLOOKUP($G$373,$J$247:$O$266,4,FALSE)</f>
        <v>-</v>
      </c>
      <c r="J377" s="8">
        <f>VLOOKUP($G$373,$J$247:$O$266,5,FALSE)</f>
        <v>0</v>
      </c>
      <c r="K377" s="8">
        <f>VLOOKUP($G$373,$J$247:$O$266,6,FALSE)</f>
        <v>0</v>
      </c>
      <c r="M377" s="8">
        <f>VLOOKUP($M$373,$R$247:$W$266,2,FALSE)</f>
        <v>800</v>
      </c>
      <c r="N377" s="8">
        <f>VLOOKUP($M$373,$R$247:$W$266,3,FALSE)</f>
        <v>2.5</v>
      </c>
      <c r="O377" s="8" t="str">
        <f>VLOOKUP($M$373,$R$247:$W$266,4,FALSE)</f>
        <v>-</v>
      </c>
      <c r="P377" s="8">
        <f>VLOOKUP($M$373,$R$247:$W$266,5,FALSE)</f>
        <v>0</v>
      </c>
      <c r="Q377" s="8">
        <f>VLOOKUP($M$373,$R$247:$W$266,6,FALSE)</f>
        <v>0</v>
      </c>
      <c r="S377" s="445" t="s">
        <v>435</v>
      </c>
      <c r="T377" s="734">
        <f>AVERAGE(ID!E18:F18)</f>
        <v>20.55</v>
      </c>
      <c r="U377" s="445">
        <f>T377+S386</f>
        <v>20.595392997225307</v>
      </c>
      <c r="V377" s="734">
        <f>STDEV(ID!E18:F18)</f>
        <v>7.0710678118655765E-2</v>
      </c>
      <c r="W377" s="735">
        <f>VLOOKUP(S373,Y225:Z244,2,(FALSE))</f>
        <v>0.1</v>
      </c>
      <c r="Z377" s="719"/>
    </row>
    <row r="378" spans="1:36" ht="13" x14ac:dyDescent="0.3">
      <c r="A378" s="8">
        <f>VLOOKUP($A$373,$B$268:$G$287,2,FALSE)</f>
        <v>25</v>
      </c>
      <c r="B378" s="8">
        <f>VLOOKUP($A$373,$B$268:$G$287,3,FALSE)</f>
        <v>0.2</v>
      </c>
      <c r="C378" s="8">
        <f>VLOOKUP($A$373,$B$268:$G$287,4,FALSE)</f>
        <v>-0.2</v>
      </c>
      <c r="D378" s="8">
        <f>VLOOKUP($A$373,$B$268:$G$287,5,FALSE)</f>
        <v>0</v>
      </c>
      <c r="E378" s="8">
        <f>VLOOKUP($A$373,$B$268:$G$287,6,FALSE)</f>
        <v>0.2</v>
      </c>
      <c r="G378" s="8">
        <f>VLOOKUP($G$373,$J$268:$O$287,2,FALSE)</f>
        <v>50</v>
      </c>
      <c r="H378" s="8">
        <f>VLOOKUP($G$373,$J$268:$O$287,3,FALSE)</f>
        <v>-0.2</v>
      </c>
      <c r="I378" s="8" t="str">
        <f>VLOOKUP($G$373,$J$268:$O$287,4,FALSE)</f>
        <v>-</v>
      </c>
      <c r="J378" s="8">
        <f>VLOOKUP($G$373,$J$268:$O$287,5,FALSE)</f>
        <v>0</v>
      </c>
      <c r="K378" s="8">
        <f>VLOOKUP($G$373,$J$268:$O$287,6,FALSE)</f>
        <v>0</v>
      </c>
      <c r="M378" s="8">
        <f>VLOOKUP($M$373,$R$268:$W$287,2,FALSE)</f>
        <v>850</v>
      </c>
      <c r="N378" s="8">
        <f>VLOOKUP($M$373,$R$268:$W$287,3,FALSE)</f>
        <v>2.4</v>
      </c>
      <c r="O378" s="8" t="str">
        <f>VLOOKUP($M$373,$R$268:$W$287,4,FALSE)</f>
        <v>-</v>
      </c>
      <c r="P378" s="8">
        <f>VLOOKUP($M$373,$R$268:$W$287,5,FALSE)</f>
        <v>0</v>
      </c>
      <c r="Q378" s="8">
        <f>VLOOKUP($M$373,$R$268:$W$287,6,FALSE)</f>
        <v>0</v>
      </c>
      <c r="S378" s="445" t="s">
        <v>68</v>
      </c>
      <c r="T378" s="734">
        <f>AVERAGE(ID!E19:F19)</f>
        <v>67</v>
      </c>
      <c r="U378" s="445">
        <f>T378+T386</f>
        <v>66.435714285714283</v>
      </c>
      <c r="V378" s="734">
        <f>STDEV(ID!E19:F19)</f>
        <v>0.28284271247462306</v>
      </c>
      <c r="W378" s="735">
        <f>VLOOKUP(S373,Y249:Z268,2,(FALSE))</f>
        <v>1.5</v>
      </c>
      <c r="Z378" s="719"/>
    </row>
    <row r="379" spans="1:36" ht="13" x14ac:dyDescent="0.3">
      <c r="A379" s="8">
        <f>VLOOKUP($A$373,$B$289:$G$308,2,FALSE)</f>
        <v>30</v>
      </c>
      <c r="B379" s="8">
        <f>VLOOKUP($A$373,$B$289:$G$308,3,FALSE)</f>
        <v>-0.1</v>
      </c>
      <c r="C379" s="8" t="str">
        <f>VLOOKUP($A$373,$B$289:$G$308,4,FALSE)</f>
        <v>-</v>
      </c>
      <c r="D379" s="8">
        <f>VLOOKUP($A$373,$B$289:$G$308,5,FALSE)</f>
        <v>0</v>
      </c>
      <c r="E379" s="8">
        <f>VLOOKUP($A$373,$B$289:$G$308,6,FALSE)</f>
        <v>0</v>
      </c>
      <c r="G379" s="8">
        <f>VLOOKUP($G$373,$J$289:$O$308,2,FALSE)</f>
        <v>60</v>
      </c>
      <c r="H379" s="8">
        <f>VLOOKUP($G$373,$J$289:$O$308,3,FALSE)</f>
        <v>0.4</v>
      </c>
      <c r="I379" s="8" t="str">
        <f>VLOOKUP($G$373,$J$289:$O$308,4,FALSE)</f>
        <v>-</v>
      </c>
      <c r="J379" s="8">
        <f>VLOOKUP($G$373,$J$289:$O$308,5,FALSE)</f>
        <v>0</v>
      </c>
      <c r="K379" s="8">
        <f>VLOOKUP($G$373,$J$289:$O$308,6,FALSE)</f>
        <v>0</v>
      </c>
      <c r="M379" s="8">
        <f>VLOOKUP($M$373,$R$289:$W$308,2,FALSE)</f>
        <v>900</v>
      </c>
      <c r="N379" s="8">
        <f>VLOOKUP($M$373,$R$289:$W$308,3,FALSE)</f>
        <v>2.2999999999999998</v>
      </c>
      <c r="O379" s="8" t="str">
        <f>VLOOKUP($M$373,$R$289:$W$308,4,FALSE)</f>
        <v>-</v>
      </c>
      <c r="P379" s="8">
        <f>VLOOKUP($M$373,$R$289:$W$308,5,FALSE)</f>
        <v>0</v>
      </c>
      <c r="Q379" s="8">
        <f>VLOOKUP($M$373,$R$289:$W$308,6,FALSE)</f>
        <v>0</v>
      </c>
      <c r="S379" s="593" t="s">
        <v>439</v>
      </c>
      <c r="T379" s="226">
        <v>1000</v>
      </c>
      <c r="U379" s="545">
        <f>T379+U386</f>
        <v>1002.2378795572256</v>
      </c>
      <c r="V379" s="226"/>
      <c r="W379" s="735">
        <f>VLOOKUP(S373,Y273:Z292,2,(FALSE))</f>
        <v>0.4</v>
      </c>
      <c r="Z379" s="719"/>
      <c r="AE379" s="736"/>
    </row>
    <row r="380" spans="1:36" ht="13.5" thickBot="1" x14ac:dyDescent="0.35">
      <c r="A380" s="8">
        <f>VLOOKUP($A$373,$B$310:$G$329,2,FALSE)</f>
        <v>35</v>
      </c>
      <c r="B380" s="8">
        <f>VLOOKUP($A$373,$B$310:$G$329,3,FALSE)</f>
        <v>-0.1</v>
      </c>
      <c r="C380" s="8" t="str">
        <f>VLOOKUP($A$373,$B$310:$G$329,4,FALSE)</f>
        <v>-</v>
      </c>
      <c r="D380" s="8">
        <f>VLOOKUP($A$373,$B$310:$G$329,5,FALSE)</f>
        <v>0</v>
      </c>
      <c r="E380" s="8">
        <f>VLOOKUP($A$373,$B$310:$G$329,6,FALSE)</f>
        <v>0</v>
      </c>
      <c r="G380" s="8">
        <f>VLOOKUP($G$373,$J$310:$O$329,2,FALSE)</f>
        <v>70</v>
      </c>
      <c r="H380" s="8">
        <f>VLOOKUP($G$373,$J$310:$O$329,3,FALSE)</f>
        <v>-0.7</v>
      </c>
      <c r="I380" s="8" t="str">
        <f>VLOOKUP($G$373,$J$310:$O$329,4,FALSE)</f>
        <v>-</v>
      </c>
      <c r="J380" s="8">
        <f>VLOOKUP($G$373,$J$310:$O$329,5,FALSE)</f>
        <v>0</v>
      </c>
      <c r="K380" s="8">
        <f>VLOOKUP($G$373,$J$310:$O$329,6,FALSE)</f>
        <v>0</v>
      </c>
      <c r="M380" s="8">
        <f>VLOOKUP($M$373,$R$310:$W$329,2,FALSE)</f>
        <v>1000</v>
      </c>
      <c r="N380" s="8">
        <f>VLOOKUP($M$373,$R$310:$W$329,3,FALSE)</f>
        <v>2.2000000000000002</v>
      </c>
      <c r="O380" s="8" t="str">
        <f>VLOOKUP($M$373,$R$310:$W$329,4,FALSE)</f>
        <v>-</v>
      </c>
      <c r="P380" s="8">
        <f>VLOOKUP($M$373,$R$310:$W$329,5,FALSE)</f>
        <v>0</v>
      </c>
      <c r="Q380" s="8">
        <f>VLOOKUP($M$373,$R$310:$W$329,6,FALSE)</f>
        <v>0</v>
      </c>
      <c r="Z380" s="719"/>
      <c r="AE380" s="737"/>
    </row>
    <row r="381" spans="1:36" ht="14" x14ac:dyDescent="0.3">
      <c r="A381" s="8">
        <f>VLOOKUP($A$373,$B$331:$G$350,2,FALSE)</f>
        <v>37</v>
      </c>
      <c r="B381" s="8">
        <f>VLOOKUP($A$373,$B$331:$G$350,3,FALSE)</f>
        <v>9.9999999999999995E-7</v>
      </c>
      <c r="C381" s="8" t="str">
        <f>VLOOKUP($A$373,$B$331:$G$350,4,FALSE)</f>
        <v>-</v>
      </c>
      <c r="D381" s="8">
        <f>VLOOKUP($A$373,$B$331:$G$350,5,FALSE)</f>
        <v>0</v>
      </c>
      <c r="E381" s="8">
        <f>VLOOKUP($A$373,$B$331:$G$350,6,FALSE)</f>
        <v>0</v>
      </c>
      <c r="G381" s="8">
        <f>VLOOKUP($G$373,$J$331:$O$350,2,FALSE)</f>
        <v>80</v>
      </c>
      <c r="H381" s="8">
        <f>VLOOKUP($G$373,$J$331:$O$350,3,FALSE)</f>
        <v>-0.9</v>
      </c>
      <c r="I381" s="8" t="str">
        <f>VLOOKUP($G$373,$J$331:$O$350,4,FALSE)</f>
        <v>-</v>
      </c>
      <c r="J381" s="8">
        <f>VLOOKUP($G$373,$J$331:$O$350,5,FALSE)</f>
        <v>0</v>
      </c>
      <c r="K381" s="8">
        <f>VLOOKUP($G$373,$J$331:$O$350,6,FALSE)</f>
        <v>0</v>
      </c>
      <c r="M381" s="8">
        <f>VLOOKUP($M$373,$R$331:$W$350,2,FALSE)</f>
        <v>1005</v>
      </c>
      <c r="N381" s="8">
        <f>VLOOKUP($M$373,$R$331:$W$350,3,FALSE)</f>
        <v>2.2000000000000002</v>
      </c>
      <c r="O381" s="8" t="str">
        <f>VLOOKUP($M$373,$R$331:$W$350,4,FALSE)</f>
        <v>-</v>
      </c>
      <c r="P381" s="8">
        <f>VLOOKUP($M$373,$R$331:$W$350,5,FALSE)</f>
        <v>0</v>
      </c>
      <c r="Q381" s="8">
        <f>VLOOKUP($M$373,$R$331:$W$350,6,FALSE)</f>
        <v>0</v>
      </c>
      <c r="S381" s="1545" t="s">
        <v>461</v>
      </c>
      <c r="T381" s="738" t="str">
        <f>N393&amp;N390&amp;O393&amp;O390&amp;P393&amp;P390</f>
        <v>( 20.6 ± 0.1 ) °C</v>
      </c>
      <c r="U381" s="960"/>
      <c r="Z381" s="719"/>
      <c r="AE381" s="739"/>
    </row>
    <row r="382" spans="1:36" ht="14" x14ac:dyDescent="0.3">
      <c r="A382" s="8">
        <f>VLOOKUP($A$373,$B$352:$G$371,2,FALSE)</f>
        <v>40</v>
      </c>
      <c r="B382" s="8">
        <f>VLOOKUP($A$373,$B$352:$G$371,3,FALSE)</f>
        <v>0.2</v>
      </c>
      <c r="C382" s="8" t="str">
        <f>VLOOKUP($A$373,$B$352:$G$371,4,FALSE)</f>
        <v>-</v>
      </c>
      <c r="D382" s="8">
        <f>VLOOKUP($A$373,$B$352:$G$371,5,FALSE)</f>
        <v>0</v>
      </c>
      <c r="E382" s="8">
        <f>VLOOKUP($A$373,$B$352:$G$371,6,FALSE)</f>
        <v>0</v>
      </c>
      <c r="G382" s="8">
        <f>VLOOKUP($G$373,$J$352:$O$371,2,FALSE)</f>
        <v>90</v>
      </c>
      <c r="H382" s="8">
        <f>VLOOKUP($G$373,$J$352:$O$371,3,FALSE)</f>
        <v>-0.6</v>
      </c>
      <c r="I382" s="8" t="str">
        <f>VLOOKUP($G$373,$J$352:$O$371,4,FALSE)</f>
        <v>-</v>
      </c>
      <c r="J382" s="8">
        <f>VLOOKUP($G$373,$J$352:$O$371,5,FALSE)</f>
        <v>0</v>
      </c>
      <c r="K382" s="8">
        <f>VLOOKUP($G$373,$J$352:$O$371,6,FALSE)</f>
        <v>0</v>
      </c>
      <c r="M382" s="8">
        <f>VLOOKUP($M$373,$R$352:$W$371,2,FALSE)</f>
        <v>1020</v>
      </c>
      <c r="N382" s="8">
        <f>VLOOKUP($M$373,$R$352:$W$371,3,FALSE)</f>
        <v>2.2999999999999998</v>
      </c>
      <c r="O382" s="8" t="str">
        <f>VLOOKUP($M$373,$R$352:$W$371,4,FALSE)</f>
        <v>-</v>
      </c>
      <c r="P382" s="8">
        <f>VLOOKUP($M$373,$R$352:$W$371,5,FALSE)</f>
        <v>0</v>
      </c>
      <c r="Q382" s="8">
        <f>VLOOKUP($M$373,$R$352:$W$371,6,FALSE)</f>
        <v>0</v>
      </c>
      <c r="S382" s="1546"/>
      <c r="T382" s="679" t="str">
        <f>N393&amp;N391&amp;O393&amp;O391&amp;P393&amp;P391</f>
        <v>( 66.4 ± 1.5 ) %RH</v>
      </c>
      <c r="U382" s="961"/>
      <c r="Z382" s="719"/>
      <c r="AE382" s="739"/>
    </row>
    <row r="383" spans="1:36" ht="14.5" thickBot="1" x14ac:dyDescent="0.35">
      <c r="A383" s="740"/>
      <c r="B383" s="719"/>
      <c r="C383" s="719"/>
      <c r="D383" s="719"/>
      <c r="E383" s="719"/>
      <c r="G383" s="719"/>
      <c r="H383" s="719"/>
      <c r="I383" s="719"/>
      <c r="J383" s="719"/>
      <c r="M383" s="719"/>
      <c r="N383" s="719"/>
      <c r="O383" s="719"/>
      <c r="P383" s="719"/>
      <c r="S383" s="1547"/>
      <c r="T383" s="741" t="str">
        <f>N393&amp;N392&amp;O393&amp;O392&amp;P393&amp;P392</f>
        <v>( 1002.2 ± 0.4 ) hPa</v>
      </c>
      <c r="U383" s="962"/>
      <c r="Z383" s="719"/>
      <c r="AE383" s="739"/>
    </row>
    <row r="384" spans="1:36" ht="14" x14ac:dyDescent="0.3">
      <c r="D384" s="742"/>
      <c r="E384" s="743"/>
      <c r="G384" s="742"/>
      <c r="H384" s="742"/>
      <c r="I384" s="742"/>
      <c r="J384" s="742"/>
      <c r="M384" s="742"/>
      <c r="N384" s="742"/>
      <c r="O384" s="742"/>
      <c r="P384" s="742"/>
      <c r="Z384" s="719"/>
      <c r="AE384" s="739"/>
      <c r="AF384" s="744"/>
      <c r="AJ384" s="584"/>
    </row>
    <row r="385" spans="1:36" ht="31.5" x14ac:dyDescent="0.3">
      <c r="D385" s="233"/>
      <c r="E385" s="745"/>
      <c r="G385" s="4"/>
      <c r="H385" s="233"/>
      <c r="I385" s="233"/>
      <c r="J385" s="233"/>
      <c r="M385" s="4"/>
      <c r="N385" s="233"/>
      <c r="O385" s="233"/>
      <c r="P385" s="233"/>
      <c r="S385" s="616" t="s">
        <v>462</v>
      </c>
      <c r="T385" s="616" t="s">
        <v>463</v>
      </c>
      <c r="U385" s="616" t="s">
        <v>464</v>
      </c>
      <c r="Z385" s="719"/>
      <c r="AE385" s="719"/>
      <c r="AJ385" s="584"/>
    </row>
    <row r="386" spans="1:36" ht="13.5" x14ac:dyDescent="0.3">
      <c r="A386" s="4"/>
      <c r="B386" s="233"/>
      <c r="C386" s="233"/>
      <c r="D386" s="233"/>
      <c r="E386" s="745"/>
      <c r="G386" s="4"/>
      <c r="H386" s="233"/>
      <c r="I386" s="233"/>
      <c r="J386" s="233"/>
      <c r="M386" s="4"/>
      <c r="N386" s="233"/>
      <c r="O386" s="233"/>
      <c r="P386" s="233"/>
      <c r="S386" s="746">
        <f>FORECAST(T377,B376:B382,A376:A382)</f>
        <v>4.5392997225305216E-2</v>
      </c>
      <c r="T386" s="747">
        <f>FORECAST(T378,H376:H382,G376:G382)</f>
        <v>-0.56428571428571417</v>
      </c>
      <c r="U386" s="747">
        <f>FORECAST(T379,N376:N382,M376:M382)</f>
        <v>2.2378795572255505</v>
      </c>
      <c r="Z386" s="719"/>
      <c r="AE386" s="719"/>
      <c r="AJ386" s="584"/>
    </row>
    <row r="387" spans="1:36" ht="13.5" thickBot="1" x14ac:dyDescent="0.35">
      <c r="A387" s="4"/>
      <c r="B387" s="233"/>
      <c r="C387" s="233"/>
      <c r="D387" s="233"/>
      <c r="E387" s="748"/>
      <c r="G387" s="4"/>
      <c r="H387" s="233"/>
      <c r="I387" s="233"/>
      <c r="J387" s="233"/>
      <c r="M387" s="4"/>
      <c r="N387" s="233"/>
      <c r="O387" s="233"/>
      <c r="P387" s="233"/>
      <c r="Z387" s="749"/>
      <c r="AE387" s="749"/>
      <c r="AF387" s="750"/>
      <c r="AG387" s="751"/>
      <c r="AH387" s="751"/>
      <c r="AI387" s="751"/>
      <c r="AJ387" s="752"/>
    </row>
    <row r="388" spans="1:36" ht="13" thickBot="1" x14ac:dyDescent="0.3"/>
    <row r="389" spans="1:36" ht="13" x14ac:dyDescent="0.25">
      <c r="A389" s="1541" t="str">
        <f>ID!B58</f>
        <v>Thermohygrobarometer, Merek : EXTECH, Model : SD700, SN : A.100615</v>
      </c>
      <c r="B389" s="1541"/>
      <c r="C389" s="1541"/>
      <c r="D389" s="1541"/>
      <c r="E389" s="1541"/>
      <c r="F389" s="1541"/>
      <c r="G389" s="1541"/>
      <c r="H389" s="1541"/>
      <c r="I389" s="1541"/>
      <c r="J389" s="1541"/>
      <c r="K389" s="1541"/>
      <c r="L389" s="1541"/>
      <c r="N389" s="1253" t="s">
        <v>276</v>
      </c>
      <c r="O389" s="1254"/>
      <c r="P389" s="1255"/>
    </row>
    <row r="390" spans="1:36" ht="15.5" x14ac:dyDescent="0.25">
      <c r="A390" s="753" t="s">
        <v>465</v>
      </c>
      <c r="B390" s="703"/>
      <c r="C390" s="703"/>
      <c r="D390" s="753"/>
      <c r="E390" s="753"/>
      <c r="F390" s="753"/>
      <c r="G390" s="753"/>
      <c r="H390" s="753"/>
      <c r="I390" s="703">
        <f>D4</f>
        <v>2020</v>
      </c>
      <c r="J390" s="703">
        <f t="shared" ref="J390:K390" si="480">E4</f>
        <v>2017</v>
      </c>
      <c r="K390" s="703">
        <f t="shared" si="480"/>
        <v>2016</v>
      </c>
      <c r="L390" s="703">
        <v>1</v>
      </c>
      <c r="N390" s="638" t="str">
        <f>TEXT(U377,"0.0")</f>
        <v>20.6</v>
      </c>
      <c r="O390" s="624" t="str">
        <f>TEXT(W377,"0.0")</f>
        <v>0.1</v>
      </c>
      <c r="P390" s="639" t="s">
        <v>277</v>
      </c>
    </row>
    <row r="391" spans="1:36" ht="15.5" x14ac:dyDescent="0.25">
      <c r="A391" s="753" t="s">
        <v>466</v>
      </c>
      <c r="B391" s="703"/>
      <c r="C391" s="703"/>
      <c r="D391" s="753"/>
      <c r="E391" s="753"/>
      <c r="F391" s="753"/>
      <c r="G391" s="753"/>
      <c r="H391" s="753"/>
      <c r="I391" s="703">
        <f>D15</f>
        <v>2023</v>
      </c>
      <c r="J391" s="703">
        <f t="shared" ref="J391:K391" si="481">E15</f>
        <v>2021</v>
      </c>
      <c r="K391" s="703">
        <f t="shared" si="481"/>
        <v>2018</v>
      </c>
      <c r="L391" s="703">
        <v>2</v>
      </c>
      <c r="N391" s="638" t="str">
        <f>TEXT(U378,"0.0")</f>
        <v>66.4</v>
      </c>
      <c r="O391" s="624" t="str">
        <f>TEXT(W378,"0.0")</f>
        <v>1.5</v>
      </c>
      <c r="P391" s="639" t="s">
        <v>279</v>
      </c>
    </row>
    <row r="392" spans="1:36" ht="15.5" x14ac:dyDescent="0.25">
      <c r="A392" s="753" t="s">
        <v>467</v>
      </c>
      <c r="B392" s="703"/>
      <c r="C392" s="703"/>
      <c r="D392" s="753"/>
      <c r="E392" s="753"/>
      <c r="F392" s="753"/>
      <c r="G392" s="753"/>
      <c r="H392" s="753"/>
      <c r="I392" s="703">
        <f>D26</f>
        <v>2023</v>
      </c>
      <c r="J392" s="703">
        <f t="shared" ref="J392:K392" si="482">E26</f>
        <v>2021</v>
      </c>
      <c r="K392" s="703">
        <f t="shared" si="482"/>
        <v>2018</v>
      </c>
      <c r="L392" s="703">
        <v>3</v>
      </c>
      <c r="N392" s="638" t="str">
        <f>TEXT(U379,"0.0")</f>
        <v>1002.2</v>
      </c>
      <c r="O392" s="624" t="str">
        <f>TEXT(W379,"0.0")</f>
        <v>0.4</v>
      </c>
      <c r="P392" s="754" t="s">
        <v>468</v>
      </c>
    </row>
    <row r="393" spans="1:36" ht="16" thickBot="1" x14ac:dyDescent="0.35">
      <c r="A393" s="753" t="s">
        <v>469</v>
      </c>
      <c r="B393" s="703"/>
      <c r="C393" s="703"/>
      <c r="D393" s="753"/>
      <c r="E393" s="753"/>
      <c r="F393" s="753"/>
      <c r="G393" s="753"/>
      <c r="H393" s="753"/>
      <c r="I393" s="703">
        <f>D37</f>
        <v>2019</v>
      </c>
      <c r="J393" s="703">
        <f t="shared" ref="J393:K393" si="483">E37</f>
        <v>2017</v>
      </c>
      <c r="K393" s="703">
        <f t="shared" si="483"/>
        <v>2016</v>
      </c>
      <c r="L393" s="703">
        <v>4</v>
      </c>
      <c r="N393" s="643" t="s">
        <v>280</v>
      </c>
      <c r="O393" s="644" t="s">
        <v>281</v>
      </c>
      <c r="P393" s="645" t="s">
        <v>282</v>
      </c>
    </row>
    <row r="394" spans="1:36" ht="13" x14ac:dyDescent="0.25">
      <c r="A394" s="753" t="s">
        <v>470</v>
      </c>
      <c r="B394" s="703"/>
      <c r="C394" s="703"/>
      <c r="D394" s="753"/>
      <c r="E394" s="753"/>
      <c r="F394" s="753"/>
      <c r="G394" s="753"/>
      <c r="H394" s="753"/>
      <c r="I394" s="703">
        <f>D48</f>
        <v>2023</v>
      </c>
      <c r="J394" s="703">
        <f t="shared" ref="J394:K394" si="484">E48</f>
        <v>2020</v>
      </c>
      <c r="K394" s="703">
        <f t="shared" si="484"/>
        <v>2017</v>
      </c>
      <c r="L394" s="703">
        <v>5</v>
      </c>
    </row>
    <row r="395" spans="1:36" ht="13" x14ac:dyDescent="0.25">
      <c r="A395" s="753" t="s">
        <v>471</v>
      </c>
      <c r="B395" s="703"/>
      <c r="C395" s="703"/>
      <c r="D395" s="753"/>
      <c r="E395" s="753"/>
      <c r="F395" s="753"/>
      <c r="G395" s="753"/>
      <c r="H395" s="753"/>
      <c r="I395" s="703">
        <f>D59</f>
        <v>2019</v>
      </c>
      <c r="J395" s="703">
        <f t="shared" ref="J395:K395" si="485">E59</f>
        <v>2018</v>
      </c>
      <c r="K395" s="703">
        <f t="shared" si="485"/>
        <v>2016</v>
      </c>
      <c r="L395" s="703">
        <v>6</v>
      </c>
    </row>
    <row r="396" spans="1:36" ht="13" x14ac:dyDescent="0.25">
      <c r="A396" s="753" t="s">
        <v>472</v>
      </c>
      <c r="B396" s="703"/>
      <c r="C396" s="703"/>
      <c r="D396" s="753"/>
      <c r="E396" s="753"/>
      <c r="F396" s="753"/>
      <c r="G396" s="753"/>
      <c r="H396" s="753"/>
      <c r="I396" s="703">
        <f>D70</f>
        <v>2023</v>
      </c>
      <c r="J396" s="703">
        <f t="shared" ref="J396:K396" si="486">E70</f>
        <v>2021</v>
      </c>
      <c r="K396" s="703">
        <f t="shared" si="486"/>
        <v>2018</v>
      </c>
      <c r="L396" s="703">
        <v>7</v>
      </c>
    </row>
    <row r="397" spans="1:36" ht="13" x14ac:dyDescent="0.25">
      <c r="A397" s="753" t="s">
        <v>473</v>
      </c>
      <c r="B397" s="703"/>
      <c r="C397" s="703"/>
      <c r="D397" s="753"/>
      <c r="E397" s="753"/>
      <c r="F397" s="753"/>
      <c r="G397" s="753"/>
      <c r="H397" s="753"/>
      <c r="I397" s="703">
        <f>D81</f>
        <v>2021</v>
      </c>
      <c r="J397" s="703">
        <f t="shared" ref="J397:K397" si="487">E81</f>
        <v>2019</v>
      </c>
      <c r="K397" s="703">
        <f t="shared" si="487"/>
        <v>2016</v>
      </c>
      <c r="L397" s="703">
        <v>8</v>
      </c>
    </row>
    <row r="398" spans="1:36" ht="13" x14ac:dyDescent="0.25">
      <c r="A398" s="753" t="s">
        <v>474</v>
      </c>
      <c r="B398" s="703"/>
      <c r="C398" s="703"/>
      <c r="D398" s="753"/>
      <c r="E398" s="753"/>
      <c r="F398" s="753"/>
      <c r="G398" s="753"/>
      <c r="H398" s="753"/>
      <c r="I398" s="703">
        <f>D92</f>
        <v>2019</v>
      </c>
      <c r="J398" s="703" t="str">
        <f t="shared" ref="J398:K398" si="488">E92</f>
        <v>-</v>
      </c>
      <c r="K398" s="703">
        <f t="shared" si="488"/>
        <v>2016</v>
      </c>
      <c r="L398" s="703">
        <v>9</v>
      </c>
    </row>
    <row r="399" spans="1:36" ht="13" x14ac:dyDescent="0.25">
      <c r="A399" s="753" t="s">
        <v>475</v>
      </c>
      <c r="B399" s="703"/>
      <c r="C399" s="703"/>
      <c r="D399" s="753"/>
      <c r="E399" s="753"/>
      <c r="F399" s="753"/>
      <c r="G399" s="753"/>
      <c r="H399" s="753"/>
      <c r="I399" s="703">
        <f>D103</f>
        <v>2019</v>
      </c>
      <c r="J399" s="703">
        <f t="shared" ref="J399:K399" si="489">E103</f>
        <v>2016</v>
      </c>
      <c r="K399" s="703">
        <f t="shared" si="489"/>
        <v>2016</v>
      </c>
      <c r="L399" s="703">
        <v>10</v>
      </c>
    </row>
    <row r="400" spans="1:36" ht="13" x14ac:dyDescent="0.25">
      <c r="A400" s="753" t="s">
        <v>476</v>
      </c>
      <c r="B400" s="703"/>
      <c r="C400" s="703"/>
      <c r="D400" s="753"/>
      <c r="E400" s="753"/>
      <c r="F400" s="753"/>
      <c r="G400" s="753"/>
      <c r="H400" s="753"/>
      <c r="I400" s="703">
        <f>D114</f>
        <v>2020</v>
      </c>
      <c r="J400" s="703">
        <f t="shared" ref="J400:K400" si="490">E114</f>
        <v>2016</v>
      </c>
      <c r="K400" s="703">
        <f t="shared" si="490"/>
        <v>2016</v>
      </c>
      <c r="L400" s="703">
        <v>11</v>
      </c>
    </row>
    <row r="401" spans="1:12" ht="13" x14ac:dyDescent="0.25">
      <c r="A401" s="753" t="s">
        <v>477</v>
      </c>
      <c r="B401" s="703"/>
      <c r="C401" s="703"/>
      <c r="D401" s="753"/>
      <c r="E401" s="753"/>
      <c r="F401" s="753"/>
      <c r="G401" s="753"/>
      <c r="H401" s="753"/>
      <c r="I401" s="703">
        <f>D125</f>
        <v>2020</v>
      </c>
      <c r="J401" s="703" t="str">
        <f t="shared" ref="J401:K401" si="491">E125</f>
        <v>-</v>
      </c>
      <c r="K401" s="703">
        <f t="shared" si="491"/>
        <v>2016</v>
      </c>
      <c r="L401" s="703">
        <v>12</v>
      </c>
    </row>
    <row r="402" spans="1:12" ht="13" x14ac:dyDescent="0.25">
      <c r="A402" s="753" t="s">
        <v>478</v>
      </c>
      <c r="B402" s="703"/>
      <c r="C402" s="703"/>
      <c r="D402" s="753"/>
      <c r="E402" s="753"/>
      <c r="F402" s="753"/>
      <c r="G402" s="753"/>
      <c r="H402" s="753"/>
      <c r="I402" s="703">
        <f>D136</f>
        <v>2022</v>
      </c>
      <c r="J402" s="703">
        <f t="shared" ref="J402:K402" si="492">E136</f>
        <v>2020</v>
      </c>
      <c r="K402" s="703" t="str">
        <f t="shared" si="492"/>
        <v>-</v>
      </c>
      <c r="L402" s="703">
        <v>13</v>
      </c>
    </row>
    <row r="403" spans="1:12" ht="13" x14ac:dyDescent="0.25">
      <c r="A403" s="753" t="s">
        <v>479</v>
      </c>
      <c r="B403" s="703"/>
      <c r="C403" s="703"/>
      <c r="D403" s="753"/>
      <c r="E403" s="753"/>
      <c r="F403" s="753"/>
      <c r="G403" s="753"/>
      <c r="H403" s="753"/>
      <c r="I403" s="703">
        <f>D147</f>
        <v>2022</v>
      </c>
      <c r="J403" s="703">
        <f t="shared" ref="J403:K403" si="493">E147</f>
        <v>2020</v>
      </c>
      <c r="K403" s="703" t="str">
        <f t="shared" si="493"/>
        <v>-</v>
      </c>
      <c r="L403" s="703">
        <v>14</v>
      </c>
    </row>
    <row r="404" spans="1:12" ht="13" x14ac:dyDescent="0.25">
      <c r="A404" s="753" t="s">
        <v>480</v>
      </c>
      <c r="B404" s="703"/>
      <c r="C404" s="703"/>
      <c r="D404" s="753"/>
      <c r="E404" s="753"/>
      <c r="F404" s="753"/>
      <c r="G404" s="753"/>
      <c r="H404" s="753"/>
      <c r="I404" s="703">
        <f>D158</f>
        <v>2022</v>
      </c>
      <c r="J404" s="703">
        <f t="shared" ref="J404:K404" si="494">E158</f>
        <v>2020</v>
      </c>
      <c r="K404" s="703" t="str">
        <f t="shared" si="494"/>
        <v>-</v>
      </c>
      <c r="L404" s="703">
        <v>15</v>
      </c>
    </row>
    <row r="405" spans="1:12" ht="13" x14ac:dyDescent="0.25">
      <c r="A405" s="753" t="s">
        <v>481</v>
      </c>
      <c r="B405" s="703"/>
      <c r="C405" s="703"/>
      <c r="D405" s="753"/>
      <c r="E405" s="753"/>
      <c r="F405" s="753"/>
      <c r="G405" s="753"/>
      <c r="H405" s="753"/>
      <c r="I405" s="703">
        <f>D169</f>
        <v>2023</v>
      </c>
      <c r="J405" s="703">
        <f t="shared" ref="J405:K405" si="495">E169</f>
        <v>2020</v>
      </c>
      <c r="K405" s="703">
        <f t="shared" si="495"/>
        <v>2016</v>
      </c>
      <c r="L405" s="703">
        <v>16</v>
      </c>
    </row>
    <row r="406" spans="1:12" ht="13" x14ac:dyDescent="0.25">
      <c r="A406" s="753" t="s">
        <v>482</v>
      </c>
      <c r="B406" s="703"/>
      <c r="C406" s="703"/>
      <c r="D406" s="753"/>
      <c r="E406" s="753"/>
      <c r="F406" s="753"/>
      <c r="G406" s="753"/>
      <c r="H406" s="753"/>
      <c r="I406" s="703">
        <f>D180</f>
        <v>2023</v>
      </c>
      <c r="J406" s="703">
        <f t="shared" ref="J406:K406" si="496">E180</f>
        <v>2020</v>
      </c>
      <c r="K406" s="703">
        <f t="shared" si="496"/>
        <v>2016</v>
      </c>
      <c r="L406" s="703">
        <v>17</v>
      </c>
    </row>
    <row r="407" spans="1:12" ht="13" x14ac:dyDescent="0.25">
      <c r="A407" s="753" t="s">
        <v>483</v>
      </c>
      <c r="B407" s="703"/>
      <c r="C407" s="703"/>
      <c r="D407" s="753"/>
      <c r="E407" s="753"/>
      <c r="F407" s="753"/>
      <c r="G407" s="753"/>
      <c r="H407" s="753"/>
      <c r="I407" s="703">
        <f>D191</f>
        <v>2023</v>
      </c>
      <c r="J407" s="703">
        <f t="shared" ref="J407:K407" si="497">E191</f>
        <v>2020</v>
      </c>
      <c r="K407" s="703">
        <f t="shared" si="497"/>
        <v>2016</v>
      </c>
      <c r="L407" s="703">
        <v>18</v>
      </c>
    </row>
    <row r="408" spans="1:12" ht="13" x14ac:dyDescent="0.25">
      <c r="A408" s="753" t="s">
        <v>161</v>
      </c>
      <c r="B408" s="703"/>
      <c r="C408" s="703"/>
      <c r="D408" s="753"/>
      <c r="E408" s="753"/>
      <c r="F408" s="753"/>
      <c r="G408" s="753"/>
      <c r="H408" s="753"/>
      <c r="I408" s="703">
        <f>D202</f>
        <v>2021</v>
      </c>
      <c r="J408" s="703" t="str">
        <f t="shared" ref="J408:K408" si="498">E202</f>
        <v>-</v>
      </c>
      <c r="K408" s="703">
        <f t="shared" si="498"/>
        <v>2016</v>
      </c>
      <c r="L408" s="703">
        <v>19</v>
      </c>
    </row>
    <row r="409" spans="1:12" ht="13" x14ac:dyDescent="0.25">
      <c r="A409" s="755">
        <v>20</v>
      </c>
      <c r="B409" s="703"/>
      <c r="C409" s="703"/>
      <c r="D409" s="753"/>
      <c r="E409" s="753"/>
      <c r="F409" s="753"/>
      <c r="G409" s="753"/>
      <c r="H409" s="753"/>
      <c r="I409" s="703">
        <f>D213</f>
        <v>2017</v>
      </c>
      <c r="J409" s="703" t="str">
        <f t="shared" ref="J409:K409" si="499">E213</f>
        <v>-</v>
      </c>
      <c r="K409" s="703">
        <f t="shared" si="499"/>
        <v>2016</v>
      </c>
      <c r="L409" s="703">
        <v>20</v>
      </c>
    </row>
    <row r="410" spans="1:12" ht="13" x14ac:dyDescent="0.25">
      <c r="A410" s="1542">
        <f>VLOOKUP(A389,A390:L409,12,(FALSE))</f>
        <v>19</v>
      </c>
      <c r="B410" s="1542"/>
      <c r="C410" s="1542"/>
      <c r="D410" s="1542"/>
      <c r="E410" s="1542"/>
      <c r="F410" s="1542"/>
      <c r="G410" s="1542"/>
      <c r="H410" s="1542"/>
      <c r="I410" s="1542"/>
      <c r="J410" s="1542"/>
      <c r="K410" s="1542"/>
      <c r="L410" s="1542"/>
    </row>
  </sheetData>
  <mergeCells count="403"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2"/>
  <sheetViews>
    <sheetView showGridLines="0" view="pageBreakPreview" zoomScaleNormal="100" zoomScaleSheetLayoutView="100" workbookViewId="0">
      <selection activeCell="I55" sqref="I55"/>
    </sheetView>
  </sheetViews>
  <sheetFormatPr defaultColWidth="9.1796875" defaultRowHeight="14" x14ac:dyDescent="0.3"/>
  <cols>
    <col min="1" max="1" width="4.26953125" style="10" customWidth="1"/>
    <col min="2" max="2" width="4.81640625" style="10" customWidth="1"/>
    <col min="3" max="3" width="22.453125" style="10" customWidth="1"/>
    <col min="4" max="4" width="13.1796875" style="10" customWidth="1"/>
    <col min="5" max="9" width="10.7265625" style="10" customWidth="1"/>
    <col min="10" max="10" width="12" style="10" customWidth="1"/>
    <col min="11" max="11" width="10.26953125" style="10" customWidth="1"/>
    <col min="12" max="12" width="6.7265625" style="10" customWidth="1"/>
    <col min="13" max="13" width="10.453125" style="10" customWidth="1"/>
    <col min="14" max="16384" width="9.1796875" style="10"/>
  </cols>
  <sheetData>
    <row r="1" spans="1:16" ht="18" x14ac:dyDescent="0.3">
      <c r="A1" s="1106" t="s">
        <v>50</v>
      </c>
      <c r="B1" s="1106"/>
      <c r="C1" s="1106"/>
      <c r="D1" s="1106"/>
      <c r="E1" s="1106"/>
      <c r="F1" s="1106"/>
      <c r="G1" s="1106"/>
      <c r="H1" s="1106"/>
      <c r="I1" s="1106"/>
      <c r="J1" s="1106"/>
      <c r="K1" s="1106"/>
      <c r="L1" s="1106"/>
      <c r="M1" s="1106"/>
      <c r="N1" s="9"/>
      <c r="O1" s="9"/>
      <c r="P1" s="9"/>
    </row>
    <row r="2" spans="1:16" ht="15.5" x14ac:dyDescent="0.3">
      <c r="A2" s="1107" t="s">
        <v>51</v>
      </c>
      <c r="B2" s="1107"/>
      <c r="C2" s="1107"/>
      <c r="D2" s="1107"/>
      <c r="E2" s="1107"/>
      <c r="F2" s="1107"/>
      <c r="G2" s="1107"/>
      <c r="H2" s="1107"/>
      <c r="I2" s="1107"/>
      <c r="J2" s="1107"/>
      <c r="K2" s="1107"/>
      <c r="L2" s="1107"/>
      <c r="M2" s="1107"/>
    </row>
    <row r="3" spans="1:16" x14ac:dyDescent="0.3">
      <c r="K3" s="13"/>
      <c r="L3" s="13"/>
    </row>
    <row r="4" spans="1:16" x14ac:dyDescent="0.3">
      <c r="A4" s="10" t="s">
        <v>52</v>
      </c>
      <c r="D4" s="14" t="s">
        <v>53</v>
      </c>
      <c r="E4" s="15"/>
      <c r="F4" s="15"/>
      <c r="G4" s="15"/>
      <c r="H4" s="15"/>
      <c r="K4" s="13"/>
      <c r="L4" s="13"/>
    </row>
    <row r="5" spans="1:16" x14ac:dyDescent="0.3">
      <c r="A5" s="10" t="s">
        <v>54</v>
      </c>
      <c r="D5" s="16" t="s">
        <v>53</v>
      </c>
      <c r="E5" s="17"/>
      <c r="F5" s="17"/>
      <c r="G5" s="17"/>
      <c r="H5" s="17"/>
      <c r="K5" s="13"/>
      <c r="L5" s="13"/>
    </row>
    <row r="6" spans="1:16" x14ac:dyDescent="0.3">
      <c r="A6" s="10" t="s">
        <v>55</v>
      </c>
      <c r="D6" s="16" t="s">
        <v>53</v>
      </c>
      <c r="E6" s="17"/>
      <c r="F6" s="17"/>
      <c r="G6" s="17"/>
      <c r="H6" s="17"/>
      <c r="K6" s="13"/>
      <c r="L6" s="13"/>
    </row>
    <row r="7" spans="1:16" x14ac:dyDescent="0.3">
      <c r="A7" s="10" t="s">
        <v>56</v>
      </c>
      <c r="D7" s="16" t="s">
        <v>53</v>
      </c>
      <c r="E7" s="17" t="s">
        <v>57</v>
      </c>
      <c r="F7" s="17"/>
      <c r="G7" s="17"/>
      <c r="H7" s="17"/>
      <c r="K7" s="13"/>
      <c r="L7" s="13"/>
    </row>
    <row r="8" spans="1:16" x14ac:dyDescent="0.3">
      <c r="A8" s="10" t="s">
        <v>58</v>
      </c>
      <c r="D8" s="16" t="s">
        <v>59</v>
      </c>
      <c r="E8" s="17"/>
      <c r="F8" s="17"/>
      <c r="G8" s="17"/>
      <c r="H8" s="17"/>
      <c r="K8" s="13"/>
      <c r="L8" s="13"/>
    </row>
    <row r="9" spans="1:16" x14ac:dyDescent="0.3">
      <c r="A9" s="10" t="s">
        <v>60</v>
      </c>
      <c r="D9" s="16" t="s">
        <v>53</v>
      </c>
      <c r="E9" s="17"/>
      <c r="F9" s="17"/>
      <c r="G9" s="17"/>
      <c r="H9" s="17"/>
      <c r="K9" s="13"/>
      <c r="L9" s="13"/>
    </row>
    <row r="10" spans="1:16" x14ac:dyDescent="0.3">
      <c r="A10" s="10" t="s">
        <v>61</v>
      </c>
      <c r="D10" s="16" t="s">
        <v>53</v>
      </c>
      <c r="E10" s="17"/>
      <c r="F10" s="17"/>
      <c r="G10" s="17"/>
      <c r="H10" s="17"/>
      <c r="K10" s="13"/>
      <c r="L10" s="13"/>
    </row>
    <row r="11" spans="1:16" x14ac:dyDescent="0.3">
      <c r="A11" s="10" t="s">
        <v>62</v>
      </c>
      <c r="D11" s="16" t="s">
        <v>53</v>
      </c>
      <c r="E11" s="17"/>
      <c r="F11" s="17"/>
      <c r="G11" s="17"/>
      <c r="H11" s="17"/>
      <c r="K11" s="13"/>
      <c r="L11" s="13"/>
    </row>
    <row r="12" spans="1:16" x14ac:dyDescent="0.3">
      <c r="D12" s="18"/>
      <c r="K12" s="13"/>
      <c r="L12" s="13"/>
    </row>
    <row r="13" spans="1:16" ht="15.75" customHeight="1" x14ac:dyDescent="0.3">
      <c r="A13" s="12" t="s">
        <v>63</v>
      </c>
      <c r="B13" s="12" t="s">
        <v>64</v>
      </c>
    </row>
    <row r="14" spans="1:16" ht="15.75" customHeight="1" x14ac:dyDescent="0.3">
      <c r="B14" s="12"/>
      <c r="C14" s="12"/>
      <c r="D14" s="19" t="s">
        <v>4</v>
      </c>
      <c r="E14" s="19" t="s">
        <v>5</v>
      </c>
    </row>
    <row r="15" spans="1:16" ht="15.75" customHeight="1" x14ac:dyDescent="0.3">
      <c r="B15" s="10" t="s">
        <v>65</v>
      </c>
      <c r="D15" s="20"/>
      <c r="E15" s="20"/>
      <c r="F15" s="21" t="s">
        <v>66</v>
      </c>
    </row>
    <row r="16" spans="1:16" ht="15.75" customHeight="1" x14ac:dyDescent="0.3">
      <c r="B16" s="10" t="s">
        <v>67</v>
      </c>
      <c r="D16" s="20"/>
      <c r="E16" s="20"/>
      <c r="F16" s="21" t="s">
        <v>68</v>
      </c>
      <c r="I16" s="22"/>
    </row>
    <row r="17" spans="1:16" ht="15.75" customHeight="1" x14ac:dyDescent="0.3">
      <c r="B17" s="10" t="s">
        <v>69</v>
      </c>
      <c r="D17" s="23" t="s">
        <v>59</v>
      </c>
      <c r="E17" s="23"/>
      <c r="F17" s="21" t="s">
        <v>70</v>
      </c>
      <c r="I17" s="22"/>
    </row>
    <row r="18" spans="1:16" ht="15.75" customHeight="1" x14ac:dyDescent="0.3">
      <c r="F18" s="21"/>
      <c r="I18" s="22"/>
    </row>
    <row r="19" spans="1:16" ht="15.75" customHeight="1" x14ac:dyDescent="0.3">
      <c r="A19" s="12" t="s">
        <v>71</v>
      </c>
      <c r="B19" s="12" t="str">
        <f>ID!B22</f>
        <v>Pemeriksaan Kondisi Fisik dan Fungsi Alat</v>
      </c>
      <c r="F19" s="19" t="s">
        <v>72</v>
      </c>
      <c r="G19" s="24"/>
      <c r="I19" s="22"/>
    </row>
    <row r="20" spans="1:16" ht="15.75" customHeight="1" x14ac:dyDescent="0.3">
      <c r="B20" s="10" t="s">
        <v>73</v>
      </c>
      <c r="D20" s="10" t="s">
        <v>74</v>
      </c>
      <c r="F20" s="242">
        <v>5</v>
      </c>
      <c r="G20" s="61"/>
      <c r="H20" s="61"/>
      <c r="I20" s="61"/>
      <c r="J20" s="61"/>
    </row>
    <row r="21" spans="1:16" ht="15.75" customHeight="1" x14ac:dyDescent="0.3">
      <c r="B21" s="10" t="s">
        <v>75</v>
      </c>
      <c r="D21" s="10" t="s">
        <v>74</v>
      </c>
      <c r="F21" s="242">
        <v>5</v>
      </c>
      <c r="G21" s="61"/>
      <c r="H21" s="61"/>
      <c r="I21" s="61"/>
      <c r="J21" s="61"/>
    </row>
    <row r="22" spans="1:16" ht="15.75" customHeight="1" x14ac:dyDescent="0.3">
      <c r="F22" s="25"/>
      <c r="G22" s="25"/>
      <c r="H22" s="25"/>
      <c r="I22" s="25"/>
      <c r="J22" s="25"/>
    </row>
    <row r="23" spans="1:16" ht="15.75" customHeight="1" x14ac:dyDescent="0.3">
      <c r="A23" s="12" t="s">
        <v>76</v>
      </c>
      <c r="B23" s="12" t="str">
        <f>ID!B26</f>
        <v>Pengujian Keselamatan Listrik</v>
      </c>
      <c r="G23" s="24"/>
      <c r="I23" s="22"/>
    </row>
    <row r="24" spans="1:16" ht="30.75" customHeight="1" x14ac:dyDescent="0.3">
      <c r="B24" s="240" t="s">
        <v>77</v>
      </c>
      <c r="C24" s="1103" t="s">
        <v>78</v>
      </c>
      <c r="D24" s="1104"/>
      <c r="E24" s="1104"/>
      <c r="F24" s="1104"/>
      <c r="G24" s="1104"/>
      <c r="H24" s="1103" t="s">
        <v>79</v>
      </c>
      <c r="I24" s="1105"/>
      <c r="J24" s="1103" t="s">
        <v>80</v>
      </c>
      <c r="K24" s="1105"/>
      <c r="L24" s="19" t="s">
        <v>72</v>
      </c>
      <c r="M24" s="26"/>
      <c r="N24" s="26"/>
    </row>
    <row r="25" spans="1:16" ht="15.75" customHeight="1" x14ac:dyDescent="0.3">
      <c r="B25" s="296">
        <v>1</v>
      </c>
      <c r="C25" s="297" t="s">
        <v>81</v>
      </c>
      <c r="D25" s="298"/>
      <c r="E25" s="298"/>
      <c r="F25" s="298"/>
      <c r="G25" s="299"/>
      <c r="H25" s="300"/>
      <c r="I25" s="305" t="s">
        <v>82</v>
      </c>
      <c r="J25" s="303" t="s">
        <v>83</v>
      </c>
      <c r="K25" s="301" t="s">
        <v>82</v>
      </c>
      <c r="L25" s="243">
        <v>10</v>
      </c>
      <c r="M25" s="27"/>
      <c r="N25" s="28"/>
    </row>
    <row r="26" spans="1:16" ht="15.75" customHeight="1" x14ac:dyDescent="0.3">
      <c r="B26" s="304">
        <v>2</v>
      </c>
      <c r="C26" s="297" t="s">
        <v>84</v>
      </c>
      <c r="D26" s="298"/>
      <c r="E26" s="298"/>
      <c r="F26" s="298"/>
      <c r="G26" s="299"/>
      <c r="H26" s="300"/>
      <c r="I26" s="305" t="s">
        <v>85</v>
      </c>
      <c r="J26" s="303" t="s">
        <v>86</v>
      </c>
      <c r="K26" s="301" t="s">
        <v>85</v>
      </c>
      <c r="L26" s="243">
        <v>10</v>
      </c>
      <c r="M26" s="27"/>
      <c r="N26" s="28"/>
    </row>
    <row r="27" spans="1:16" ht="15.75" customHeight="1" x14ac:dyDescent="0.3">
      <c r="B27" s="241">
        <v>3</v>
      </c>
      <c r="C27" s="297" t="s">
        <v>87</v>
      </c>
      <c r="D27" s="298"/>
      <c r="E27" s="298"/>
      <c r="F27" s="298"/>
      <c r="G27" s="299"/>
      <c r="H27" s="300"/>
      <c r="I27" s="305" t="s">
        <v>88</v>
      </c>
      <c r="J27" s="303" t="s">
        <v>89</v>
      </c>
      <c r="K27" s="302" t="s">
        <v>88</v>
      </c>
      <c r="L27" s="243">
        <v>20</v>
      </c>
      <c r="M27" s="27"/>
      <c r="N27" s="28"/>
    </row>
    <row r="28" spans="1:16" ht="15.75" customHeight="1" x14ac:dyDescent="0.3">
      <c r="B28" s="29"/>
      <c r="C28" s="30"/>
      <c r="G28" s="24"/>
      <c r="H28" s="27"/>
      <c r="J28" s="27"/>
      <c r="M28" s="27"/>
    </row>
    <row r="29" spans="1:16" ht="15.75" customHeight="1" x14ac:dyDescent="0.3">
      <c r="A29" s="12" t="s">
        <v>90</v>
      </c>
      <c r="B29" s="12" t="str">
        <f>ID!B33</f>
        <v>Pengujian Kinerja</v>
      </c>
      <c r="D29" s="12"/>
      <c r="E29" s="12"/>
      <c r="F29" s="12"/>
      <c r="G29" s="29"/>
      <c r="K29" s="13"/>
      <c r="L29" s="13"/>
    </row>
    <row r="30" spans="1:16" ht="15.75" customHeight="1" x14ac:dyDescent="0.3">
      <c r="A30" s="12"/>
      <c r="B30" s="10" t="s">
        <v>493</v>
      </c>
      <c r="D30" s="12"/>
      <c r="E30" s="12"/>
      <c r="F30" s="12"/>
      <c r="G30" s="29"/>
      <c r="K30" s="13"/>
      <c r="L30" s="13"/>
    </row>
    <row r="31" spans="1:16" ht="20.25" customHeight="1" x14ac:dyDescent="0.3">
      <c r="B31" s="1100" t="s">
        <v>91</v>
      </c>
      <c r="C31" s="1100" t="s">
        <v>78</v>
      </c>
      <c r="D31" s="1100" t="s">
        <v>92</v>
      </c>
      <c r="E31" s="1116" t="s">
        <v>93</v>
      </c>
      <c r="F31" s="1116"/>
      <c r="G31" s="1116"/>
      <c r="H31" s="1116"/>
      <c r="I31" s="1116"/>
      <c r="J31" s="1116"/>
      <c r="K31" s="1100" t="s">
        <v>94</v>
      </c>
      <c r="L31" s="1116" t="s">
        <v>72</v>
      </c>
      <c r="M31" s="1114"/>
      <c r="N31" s="1114"/>
      <c r="O31" s="1114"/>
      <c r="P31" s="1114"/>
    </row>
    <row r="32" spans="1:16" ht="22.5" customHeight="1" x14ac:dyDescent="0.3">
      <c r="B32" s="1102"/>
      <c r="C32" s="1102"/>
      <c r="D32" s="1102"/>
      <c r="E32" s="32" t="s">
        <v>95</v>
      </c>
      <c r="F32" s="32" t="s">
        <v>96</v>
      </c>
      <c r="G32" s="32" t="s">
        <v>97</v>
      </c>
      <c r="H32" s="32" t="s">
        <v>98</v>
      </c>
      <c r="I32" s="33" t="s">
        <v>99</v>
      </c>
      <c r="J32" s="34" t="s">
        <v>100</v>
      </c>
      <c r="K32" s="1102"/>
      <c r="L32" s="1116"/>
      <c r="M32" s="1114"/>
      <c r="N32" s="1114"/>
      <c r="O32" s="1114"/>
      <c r="P32" s="1114"/>
    </row>
    <row r="33" spans="1:16" ht="30" customHeight="1" x14ac:dyDescent="0.3">
      <c r="B33" s="35">
        <v>1</v>
      </c>
      <c r="C33" s="1100" t="s">
        <v>101</v>
      </c>
      <c r="D33" s="185"/>
      <c r="E33" s="186"/>
      <c r="F33" s="186"/>
      <c r="G33" s="186"/>
      <c r="H33" s="186"/>
      <c r="I33" s="186"/>
      <c r="J33" s="187"/>
      <c r="K33" s="1117" t="s">
        <v>102</v>
      </c>
      <c r="L33" s="306">
        <v>8.75</v>
      </c>
      <c r="M33" s="36"/>
      <c r="N33" s="1115"/>
      <c r="O33" s="37"/>
      <c r="P33" s="38"/>
    </row>
    <row r="34" spans="1:16" ht="30" customHeight="1" x14ac:dyDescent="0.3">
      <c r="B34" s="39">
        <v>2</v>
      </c>
      <c r="C34" s="1101"/>
      <c r="D34" s="191"/>
      <c r="E34" s="192"/>
      <c r="F34" s="192"/>
      <c r="G34" s="192"/>
      <c r="H34" s="192"/>
      <c r="I34" s="192"/>
      <c r="J34" s="63"/>
      <c r="K34" s="1118"/>
      <c r="L34" s="306">
        <v>8.75</v>
      </c>
      <c r="M34" s="36"/>
      <c r="N34" s="1115"/>
      <c r="O34" s="37"/>
      <c r="P34" s="38"/>
    </row>
    <row r="35" spans="1:16" ht="30" customHeight="1" x14ac:dyDescent="0.3">
      <c r="B35" s="64">
        <v>3</v>
      </c>
      <c r="C35" s="1101"/>
      <c r="D35" s="191"/>
      <c r="E35" s="192"/>
      <c r="F35" s="192"/>
      <c r="G35" s="192"/>
      <c r="H35" s="192"/>
      <c r="I35" s="192"/>
      <c r="J35" s="63"/>
      <c r="K35" s="1118"/>
      <c r="L35" s="306">
        <v>8.75</v>
      </c>
      <c r="M35" s="36"/>
      <c r="N35" s="1115"/>
      <c r="O35" s="37"/>
      <c r="P35" s="38"/>
    </row>
    <row r="36" spans="1:16" ht="30" customHeight="1" x14ac:dyDescent="0.3">
      <c r="B36" s="40">
        <v>4</v>
      </c>
      <c r="C36" s="1102"/>
      <c r="D36" s="188"/>
      <c r="E36" s="189"/>
      <c r="F36" s="189"/>
      <c r="G36" s="189"/>
      <c r="H36" s="189"/>
      <c r="I36" s="189"/>
      <c r="J36" s="190"/>
      <c r="K36" s="1119"/>
      <c r="L36" s="306">
        <v>8.75</v>
      </c>
      <c r="M36" s="36"/>
      <c r="N36" s="1115"/>
      <c r="O36" s="37"/>
      <c r="P36" s="38"/>
    </row>
    <row r="37" spans="1:16" ht="14.15" customHeight="1" x14ac:dyDescent="0.3">
      <c r="B37" s="44"/>
      <c r="C37" s="111"/>
      <c r="D37" s="179"/>
      <c r="E37" s="36"/>
      <c r="F37" s="36"/>
      <c r="G37" s="36"/>
      <c r="H37" s="36"/>
      <c r="I37" s="36"/>
      <c r="J37" s="180"/>
      <c r="K37" s="206"/>
      <c r="L37" s="244"/>
      <c r="M37" s="36"/>
      <c r="N37" s="42"/>
      <c r="O37" s="37"/>
      <c r="P37" s="38"/>
    </row>
    <row r="38" spans="1:16" ht="14.15" customHeight="1" x14ac:dyDescent="0.3">
      <c r="B38" s="10" t="s">
        <v>492</v>
      </c>
      <c r="C38" s="111"/>
      <c r="D38" s="179"/>
      <c r="E38" s="36"/>
      <c r="F38" s="36"/>
      <c r="G38" s="36"/>
      <c r="H38" s="36"/>
      <c r="I38" s="36"/>
      <c r="J38" s="180"/>
      <c r="K38" s="206"/>
      <c r="L38" s="244"/>
      <c r="M38" s="36"/>
      <c r="N38" s="42"/>
      <c r="O38" s="37"/>
      <c r="P38" s="38"/>
    </row>
    <row r="39" spans="1:16" ht="19.5" customHeight="1" x14ac:dyDescent="0.3">
      <c r="B39" s="1100" t="s">
        <v>91</v>
      </c>
      <c r="C39" s="1100" t="s">
        <v>78</v>
      </c>
      <c r="D39" s="1111" t="s">
        <v>92</v>
      </c>
      <c r="E39" s="1113" t="s">
        <v>103</v>
      </c>
      <c r="F39" s="1113"/>
      <c r="G39" s="1113"/>
      <c r="H39" s="1113"/>
      <c r="I39" s="1113"/>
      <c r="J39" s="1113"/>
      <c r="K39" s="1110" t="s">
        <v>94</v>
      </c>
      <c r="L39" s="1109" t="s">
        <v>72</v>
      </c>
      <c r="M39" s="36"/>
      <c r="N39" s="42"/>
      <c r="O39" s="37"/>
      <c r="P39" s="38"/>
    </row>
    <row r="40" spans="1:16" ht="15.75" customHeight="1" x14ac:dyDescent="0.3">
      <c r="B40" s="1102"/>
      <c r="C40" s="1102"/>
      <c r="D40" s="1112"/>
      <c r="E40" s="1113" t="s">
        <v>95</v>
      </c>
      <c r="F40" s="1113"/>
      <c r="G40" s="1113" t="s">
        <v>96</v>
      </c>
      <c r="H40" s="1113"/>
      <c r="I40" s="1113" t="s">
        <v>97</v>
      </c>
      <c r="J40" s="1113"/>
      <c r="K40" s="1110"/>
      <c r="L40" s="1109"/>
      <c r="M40" s="36"/>
      <c r="N40" s="42"/>
      <c r="O40" s="37"/>
      <c r="P40" s="38"/>
    </row>
    <row r="41" spans="1:16" ht="24" customHeight="1" x14ac:dyDescent="0.3">
      <c r="B41" s="41">
        <v>5</v>
      </c>
      <c r="C41" s="41" t="s">
        <v>104</v>
      </c>
      <c r="D41" s="41">
        <v>300</v>
      </c>
      <c r="E41" s="1108"/>
      <c r="F41" s="1108"/>
      <c r="G41" s="1108"/>
      <c r="H41" s="1108"/>
      <c r="I41" s="1108"/>
      <c r="J41" s="1108"/>
      <c r="K41" s="287" t="s">
        <v>102</v>
      </c>
      <c r="L41" s="245">
        <v>15</v>
      </c>
      <c r="M41" s="36"/>
      <c r="N41" s="42"/>
      <c r="O41" s="37"/>
      <c r="P41" s="38"/>
    </row>
    <row r="42" spans="1:16" ht="14.25" customHeight="1" x14ac:dyDescent="0.35">
      <c r="B42" s="43"/>
      <c r="C42" s="44"/>
      <c r="D42" s="11"/>
      <c r="E42" s="36"/>
      <c r="F42" s="36"/>
      <c r="G42" s="36"/>
      <c r="H42" s="36"/>
      <c r="I42" s="36"/>
      <c r="J42" s="36"/>
      <c r="K42" s="45"/>
      <c r="L42" s="46"/>
      <c r="M42" s="45"/>
      <c r="N42" s="28"/>
      <c r="O42" s="37"/>
      <c r="P42" s="47"/>
    </row>
    <row r="43" spans="1:16" ht="15.75" customHeight="1" x14ac:dyDescent="0.3">
      <c r="A43" s="48" t="s">
        <v>105</v>
      </c>
      <c r="B43" s="49" t="s">
        <v>106</v>
      </c>
      <c r="D43" s="50"/>
      <c r="E43" s="51"/>
      <c r="F43" s="51"/>
      <c r="G43" s="51"/>
      <c r="H43" s="51"/>
      <c r="I43" s="51"/>
      <c r="J43" s="51"/>
      <c r="K43" s="52"/>
      <c r="L43" s="52"/>
      <c r="M43" s="53"/>
      <c r="N43" s="29"/>
      <c r="O43" s="54"/>
      <c r="P43" s="47"/>
    </row>
    <row r="44" spans="1:16" ht="15.75" customHeight="1" x14ac:dyDescent="0.3">
      <c r="B44" s="193"/>
      <c r="C44" s="194"/>
      <c r="D44" s="195"/>
      <c r="E44" s="195"/>
      <c r="F44" s="196"/>
      <c r="G44" s="195"/>
      <c r="H44" s="195"/>
      <c r="I44" s="195"/>
      <c r="J44" s="197"/>
      <c r="K44" s="197"/>
      <c r="L44" s="55"/>
      <c r="M44" s="56"/>
      <c r="N44" s="56"/>
    </row>
    <row r="45" spans="1:16" ht="15.75" customHeight="1" x14ac:dyDescent="0.3">
      <c r="B45" s="198"/>
      <c r="C45" s="199"/>
      <c r="D45" s="200"/>
      <c r="E45" s="201"/>
      <c r="F45" s="202"/>
      <c r="G45" s="200"/>
      <c r="H45" s="200"/>
      <c r="I45" s="200"/>
      <c r="J45" s="203"/>
      <c r="K45" s="203"/>
      <c r="L45" s="55"/>
      <c r="M45" s="56"/>
      <c r="N45" s="56"/>
    </row>
    <row r="46" spans="1:16" ht="15.75" customHeight="1" x14ac:dyDescent="0.3">
      <c r="B46" s="204"/>
      <c r="C46" s="199"/>
      <c r="D46" s="200"/>
      <c r="E46" s="201"/>
      <c r="F46" s="202"/>
      <c r="G46" s="200"/>
      <c r="H46" s="200"/>
      <c r="I46" s="200"/>
      <c r="J46" s="203"/>
      <c r="K46" s="203"/>
      <c r="L46" s="55"/>
      <c r="M46" s="56"/>
      <c r="N46" s="56"/>
    </row>
    <row r="47" spans="1:16" customFormat="1" ht="15.75" customHeight="1" x14ac:dyDescent="0.25"/>
    <row r="48" spans="1:16" ht="15.75" customHeight="1" x14ac:dyDescent="0.3">
      <c r="A48" s="49" t="s">
        <v>107</v>
      </c>
      <c r="B48" s="49" t="s">
        <v>108</v>
      </c>
      <c r="D48" s="31"/>
      <c r="E48" s="31"/>
      <c r="F48" s="31"/>
      <c r="G48" s="31"/>
      <c r="H48" s="31"/>
      <c r="I48" s="31"/>
      <c r="J48" s="31"/>
      <c r="K48" s="29"/>
      <c r="L48" s="29"/>
      <c r="M48" s="29"/>
      <c r="N48" s="29"/>
    </row>
    <row r="49" spans="1:14" ht="15.75" customHeight="1" x14ac:dyDescent="0.3">
      <c r="B49" s="58"/>
      <c r="C49" s="371" t="s">
        <v>109</v>
      </c>
      <c r="D49" s="31"/>
      <c r="E49" s="31"/>
      <c r="F49" s="31"/>
      <c r="G49" s="31"/>
      <c r="H49" s="31"/>
      <c r="I49" s="31"/>
      <c r="K49" s="29"/>
      <c r="L49" s="29"/>
      <c r="M49" s="29"/>
      <c r="N49" s="29"/>
    </row>
    <row r="50" spans="1:14" ht="15.75" customHeight="1" x14ac:dyDescent="0.3">
      <c r="B50" s="58"/>
      <c r="C50" s="10" t="s">
        <v>110</v>
      </c>
      <c r="F50" s="31"/>
      <c r="G50" s="31"/>
      <c r="H50" s="31"/>
      <c r="I50" s="31"/>
      <c r="K50" s="29"/>
      <c r="L50" s="29"/>
      <c r="M50" s="29"/>
      <c r="N50" s="29"/>
    </row>
    <row r="51" spans="1:14" ht="15.75" customHeight="1" x14ac:dyDescent="0.3">
      <c r="B51" s="58"/>
      <c r="C51" s="30" t="s">
        <v>111</v>
      </c>
      <c r="F51" s="31"/>
      <c r="G51" s="31"/>
      <c r="H51" s="31"/>
      <c r="I51" s="31"/>
      <c r="K51" s="29"/>
      <c r="L51" s="29"/>
      <c r="M51" s="29"/>
      <c r="N51" s="29"/>
    </row>
    <row r="52" spans="1:14" ht="15.75" customHeight="1" x14ac:dyDescent="0.3">
      <c r="B52" s="58"/>
      <c r="C52" s="30" t="s">
        <v>112</v>
      </c>
      <c r="F52" s="31"/>
      <c r="G52" s="31"/>
      <c r="H52" s="31"/>
      <c r="I52" s="31"/>
      <c r="K52" s="29"/>
      <c r="L52" s="29"/>
      <c r="M52" s="29"/>
      <c r="N52" s="29"/>
    </row>
    <row r="53" spans="1:14" ht="15.75" customHeight="1" x14ac:dyDescent="0.3">
      <c r="B53" s="58"/>
      <c r="C53" s="30" t="s">
        <v>113</v>
      </c>
      <c r="D53" s="31"/>
      <c r="E53" s="31"/>
      <c r="F53" s="31"/>
      <c r="G53" s="31"/>
      <c r="H53" s="31"/>
      <c r="I53" s="31"/>
      <c r="K53" s="29"/>
      <c r="L53" s="29"/>
      <c r="M53" s="29"/>
      <c r="N53" s="29"/>
    </row>
    <row r="54" spans="1:14" ht="15.75" customHeight="1" x14ac:dyDescent="0.3">
      <c r="B54" s="58"/>
      <c r="C54" s="30" t="s">
        <v>114</v>
      </c>
      <c r="D54" s="31"/>
      <c r="E54" s="31"/>
      <c r="F54" s="31"/>
      <c r="G54" s="31"/>
      <c r="H54" s="31"/>
      <c r="I54" s="31"/>
      <c r="K54" s="29"/>
      <c r="L54" s="29"/>
      <c r="M54" s="29"/>
      <c r="N54" s="29"/>
    </row>
    <row r="55" spans="1:14" ht="15.75" customHeight="1" x14ac:dyDescent="0.3">
      <c r="B55" s="58"/>
      <c r="C55" s="30" t="s">
        <v>115</v>
      </c>
      <c r="D55" s="31"/>
      <c r="E55" s="31"/>
      <c r="F55" s="31"/>
      <c r="G55" s="31"/>
      <c r="H55" s="31"/>
      <c r="I55" s="31"/>
      <c r="K55" s="29"/>
      <c r="L55" s="29"/>
      <c r="M55" s="29"/>
      <c r="N55" s="29"/>
    </row>
    <row r="56" spans="1:14" ht="15.75" customHeight="1" x14ac:dyDescent="0.3">
      <c r="B56" s="58"/>
      <c r="C56" s="30" t="s">
        <v>116</v>
      </c>
      <c r="D56" s="31"/>
      <c r="E56" s="31"/>
      <c r="F56" s="31"/>
      <c r="G56" s="31"/>
      <c r="H56" s="31"/>
      <c r="I56" s="31"/>
      <c r="K56" s="29"/>
      <c r="L56" s="29"/>
      <c r="M56" s="29"/>
      <c r="N56" s="29"/>
    </row>
    <row r="57" spans="1:14" ht="15.75" customHeight="1" x14ac:dyDescent="0.3">
      <c r="B57" s="58"/>
      <c r="C57" s="30" t="s">
        <v>117</v>
      </c>
      <c r="D57" s="31"/>
      <c r="E57" s="31"/>
      <c r="F57" s="31"/>
      <c r="G57" s="31"/>
      <c r="H57" s="31"/>
      <c r="I57" s="31"/>
      <c r="K57" s="29"/>
      <c r="L57" s="29"/>
      <c r="M57" s="29"/>
      <c r="N57" s="29"/>
    </row>
    <row r="58" spans="1:14" ht="15.75" customHeight="1" x14ac:dyDescent="0.3">
      <c r="B58" s="58"/>
      <c r="C58" s="30" t="s">
        <v>118</v>
      </c>
      <c r="D58" s="31"/>
      <c r="E58" s="31"/>
      <c r="F58" s="31"/>
      <c r="G58" s="31"/>
      <c r="H58" s="31"/>
      <c r="I58" s="31"/>
      <c r="K58" s="29"/>
      <c r="L58" s="29"/>
      <c r="M58" s="29"/>
      <c r="N58" s="29"/>
    </row>
    <row r="59" spans="1:14" ht="15.75" customHeight="1" x14ac:dyDescent="0.3">
      <c r="B59" s="58"/>
      <c r="C59" s="30" t="s">
        <v>119</v>
      </c>
      <c r="D59" s="31"/>
      <c r="E59" s="31"/>
      <c r="F59" s="31"/>
      <c r="G59" s="31"/>
      <c r="H59" s="31"/>
      <c r="I59" s="31"/>
      <c r="K59" s="29"/>
      <c r="L59" s="29"/>
      <c r="M59" s="29"/>
      <c r="N59" s="29"/>
    </row>
    <row r="60" spans="1:14" ht="15.75" customHeight="1" x14ac:dyDescent="0.3">
      <c r="B60" s="205"/>
      <c r="D60" s="31"/>
      <c r="E60" s="31"/>
      <c r="F60" s="31"/>
      <c r="G60" s="31"/>
      <c r="H60" s="31"/>
      <c r="I60" s="31"/>
      <c r="K60" s="29"/>
      <c r="L60" s="29"/>
      <c r="M60" s="29"/>
      <c r="N60" s="29"/>
    </row>
    <row r="61" spans="1:14" ht="15.75" customHeight="1" x14ac:dyDescent="0.3">
      <c r="A61" s="12" t="s">
        <v>120</v>
      </c>
      <c r="B61" s="49" t="s">
        <v>121</v>
      </c>
      <c r="D61" s="31"/>
      <c r="E61" s="31"/>
      <c r="F61" s="61"/>
      <c r="G61" s="61"/>
      <c r="H61" s="61"/>
      <c r="I61" s="61"/>
      <c r="J61" s="30"/>
    </row>
    <row r="62" spans="1:14" ht="15.75" customHeight="1" thickBot="1" x14ac:dyDescent="0.35">
      <c r="A62" s="12"/>
      <c r="B62" s="49" t="s">
        <v>122</v>
      </c>
      <c r="D62" s="31"/>
      <c r="E62" s="31"/>
      <c r="F62" s="61"/>
      <c r="G62" s="61"/>
      <c r="H62" s="61"/>
      <c r="I62" s="61"/>
      <c r="J62" s="30"/>
    </row>
    <row r="63" spans="1:14" ht="15.75" customHeight="1" x14ac:dyDescent="0.3">
      <c r="B63" s="30"/>
      <c r="C63" s="60"/>
      <c r="D63" s="30"/>
      <c r="E63" s="61"/>
      <c r="F63" s="25"/>
      <c r="G63" s="25"/>
      <c r="H63" s="25"/>
      <c r="I63" s="25"/>
      <c r="J63" s="30"/>
      <c r="K63" s="207"/>
    </row>
    <row r="64" spans="1:14" ht="15.75" customHeight="1" thickBot="1" x14ac:dyDescent="0.35">
      <c r="A64" s="49" t="s">
        <v>123</v>
      </c>
      <c r="B64" s="48" t="s">
        <v>124</v>
      </c>
      <c r="D64" s="30"/>
      <c r="E64" s="30"/>
      <c r="F64" s="30"/>
      <c r="G64" s="30"/>
      <c r="H64" s="30"/>
      <c r="I64" s="30"/>
      <c r="J64" s="30"/>
      <c r="K64" s="208"/>
      <c r="M64" s="62"/>
    </row>
    <row r="65" spans="2:10" ht="15.75" customHeight="1" x14ac:dyDescent="0.3">
      <c r="B65" s="57"/>
      <c r="C65" s="15"/>
      <c r="D65" s="30"/>
      <c r="E65" s="30"/>
      <c r="F65" s="30"/>
      <c r="G65" s="30"/>
      <c r="H65" s="30"/>
      <c r="I65" s="30"/>
      <c r="J65" s="30"/>
    </row>
    <row r="66" spans="2:10" ht="15.75" customHeight="1" x14ac:dyDescent="0.3">
      <c r="B66" s="21"/>
      <c r="D66" s="30"/>
      <c r="E66" s="30"/>
      <c r="F66" s="30"/>
      <c r="G66" s="30"/>
      <c r="H66" s="30"/>
      <c r="I66" s="30"/>
      <c r="J66" s="30"/>
    </row>
    <row r="67" spans="2:10" ht="15.75" customHeight="1" x14ac:dyDescent="0.3">
      <c r="B67" s="21"/>
      <c r="D67" s="30"/>
      <c r="E67" s="30"/>
      <c r="F67" s="30"/>
      <c r="G67" s="30"/>
      <c r="H67" s="30"/>
      <c r="I67" s="30"/>
      <c r="J67" s="30"/>
    </row>
    <row r="68" spans="2:10" ht="15.75" customHeight="1" x14ac:dyDescent="0.3">
      <c r="B68" s="21"/>
      <c r="D68" s="30"/>
      <c r="E68" s="30"/>
      <c r="F68" s="30"/>
      <c r="G68" s="30"/>
      <c r="H68" s="30"/>
      <c r="I68" s="30"/>
      <c r="J68" s="30"/>
    </row>
    <row r="69" spans="2:10" ht="15.75" customHeight="1" x14ac:dyDescent="0.3">
      <c r="B69" s="21"/>
      <c r="D69" s="30"/>
      <c r="E69" s="30"/>
      <c r="F69" s="30"/>
      <c r="G69" s="30"/>
      <c r="H69" s="30"/>
      <c r="I69" s="30"/>
      <c r="J69" s="30"/>
    </row>
    <row r="70" spans="2:10" ht="15.75" customHeight="1" x14ac:dyDescent="0.3">
      <c r="B70" s="21"/>
      <c r="D70" s="30"/>
      <c r="E70" s="30"/>
      <c r="F70" s="30"/>
      <c r="G70" s="30"/>
      <c r="H70" s="30"/>
      <c r="I70" s="30"/>
      <c r="J70" s="30"/>
    </row>
    <row r="71" spans="2:10" ht="15.75" customHeight="1" x14ac:dyDescent="0.3">
      <c r="B71" s="21"/>
      <c r="D71" s="30"/>
      <c r="E71" s="30"/>
      <c r="F71" s="30"/>
      <c r="G71" s="30"/>
      <c r="H71" s="30"/>
      <c r="I71" s="30"/>
      <c r="J71" s="30"/>
    </row>
    <row r="72" spans="2:10" ht="15.75" customHeight="1" x14ac:dyDescent="0.3">
      <c r="B72" s="21"/>
      <c r="D72" s="30"/>
      <c r="E72" s="30"/>
      <c r="F72" s="30"/>
      <c r="G72" s="30"/>
      <c r="H72" s="30"/>
      <c r="I72" s="30"/>
      <c r="J72" s="30"/>
    </row>
  </sheetData>
  <sheetProtection insertRows="0"/>
  <mergeCells count="29">
    <mergeCell ref="N31:N32"/>
    <mergeCell ref="O31:P32"/>
    <mergeCell ref="N33:N36"/>
    <mergeCell ref="E31:J31"/>
    <mergeCell ref="K31:K32"/>
    <mergeCell ref="L31:L32"/>
    <mergeCell ref="K33:K36"/>
    <mergeCell ref="M31:M32"/>
    <mergeCell ref="H24:I24"/>
    <mergeCell ref="J24:K24"/>
    <mergeCell ref="A1:M1"/>
    <mergeCell ref="A2:M2"/>
    <mergeCell ref="E41:F41"/>
    <mergeCell ref="G41:H41"/>
    <mergeCell ref="I41:J41"/>
    <mergeCell ref="L39:L40"/>
    <mergeCell ref="K39:K40"/>
    <mergeCell ref="D39:D40"/>
    <mergeCell ref="C39:C40"/>
    <mergeCell ref="B39:B40"/>
    <mergeCell ref="E39:J39"/>
    <mergeCell ref="E40:F40"/>
    <mergeCell ref="G40:H40"/>
    <mergeCell ref="I40:J40"/>
    <mergeCell ref="C33:C36"/>
    <mergeCell ref="B31:B32"/>
    <mergeCell ref="C31:C32"/>
    <mergeCell ref="D31:D32"/>
    <mergeCell ref="C24:G24"/>
  </mergeCells>
  <printOptions horizontalCentered="1"/>
  <pageMargins left="0.51181102362204722" right="0.23622047244094491" top="0.51181102362204722" bottom="0.23622047244094491" header="0.23622047244094491" footer="0.23622047244094491"/>
  <pageSetup paperSize="9" scale="69" orientation="portrait" horizontalDpi="4294967294" verticalDpi="4294967294" r:id="rId1"/>
  <headerFooter>
    <oddHeader>&amp;R&amp;"-,Regular"&amp;8WF.LK - 016-18 / REV : 0</oddHeader>
    <oddFooter xml:space="preserve">&amp;R&amp;"-,Regular"&amp;8&amp;K00-012Software Infusion Pump 2019
</oddFooter>
  </headerFooter>
  <rowBreaks count="1" manualBreakCount="1">
    <brk id="65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60"/>
  <sheetViews>
    <sheetView showGridLines="0" view="pageBreakPreview" topLeftCell="A55" zoomScaleNormal="100" zoomScaleSheetLayoutView="100" zoomScalePageLayoutView="80" workbookViewId="0">
      <selection activeCell="B68" sqref="B68:C68"/>
    </sheetView>
  </sheetViews>
  <sheetFormatPr defaultColWidth="9.1796875" defaultRowHeight="14" x14ac:dyDescent="0.25"/>
  <cols>
    <col min="1" max="2" width="4.54296875" style="59" customWidth="1"/>
    <col min="3" max="3" width="16.54296875" style="59" customWidth="1"/>
    <col min="4" max="4" width="2.453125" style="69" customWidth="1"/>
    <col min="5" max="5" width="8.81640625" style="59" customWidth="1"/>
    <col min="6" max="6" width="8.7265625" style="59" customWidth="1"/>
    <col min="7" max="7" width="10.81640625" style="59" customWidth="1"/>
    <col min="8" max="8" width="8.7265625" style="59" customWidth="1"/>
    <col min="9" max="9" width="10.1796875" style="59" customWidth="1"/>
    <col min="10" max="10" width="10.26953125" style="59" customWidth="1"/>
    <col min="11" max="11" width="12.26953125" style="59" customWidth="1"/>
    <col min="12" max="12" width="13.26953125" style="59" customWidth="1"/>
    <col min="13" max="13" width="12.54296875" style="59" customWidth="1"/>
    <col min="14" max="14" width="11" style="59" customWidth="1"/>
    <col min="15" max="16384" width="9.1796875" style="59"/>
  </cols>
  <sheetData>
    <row r="1" spans="1:20" ht="18" x14ac:dyDescent="0.25">
      <c r="A1" s="1165" t="s">
        <v>125</v>
      </c>
      <c r="B1" s="1165"/>
      <c r="C1" s="1165"/>
      <c r="D1" s="1165"/>
      <c r="E1" s="1165"/>
      <c r="F1" s="1165"/>
      <c r="G1" s="1165"/>
      <c r="H1" s="1165"/>
      <c r="I1" s="1165"/>
      <c r="J1" s="1165"/>
      <c r="K1" s="1165"/>
      <c r="L1" s="1165"/>
      <c r="M1" s="1165"/>
      <c r="N1" s="1165"/>
      <c r="O1" s="314"/>
      <c r="P1" s="30"/>
      <c r="Q1" s="30"/>
      <c r="R1" s="30"/>
      <c r="S1" s="30"/>
      <c r="T1" s="30"/>
    </row>
    <row r="2" spans="1:20" ht="15.5" x14ac:dyDescent="0.25">
      <c r="A2" s="68"/>
      <c r="B2" s="68"/>
      <c r="C2" s="172"/>
      <c r="D2" s="172"/>
      <c r="E2" s="1178" t="str">
        <f>IF(PENYELIA!J66&gt;=70,PENYELIA!B79,PENYELIA!B80)</f>
        <v>Nomor Sertifikat : 10 /</v>
      </c>
      <c r="F2" s="1178"/>
      <c r="G2" s="1178"/>
      <c r="H2" s="1178"/>
      <c r="I2" s="963" t="s">
        <v>126</v>
      </c>
      <c r="J2" s="312"/>
      <c r="K2" s="311"/>
      <c r="L2" s="313"/>
      <c r="M2" s="172"/>
      <c r="N2" s="66"/>
      <c r="O2" s="30" t="s">
        <v>127</v>
      </c>
      <c r="P2" s="30"/>
      <c r="Q2" s="30"/>
      <c r="R2" s="30"/>
      <c r="S2" s="30"/>
      <c r="T2" s="30"/>
    </row>
    <row r="3" spans="1:20" ht="15.5" x14ac:dyDescent="0.25">
      <c r="A3" s="68"/>
      <c r="B3" s="68"/>
      <c r="C3" s="68"/>
      <c r="D3" s="68"/>
      <c r="E3" s="65"/>
      <c r="F3" s="66"/>
      <c r="G3" s="66"/>
      <c r="H3" s="170"/>
      <c r="I3" s="171"/>
      <c r="K3" s="172"/>
      <c r="L3" s="173"/>
      <c r="M3" s="68"/>
      <c r="O3" s="30"/>
      <c r="P3" s="30"/>
      <c r="Q3" s="30"/>
      <c r="R3" s="30"/>
      <c r="S3" s="30"/>
      <c r="T3" s="30"/>
    </row>
    <row r="4" spans="1:20" ht="15.5" x14ac:dyDescent="0.25">
      <c r="A4" s="68"/>
      <c r="B4" s="68"/>
      <c r="C4" s="68"/>
      <c r="D4" s="68"/>
      <c r="E4" s="65"/>
      <c r="F4" s="66"/>
      <c r="G4" s="66"/>
      <c r="H4" s="170"/>
      <c r="I4" s="171"/>
      <c r="J4" s="172"/>
      <c r="K4" s="172"/>
      <c r="L4" s="173"/>
      <c r="M4" s="68"/>
      <c r="O4" s="30"/>
      <c r="P4" s="30"/>
      <c r="Q4" s="30"/>
      <c r="R4" s="30"/>
      <c r="S4" s="30"/>
      <c r="T4" s="30"/>
    </row>
    <row r="5" spans="1:20" x14ac:dyDescent="0.25">
      <c r="L5" s="70"/>
      <c r="M5" s="70"/>
      <c r="O5" s="30"/>
      <c r="P5" s="30"/>
      <c r="Q5" s="30"/>
      <c r="R5" s="30"/>
      <c r="S5" s="30"/>
      <c r="T5" s="30"/>
    </row>
    <row r="6" spans="1:20" x14ac:dyDescent="0.25">
      <c r="A6" s="59" t="s">
        <v>52</v>
      </c>
      <c r="D6" s="69" t="s">
        <v>59</v>
      </c>
      <c r="E6" s="374" t="s">
        <v>128</v>
      </c>
      <c r="F6" s="312"/>
      <c r="G6" s="312"/>
      <c r="L6" s="70"/>
      <c r="M6" s="70"/>
      <c r="O6" s="30"/>
      <c r="P6" s="30"/>
      <c r="Q6" s="30"/>
      <c r="R6" s="30"/>
      <c r="S6" s="30"/>
      <c r="T6" s="30"/>
    </row>
    <row r="7" spans="1:20" x14ac:dyDescent="0.25">
      <c r="A7" s="59" t="s">
        <v>54</v>
      </c>
      <c r="D7" s="69" t="s">
        <v>59</v>
      </c>
      <c r="E7" s="374" t="s">
        <v>129</v>
      </c>
      <c r="F7" s="312"/>
      <c r="G7" s="312"/>
      <c r="L7" s="70"/>
      <c r="M7" s="70"/>
      <c r="O7" s="30"/>
      <c r="P7" s="30"/>
      <c r="Q7" s="30"/>
      <c r="R7" s="30"/>
      <c r="S7" s="30"/>
      <c r="T7" s="30"/>
    </row>
    <row r="8" spans="1:20" x14ac:dyDescent="0.25">
      <c r="A8" s="59" t="s">
        <v>55</v>
      </c>
      <c r="D8" s="69" t="s">
        <v>59</v>
      </c>
      <c r="E8" s="372" t="s">
        <v>128</v>
      </c>
      <c r="F8" s="312"/>
      <c r="G8" s="312"/>
      <c r="L8" s="70"/>
      <c r="M8" s="70"/>
      <c r="O8" s="30"/>
      <c r="P8" s="30"/>
      <c r="Q8" s="30"/>
      <c r="R8" s="30"/>
      <c r="S8" s="30"/>
      <c r="T8" s="30"/>
    </row>
    <row r="9" spans="1:20" x14ac:dyDescent="0.25">
      <c r="A9" s="59" t="s">
        <v>56</v>
      </c>
      <c r="D9" s="69" t="s">
        <v>59</v>
      </c>
      <c r="E9" s="312" t="s">
        <v>130</v>
      </c>
      <c r="F9" s="312"/>
      <c r="L9" s="70"/>
      <c r="M9" s="70"/>
      <c r="O9" s="30"/>
      <c r="P9" s="30"/>
      <c r="Q9" s="30"/>
      <c r="R9" s="30"/>
      <c r="S9" s="30"/>
      <c r="T9" s="30"/>
    </row>
    <row r="10" spans="1:20" x14ac:dyDescent="0.25">
      <c r="A10" s="59" t="s">
        <v>58</v>
      </c>
      <c r="D10" s="69" t="s">
        <v>59</v>
      </c>
      <c r="E10" s="374" t="s">
        <v>531</v>
      </c>
      <c r="F10" s="374"/>
      <c r="G10" s="374"/>
      <c r="L10" s="70"/>
      <c r="M10" s="70"/>
      <c r="O10" s="30"/>
      <c r="P10" s="30"/>
      <c r="Q10" s="30"/>
      <c r="R10" s="30"/>
      <c r="S10" s="30"/>
      <c r="T10" s="30"/>
    </row>
    <row r="11" spans="1:20" x14ac:dyDescent="0.25">
      <c r="A11" s="59" t="s">
        <v>131</v>
      </c>
      <c r="D11" s="69" t="s">
        <v>59</v>
      </c>
      <c r="E11" s="374" t="str">
        <f>E10</f>
        <v>2 Agustus 2022</v>
      </c>
      <c r="F11" s="374"/>
      <c r="G11" s="374"/>
      <c r="L11" s="70"/>
      <c r="M11" s="70"/>
      <c r="O11" s="30"/>
      <c r="P11" s="30"/>
      <c r="Q11" s="30"/>
      <c r="R11" s="30"/>
      <c r="S11" s="30"/>
      <c r="T11" s="30"/>
    </row>
    <row r="12" spans="1:20" x14ac:dyDescent="0.25">
      <c r="A12" s="59" t="s">
        <v>132</v>
      </c>
      <c r="D12" s="69" t="s">
        <v>59</v>
      </c>
      <c r="E12" s="372" t="s">
        <v>133</v>
      </c>
      <c r="F12" s="312"/>
      <c r="G12" s="312"/>
      <c r="L12" s="70"/>
      <c r="M12" s="70"/>
      <c r="O12" s="30"/>
      <c r="P12" s="30"/>
      <c r="Q12" s="30"/>
      <c r="R12" s="30"/>
      <c r="S12" s="30"/>
      <c r="T12" s="30"/>
    </row>
    <row r="13" spans="1:20" x14ac:dyDescent="0.25">
      <c r="A13" s="59" t="s">
        <v>134</v>
      </c>
      <c r="D13" s="69" t="s">
        <v>59</v>
      </c>
      <c r="E13" s="372" t="s">
        <v>128</v>
      </c>
      <c r="F13" s="312"/>
      <c r="G13" s="312"/>
      <c r="L13" s="70"/>
      <c r="M13" s="70"/>
      <c r="O13" s="30"/>
      <c r="P13" s="30"/>
      <c r="Q13" s="30"/>
      <c r="R13" s="30"/>
      <c r="S13" s="30"/>
      <c r="T13" s="30"/>
    </row>
    <row r="14" spans="1:20" ht="14.25" customHeight="1" x14ac:dyDescent="0.25">
      <c r="A14" s="59" t="s">
        <v>135</v>
      </c>
      <c r="D14" s="69" t="s">
        <v>59</v>
      </c>
      <c r="E14" s="407" t="s">
        <v>136</v>
      </c>
      <c r="L14" s="70"/>
      <c r="M14" s="70"/>
      <c r="O14" s="30"/>
      <c r="P14" s="30"/>
      <c r="Q14" s="30"/>
      <c r="R14" s="30"/>
      <c r="S14" s="30"/>
      <c r="T14" s="30"/>
    </row>
    <row r="15" spans="1:20" ht="14.25" customHeight="1" x14ac:dyDescent="0.25">
      <c r="L15" s="70"/>
      <c r="M15" s="70"/>
      <c r="O15" s="30"/>
      <c r="P15" s="30"/>
      <c r="Q15" s="30"/>
      <c r="R15" s="30"/>
      <c r="S15" s="30"/>
      <c r="T15" s="30"/>
    </row>
    <row r="16" spans="1:20" x14ac:dyDescent="0.25">
      <c r="A16" s="68" t="s">
        <v>137</v>
      </c>
      <c r="B16" s="68" t="s">
        <v>64</v>
      </c>
      <c r="C16" s="68"/>
      <c r="D16" s="71"/>
      <c r="O16" s="30"/>
      <c r="P16" s="30"/>
      <c r="Q16" s="30"/>
      <c r="R16" s="30"/>
      <c r="S16" s="30"/>
      <c r="T16" s="30"/>
    </row>
    <row r="17" spans="1:20" ht="31.5" customHeight="1" x14ac:dyDescent="0.25">
      <c r="B17" s="68"/>
      <c r="C17" s="68"/>
      <c r="D17" s="71"/>
      <c r="E17" s="181" t="s">
        <v>4</v>
      </c>
      <c r="F17" s="181" t="s">
        <v>5</v>
      </c>
      <c r="G17" s="420" t="s">
        <v>103</v>
      </c>
      <c r="H17" s="72"/>
      <c r="I17" s="73"/>
      <c r="J17" s="74"/>
      <c r="O17" s="30"/>
      <c r="P17" s="30"/>
      <c r="Q17" s="30"/>
      <c r="R17" s="30"/>
      <c r="S17" s="30"/>
      <c r="T17" s="30"/>
    </row>
    <row r="18" spans="1:20" ht="14.25" customHeight="1" x14ac:dyDescent="0.25">
      <c r="B18" s="59" t="s">
        <v>65</v>
      </c>
      <c r="D18" s="69" t="s">
        <v>59</v>
      </c>
      <c r="E18" s="1014">
        <v>20.5</v>
      </c>
      <c r="F18" s="1014">
        <v>20.6</v>
      </c>
      <c r="G18" s="421">
        <f>'DB Suhu'!U377</f>
        <v>20.595392997225307</v>
      </c>
      <c r="H18" s="75" t="s">
        <v>138</v>
      </c>
      <c r="I18" s="75"/>
      <c r="J18" s="76"/>
      <c r="O18" s="30"/>
      <c r="P18" s="30"/>
      <c r="Q18" s="30"/>
      <c r="R18" s="30"/>
      <c r="S18" s="30"/>
      <c r="T18" s="30"/>
    </row>
    <row r="19" spans="1:20" ht="14.25" customHeight="1" x14ac:dyDescent="0.25">
      <c r="B19" s="59" t="s">
        <v>67</v>
      </c>
      <c r="D19" s="69" t="s">
        <v>59</v>
      </c>
      <c r="E19" s="1014">
        <v>66.8</v>
      </c>
      <c r="F19" s="1014">
        <v>67.2</v>
      </c>
      <c r="G19" s="421">
        <f>'DB Suhu'!U378</f>
        <v>66.435714285714283</v>
      </c>
      <c r="H19" s="75" t="s">
        <v>68</v>
      </c>
      <c r="I19" s="75"/>
      <c r="J19" s="76"/>
      <c r="O19" s="30"/>
      <c r="P19" s="30"/>
      <c r="Q19" s="30"/>
      <c r="R19" s="30"/>
      <c r="S19" s="30"/>
      <c r="T19" s="30"/>
    </row>
    <row r="20" spans="1:20" ht="15" customHeight="1" x14ac:dyDescent="0.25">
      <c r="B20" s="59" t="s">
        <v>69</v>
      </c>
      <c r="D20" s="69" t="s">
        <v>59</v>
      </c>
      <c r="E20" s="1164">
        <v>212</v>
      </c>
      <c r="F20" s="1164"/>
      <c r="G20" s="421">
        <f>'DB ESA'!O268</f>
        <v>211.8043155216285</v>
      </c>
      <c r="H20" s="77" t="s">
        <v>70</v>
      </c>
      <c r="I20" s="75"/>
      <c r="J20" s="76"/>
      <c r="O20" s="30"/>
      <c r="P20" s="30"/>
      <c r="Q20" s="30"/>
      <c r="R20" s="30"/>
      <c r="S20" s="30"/>
      <c r="T20" s="30"/>
    </row>
    <row r="21" spans="1:20" ht="14.25" customHeight="1" x14ac:dyDescent="0.25">
      <c r="J21" s="78"/>
      <c r="O21" s="30"/>
      <c r="P21" s="30"/>
      <c r="Q21" s="30"/>
      <c r="R21" s="30"/>
      <c r="S21" s="30"/>
      <c r="T21" s="30"/>
    </row>
    <row r="22" spans="1:20" ht="16.5" x14ac:dyDescent="0.25">
      <c r="A22" s="68" t="s">
        <v>139</v>
      </c>
      <c r="B22" s="68" t="s">
        <v>140</v>
      </c>
      <c r="C22" s="68"/>
      <c r="D22" s="71"/>
      <c r="H22" s="79"/>
      <c r="J22" s="78"/>
      <c r="O22" s="30"/>
      <c r="P22" s="30"/>
      <c r="Q22" s="30"/>
      <c r="R22" s="30"/>
      <c r="S22" s="30"/>
      <c r="T22" s="30"/>
    </row>
    <row r="23" spans="1:20" ht="15.75" customHeight="1" x14ac:dyDescent="0.25">
      <c r="B23" s="59" t="s">
        <v>73</v>
      </c>
      <c r="D23" s="69" t="s">
        <v>59</v>
      </c>
      <c r="E23" s="312" t="s">
        <v>141</v>
      </c>
      <c r="G23" s="80"/>
      <c r="H23" s="80"/>
      <c r="I23" s="80"/>
      <c r="J23" s="80"/>
      <c r="K23" s="80"/>
      <c r="O23" s="30"/>
      <c r="P23" s="30"/>
      <c r="Q23" s="30"/>
      <c r="R23" s="30"/>
      <c r="S23" s="30"/>
      <c r="T23" s="30"/>
    </row>
    <row r="24" spans="1:20" ht="14.5" x14ac:dyDescent="0.25">
      <c r="B24" s="59" t="s">
        <v>75</v>
      </c>
      <c r="D24" s="69" t="s">
        <v>59</v>
      </c>
      <c r="E24" s="312" t="s">
        <v>141</v>
      </c>
      <c r="G24" s="80"/>
      <c r="H24" s="80"/>
      <c r="I24" s="80"/>
      <c r="J24" s="80"/>
      <c r="K24" s="80"/>
      <c r="O24" s="30"/>
      <c r="P24" s="30" t="str">
        <f>B51</f>
        <v>Tidak terdapat grounding di ruangan</v>
      </c>
      <c r="Q24" s="30"/>
      <c r="R24" s="30"/>
      <c r="S24" s="30"/>
      <c r="T24" s="30"/>
    </row>
    <row r="25" spans="1:20" ht="14.25" customHeight="1" x14ac:dyDescent="0.25">
      <c r="H25" s="79"/>
      <c r="J25" s="78"/>
      <c r="O25" s="30"/>
      <c r="P25" s="30" t="str">
        <f>E2</f>
        <v>Nomor Sertifikat : 10 /</v>
      </c>
      <c r="Q25" s="30"/>
      <c r="R25" s="30"/>
      <c r="S25" s="30"/>
      <c r="T25" s="30"/>
    </row>
    <row r="26" spans="1:20" ht="16.5" customHeight="1" x14ac:dyDescent="0.25">
      <c r="A26" s="68" t="s">
        <v>76</v>
      </c>
      <c r="B26" s="68" t="s">
        <v>142</v>
      </c>
      <c r="C26" s="68"/>
      <c r="D26" s="71"/>
      <c r="H26" s="79"/>
      <c r="J26" s="78"/>
      <c r="O26" s="30"/>
      <c r="P26" s="30">
        <f>PENYELIA!J66</f>
        <v>70</v>
      </c>
      <c r="Q26" s="30"/>
      <c r="R26" s="30"/>
      <c r="S26" s="30"/>
      <c r="T26" s="30"/>
    </row>
    <row r="27" spans="1:20" ht="30" customHeight="1" x14ac:dyDescent="0.25">
      <c r="B27" s="81" t="s">
        <v>77</v>
      </c>
      <c r="C27" s="1122" t="s">
        <v>78</v>
      </c>
      <c r="D27" s="1123"/>
      <c r="E27" s="1123"/>
      <c r="F27" s="1123"/>
      <c r="G27" s="1123"/>
      <c r="H27" s="1124"/>
      <c r="I27" s="1122" t="s">
        <v>79</v>
      </c>
      <c r="J27" s="1124"/>
      <c r="K27" s="1122" t="s">
        <v>80</v>
      </c>
      <c r="L27" s="1124"/>
      <c r="N27" s="82"/>
      <c r="O27" s="30"/>
      <c r="P27" s="30" t="str">
        <f>PENYELIA!B56</f>
        <v>Alat yang diuji dalam batas toleransi dan dinyatakan LAIK PAKAI, dimana hasil atau skor akhir sama dengan atau melampaui 70% berdasarkan Keputusan Direktur Jenderal Pelayanan Kesehatan No : HK.02.02/V/0412/2020</v>
      </c>
      <c r="Q27" s="30"/>
      <c r="R27" s="30"/>
      <c r="S27" s="30"/>
      <c r="T27" s="30"/>
    </row>
    <row r="28" spans="1:20" ht="18" customHeight="1" x14ac:dyDescent="0.25">
      <c r="B28" s="105">
        <v>1</v>
      </c>
      <c r="C28" s="106" t="str">
        <f>LK!C25</f>
        <v xml:space="preserve">Resistansi isolasi </v>
      </c>
      <c r="D28" s="107"/>
      <c r="E28" s="107"/>
      <c r="F28" s="107"/>
      <c r="G28" s="107"/>
      <c r="H28" s="107"/>
      <c r="I28" s="1015" t="s">
        <v>143</v>
      </c>
      <c r="J28" s="84" t="s">
        <v>82</v>
      </c>
      <c r="K28" s="1169">
        <v>2</v>
      </c>
      <c r="L28" s="1170"/>
      <c r="N28" s="82"/>
      <c r="O28" s="30"/>
      <c r="P28" s="30"/>
      <c r="Q28" s="30"/>
      <c r="R28" s="30"/>
      <c r="S28" s="30"/>
      <c r="T28" s="30"/>
    </row>
    <row r="29" spans="1:20" ht="14.25" customHeight="1" x14ac:dyDescent="0.25">
      <c r="B29" s="422">
        <v>2</v>
      </c>
      <c r="C29" s="1133" t="s">
        <v>144</v>
      </c>
      <c r="D29" s="1134"/>
      <c r="E29" s="1134"/>
      <c r="F29" s="1134"/>
      <c r="G29" s="1134"/>
      <c r="H29" s="1135"/>
      <c r="I29" s="1016">
        <v>0.215</v>
      </c>
      <c r="J29" s="104" t="s">
        <v>85</v>
      </c>
      <c r="K29" s="1171">
        <f>IF(C29=PENYELIA!V25,PENYELIA!AB25,PENYELIA!AB26)</f>
        <v>0.2</v>
      </c>
      <c r="L29" s="1172"/>
      <c r="N29" s="85"/>
      <c r="O29" s="30"/>
      <c r="P29" s="1139" t="s">
        <v>145</v>
      </c>
      <c r="Q29" s="1140"/>
      <c r="R29" s="1143" t="s">
        <v>88</v>
      </c>
      <c r="S29" s="1143" t="s">
        <v>94</v>
      </c>
      <c r="T29" s="30"/>
    </row>
    <row r="30" spans="1:20" ht="15.75" customHeight="1" x14ac:dyDescent="0.25">
      <c r="B30" s="423">
        <v>3</v>
      </c>
      <c r="C30" s="1175" t="s">
        <v>146</v>
      </c>
      <c r="D30" s="1176"/>
      <c r="E30" s="1176"/>
      <c r="F30" s="1176"/>
      <c r="G30" s="1176"/>
      <c r="H30" s="1177"/>
      <c r="I30" s="1017" t="s">
        <v>128</v>
      </c>
      <c r="J30" s="86" t="s">
        <v>88</v>
      </c>
      <c r="K30" s="1173">
        <f>IF(C30=PENYELIA!V27,PENYELIA!AB27,PENYELIA!AB28)</f>
        <v>500</v>
      </c>
      <c r="L30" s="1174"/>
      <c r="O30" s="30"/>
      <c r="P30" s="1141"/>
      <c r="Q30" s="1142"/>
      <c r="R30" s="1144"/>
      <c r="S30" s="1144"/>
      <c r="T30" s="30"/>
    </row>
    <row r="31" spans="1:20" ht="15.75" customHeight="1" x14ac:dyDescent="0.25">
      <c r="B31" s="69"/>
      <c r="C31" s="1072"/>
      <c r="D31" s="1072"/>
      <c r="E31" s="1072"/>
      <c r="F31" s="1072"/>
      <c r="G31" s="1072"/>
      <c r="H31" s="1072"/>
      <c r="I31" s="1073"/>
      <c r="J31" s="1074"/>
      <c r="K31" s="1075"/>
      <c r="L31" s="1075"/>
      <c r="O31" s="30"/>
      <c r="P31" s="1052"/>
      <c r="Q31" s="1053"/>
      <c r="R31" s="1054"/>
      <c r="S31" s="1054"/>
      <c r="T31" s="30"/>
    </row>
    <row r="32" spans="1:20" ht="14.25" customHeight="1" x14ac:dyDescent="0.25">
      <c r="B32" s="103"/>
      <c r="C32" s="1136"/>
      <c r="D32" s="1136"/>
      <c r="E32" s="1136"/>
      <c r="F32" s="1136"/>
      <c r="G32" s="1136"/>
      <c r="H32" s="1136"/>
      <c r="L32" s="70"/>
      <c r="M32" s="70"/>
      <c r="O32" s="30"/>
      <c r="P32" s="241" t="s">
        <v>147</v>
      </c>
      <c r="Q32" s="41" t="s">
        <v>148</v>
      </c>
      <c r="R32" s="424">
        <v>10</v>
      </c>
      <c r="S32" s="402">
        <v>100</v>
      </c>
      <c r="T32" s="30"/>
    </row>
    <row r="33" spans="1:20" x14ac:dyDescent="0.25">
      <c r="A33" s="68" t="s">
        <v>90</v>
      </c>
      <c r="B33" s="68" t="s">
        <v>149</v>
      </c>
      <c r="C33" s="68"/>
      <c r="D33" s="71"/>
      <c r="E33" s="68"/>
      <c r="F33" s="68"/>
      <c r="G33" s="68"/>
      <c r="H33" s="69"/>
      <c r="L33" s="70"/>
      <c r="M33" s="70"/>
      <c r="O33" s="30"/>
      <c r="P33" s="30"/>
      <c r="Q33" s="30"/>
      <c r="R33" s="30"/>
      <c r="S33" s="30"/>
      <c r="T33" s="30"/>
    </row>
    <row r="34" spans="1:20" ht="30" customHeight="1" x14ac:dyDescent="0.25">
      <c r="B34" s="1148" t="s">
        <v>91</v>
      </c>
      <c r="C34" s="1148" t="s">
        <v>78</v>
      </c>
      <c r="D34" s="1129" t="s">
        <v>92</v>
      </c>
      <c r="E34" s="1130"/>
      <c r="F34" s="1126" t="s">
        <v>93</v>
      </c>
      <c r="G34" s="1127"/>
      <c r="H34" s="1127"/>
      <c r="I34" s="1127"/>
      <c r="J34" s="1127"/>
      <c r="K34" s="1128"/>
      <c r="L34" s="1125" t="s">
        <v>103</v>
      </c>
      <c r="M34" s="1116" t="s">
        <v>150</v>
      </c>
      <c r="N34" s="1125" t="s">
        <v>94</v>
      </c>
      <c r="O34" s="44"/>
      <c r="P34" s="30"/>
      <c r="Q34" s="30"/>
      <c r="R34" s="30"/>
      <c r="S34" s="30"/>
      <c r="T34" s="30"/>
    </row>
    <row r="35" spans="1:20" ht="18" customHeight="1" x14ac:dyDescent="0.25">
      <c r="B35" s="1149"/>
      <c r="C35" s="1149"/>
      <c r="D35" s="1131"/>
      <c r="E35" s="1132"/>
      <c r="F35" s="87" t="s">
        <v>95</v>
      </c>
      <c r="G35" s="87" t="s">
        <v>96</v>
      </c>
      <c r="H35" s="87" t="s">
        <v>97</v>
      </c>
      <c r="I35" s="87" t="s">
        <v>98</v>
      </c>
      <c r="J35" s="88" t="s">
        <v>99</v>
      </c>
      <c r="K35" s="373" t="s">
        <v>100</v>
      </c>
      <c r="L35" s="1125"/>
      <c r="M35" s="1116"/>
      <c r="N35" s="1125"/>
      <c r="O35" s="44"/>
      <c r="P35" s="30"/>
      <c r="Q35" s="399"/>
      <c r="R35" s="399"/>
      <c r="S35" s="399"/>
      <c r="T35" s="399"/>
    </row>
    <row r="36" spans="1:20" ht="30" customHeight="1" x14ac:dyDescent="0.25">
      <c r="B36" s="105">
        <v>1</v>
      </c>
      <c r="C36" s="1150" t="s">
        <v>101</v>
      </c>
      <c r="D36" s="1146">
        <v>2</v>
      </c>
      <c r="E36" s="1147"/>
      <c r="F36" s="1018">
        <v>2121.3000000000002</v>
      </c>
      <c r="G36" s="1018">
        <v>2122</v>
      </c>
      <c r="H36" s="1018">
        <v>2121.3000000000002</v>
      </c>
      <c r="I36" s="1018">
        <v>2122</v>
      </c>
      <c r="J36" s="1018">
        <v>2121.3000000000002</v>
      </c>
      <c r="K36" s="1018">
        <v>2122</v>
      </c>
      <c r="L36" s="1045">
        <f>'DB TACHO'!D209</f>
        <v>2121.763711498108</v>
      </c>
      <c r="M36" s="415">
        <f>STDEV(F36:K36)/L36*100</f>
        <v>1.8070145519776395E-2</v>
      </c>
      <c r="N36" s="1166">
        <v>10</v>
      </c>
      <c r="O36" s="408"/>
      <c r="P36" s="30"/>
      <c r="Q36" s="399"/>
      <c r="R36" s="399"/>
      <c r="S36" s="399"/>
      <c r="T36" s="399"/>
    </row>
    <row r="37" spans="1:20" ht="30" customHeight="1" x14ac:dyDescent="0.25">
      <c r="B37" s="108">
        <v>2</v>
      </c>
      <c r="C37" s="1151"/>
      <c r="D37" s="1137">
        <v>4</v>
      </c>
      <c r="E37" s="1138"/>
      <c r="F37" s="1019">
        <v>4042.1</v>
      </c>
      <c r="G37" s="1019">
        <v>4043.2</v>
      </c>
      <c r="H37" s="1019">
        <v>4042.1</v>
      </c>
      <c r="I37" s="1019">
        <v>4043.2</v>
      </c>
      <c r="J37" s="1019">
        <v>4042.1</v>
      </c>
      <c r="K37" s="1019">
        <v>4043.2</v>
      </c>
      <c r="L37" s="1045">
        <f>'DB TACHO'!D210</f>
        <v>4042.5481741702233</v>
      </c>
      <c r="M37" s="415">
        <f>STDEV(F37:K37)/L37*100</f>
        <v>1.490383756228957E-2</v>
      </c>
      <c r="N37" s="1167"/>
      <c r="O37" s="408"/>
      <c r="P37" s="30"/>
      <c r="Q37" s="1120" t="s">
        <v>151</v>
      </c>
      <c r="R37" s="1120"/>
      <c r="S37" s="1120"/>
      <c r="T37" s="1120"/>
    </row>
    <row r="38" spans="1:20" ht="30" customHeight="1" x14ac:dyDescent="0.25">
      <c r="B38" s="108">
        <v>3</v>
      </c>
      <c r="C38" s="1151"/>
      <c r="D38" s="1137">
        <v>7</v>
      </c>
      <c r="E38" s="1138"/>
      <c r="F38" s="1019">
        <v>7214</v>
      </c>
      <c r="G38" s="1019">
        <v>7215.2</v>
      </c>
      <c r="H38" s="1019">
        <v>7214</v>
      </c>
      <c r="I38" s="1019">
        <v>7215.2</v>
      </c>
      <c r="J38" s="1019">
        <v>7214</v>
      </c>
      <c r="K38" s="1019">
        <v>7215.2</v>
      </c>
      <c r="L38" s="1045">
        <f>'DB TACHO'!D211</f>
        <v>7214.1422795178642</v>
      </c>
      <c r="M38" s="415">
        <f t="shared" ref="M38" si="0">STDEV(F38:K38)/L38*100</f>
        <v>9.1108137813165815E-3</v>
      </c>
      <c r="N38" s="1167"/>
      <c r="O38" s="408"/>
      <c r="P38" s="30"/>
      <c r="Q38" s="1121" t="s">
        <v>152</v>
      </c>
      <c r="R38" s="1121" t="s">
        <v>153</v>
      </c>
      <c r="S38" s="1120" t="s">
        <v>154</v>
      </c>
      <c r="T38" s="1121"/>
    </row>
    <row r="39" spans="1:20" ht="30" customHeight="1" x14ac:dyDescent="0.25">
      <c r="B39" s="110">
        <v>4</v>
      </c>
      <c r="C39" s="1152"/>
      <c r="D39" s="1137">
        <v>9</v>
      </c>
      <c r="E39" s="1138"/>
      <c r="F39" s="1018">
        <v>9364</v>
      </c>
      <c r="G39" s="1018">
        <v>9362</v>
      </c>
      <c r="H39" s="1018">
        <v>9362</v>
      </c>
      <c r="I39" s="1018">
        <v>9364</v>
      </c>
      <c r="J39" s="1018">
        <v>9365</v>
      </c>
      <c r="K39" s="1018">
        <v>9366</v>
      </c>
      <c r="L39" s="1045">
        <f>'DB TACHO'!D212</f>
        <v>9363.1344676093104</v>
      </c>
      <c r="M39" s="415">
        <f>STDEV(F39:K39)/L39*100</f>
        <v>1.7110530499182094E-2</v>
      </c>
      <c r="N39" s="1168"/>
      <c r="O39" s="408"/>
      <c r="P39" s="30"/>
      <c r="Q39" s="1121"/>
      <c r="R39" s="1121"/>
      <c r="S39" s="1120"/>
      <c r="T39" s="1121"/>
    </row>
    <row r="40" spans="1:20" ht="30" customHeight="1" x14ac:dyDescent="0.25">
      <c r="B40" s="1076"/>
      <c r="C40" s="1077"/>
      <c r="D40" s="1078"/>
      <c r="E40" s="1079"/>
      <c r="F40" s="1080"/>
      <c r="G40" s="1080"/>
      <c r="H40" s="1080"/>
      <c r="I40" s="1080"/>
      <c r="J40" s="1080"/>
      <c r="K40" s="1080"/>
      <c r="L40" s="1081"/>
      <c r="M40" s="417"/>
      <c r="N40" s="1082"/>
      <c r="O40" s="408"/>
      <c r="P40" s="30"/>
      <c r="Q40" s="414"/>
      <c r="R40" s="414"/>
      <c r="S40" s="409"/>
      <c r="T40" s="414"/>
    </row>
    <row r="41" spans="1:20" ht="14.25" customHeight="1" x14ac:dyDescent="0.25">
      <c r="B41" s="83"/>
      <c r="C41" s="83"/>
      <c r="D41" s="89"/>
      <c r="E41" s="89"/>
      <c r="F41" s="90"/>
      <c r="G41" s="90"/>
      <c r="H41" s="90"/>
      <c r="I41" s="90"/>
      <c r="J41" s="90"/>
      <c r="K41" s="90"/>
      <c r="L41" s="416"/>
      <c r="M41" s="417"/>
      <c r="N41" s="416"/>
      <c r="O41" s="408"/>
      <c r="P41" s="30"/>
      <c r="Q41" s="409">
        <f>(100+100+100+100+100+100)/6</f>
        <v>100</v>
      </c>
      <c r="R41" s="409">
        <f>100+(-0.07)</f>
        <v>99.93</v>
      </c>
      <c r="S41" s="409">
        <f>99.93-100</f>
        <v>-6.9999999999993179E-2</v>
      </c>
      <c r="T41" s="410">
        <f>0.07/100*100</f>
        <v>7.0000000000000007E-2</v>
      </c>
    </row>
    <row r="42" spans="1:20" ht="30" customHeight="1" x14ac:dyDescent="0.25">
      <c r="B42" s="1148" t="str">
        <f>B34</f>
        <v>No</v>
      </c>
      <c r="C42" s="1129" t="str">
        <f>C34</f>
        <v>Parameter</v>
      </c>
      <c r="D42" s="1129" t="s">
        <v>92</v>
      </c>
      <c r="E42" s="1130"/>
      <c r="F42" s="1126" t="s">
        <v>93</v>
      </c>
      <c r="G42" s="1127"/>
      <c r="H42" s="1127"/>
      <c r="I42" s="1127"/>
      <c r="J42" s="1127"/>
      <c r="K42" s="1128"/>
      <c r="L42" s="1156" t="s">
        <v>103</v>
      </c>
      <c r="M42" s="1116" t="s">
        <v>154</v>
      </c>
      <c r="N42" s="1158" t="s">
        <v>94</v>
      </c>
      <c r="O42" s="408"/>
      <c r="P42" s="30"/>
      <c r="Q42" s="409">
        <f>(150+150+150+150+150+150)/6</f>
        <v>150</v>
      </c>
      <c r="R42" s="409">
        <f>150+(-0.08)</f>
        <v>149.91999999999999</v>
      </c>
      <c r="S42" s="409">
        <f>149.92-150</f>
        <v>-8.0000000000012506E-2</v>
      </c>
      <c r="T42" s="410">
        <f>0.08/150*100</f>
        <v>5.3333333333333337E-2</v>
      </c>
    </row>
    <row r="43" spans="1:20" ht="16.5" customHeight="1" x14ac:dyDescent="0.25">
      <c r="B43" s="1149"/>
      <c r="C43" s="1131"/>
      <c r="D43" s="1131"/>
      <c r="E43" s="1132"/>
      <c r="F43" s="1126" t="s">
        <v>95</v>
      </c>
      <c r="G43" s="1128"/>
      <c r="H43" s="1126" t="s">
        <v>96</v>
      </c>
      <c r="I43" s="1128"/>
      <c r="J43" s="1126" t="s">
        <v>97</v>
      </c>
      <c r="K43" s="1128"/>
      <c r="L43" s="1157"/>
      <c r="M43" s="1116"/>
      <c r="N43" s="1159"/>
      <c r="O43" s="408"/>
      <c r="P43" s="30"/>
      <c r="Q43" s="409">
        <f>(200+200+200+200+200+200)/6</f>
        <v>200</v>
      </c>
      <c r="R43" s="409">
        <f>200+(-0.08)</f>
        <v>199.92</v>
      </c>
      <c r="S43" s="409">
        <f>199.92-200</f>
        <v>-8.0000000000012506E-2</v>
      </c>
      <c r="T43" s="409">
        <f>0.08/200*100</f>
        <v>0.04</v>
      </c>
    </row>
    <row r="44" spans="1:20" ht="30" customHeight="1" x14ac:dyDescent="0.25">
      <c r="B44" s="109">
        <v>5</v>
      </c>
      <c r="C44" s="81" t="s">
        <v>104</v>
      </c>
      <c r="D44" s="1162">
        <v>300</v>
      </c>
      <c r="E44" s="1163"/>
      <c r="F44" s="1160">
        <v>400</v>
      </c>
      <c r="G44" s="1161"/>
      <c r="H44" s="1160">
        <v>401</v>
      </c>
      <c r="I44" s="1161"/>
      <c r="J44" s="1160">
        <v>402</v>
      </c>
      <c r="K44" s="1161"/>
      <c r="L44" s="418">
        <f>'DB Stopwatch'!D227</f>
        <v>400.99894143489377</v>
      </c>
      <c r="M44" s="1045">
        <f>L44-D44</f>
        <v>100.99894143489377</v>
      </c>
      <c r="N44" s="419">
        <v>10</v>
      </c>
      <c r="O44" s="408"/>
      <c r="P44" s="30"/>
      <c r="Q44" s="409">
        <v>500</v>
      </c>
      <c r="R44" s="409"/>
      <c r="S44" s="409"/>
      <c r="T44" s="409"/>
    </row>
    <row r="45" spans="1:20" ht="14.25" customHeight="1" x14ac:dyDescent="0.25">
      <c r="B45" s="92"/>
      <c r="C45" s="93"/>
      <c r="D45" s="93"/>
      <c r="E45" s="94"/>
      <c r="F45" s="91"/>
      <c r="G45" s="91"/>
      <c r="H45" s="91"/>
      <c r="I45" s="91"/>
      <c r="J45" s="91"/>
      <c r="K45" s="91"/>
      <c r="L45" s="95"/>
      <c r="M45" s="96"/>
      <c r="N45" s="85"/>
      <c r="O45" s="408"/>
      <c r="P45" s="30"/>
      <c r="Q45" s="411"/>
      <c r="R45" s="411"/>
      <c r="S45" s="412"/>
      <c r="T45" s="412"/>
    </row>
    <row r="46" spans="1:20" x14ac:dyDescent="0.25">
      <c r="A46" s="97" t="s">
        <v>105</v>
      </c>
      <c r="B46" s="98" t="s">
        <v>106</v>
      </c>
      <c r="C46" s="98"/>
      <c r="D46" s="71"/>
      <c r="E46" s="95"/>
      <c r="F46" s="1011"/>
      <c r="G46" s="1011"/>
      <c r="H46" s="1011"/>
      <c r="I46" s="1011"/>
      <c r="J46" s="1011"/>
      <c r="K46" s="1011"/>
      <c r="L46" s="1011"/>
      <c r="M46" s="1011"/>
      <c r="N46" s="69"/>
      <c r="O46" s="413"/>
      <c r="P46" s="30"/>
      <c r="Q46" s="1121" t="s">
        <v>155</v>
      </c>
      <c r="R46" s="1121"/>
      <c r="S46" s="412"/>
      <c r="T46" s="412"/>
    </row>
    <row r="47" spans="1:20" ht="15" customHeight="1" x14ac:dyDescent="0.25">
      <c r="B47" s="1020" t="s">
        <v>156</v>
      </c>
      <c r="C47" s="407"/>
      <c r="E47" s="95"/>
      <c r="F47" s="1011"/>
      <c r="G47" s="1011"/>
      <c r="H47" s="1011"/>
      <c r="I47" s="1011"/>
      <c r="J47" s="1011"/>
      <c r="K47" s="80"/>
      <c r="L47" s="80"/>
      <c r="M47" s="99"/>
      <c r="N47" s="99"/>
      <c r="O47" s="30"/>
      <c r="P47" s="30"/>
      <c r="Q47" s="414"/>
      <c r="R47" s="414"/>
      <c r="S47" s="412"/>
      <c r="T47" s="412"/>
    </row>
    <row r="48" spans="1:20" ht="15" customHeight="1" x14ac:dyDescent="0.25">
      <c r="B48" s="1021" t="str">
        <f>'DB ESA'!N311</f>
        <v>Hasil pengukuran keselamatan listrik tertelusur ke Satuan Internasional ( SI ) melalui PT. Kaliman (LK-032-IDN)</v>
      </c>
      <c r="C48" s="407"/>
      <c r="E48" s="95"/>
      <c r="F48" s="1011"/>
      <c r="G48" s="1011"/>
      <c r="H48" s="1011"/>
      <c r="I48" s="1011"/>
      <c r="J48" s="1011"/>
      <c r="K48" s="80"/>
      <c r="L48" s="80"/>
      <c r="M48" s="99"/>
      <c r="N48" s="99"/>
      <c r="O48" s="30"/>
      <c r="P48" s="30"/>
      <c r="Q48" s="1155">
        <f>11+0.004</f>
        <v>11.004</v>
      </c>
      <c r="R48" s="1155"/>
      <c r="S48" s="412"/>
      <c r="T48" s="412"/>
    </row>
    <row r="49" spans="1:20" ht="15" customHeight="1" x14ac:dyDescent="0.25">
      <c r="B49" s="1021" t="str">
        <f>'DB TACHO'!S226</f>
        <v>Hasil kalibrasi kecepatan tertelusur ke Satuan Internasional ( SI ) melalui PT KALIMAN</v>
      </c>
      <c r="C49" s="407"/>
      <c r="E49" s="95"/>
      <c r="F49" s="1011"/>
      <c r="G49" s="1011"/>
      <c r="H49" s="1011"/>
      <c r="I49" s="1011"/>
      <c r="J49" s="1011"/>
      <c r="K49" s="80"/>
      <c r="L49" s="80"/>
      <c r="M49" s="99"/>
      <c r="N49" s="99"/>
      <c r="O49" s="30"/>
      <c r="P49" s="30"/>
      <c r="Q49" s="30"/>
      <c r="R49" s="30"/>
      <c r="S49" s="30"/>
      <c r="T49" s="30"/>
    </row>
    <row r="50" spans="1:20" ht="15" customHeight="1" x14ac:dyDescent="0.25">
      <c r="B50" s="1021" t="str">
        <f>'DB Stopwatch'!O248</f>
        <v>Hasil pengukuran akurasi waktu tertelusur ke Satuan Internasional ( SI ) melalui PT KALIMAN</v>
      </c>
      <c r="C50" s="407"/>
      <c r="E50" s="95"/>
      <c r="F50" s="1011"/>
      <c r="G50" s="1011"/>
      <c r="H50" s="1011"/>
      <c r="I50" s="1011"/>
      <c r="J50" s="1011"/>
      <c r="K50" s="80"/>
      <c r="L50" s="80"/>
      <c r="M50" s="99"/>
      <c r="N50" s="99"/>
      <c r="O50" s="30"/>
      <c r="P50" s="30"/>
      <c r="Q50" s="30"/>
      <c r="R50" s="30"/>
      <c r="S50" s="30"/>
      <c r="T50" s="30"/>
    </row>
    <row r="51" spans="1:20" ht="15" customHeight="1" x14ac:dyDescent="0.25">
      <c r="B51" s="1022" t="str">
        <f>PENYELIA!V19</f>
        <v>Tidak terdapat grounding di ruangan</v>
      </c>
      <c r="K51" s="80"/>
      <c r="L51" s="80"/>
      <c r="M51" s="99"/>
      <c r="N51" s="99"/>
      <c r="O51" s="30"/>
      <c r="P51" s="30"/>
      <c r="Q51" s="30"/>
      <c r="R51" s="30"/>
      <c r="S51" s="30"/>
      <c r="T51" s="30"/>
    </row>
    <row r="52" spans="1:20" ht="14.5" x14ac:dyDescent="0.25">
      <c r="K52" s="100"/>
      <c r="L52" s="100"/>
      <c r="M52" s="101"/>
      <c r="N52" s="99"/>
      <c r="O52" s="30"/>
      <c r="P52" s="30"/>
      <c r="Q52" s="30"/>
      <c r="R52" s="30"/>
      <c r="S52" s="30"/>
      <c r="T52" s="30"/>
    </row>
    <row r="53" spans="1:20" ht="14.5" x14ac:dyDescent="0.25">
      <c r="K53" s="100"/>
      <c r="L53" s="100"/>
      <c r="M53" s="101"/>
      <c r="N53" s="99"/>
      <c r="O53" s="30"/>
      <c r="P53" s="30"/>
      <c r="Q53" s="30"/>
      <c r="R53" s="30"/>
      <c r="S53" s="30"/>
      <c r="T53" s="30"/>
    </row>
    <row r="54" spans="1:20" x14ac:dyDescent="0.25">
      <c r="A54" s="98" t="s">
        <v>107</v>
      </c>
      <c r="B54" s="98" t="s">
        <v>157</v>
      </c>
      <c r="C54" s="98"/>
      <c r="D54" s="71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30"/>
      <c r="P54" s="30"/>
      <c r="Q54" s="30"/>
      <c r="R54" s="30"/>
      <c r="S54" s="30"/>
      <c r="T54" s="30"/>
    </row>
    <row r="55" spans="1:20" x14ac:dyDescent="0.25">
      <c r="B55" s="1145" t="s">
        <v>343</v>
      </c>
      <c r="C55" s="1145"/>
      <c r="D55" s="1145"/>
      <c r="E55" s="1145"/>
      <c r="F55" s="1145"/>
      <c r="G55" s="1145"/>
      <c r="H55" s="1145"/>
      <c r="I55" s="1145"/>
      <c r="J55" s="1145"/>
      <c r="K55" s="1145"/>
      <c r="L55" s="1145"/>
      <c r="M55" s="69"/>
      <c r="N55" s="69"/>
      <c r="O55" s="30"/>
      <c r="P55" s="30"/>
      <c r="Q55" s="30"/>
      <c r="R55" s="30"/>
      <c r="S55" s="30"/>
      <c r="T55" s="30"/>
    </row>
    <row r="56" spans="1:20" x14ac:dyDescent="0.25">
      <c r="B56" s="1145" t="s">
        <v>159</v>
      </c>
      <c r="C56" s="1145"/>
      <c r="D56" s="1145"/>
      <c r="E56" s="1145"/>
      <c r="F56" s="1145"/>
      <c r="G56" s="1145"/>
      <c r="H56" s="1145"/>
      <c r="I56" s="1145"/>
      <c r="J56" s="1145"/>
      <c r="K56" s="1145"/>
      <c r="L56" s="1145"/>
      <c r="M56" s="69"/>
      <c r="N56" s="69"/>
      <c r="O56" s="30"/>
      <c r="P56" s="30"/>
      <c r="Q56" s="30"/>
      <c r="R56" s="30"/>
      <c r="S56" s="30"/>
      <c r="T56" s="30"/>
    </row>
    <row r="57" spans="1:20" x14ac:dyDescent="0.25">
      <c r="B57" s="1154" t="s">
        <v>160</v>
      </c>
      <c r="C57" s="1154"/>
      <c r="D57" s="1154"/>
      <c r="E57" s="1154"/>
      <c r="F57" s="1154"/>
      <c r="G57" s="1154"/>
      <c r="H57" s="1154"/>
      <c r="I57" s="1154"/>
      <c r="J57" s="1154"/>
      <c r="K57" s="1154"/>
      <c r="L57" s="1154"/>
      <c r="M57" s="69"/>
      <c r="N57" s="69"/>
      <c r="O57" s="30"/>
      <c r="P57" s="30"/>
      <c r="Q57" s="30"/>
      <c r="R57" s="30"/>
      <c r="S57" s="30"/>
      <c r="T57" s="30"/>
    </row>
    <row r="58" spans="1:20" x14ac:dyDescent="0.25">
      <c r="B58" s="1145" t="s">
        <v>161</v>
      </c>
      <c r="C58" s="1145"/>
      <c r="D58" s="1145"/>
      <c r="E58" s="1145"/>
      <c r="F58" s="1145"/>
      <c r="G58" s="1145"/>
      <c r="H58" s="1145"/>
      <c r="I58" s="1145"/>
      <c r="J58" s="1145"/>
      <c r="K58" s="1145"/>
      <c r="L58" s="1145"/>
      <c r="M58" s="69"/>
      <c r="N58" s="69"/>
      <c r="O58" s="30"/>
      <c r="P58" s="30"/>
      <c r="Q58" s="30"/>
      <c r="R58" s="30"/>
      <c r="S58" s="30"/>
      <c r="T58" s="30"/>
    </row>
    <row r="59" spans="1:20" ht="14.25" customHeight="1" x14ac:dyDescent="0.25">
      <c r="M59" s="69"/>
      <c r="N59" s="69"/>
      <c r="O59" s="30"/>
      <c r="P59" s="30"/>
      <c r="Q59" s="30"/>
      <c r="R59" s="30"/>
      <c r="S59" s="30"/>
      <c r="T59" s="30"/>
    </row>
    <row r="60" spans="1:20" x14ac:dyDescent="0.25">
      <c r="A60" s="98" t="s">
        <v>120</v>
      </c>
      <c r="B60" s="97" t="s">
        <v>121</v>
      </c>
      <c r="C60" s="97"/>
      <c r="D60" s="102"/>
      <c r="O60" s="30"/>
      <c r="P60" s="30"/>
      <c r="Q60" s="30"/>
      <c r="R60" s="30"/>
      <c r="S60" s="30"/>
      <c r="T60" s="30"/>
    </row>
    <row r="61" spans="1:20" ht="14.25" customHeight="1" x14ac:dyDescent="0.25">
      <c r="B61" s="1153" t="str">
        <f>PENYELIA!B86</f>
        <v>Alat yang diuji dalam batas toleransi dan dinyatakan LAIK PAKAI, dimana hasil atau skor akhir sama dengan atau melampaui 70% berdasarkan Keputusan Direktur Jenderal Pelayanan Kesehatan No : HK.02.02/V/0412/2020</v>
      </c>
      <c r="C61" s="1153"/>
      <c r="D61" s="1153"/>
      <c r="E61" s="1153"/>
      <c r="F61" s="1153"/>
      <c r="G61" s="1153"/>
      <c r="H61" s="1153"/>
      <c r="I61" s="1153"/>
      <c r="J61" s="1153"/>
      <c r="K61" s="1153"/>
      <c r="L61" s="1153"/>
      <c r="M61" s="184"/>
      <c r="O61" s="30"/>
      <c r="P61" s="30"/>
      <c r="Q61" s="30"/>
      <c r="R61" s="30"/>
      <c r="S61" s="30"/>
      <c r="T61" s="30"/>
    </row>
    <row r="62" spans="1:20" ht="14.25" customHeight="1" x14ac:dyDescent="0.25">
      <c r="B62" s="1153"/>
      <c r="C62" s="1153"/>
      <c r="D62" s="1153"/>
      <c r="E62" s="1153"/>
      <c r="F62" s="1153"/>
      <c r="G62" s="1153"/>
      <c r="H62" s="1153"/>
      <c r="I62" s="1153"/>
      <c r="J62" s="1153"/>
      <c r="K62" s="1153"/>
      <c r="L62" s="1153"/>
      <c r="M62" s="184"/>
      <c r="O62" s="30"/>
      <c r="P62" s="30"/>
      <c r="Q62" s="30"/>
      <c r="R62" s="30"/>
      <c r="S62" s="30"/>
      <c r="T62" s="30"/>
    </row>
    <row r="63" spans="1:20" ht="14.25" customHeight="1" x14ac:dyDescent="0.25"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184"/>
      <c r="O63" s="30"/>
      <c r="P63" s="30"/>
      <c r="Q63" s="30"/>
      <c r="R63" s="30"/>
      <c r="S63" s="30"/>
      <c r="T63" s="30"/>
    </row>
    <row r="64" spans="1:20" x14ac:dyDescent="0.25">
      <c r="A64" s="98" t="s">
        <v>123</v>
      </c>
      <c r="B64" s="97" t="s">
        <v>162</v>
      </c>
      <c r="C64" s="97"/>
      <c r="D64" s="102"/>
      <c r="O64" s="30"/>
      <c r="P64" s="30"/>
      <c r="Q64" s="30"/>
      <c r="R64" s="30"/>
      <c r="S64" s="30"/>
      <c r="T64" s="30"/>
    </row>
    <row r="65" spans="1:20" x14ac:dyDescent="0.25">
      <c r="B65" s="1145" t="s">
        <v>163</v>
      </c>
      <c r="C65" s="1145"/>
      <c r="D65" s="1145"/>
      <c r="E65" s="1145"/>
      <c r="O65" s="30"/>
      <c r="P65" s="30"/>
      <c r="Q65" s="30"/>
      <c r="R65" s="30"/>
      <c r="S65" s="30"/>
      <c r="T65" s="30"/>
    </row>
    <row r="66" spans="1:20" ht="14.25" customHeight="1" x14ac:dyDescent="0.25">
      <c r="O66" s="30"/>
      <c r="P66" s="30"/>
      <c r="Q66" s="30"/>
      <c r="R66" s="30"/>
      <c r="S66" s="30"/>
      <c r="T66" s="30"/>
    </row>
    <row r="67" spans="1:20" x14ac:dyDescent="0.25">
      <c r="A67" s="68" t="s">
        <v>164</v>
      </c>
      <c r="B67" s="68" t="s">
        <v>165</v>
      </c>
      <c r="C67" s="68"/>
      <c r="D67" s="71"/>
      <c r="O67" s="30"/>
      <c r="P67" s="30"/>
      <c r="Q67" s="30"/>
      <c r="R67" s="30"/>
      <c r="S67" s="30"/>
      <c r="T67" s="30"/>
    </row>
    <row r="68" spans="1:20" x14ac:dyDescent="0.25">
      <c r="B68" s="1154" t="s">
        <v>166</v>
      </c>
      <c r="C68" s="1154"/>
      <c r="O68" s="30"/>
      <c r="P68" s="30"/>
      <c r="Q68" s="30"/>
      <c r="R68" s="30"/>
      <c r="S68" s="30"/>
      <c r="T68" s="30"/>
    </row>
    <row r="69" spans="1:20" x14ac:dyDescent="0.25">
      <c r="O69" s="30"/>
      <c r="P69" s="30"/>
      <c r="Q69" s="30"/>
      <c r="R69" s="30"/>
      <c r="S69" s="30"/>
      <c r="T69" s="30"/>
    </row>
    <row r="70" spans="1:20" x14ac:dyDescent="0.25">
      <c r="O70" s="30"/>
      <c r="P70" s="30"/>
      <c r="Q70" s="30"/>
      <c r="R70" s="30"/>
      <c r="S70" s="30"/>
      <c r="T70" s="30"/>
    </row>
    <row r="71" spans="1:20" x14ac:dyDescent="0.25">
      <c r="O71" s="30"/>
      <c r="P71" s="30"/>
      <c r="Q71" s="30"/>
      <c r="R71" s="30"/>
      <c r="S71" s="30"/>
      <c r="T71" s="30"/>
    </row>
    <row r="72" spans="1:20" x14ac:dyDescent="0.25">
      <c r="B72" s="1" t="s">
        <v>167</v>
      </c>
      <c r="O72" s="30"/>
      <c r="P72" s="30"/>
      <c r="Q72" s="30"/>
      <c r="R72" s="30"/>
      <c r="S72" s="30"/>
      <c r="T72" s="30"/>
    </row>
    <row r="73" spans="1:20" x14ac:dyDescent="0.25">
      <c r="B73" s="1" t="s">
        <v>168</v>
      </c>
      <c r="O73" s="30"/>
      <c r="P73" s="30"/>
      <c r="Q73" s="30"/>
      <c r="R73" s="30"/>
      <c r="S73" s="30"/>
      <c r="T73" s="30"/>
    </row>
    <row r="74" spans="1:20" x14ac:dyDescent="0.25">
      <c r="B74" s="1" t="s">
        <v>169</v>
      </c>
      <c r="O74" s="30"/>
      <c r="P74" s="30"/>
      <c r="Q74" s="30"/>
      <c r="R74" s="30"/>
      <c r="S74" s="30"/>
      <c r="T74" s="30"/>
    </row>
    <row r="75" spans="1:20" x14ac:dyDescent="0.25">
      <c r="B75" s="1" t="s">
        <v>170</v>
      </c>
      <c r="O75" s="30"/>
      <c r="P75" s="30"/>
      <c r="Q75" s="30"/>
      <c r="R75" s="30"/>
      <c r="S75" s="30"/>
      <c r="T75" s="30"/>
    </row>
    <row r="76" spans="1:20" x14ac:dyDescent="0.25">
      <c r="B76" s="1" t="s">
        <v>171</v>
      </c>
      <c r="O76" s="30"/>
      <c r="P76" s="30"/>
      <c r="Q76" s="30"/>
      <c r="R76" s="30"/>
      <c r="S76" s="30"/>
      <c r="T76" s="30"/>
    </row>
    <row r="77" spans="1:20" x14ac:dyDescent="0.25">
      <c r="B77" s="1" t="s">
        <v>172</v>
      </c>
      <c r="O77" s="30"/>
      <c r="P77" s="30"/>
      <c r="Q77" s="30"/>
      <c r="R77" s="30"/>
      <c r="S77" s="30"/>
      <c r="T77" s="30"/>
    </row>
    <row r="78" spans="1:20" x14ac:dyDescent="0.25">
      <c r="B78" s="1" t="s">
        <v>173</v>
      </c>
      <c r="O78" s="30"/>
      <c r="P78" s="30"/>
      <c r="Q78" s="30"/>
      <c r="R78" s="30"/>
      <c r="S78" s="30"/>
      <c r="T78" s="30"/>
    </row>
    <row r="79" spans="1:20" x14ac:dyDescent="0.25">
      <c r="B79" s="1" t="s">
        <v>163</v>
      </c>
      <c r="O79" s="30"/>
      <c r="P79" s="30"/>
      <c r="Q79" s="30"/>
      <c r="R79" s="30"/>
      <c r="S79" s="30"/>
      <c r="T79" s="30"/>
    </row>
    <row r="80" spans="1:20" x14ac:dyDescent="0.25">
      <c r="B80" s="1" t="s">
        <v>174</v>
      </c>
      <c r="O80" s="30"/>
      <c r="P80" s="30"/>
      <c r="Q80" s="30"/>
      <c r="R80" s="30"/>
      <c r="S80" s="30"/>
      <c r="T80" s="30"/>
    </row>
    <row r="81" spans="2:20" x14ac:dyDescent="0.25">
      <c r="B81" s="1" t="s">
        <v>175</v>
      </c>
      <c r="O81" s="30"/>
      <c r="P81" s="30"/>
      <c r="Q81" s="30"/>
      <c r="R81" s="30"/>
      <c r="S81" s="30"/>
      <c r="T81" s="30"/>
    </row>
    <row r="82" spans="2:20" x14ac:dyDescent="0.25">
      <c r="B82" s="1" t="s">
        <v>176</v>
      </c>
      <c r="O82" s="30"/>
      <c r="P82" s="30"/>
      <c r="Q82" s="30"/>
      <c r="R82" s="30"/>
      <c r="S82" s="30"/>
      <c r="T82" s="30"/>
    </row>
    <row r="83" spans="2:20" x14ac:dyDescent="0.25">
      <c r="B83" s="1" t="s">
        <v>177</v>
      </c>
      <c r="O83" s="30"/>
      <c r="P83" s="30"/>
      <c r="Q83" s="30"/>
      <c r="R83" s="30"/>
      <c r="S83" s="30"/>
      <c r="T83" s="30"/>
    </row>
    <row r="84" spans="2:20" x14ac:dyDescent="0.25">
      <c r="B84" s="548" t="s">
        <v>178</v>
      </c>
      <c r="O84" s="30"/>
      <c r="P84" s="30"/>
      <c r="Q84" s="30"/>
      <c r="R84" s="30"/>
      <c r="S84" s="30"/>
      <c r="T84" s="30"/>
    </row>
    <row r="85" spans="2:20" x14ac:dyDescent="0.25">
      <c r="B85" s="548" t="s">
        <v>179</v>
      </c>
      <c r="O85" s="30"/>
      <c r="P85" s="30"/>
      <c r="Q85" s="30"/>
      <c r="R85" s="30"/>
      <c r="S85" s="30"/>
      <c r="T85" s="30"/>
    </row>
    <row r="86" spans="2:20" x14ac:dyDescent="0.25">
      <c r="B86" s="548" t="s">
        <v>180</v>
      </c>
      <c r="O86" s="30"/>
      <c r="P86" s="30"/>
      <c r="Q86" s="30"/>
      <c r="R86" s="30"/>
      <c r="S86" s="30"/>
      <c r="T86" s="30"/>
    </row>
    <row r="87" spans="2:20" x14ac:dyDescent="0.25">
      <c r="B87" s="1" t="s">
        <v>181</v>
      </c>
      <c r="O87" s="30"/>
      <c r="P87" s="30"/>
      <c r="Q87" s="30"/>
      <c r="R87" s="30"/>
      <c r="S87" s="30"/>
      <c r="T87" s="30"/>
    </row>
    <row r="88" spans="2:20" x14ac:dyDescent="0.25">
      <c r="B88" s="1" t="s">
        <v>182</v>
      </c>
      <c r="O88" s="30"/>
      <c r="P88" s="30"/>
      <c r="Q88" s="30"/>
      <c r="R88" s="30"/>
      <c r="S88" s="30"/>
      <c r="T88" s="30"/>
    </row>
    <row r="89" spans="2:20" x14ac:dyDescent="0.25">
      <c r="B89" s="1" t="s">
        <v>183</v>
      </c>
      <c r="O89" s="30"/>
      <c r="P89" s="30"/>
      <c r="Q89" s="30"/>
      <c r="R89" s="30"/>
      <c r="S89" s="30"/>
      <c r="T89" s="30"/>
    </row>
    <row r="90" spans="2:20" x14ac:dyDescent="0.25">
      <c r="B90" s="1" t="s">
        <v>184</v>
      </c>
      <c r="O90" s="30"/>
      <c r="P90" s="30"/>
      <c r="Q90" s="30"/>
      <c r="R90" s="30"/>
      <c r="S90" s="30"/>
      <c r="T90" s="30"/>
    </row>
    <row r="91" spans="2:20" x14ac:dyDescent="0.25">
      <c r="B91" s="548" t="s">
        <v>185</v>
      </c>
      <c r="O91" s="30"/>
      <c r="P91" s="30"/>
      <c r="Q91" s="30"/>
      <c r="R91" s="30"/>
      <c r="S91" s="30"/>
      <c r="T91" s="30"/>
    </row>
    <row r="92" spans="2:20" x14ac:dyDescent="0.25">
      <c r="B92" s="548" t="s">
        <v>186</v>
      </c>
    </row>
    <row r="93" spans="2:20" x14ac:dyDescent="0.25">
      <c r="B93" s="548" t="s">
        <v>187</v>
      </c>
    </row>
    <row r="94" spans="2:20" x14ac:dyDescent="0.25">
      <c r="B94" s="548" t="s">
        <v>188</v>
      </c>
    </row>
    <row r="95" spans="2:20" x14ac:dyDescent="0.25">
      <c r="B95" s="548" t="s">
        <v>189</v>
      </c>
    </row>
    <row r="112" spans="12:12" x14ac:dyDescent="0.25">
      <c r="L112" s="103"/>
    </row>
    <row r="134" spans="4:7" x14ac:dyDescent="0.25">
      <c r="D134" s="1012"/>
    </row>
    <row r="135" spans="4:7" x14ac:dyDescent="0.25">
      <c r="D135" s="1012"/>
    </row>
    <row r="140" spans="4:7" x14ac:dyDescent="0.25">
      <c r="G140" s="389"/>
    </row>
    <row r="141" spans="4:7" x14ac:dyDescent="0.25">
      <c r="G141" s="389"/>
    </row>
    <row r="142" spans="4:7" x14ac:dyDescent="0.25">
      <c r="G142" s="389"/>
    </row>
    <row r="143" spans="4:7" x14ac:dyDescent="0.25">
      <c r="G143" s="389"/>
    </row>
    <row r="144" spans="4:7" x14ac:dyDescent="0.25">
      <c r="G144" s="389"/>
    </row>
    <row r="150" spans="7:10" x14ac:dyDescent="0.25">
      <c r="G150" s="1013"/>
    </row>
    <row r="151" spans="7:10" x14ac:dyDescent="0.25">
      <c r="G151" s="312"/>
    </row>
    <row r="152" spans="7:10" x14ac:dyDescent="0.25">
      <c r="G152" s="312"/>
    </row>
    <row r="153" spans="7:10" x14ac:dyDescent="0.25">
      <c r="G153" s="312"/>
    </row>
    <row r="154" spans="7:10" x14ac:dyDescent="0.25">
      <c r="G154" s="1013"/>
    </row>
    <row r="155" spans="7:10" x14ac:dyDescent="0.25">
      <c r="G155" s="312"/>
    </row>
    <row r="159" spans="7:10" x14ac:dyDescent="0.25">
      <c r="J159" s="407"/>
    </row>
    <row r="160" spans="7:10" x14ac:dyDescent="0.25">
      <c r="J160" s="407"/>
    </row>
  </sheetData>
  <sheetProtection formatCells="0" formatColumns="0" formatRows="0" insertColumns="0" insertRows="0" deleteColumns="0" deleteRows="0"/>
  <mergeCells count="56">
    <mergeCell ref="E20:F20"/>
    <mergeCell ref="A1:N1"/>
    <mergeCell ref="B57:L57"/>
    <mergeCell ref="N34:N35"/>
    <mergeCell ref="N36:N39"/>
    <mergeCell ref="I27:J27"/>
    <mergeCell ref="K27:L27"/>
    <mergeCell ref="K28:L28"/>
    <mergeCell ref="K29:L29"/>
    <mergeCell ref="K30:L30"/>
    <mergeCell ref="C30:H30"/>
    <mergeCell ref="D38:E38"/>
    <mergeCell ref="J44:K44"/>
    <mergeCell ref="H44:I44"/>
    <mergeCell ref="H43:I43"/>
    <mergeCell ref="E2:H2"/>
    <mergeCell ref="B68:C68"/>
    <mergeCell ref="Q48:R48"/>
    <mergeCell ref="Q38:Q39"/>
    <mergeCell ref="R38:R39"/>
    <mergeCell ref="Q46:R46"/>
    <mergeCell ref="F42:K42"/>
    <mergeCell ref="L42:L43"/>
    <mergeCell ref="B42:B43"/>
    <mergeCell ref="C42:C43"/>
    <mergeCell ref="D42:E43"/>
    <mergeCell ref="N42:N43"/>
    <mergeCell ref="F43:G43"/>
    <mergeCell ref="F44:G44"/>
    <mergeCell ref="M42:M43"/>
    <mergeCell ref="B55:L55"/>
    <mergeCell ref="D44:E44"/>
    <mergeCell ref="B65:E65"/>
    <mergeCell ref="D36:E36"/>
    <mergeCell ref="B34:B35"/>
    <mergeCell ref="C34:C35"/>
    <mergeCell ref="D37:E37"/>
    <mergeCell ref="C36:C39"/>
    <mergeCell ref="B58:L58"/>
    <mergeCell ref="B56:L56"/>
    <mergeCell ref="B61:L62"/>
    <mergeCell ref="J43:K43"/>
    <mergeCell ref="Q37:T37"/>
    <mergeCell ref="T38:T39"/>
    <mergeCell ref="S38:S39"/>
    <mergeCell ref="C27:H27"/>
    <mergeCell ref="M34:M35"/>
    <mergeCell ref="L34:L35"/>
    <mergeCell ref="F34:K34"/>
    <mergeCell ref="D34:E35"/>
    <mergeCell ref="C29:H29"/>
    <mergeCell ref="C32:H32"/>
    <mergeCell ref="D39:E39"/>
    <mergeCell ref="P29:Q30"/>
    <mergeCell ref="R29:R30"/>
    <mergeCell ref="S29:S30"/>
  </mergeCells>
  <dataValidations count="2">
    <dataValidation type="list" allowBlank="1" showInputMessage="1" showErrorMessage="1" sqref="B65:E65" xr:uid="{00000000-0002-0000-0100-000003000000}">
      <formula1>$B$72:$B$102</formula1>
    </dataValidation>
    <dataValidation type="list" allowBlank="1" showInputMessage="1" showErrorMessage="1" sqref="B55:L55" xr:uid="{00000000-0002-0000-0100-000004000000}">
      <formula1>#REF!</formula1>
    </dataValidation>
  </dataValidations>
  <printOptions horizontalCentered="1"/>
  <pageMargins left="0.23622047244094499" right="0.196850393700787" top="0.511811023622047" bottom="0.31496062992126" header="0.23622047244094499" footer="0.23622047244094499"/>
  <pageSetup paperSize="9" scale="66" orientation="portrait" horizontalDpi="4294967294" verticalDpi="4294967294" r:id="rId1"/>
  <headerFooter>
    <oddHeader>&amp;R&amp;"-,Regular"&amp;8WF.ID - 016-18 / REV : 1</oddHeader>
    <oddFooter>&amp;R&amp;8&amp;K00-013Software Infusion Pump 2019</oddFooter>
  </headerFooter>
  <rowBreaks count="1" manualBreakCount="1">
    <brk id="68" max="13" man="1"/>
  </rowBreak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0000000}">
          <x14:formula1>
            <xm:f>'DB ESA'!$A$299:$A$310</xm:f>
          </x14:formula1>
          <xm:sqref>B57:L57</xm:sqref>
        </x14:dataValidation>
        <x14:dataValidation type="list" allowBlank="1" showInputMessage="1" showErrorMessage="1" xr:uid="{00000000-0002-0000-0100-000001000000}">
          <x14:formula1>
            <xm:f>'DB Suhu'!$A$390:$A$409</xm:f>
          </x14:formula1>
          <xm:sqref>B58:L58</xm:sqref>
        </x14:dataValidation>
        <x14:dataValidation type="list" allowBlank="1" showInputMessage="1" showErrorMessage="1" xr:uid="{00000000-0002-0000-0100-000005000000}">
          <x14:formula1>
            <xm:f>'DB Stopwatch'!$A$231:$A$247</xm:f>
          </x14:formula1>
          <xm:sqref>B56:L56</xm:sqref>
        </x14:dataValidation>
        <x14:dataValidation type="list" allowBlank="1" showInputMessage="1" showErrorMessage="1" xr:uid="{1CBC44FE-2DA7-4A83-A210-6FD412A9C644}">
          <x14:formula1>
            <xm:f>PENYELIA!$S$26:$S$27</xm:f>
          </x14:formula1>
          <xm:sqref>P29:Q31</xm:sqref>
        </x14:dataValidation>
        <x14:dataValidation type="list" allowBlank="1" showInputMessage="1" showErrorMessage="1" xr:uid="{00000000-0002-0000-0100-000006000000}">
          <x14:formula1>
            <xm:f>PENYELIA!$V$27:$V$28</xm:f>
          </x14:formula1>
          <xm:sqref>C30:H31</xm:sqref>
        </x14:dataValidation>
        <x14:dataValidation type="list" allowBlank="1" showInputMessage="1" showErrorMessage="1" xr:uid="{3F72666C-AFAA-4C39-AD88-F48F4D545083}">
          <x14:formula1>
            <xm:f>PENYELIA!$V$25:$V$26</xm:f>
          </x14:formula1>
          <xm:sqref>C29</xm:sqref>
        </x14:dataValidation>
        <x14:dataValidation type="list" allowBlank="1" showInputMessage="1" showErrorMessage="1" xr:uid="{00000000-0002-0000-0100-000002000000}">
          <x14:formula1>
            <xm:f>PENYELIA!$B$75:$B$76</xm:f>
          </x14:formula1>
          <xm:sqref>E23:E24</xm:sqref>
        </x14:dataValidation>
        <x14:dataValidation type="list" allowBlank="1" showInputMessage="1" showErrorMessage="1" xr:uid="{71681B79-E210-43BA-BE11-D628ADA34D36}">
          <x14:formula1>
            <xm:f>PENYELIA!$P$9:$P$10</xm:f>
          </x14:formula1>
          <xm:sqref>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5"/>
  <sheetViews>
    <sheetView showGridLines="0" view="pageBreakPreview" zoomScaleNormal="100" zoomScaleSheetLayoutView="100" zoomScalePageLayoutView="80" workbookViewId="0">
      <selection activeCell="I21" sqref="I21"/>
    </sheetView>
  </sheetViews>
  <sheetFormatPr defaultRowHeight="12.5" x14ac:dyDescent="0.25"/>
  <cols>
    <col min="1" max="1" width="22.26953125" style="1" customWidth="1"/>
    <col min="2" max="2" width="7.54296875" style="1" customWidth="1"/>
    <col min="3" max="3" width="9.1796875" style="1"/>
    <col min="4" max="4" width="9.1796875" style="1" customWidth="1"/>
    <col min="5" max="5" width="9.1796875" style="1"/>
    <col min="6" max="6" width="8.7265625" style="1" customWidth="1"/>
    <col min="7" max="7" width="8.54296875" style="1" customWidth="1"/>
    <col min="8" max="8" width="7.54296875" style="1" customWidth="1"/>
    <col min="9" max="9" width="9.1796875" style="1" customWidth="1"/>
    <col min="10" max="11" width="11.7265625" style="1" customWidth="1"/>
    <col min="12" max="12" width="10.81640625" style="1" customWidth="1"/>
    <col min="13" max="13" width="7.1796875" style="1" customWidth="1"/>
    <col min="14" max="14" width="7.7265625" style="1" customWidth="1"/>
    <col min="15" max="251" width="9.1796875" style="1"/>
    <col min="252" max="252" width="13.453125" style="1" customWidth="1"/>
    <col min="253" max="253" width="9.1796875" style="1"/>
    <col min="254" max="254" width="17" style="1" customWidth="1"/>
    <col min="255" max="255" width="7.54296875" style="1" customWidth="1"/>
    <col min="256" max="256" width="9.1796875" style="1"/>
    <col min="257" max="257" width="9.1796875" style="1" customWidth="1"/>
    <col min="258" max="258" width="9.1796875" style="1"/>
    <col min="259" max="259" width="8.7265625" style="1" customWidth="1"/>
    <col min="260" max="260" width="7.453125" style="1" customWidth="1"/>
    <col min="261" max="261" width="7.54296875" style="1" customWidth="1"/>
    <col min="262" max="262" width="9.1796875" style="1" customWidth="1"/>
    <col min="263" max="263" width="9.1796875" style="1"/>
    <col min="264" max="264" width="10" style="1" customWidth="1"/>
    <col min="265" max="265" width="7.81640625" style="1" customWidth="1"/>
    <col min="266" max="266" width="6.1796875" style="1" customWidth="1"/>
    <col min="267" max="267" width="8.7265625" style="1" customWidth="1"/>
    <col min="268" max="507" width="9.1796875" style="1"/>
    <col min="508" max="508" width="13.453125" style="1" customWidth="1"/>
    <col min="509" max="509" width="9.1796875" style="1"/>
    <col min="510" max="510" width="17" style="1" customWidth="1"/>
    <col min="511" max="511" width="7.54296875" style="1" customWidth="1"/>
    <col min="512" max="512" width="9.1796875" style="1"/>
    <col min="513" max="513" width="9.1796875" style="1" customWidth="1"/>
    <col min="514" max="514" width="9.1796875" style="1"/>
    <col min="515" max="515" width="8.7265625" style="1" customWidth="1"/>
    <col min="516" max="516" width="7.453125" style="1" customWidth="1"/>
    <col min="517" max="517" width="7.54296875" style="1" customWidth="1"/>
    <col min="518" max="518" width="9.1796875" style="1" customWidth="1"/>
    <col min="519" max="519" width="9.1796875" style="1"/>
    <col min="520" max="520" width="10" style="1" customWidth="1"/>
    <col min="521" max="521" width="7.81640625" style="1" customWidth="1"/>
    <col min="522" max="522" width="6.1796875" style="1" customWidth="1"/>
    <col min="523" max="523" width="8.7265625" style="1" customWidth="1"/>
    <col min="524" max="763" width="9.1796875" style="1"/>
    <col min="764" max="764" width="13.453125" style="1" customWidth="1"/>
    <col min="765" max="765" width="9.1796875" style="1"/>
    <col min="766" max="766" width="17" style="1" customWidth="1"/>
    <col min="767" max="767" width="7.54296875" style="1" customWidth="1"/>
    <col min="768" max="768" width="9.1796875" style="1"/>
    <col min="769" max="769" width="9.1796875" style="1" customWidth="1"/>
    <col min="770" max="770" width="9.1796875" style="1"/>
    <col min="771" max="771" width="8.7265625" style="1" customWidth="1"/>
    <col min="772" max="772" width="7.453125" style="1" customWidth="1"/>
    <col min="773" max="773" width="7.54296875" style="1" customWidth="1"/>
    <col min="774" max="774" width="9.1796875" style="1" customWidth="1"/>
    <col min="775" max="775" width="9.1796875" style="1"/>
    <col min="776" max="776" width="10" style="1" customWidth="1"/>
    <col min="777" max="777" width="7.81640625" style="1" customWidth="1"/>
    <col min="778" max="778" width="6.1796875" style="1" customWidth="1"/>
    <col min="779" max="779" width="8.7265625" style="1" customWidth="1"/>
    <col min="780" max="1019" width="9.1796875" style="1"/>
    <col min="1020" max="1020" width="13.453125" style="1" customWidth="1"/>
    <col min="1021" max="1021" width="9.1796875" style="1"/>
    <col min="1022" max="1022" width="17" style="1" customWidth="1"/>
    <col min="1023" max="1023" width="7.54296875" style="1" customWidth="1"/>
    <col min="1024" max="1024" width="9.1796875" style="1"/>
    <col min="1025" max="1025" width="9.1796875" style="1" customWidth="1"/>
    <col min="1026" max="1026" width="9.1796875" style="1"/>
    <col min="1027" max="1027" width="8.7265625" style="1" customWidth="1"/>
    <col min="1028" max="1028" width="7.453125" style="1" customWidth="1"/>
    <col min="1029" max="1029" width="7.54296875" style="1" customWidth="1"/>
    <col min="1030" max="1030" width="9.1796875" style="1" customWidth="1"/>
    <col min="1031" max="1031" width="9.1796875" style="1"/>
    <col min="1032" max="1032" width="10" style="1" customWidth="1"/>
    <col min="1033" max="1033" width="7.81640625" style="1" customWidth="1"/>
    <col min="1034" max="1034" width="6.1796875" style="1" customWidth="1"/>
    <col min="1035" max="1035" width="8.7265625" style="1" customWidth="1"/>
    <col min="1036" max="1275" width="9.1796875" style="1"/>
    <col min="1276" max="1276" width="13.453125" style="1" customWidth="1"/>
    <col min="1277" max="1277" width="9.1796875" style="1"/>
    <col min="1278" max="1278" width="17" style="1" customWidth="1"/>
    <col min="1279" max="1279" width="7.54296875" style="1" customWidth="1"/>
    <col min="1280" max="1280" width="9.1796875" style="1"/>
    <col min="1281" max="1281" width="9.1796875" style="1" customWidth="1"/>
    <col min="1282" max="1282" width="9.1796875" style="1"/>
    <col min="1283" max="1283" width="8.7265625" style="1" customWidth="1"/>
    <col min="1284" max="1284" width="7.453125" style="1" customWidth="1"/>
    <col min="1285" max="1285" width="7.54296875" style="1" customWidth="1"/>
    <col min="1286" max="1286" width="9.1796875" style="1" customWidth="1"/>
    <col min="1287" max="1287" width="9.1796875" style="1"/>
    <col min="1288" max="1288" width="10" style="1" customWidth="1"/>
    <col min="1289" max="1289" width="7.81640625" style="1" customWidth="1"/>
    <col min="1290" max="1290" width="6.1796875" style="1" customWidth="1"/>
    <col min="1291" max="1291" width="8.7265625" style="1" customWidth="1"/>
    <col min="1292" max="1531" width="9.1796875" style="1"/>
    <col min="1532" max="1532" width="13.453125" style="1" customWidth="1"/>
    <col min="1533" max="1533" width="9.1796875" style="1"/>
    <col min="1534" max="1534" width="17" style="1" customWidth="1"/>
    <col min="1535" max="1535" width="7.54296875" style="1" customWidth="1"/>
    <col min="1536" max="1536" width="9.1796875" style="1"/>
    <col min="1537" max="1537" width="9.1796875" style="1" customWidth="1"/>
    <col min="1538" max="1538" width="9.1796875" style="1"/>
    <col min="1539" max="1539" width="8.7265625" style="1" customWidth="1"/>
    <col min="1540" max="1540" width="7.453125" style="1" customWidth="1"/>
    <col min="1541" max="1541" width="7.54296875" style="1" customWidth="1"/>
    <col min="1542" max="1542" width="9.1796875" style="1" customWidth="1"/>
    <col min="1543" max="1543" width="9.1796875" style="1"/>
    <col min="1544" max="1544" width="10" style="1" customWidth="1"/>
    <col min="1545" max="1545" width="7.81640625" style="1" customWidth="1"/>
    <col min="1546" max="1546" width="6.1796875" style="1" customWidth="1"/>
    <col min="1547" max="1547" width="8.7265625" style="1" customWidth="1"/>
    <col min="1548" max="1787" width="9.1796875" style="1"/>
    <col min="1788" max="1788" width="13.453125" style="1" customWidth="1"/>
    <col min="1789" max="1789" width="9.1796875" style="1"/>
    <col min="1790" max="1790" width="17" style="1" customWidth="1"/>
    <col min="1791" max="1791" width="7.54296875" style="1" customWidth="1"/>
    <col min="1792" max="1792" width="9.1796875" style="1"/>
    <col min="1793" max="1793" width="9.1796875" style="1" customWidth="1"/>
    <col min="1794" max="1794" width="9.1796875" style="1"/>
    <col min="1795" max="1795" width="8.7265625" style="1" customWidth="1"/>
    <col min="1796" max="1796" width="7.453125" style="1" customWidth="1"/>
    <col min="1797" max="1797" width="7.54296875" style="1" customWidth="1"/>
    <col min="1798" max="1798" width="9.1796875" style="1" customWidth="1"/>
    <col min="1799" max="1799" width="9.1796875" style="1"/>
    <col min="1800" max="1800" width="10" style="1" customWidth="1"/>
    <col min="1801" max="1801" width="7.81640625" style="1" customWidth="1"/>
    <col min="1802" max="1802" width="6.1796875" style="1" customWidth="1"/>
    <col min="1803" max="1803" width="8.7265625" style="1" customWidth="1"/>
    <col min="1804" max="2043" width="9.1796875" style="1"/>
    <col min="2044" max="2044" width="13.453125" style="1" customWidth="1"/>
    <col min="2045" max="2045" width="9.1796875" style="1"/>
    <col min="2046" max="2046" width="17" style="1" customWidth="1"/>
    <col min="2047" max="2047" width="7.54296875" style="1" customWidth="1"/>
    <col min="2048" max="2048" width="9.1796875" style="1"/>
    <col min="2049" max="2049" width="9.1796875" style="1" customWidth="1"/>
    <col min="2050" max="2050" width="9.1796875" style="1"/>
    <col min="2051" max="2051" width="8.7265625" style="1" customWidth="1"/>
    <col min="2052" max="2052" width="7.453125" style="1" customWidth="1"/>
    <col min="2053" max="2053" width="7.54296875" style="1" customWidth="1"/>
    <col min="2054" max="2054" width="9.1796875" style="1" customWidth="1"/>
    <col min="2055" max="2055" width="9.1796875" style="1"/>
    <col min="2056" max="2056" width="10" style="1" customWidth="1"/>
    <col min="2057" max="2057" width="7.81640625" style="1" customWidth="1"/>
    <col min="2058" max="2058" width="6.1796875" style="1" customWidth="1"/>
    <col min="2059" max="2059" width="8.7265625" style="1" customWidth="1"/>
    <col min="2060" max="2299" width="9.1796875" style="1"/>
    <col min="2300" max="2300" width="13.453125" style="1" customWidth="1"/>
    <col min="2301" max="2301" width="9.1796875" style="1"/>
    <col min="2302" max="2302" width="17" style="1" customWidth="1"/>
    <col min="2303" max="2303" width="7.54296875" style="1" customWidth="1"/>
    <col min="2304" max="2304" width="9.1796875" style="1"/>
    <col min="2305" max="2305" width="9.1796875" style="1" customWidth="1"/>
    <col min="2306" max="2306" width="9.1796875" style="1"/>
    <col min="2307" max="2307" width="8.7265625" style="1" customWidth="1"/>
    <col min="2308" max="2308" width="7.453125" style="1" customWidth="1"/>
    <col min="2309" max="2309" width="7.54296875" style="1" customWidth="1"/>
    <col min="2310" max="2310" width="9.1796875" style="1" customWidth="1"/>
    <col min="2311" max="2311" width="9.1796875" style="1"/>
    <col min="2312" max="2312" width="10" style="1" customWidth="1"/>
    <col min="2313" max="2313" width="7.81640625" style="1" customWidth="1"/>
    <col min="2314" max="2314" width="6.1796875" style="1" customWidth="1"/>
    <col min="2315" max="2315" width="8.7265625" style="1" customWidth="1"/>
    <col min="2316" max="2555" width="9.1796875" style="1"/>
    <col min="2556" max="2556" width="13.453125" style="1" customWidth="1"/>
    <col min="2557" max="2557" width="9.1796875" style="1"/>
    <col min="2558" max="2558" width="17" style="1" customWidth="1"/>
    <col min="2559" max="2559" width="7.54296875" style="1" customWidth="1"/>
    <col min="2560" max="2560" width="9.1796875" style="1"/>
    <col min="2561" max="2561" width="9.1796875" style="1" customWidth="1"/>
    <col min="2562" max="2562" width="9.1796875" style="1"/>
    <col min="2563" max="2563" width="8.7265625" style="1" customWidth="1"/>
    <col min="2564" max="2564" width="7.453125" style="1" customWidth="1"/>
    <col min="2565" max="2565" width="7.54296875" style="1" customWidth="1"/>
    <col min="2566" max="2566" width="9.1796875" style="1" customWidth="1"/>
    <col min="2567" max="2567" width="9.1796875" style="1"/>
    <col min="2568" max="2568" width="10" style="1" customWidth="1"/>
    <col min="2569" max="2569" width="7.81640625" style="1" customWidth="1"/>
    <col min="2570" max="2570" width="6.1796875" style="1" customWidth="1"/>
    <col min="2571" max="2571" width="8.7265625" style="1" customWidth="1"/>
    <col min="2572" max="2811" width="9.1796875" style="1"/>
    <col min="2812" max="2812" width="13.453125" style="1" customWidth="1"/>
    <col min="2813" max="2813" width="9.1796875" style="1"/>
    <col min="2814" max="2814" width="17" style="1" customWidth="1"/>
    <col min="2815" max="2815" width="7.54296875" style="1" customWidth="1"/>
    <col min="2816" max="2816" width="9.1796875" style="1"/>
    <col min="2817" max="2817" width="9.1796875" style="1" customWidth="1"/>
    <col min="2818" max="2818" width="9.1796875" style="1"/>
    <col min="2819" max="2819" width="8.7265625" style="1" customWidth="1"/>
    <col min="2820" max="2820" width="7.453125" style="1" customWidth="1"/>
    <col min="2821" max="2821" width="7.54296875" style="1" customWidth="1"/>
    <col min="2822" max="2822" width="9.1796875" style="1" customWidth="1"/>
    <col min="2823" max="2823" width="9.1796875" style="1"/>
    <col min="2824" max="2824" width="10" style="1" customWidth="1"/>
    <col min="2825" max="2825" width="7.81640625" style="1" customWidth="1"/>
    <col min="2826" max="2826" width="6.1796875" style="1" customWidth="1"/>
    <col min="2827" max="2827" width="8.7265625" style="1" customWidth="1"/>
    <col min="2828" max="3067" width="9.1796875" style="1"/>
    <col min="3068" max="3068" width="13.453125" style="1" customWidth="1"/>
    <col min="3069" max="3069" width="9.1796875" style="1"/>
    <col min="3070" max="3070" width="17" style="1" customWidth="1"/>
    <col min="3071" max="3071" width="7.54296875" style="1" customWidth="1"/>
    <col min="3072" max="3072" width="9.1796875" style="1"/>
    <col min="3073" max="3073" width="9.1796875" style="1" customWidth="1"/>
    <col min="3074" max="3074" width="9.1796875" style="1"/>
    <col min="3075" max="3075" width="8.7265625" style="1" customWidth="1"/>
    <col min="3076" max="3076" width="7.453125" style="1" customWidth="1"/>
    <col min="3077" max="3077" width="7.54296875" style="1" customWidth="1"/>
    <col min="3078" max="3078" width="9.1796875" style="1" customWidth="1"/>
    <col min="3079" max="3079" width="9.1796875" style="1"/>
    <col min="3080" max="3080" width="10" style="1" customWidth="1"/>
    <col min="3081" max="3081" width="7.81640625" style="1" customWidth="1"/>
    <col min="3082" max="3082" width="6.1796875" style="1" customWidth="1"/>
    <col min="3083" max="3083" width="8.7265625" style="1" customWidth="1"/>
    <col min="3084" max="3323" width="9.1796875" style="1"/>
    <col min="3324" max="3324" width="13.453125" style="1" customWidth="1"/>
    <col min="3325" max="3325" width="9.1796875" style="1"/>
    <col min="3326" max="3326" width="17" style="1" customWidth="1"/>
    <col min="3327" max="3327" width="7.54296875" style="1" customWidth="1"/>
    <col min="3328" max="3328" width="9.1796875" style="1"/>
    <col min="3329" max="3329" width="9.1796875" style="1" customWidth="1"/>
    <col min="3330" max="3330" width="9.1796875" style="1"/>
    <col min="3331" max="3331" width="8.7265625" style="1" customWidth="1"/>
    <col min="3332" max="3332" width="7.453125" style="1" customWidth="1"/>
    <col min="3333" max="3333" width="7.54296875" style="1" customWidth="1"/>
    <col min="3334" max="3334" width="9.1796875" style="1" customWidth="1"/>
    <col min="3335" max="3335" width="9.1796875" style="1"/>
    <col min="3336" max="3336" width="10" style="1" customWidth="1"/>
    <col min="3337" max="3337" width="7.81640625" style="1" customWidth="1"/>
    <col min="3338" max="3338" width="6.1796875" style="1" customWidth="1"/>
    <col min="3339" max="3339" width="8.7265625" style="1" customWidth="1"/>
    <col min="3340" max="3579" width="9.1796875" style="1"/>
    <col min="3580" max="3580" width="13.453125" style="1" customWidth="1"/>
    <col min="3581" max="3581" width="9.1796875" style="1"/>
    <col min="3582" max="3582" width="17" style="1" customWidth="1"/>
    <col min="3583" max="3583" width="7.54296875" style="1" customWidth="1"/>
    <col min="3584" max="3584" width="9.1796875" style="1"/>
    <col min="3585" max="3585" width="9.1796875" style="1" customWidth="1"/>
    <col min="3586" max="3586" width="9.1796875" style="1"/>
    <col min="3587" max="3587" width="8.7265625" style="1" customWidth="1"/>
    <col min="3588" max="3588" width="7.453125" style="1" customWidth="1"/>
    <col min="3589" max="3589" width="7.54296875" style="1" customWidth="1"/>
    <col min="3590" max="3590" width="9.1796875" style="1" customWidth="1"/>
    <col min="3591" max="3591" width="9.1796875" style="1"/>
    <col min="3592" max="3592" width="10" style="1" customWidth="1"/>
    <col min="3593" max="3593" width="7.81640625" style="1" customWidth="1"/>
    <col min="3594" max="3594" width="6.1796875" style="1" customWidth="1"/>
    <col min="3595" max="3595" width="8.7265625" style="1" customWidth="1"/>
    <col min="3596" max="3835" width="9.1796875" style="1"/>
    <col min="3836" max="3836" width="13.453125" style="1" customWidth="1"/>
    <col min="3837" max="3837" width="9.1796875" style="1"/>
    <col min="3838" max="3838" width="17" style="1" customWidth="1"/>
    <col min="3839" max="3839" width="7.54296875" style="1" customWidth="1"/>
    <col min="3840" max="3840" width="9.1796875" style="1"/>
    <col min="3841" max="3841" width="9.1796875" style="1" customWidth="1"/>
    <col min="3842" max="3842" width="9.1796875" style="1"/>
    <col min="3843" max="3843" width="8.7265625" style="1" customWidth="1"/>
    <col min="3844" max="3844" width="7.453125" style="1" customWidth="1"/>
    <col min="3845" max="3845" width="7.54296875" style="1" customWidth="1"/>
    <col min="3846" max="3846" width="9.1796875" style="1" customWidth="1"/>
    <col min="3847" max="3847" width="9.1796875" style="1"/>
    <col min="3848" max="3848" width="10" style="1" customWidth="1"/>
    <col min="3849" max="3849" width="7.81640625" style="1" customWidth="1"/>
    <col min="3850" max="3850" width="6.1796875" style="1" customWidth="1"/>
    <col min="3851" max="3851" width="8.7265625" style="1" customWidth="1"/>
    <col min="3852" max="4091" width="9.1796875" style="1"/>
    <col min="4092" max="4092" width="13.453125" style="1" customWidth="1"/>
    <col min="4093" max="4093" width="9.1796875" style="1"/>
    <col min="4094" max="4094" width="17" style="1" customWidth="1"/>
    <col min="4095" max="4095" width="7.54296875" style="1" customWidth="1"/>
    <col min="4096" max="4096" width="9.1796875" style="1"/>
    <col min="4097" max="4097" width="9.1796875" style="1" customWidth="1"/>
    <col min="4098" max="4098" width="9.1796875" style="1"/>
    <col min="4099" max="4099" width="8.7265625" style="1" customWidth="1"/>
    <col min="4100" max="4100" width="7.453125" style="1" customWidth="1"/>
    <col min="4101" max="4101" width="7.54296875" style="1" customWidth="1"/>
    <col min="4102" max="4102" width="9.1796875" style="1" customWidth="1"/>
    <col min="4103" max="4103" width="9.1796875" style="1"/>
    <col min="4104" max="4104" width="10" style="1" customWidth="1"/>
    <col min="4105" max="4105" width="7.81640625" style="1" customWidth="1"/>
    <col min="4106" max="4106" width="6.1796875" style="1" customWidth="1"/>
    <col min="4107" max="4107" width="8.7265625" style="1" customWidth="1"/>
    <col min="4108" max="4347" width="9.1796875" style="1"/>
    <col min="4348" max="4348" width="13.453125" style="1" customWidth="1"/>
    <col min="4349" max="4349" width="9.1796875" style="1"/>
    <col min="4350" max="4350" width="17" style="1" customWidth="1"/>
    <col min="4351" max="4351" width="7.54296875" style="1" customWidth="1"/>
    <col min="4352" max="4352" width="9.1796875" style="1"/>
    <col min="4353" max="4353" width="9.1796875" style="1" customWidth="1"/>
    <col min="4354" max="4354" width="9.1796875" style="1"/>
    <col min="4355" max="4355" width="8.7265625" style="1" customWidth="1"/>
    <col min="4356" max="4356" width="7.453125" style="1" customWidth="1"/>
    <col min="4357" max="4357" width="7.54296875" style="1" customWidth="1"/>
    <col min="4358" max="4358" width="9.1796875" style="1" customWidth="1"/>
    <col min="4359" max="4359" width="9.1796875" style="1"/>
    <col min="4360" max="4360" width="10" style="1" customWidth="1"/>
    <col min="4361" max="4361" width="7.81640625" style="1" customWidth="1"/>
    <col min="4362" max="4362" width="6.1796875" style="1" customWidth="1"/>
    <col min="4363" max="4363" width="8.7265625" style="1" customWidth="1"/>
    <col min="4364" max="4603" width="9.1796875" style="1"/>
    <col min="4604" max="4604" width="13.453125" style="1" customWidth="1"/>
    <col min="4605" max="4605" width="9.1796875" style="1"/>
    <col min="4606" max="4606" width="17" style="1" customWidth="1"/>
    <col min="4607" max="4607" width="7.54296875" style="1" customWidth="1"/>
    <col min="4608" max="4608" width="9.1796875" style="1"/>
    <col min="4609" max="4609" width="9.1796875" style="1" customWidth="1"/>
    <col min="4610" max="4610" width="9.1796875" style="1"/>
    <col min="4611" max="4611" width="8.7265625" style="1" customWidth="1"/>
    <col min="4612" max="4612" width="7.453125" style="1" customWidth="1"/>
    <col min="4613" max="4613" width="7.54296875" style="1" customWidth="1"/>
    <col min="4614" max="4614" width="9.1796875" style="1" customWidth="1"/>
    <col min="4615" max="4615" width="9.1796875" style="1"/>
    <col min="4616" max="4616" width="10" style="1" customWidth="1"/>
    <col min="4617" max="4617" width="7.81640625" style="1" customWidth="1"/>
    <col min="4618" max="4618" width="6.1796875" style="1" customWidth="1"/>
    <col min="4619" max="4619" width="8.7265625" style="1" customWidth="1"/>
    <col min="4620" max="4859" width="9.1796875" style="1"/>
    <col min="4860" max="4860" width="13.453125" style="1" customWidth="1"/>
    <col min="4861" max="4861" width="9.1796875" style="1"/>
    <col min="4862" max="4862" width="17" style="1" customWidth="1"/>
    <col min="4863" max="4863" width="7.54296875" style="1" customWidth="1"/>
    <col min="4864" max="4864" width="9.1796875" style="1"/>
    <col min="4865" max="4865" width="9.1796875" style="1" customWidth="1"/>
    <col min="4866" max="4866" width="9.1796875" style="1"/>
    <col min="4867" max="4867" width="8.7265625" style="1" customWidth="1"/>
    <col min="4868" max="4868" width="7.453125" style="1" customWidth="1"/>
    <col min="4869" max="4869" width="7.54296875" style="1" customWidth="1"/>
    <col min="4870" max="4870" width="9.1796875" style="1" customWidth="1"/>
    <col min="4871" max="4871" width="9.1796875" style="1"/>
    <col min="4872" max="4872" width="10" style="1" customWidth="1"/>
    <col min="4873" max="4873" width="7.81640625" style="1" customWidth="1"/>
    <col min="4874" max="4874" width="6.1796875" style="1" customWidth="1"/>
    <col min="4875" max="4875" width="8.7265625" style="1" customWidth="1"/>
    <col min="4876" max="5115" width="9.1796875" style="1"/>
    <col min="5116" max="5116" width="13.453125" style="1" customWidth="1"/>
    <col min="5117" max="5117" width="9.1796875" style="1"/>
    <col min="5118" max="5118" width="17" style="1" customWidth="1"/>
    <col min="5119" max="5119" width="7.54296875" style="1" customWidth="1"/>
    <col min="5120" max="5120" width="9.1796875" style="1"/>
    <col min="5121" max="5121" width="9.1796875" style="1" customWidth="1"/>
    <col min="5122" max="5122" width="9.1796875" style="1"/>
    <col min="5123" max="5123" width="8.7265625" style="1" customWidth="1"/>
    <col min="5124" max="5124" width="7.453125" style="1" customWidth="1"/>
    <col min="5125" max="5125" width="7.54296875" style="1" customWidth="1"/>
    <col min="5126" max="5126" width="9.1796875" style="1" customWidth="1"/>
    <col min="5127" max="5127" width="9.1796875" style="1"/>
    <col min="5128" max="5128" width="10" style="1" customWidth="1"/>
    <col min="5129" max="5129" width="7.81640625" style="1" customWidth="1"/>
    <col min="5130" max="5130" width="6.1796875" style="1" customWidth="1"/>
    <col min="5131" max="5131" width="8.7265625" style="1" customWidth="1"/>
    <col min="5132" max="5371" width="9.1796875" style="1"/>
    <col min="5372" max="5372" width="13.453125" style="1" customWidth="1"/>
    <col min="5373" max="5373" width="9.1796875" style="1"/>
    <col min="5374" max="5374" width="17" style="1" customWidth="1"/>
    <col min="5375" max="5375" width="7.54296875" style="1" customWidth="1"/>
    <col min="5376" max="5376" width="9.1796875" style="1"/>
    <col min="5377" max="5377" width="9.1796875" style="1" customWidth="1"/>
    <col min="5378" max="5378" width="9.1796875" style="1"/>
    <col min="5379" max="5379" width="8.7265625" style="1" customWidth="1"/>
    <col min="5380" max="5380" width="7.453125" style="1" customWidth="1"/>
    <col min="5381" max="5381" width="7.54296875" style="1" customWidth="1"/>
    <col min="5382" max="5382" width="9.1796875" style="1" customWidth="1"/>
    <col min="5383" max="5383" width="9.1796875" style="1"/>
    <col min="5384" max="5384" width="10" style="1" customWidth="1"/>
    <col min="5385" max="5385" width="7.81640625" style="1" customWidth="1"/>
    <col min="5386" max="5386" width="6.1796875" style="1" customWidth="1"/>
    <col min="5387" max="5387" width="8.7265625" style="1" customWidth="1"/>
    <col min="5388" max="5627" width="9.1796875" style="1"/>
    <col min="5628" max="5628" width="13.453125" style="1" customWidth="1"/>
    <col min="5629" max="5629" width="9.1796875" style="1"/>
    <col min="5630" max="5630" width="17" style="1" customWidth="1"/>
    <col min="5631" max="5631" width="7.54296875" style="1" customWidth="1"/>
    <col min="5632" max="5632" width="9.1796875" style="1"/>
    <col min="5633" max="5633" width="9.1796875" style="1" customWidth="1"/>
    <col min="5634" max="5634" width="9.1796875" style="1"/>
    <col min="5635" max="5635" width="8.7265625" style="1" customWidth="1"/>
    <col min="5636" max="5636" width="7.453125" style="1" customWidth="1"/>
    <col min="5637" max="5637" width="7.54296875" style="1" customWidth="1"/>
    <col min="5638" max="5638" width="9.1796875" style="1" customWidth="1"/>
    <col min="5639" max="5639" width="9.1796875" style="1"/>
    <col min="5640" max="5640" width="10" style="1" customWidth="1"/>
    <col min="5641" max="5641" width="7.81640625" style="1" customWidth="1"/>
    <col min="5642" max="5642" width="6.1796875" style="1" customWidth="1"/>
    <col min="5643" max="5643" width="8.7265625" style="1" customWidth="1"/>
    <col min="5644" max="5883" width="9.1796875" style="1"/>
    <col min="5884" max="5884" width="13.453125" style="1" customWidth="1"/>
    <col min="5885" max="5885" width="9.1796875" style="1"/>
    <col min="5886" max="5886" width="17" style="1" customWidth="1"/>
    <col min="5887" max="5887" width="7.54296875" style="1" customWidth="1"/>
    <col min="5888" max="5888" width="9.1796875" style="1"/>
    <col min="5889" max="5889" width="9.1796875" style="1" customWidth="1"/>
    <col min="5890" max="5890" width="9.1796875" style="1"/>
    <col min="5891" max="5891" width="8.7265625" style="1" customWidth="1"/>
    <col min="5892" max="5892" width="7.453125" style="1" customWidth="1"/>
    <col min="5893" max="5893" width="7.54296875" style="1" customWidth="1"/>
    <col min="5894" max="5894" width="9.1796875" style="1" customWidth="1"/>
    <col min="5895" max="5895" width="9.1796875" style="1"/>
    <col min="5896" max="5896" width="10" style="1" customWidth="1"/>
    <col min="5897" max="5897" width="7.81640625" style="1" customWidth="1"/>
    <col min="5898" max="5898" width="6.1796875" style="1" customWidth="1"/>
    <col min="5899" max="5899" width="8.7265625" style="1" customWidth="1"/>
    <col min="5900" max="6139" width="9.1796875" style="1"/>
    <col min="6140" max="6140" width="13.453125" style="1" customWidth="1"/>
    <col min="6141" max="6141" width="9.1796875" style="1"/>
    <col min="6142" max="6142" width="17" style="1" customWidth="1"/>
    <col min="6143" max="6143" width="7.54296875" style="1" customWidth="1"/>
    <col min="6144" max="6144" width="9.1796875" style="1"/>
    <col min="6145" max="6145" width="9.1796875" style="1" customWidth="1"/>
    <col min="6146" max="6146" width="9.1796875" style="1"/>
    <col min="6147" max="6147" width="8.7265625" style="1" customWidth="1"/>
    <col min="6148" max="6148" width="7.453125" style="1" customWidth="1"/>
    <col min="6149" max="6149" width="7.54296875" style="1" customWidth="1"/>
    <col min="6150" max="6150" width="9.1796875" style="1" customWidth="1"/>
    <col min="6151" max="6151" width="9.1796875" style="1"/>
    <col min="6152" max="6152" width="10" style="1" customWidth="1"/>
    <col min="6153" max="6153" width="7.81640625" style="1" customWidth="1"/>
    <col min="6154" max="6154" width="6.1796875" style="1" customWidth="1"/>
    <col min="6155" max="6155" width="8.7265625" style="1" customWidth="1"/>
    <col min="6156" max="6395" width="9.1796875" style="1"/>
    <col min="6396" max="6396" width="13.453125" style="1" customWidth="1"/>
    <col min="6397" max="6397" width="9.1796875" style="1"/>
    <col min="6398" max="6398" width="17" style="1" customWidth="1"/>
    <col min="6399" max="6399" width="7.54296875" style="1" customWidth="1"/>
    <col min="6400" max="6400" width="9.1796875" style="1"/>
    <col min="6401" max="6401" width="9.1796875" style="1" customWidth="1"/>
    <col min="6402" max="6402" width="9.1796875" style="1"/>
    <col min="6403" max="6403" width="8.7265625" style="1" customWidth="1"/>
    <col min="6404" max="6404" width="7.453125" style="1" customWidth="1"/>
    <col min="6405" max="6405" width="7.54296875" style="1" customWidth="1"/>
    <col min="6406" max="6406" width="9.1796875" style="1" customWidth="1"/>
    <col min="6407" max="6407" width="9.1796875" style="1"/>
    <col min="6408" max="6408" width="10" style="1" customWidth="1"/>
    <col min="6409" max="6409" width="7.81640625" style="1" customWidth="1"/>
    <col min="6410" max="6410" width="6.1796875" style="1" customWidth="1"/>
    <col min="6411" max="6411" width="8.7265625" style="1" customWidth="1"/>
    <col min="6412" max="6651" width="9.1796875" style="1"/>
    <col min="6652" max="6652" width="13.453125" style="1" customWidth="1"/>
    <col min="6653" max="6653" width="9.1796875" style="1"/>
    <col min="6654" max="6654" width="17" style="1" customWidth="1"/>
    <col min="6655" max="6655" width="7.54296875" style="1" customWidth="1"/>
    <col min="6656" max="6656" width="9.1796875" style="1"/>
    <col min="6657" max="6657" width="9.1796875" style="1" customWidth="1"/>
    <col min="6658" max="6658" width="9.1796875" style="1"/>
    <col min="6659" max="6659" width="8.7265625" style="1" customWidth="1"/>
    <col min="6660" max="6660" width="7.453125" style="1" customWidth="1"/>
    <col min="6661" max="6661" width="7.54296875" style="1" customWidth="1"/>
    <col min="6662" max="6662" width="9.1796875" style="1" customWidth="1"/>
    <col min="6663" max="6663" width="9.1796875" style="1"/>
    <col min="6664" max="6664" width="10" style="1" customWidth="1"/>
    <col min="6665" max="6665" width="7.81640625" style="1" customWidth="1"/>
    <col min="6666" max="6666" width="6.1796875" style="1" customWidth="1"/>
    <col min="6667" max="6667" width="8.7265625" style="1" customWidth="1"/>
    <col min="6668" max="6907" width="9.1796875" style="1"/>
    <col min="6908" max="6908" width="13.453125" style="1" customWidth="1"/>
    <col min="6909" max="6909" width="9.1796875" style="1"/>
    <col min="6910" max="6910" width="17" style="1" customWidth="1"/>
    <col min="6911" max="6911" width="7.54296875" style="1" customWidth="1"/>
    <col min="6912" max="6912" width="9.1796875" style="1"/>
    <col min="6913" max="6913" width="9.1796875" style="1" customWidth="1"/>
    <col min="6914" max="6914" width="9.1796875" style="1"/>
    <col min="6915" max="6915" width="8.7265625" style="1" customWidth="1"/>
    <col min="6916" max="6916" width="7.453125" style="1" customWidth="1"/>
    <col min="6917" max="6917" width="7.54296875" style="1" customWidth="1"/>
    <col min="6918" max="6918" width="9.1796875" style="1" customWidth="1"/>
    <col min="6919" max="6919" width="9.1796875" style="1"/>
    <col min="6920" max="6920" width="10" style="1" customWidth="1"/>
    <col min="6921" max="6921" width="7.81640625" style="1" customWidth="1"/>
    <col min="6922" max="6922" width="6.1796875" style="1" customWidth="1"/>
    <col min="6923" max="6923" width="8.7265625" style="1" customWidth="1"/>
    <col min="6924" max="7163" width="9.1796875" style="1"/>
    <col min="7164" max="7164" width="13.453125" style="1" customWidth="1"/>
    <col min="7165" max="7165" width="9.1796875" style="1"/>
    <col min="7166" max="7166" width="17" style="1" customWidth="1"/>
    <col min="7167" max="7167" width="7.54296875" style="1" customWidth="1"/>
    <col min="7168" max="7168" width="9.1796875" style="1"/>
    <col min="7169" max="7169" width="9.1796875" style="1" customWidth="1"/>
    <col min="7170" max="7170" width="9.1796875" style="1"/>
    <col min="7171" max="7171" width="8.7265625" style="1" customWidth="1"/>
    <col min="7172" max="7172" width="7.453125" style="1" customWidth="1"/>
    <col min="7173" max="7173" width="7.54296875" style="1" customWidth="1"/>
    <col min="7174" max="7174" width="9.1796875" style="1" customWidth="1"/>
    <col min="7175" max="7175" width="9.1796875" style="1"/>
    <col min="7176" max="7176" width="10" style="1" customWidth="1"/>
    <col min="7177" max="7177" width="7.81640625" style="1" customWidth="1"/>
    <col min="7178" max="7178" width="6.1796875" style="1" customWidth="1"/>
    <col min="7179" max="7179" width="8.7265625" style="1" customWidth="1"/>
    <col min="7180" max="7419" width="9.1796875" style="1"/>
    <col min="7420" max="7420" width="13.453125" style="1" customWidth="1"/>
    <col min="7421" max="7421" width="9.1796875" style="1"/>
    <col min="7422" max="7422" width="17" style="1" customWidth="1"/>
    <col min="7423" max="7423" width="7.54296875" style="1" customWidth="1"/>
    <col min="7424" max="7424" width="9.1796875" style="1"/>
    <col min="7425" max="7425" width="9.1796875" style="1" customWidth="1"/>
    <col min="7426" max="7426" width="9.1796875" style="1"/>
    <col min="7427" max="7427" width="8.7265625" style="1" customWidth="1"/>
    <col min="7428" max="7428" width="7.453125" style="1" customWidth="1"/>
    <col min="7429" max="7429" width="7.54296875" style="1" customWidth="1"/>
    <col min="7430" max="7430" width="9.1796875" style="1" customWidth="1"/>
    <col min="7431" max="7431" width="9.1796875" style="1"/>
    <col min="7432" max="7432" width="10" style="1" customWidth="1"/>
    <col min="7433" max="7433" width="7.81640625" style="1" customWidth="1"/>
    <col min="7434" max="7434" width="6.1796875" style="1" customWidth="1"/>
    <col min="7435" max="7435" width="8.7265625" style="1" customWidth="1"/>
    <col min="7436" max="7675" width="9.1796875" style="1"/>
    <col min="7676" max="7676" width="13.453125" style="1" customWidth="1"/>
    <col min="7677" max="7677" width="9.1796875" style="1"/>
    <col min="7678" max="7678" width="17" style="1" customWidth="1"/>
    <col min="7679" max="7679" width="7.54296875" style="1" customWidth="1"/>
    <col min="7680" max="7680" width="9.1796875" style="1"/>
    <col min="7681" max="7681" width="9.1796875" style="1" customWidth="1"/>
    <col min="7682" max="7682" width="9.1796875" style="1"/>
    <col min="7683" max="7683" width="8.7265625" style="1" customWidth="1"/>
    <col min="7684" max="7684" width="7.453125" style="1" customWidth="1"/>
    <col min="7685" max="7685" width="7.54296875" style="1" customWidth="1"/>
    <col min="7686" max="7686" width="9.1796875" style="1" customWidth="1"/>
    <col min="7687" max="7687" width="9.1796875" style="1"/>
    <col min="7688" max="7688" width="10" style="1" customWidth="1"/>
    <col min="7689" max="7689" width="7.81640625" style="1" customWidth="1"/>
    <col min="7690" max="7690" width="6.1796875" style="1" customWidth="1"/>
    <col min="7691" max="7691" width="8.7265625" style="1" customWidth="1"/>
    <col min="7692" max="7931" width="9.1796875" style="1"/>
    <col min="7932" max="7932" width="13.453125" style="1" customWidth="1"/>
    <col min="7933" max="7933" width="9.1796875" style="1"/>
    <col min="7934" max="7934" width="17" style="1" customWidth="1"/>
    <col min="7935" max="7935" width="7.54296875" style="1" customWidth="1"/>
    <col min="7936" max="7936" width="9.1796875" style="1"/>
    <col min="7937" max="7937" width="9.1796875" style="1" customWidth="1"/>
    <col min="7938" max="7938" width="9.1796875" style="1"/>
    <col min="7939" max="7939" width="8.7265625" style="1" customWidth="1"/>
    <col min="7940" max="7940" width="7.453125" style="1" customWidth="1"/>
    <col min="7941" max="7941" width="7.54296875" style="1" customWidth="1"/>
    <col min="7942" max="7942" width="9.1796875" style="1" customWidth="1"/>
    <col min="7943" max="7943" width="9.1796875" style="1"/>
    <col min="7944" max="7944" width="10" style="1" customWidth="1"/>
    <col min="7945" max="7945" width="7.81640625" style="1" customWidth="1"/>
    <col min="7946" max="7946" width="6.1796875" style="1" customWidth="1"/>
    <col min="7947" max="7947" width="8.7265625" style="1" customWidth="1"/>
    <col min="7948" max="8187" width="9.1796875" style="1"/>
    <col min="8188" max="8188" width="13.453125" style="1" customWidth="1"/>
    <col min="8189" max="8189" width="9.1796875" style="1"/>
    <col min="8190" max="8190" width="17" style="1" customWidth="1"/>
    <col min="8191" max="8191" width="7.54296875" style="1" customWidth="1"/>
    <col min="8192" max="8192" width="9.1796875" style="1"/>
    <col min="8193" max="8193" width="9.1796875" style="1" customWidth="1"/>
    <col min="8194" max="8194" width="9.1796875" style="1"/>
    <col min="8195" max="8195" width="8.7265625" style="1" customWidth="1"/>
    <col min="8196" max="8196" width="7.453125" style="1" customWidth="1"/>
    <col min="8197" max="8197" width="7.54296875" style="1" customWidth="1"/>
    <col min="8198" max="8198" width="9.1796875" style="1" customWidth="1"/>
    <col min="8199" max="8199" width="9.1796875" style="1"/>
    <col min="8200" max="8200" width="10" style="1" customWidth="1"/>
    <col min="8201" max="8201" width="7.81640625" style="1" customWidth="1"/>
    <col min="8202" max="8202" width="6.1796875" style="1" customWidth="1"/>
    <col min="8203" max="8203" width="8.7265625" style="1" customWidth="1"/>
    <col min="8204" max="8443" width="9.1796875" style="1"/>
    <col min="8444" max="8444" width="13.453125" style="1" customWidth="1"/>
    <col min="8445" max="8445" width="9.1796875" style="1"/>
    <col min="8446" max="8446" width="17" style="1" customWidth="1"/>
    <col min="8447" max="8447" width="7.54296875" style="1" customWidth="1"/>
    <col min="8448" max="8448" width="9.1796875" style="1"/>
    <col min="8449" max="8449" width="9.1796875" style="1" customWidth="1"/>
    <col min="8450" max="8450" width="9.1796875" style="1"/>
    <col min="8451" max="8451" width="8.7265625" style="1" customWidth="1"/>
    <col min="8452" max="8452" width="7.453125" style="1" customWidth="1"/>
    <col min="8453" max="8453" width="7.54296875" style="1" customWidth="1"/>
    <col min="8454" max="8454" width="9.1796875" style="1" customWidth="1"/>
    <col min="8455" max="8455" width="9.1796875" style="1"/>
    <col min="8456" max="8456" width="10" style="1" customWidth="1"/>
    <col min="8457" max="8457" width="7.81640625" style="1" customWidth="1"/>
    <col min="8458" max="8458" width="6.1796875" style="1" customWidth="1"/>
    <col min="8459" max="8459" width="8.7265625" style="1" customWidth="1"/>
    <col min="8460" max="8699" width="9.1796875" style="1"/>
    <col min="8700" max="8700" width="13.453125" style="1" customWidth="1"/>
    <col min="8701" max="8701" width="9.1796875" style="1"/>
    <col min="8702" max="8702" width="17" style="1" customWidth="1"/>
    <col min="8703" max="8703" width="7.54296875" style="1" customWidth="1"/>
    <col min="8704" max="8704" width="9.1796875" style="1"/>
    <col min="8705" max="8705" width="9.1796875" style="1" customWidth="1"/>
    <col min="8706" max="8706" width="9.1796875" style="1"/>
    <col min="8707" max="8707" width="8.7265625" style="1" customWidth="1"/>
    <col min="8708" max="8708" width="7.453125" style="1" customWidth="1"/>
    <col min="8709" max="8709" width="7.54296875" style="1" customWidth="1"/>
    <col min="8710" max="8710" width="9.1796875" style="1" customWidth="1"/>
    <col min="8711" max="8711" width="9.1796875" style="1"/>
    <col min="8712" max="8712" width="10" style="1" customWidth="1"/>
    <col min="8713" max="8713" width="7.81640625" style="1" customWidth="1"/>
    <col min="8714" max="8714" width="6.1796875" style="1" customWidth="1"/>
    <col min="8715" max="8715" width="8.7265625" style="1" customWidth="1"/>
    <col min="8716" max="8955" width="9.1796875" style="1"/>
    <col min="8956" max="8956" width="13.453125" style="1" customWidth="1"/>
    <col min="8957" max="8957" width="9.1796875" style="1"/>
    <col min="8958" max="8958" width="17" style="1" customWidth="1"/>
    <col min="8959" max="8959" width="7.54296875" style="1" customWidth="1"/>
    <col min="8960" max="8960" width="9.1796875" style="1"/>
    <col min="8961" max="8961" width="9.1796875" style="1" customWidth="1"/>
    <col min="8962" max="8962" width="9.1796875" style="1"/>
    <col min="8963" max="8963" width="8.7265625" style="1" customWidth="1"/>
    <col min="8964" max="8964" width="7.453125" style="1" customWidth="1"/>
    <col min="8965" max="8965" width="7.54296875" style="1" customWidth="1"/>
    <col min="8966" max="8966" width="9.1796875" style="1" customWidth="1"/>
    <col min="8967" max="8967" width="9.1796875" style="1"/>
    <col min="8968" max="8968" width="10" style="1" customWidth="1"/>
    <col min="8969" max="8969" width="7.81640625" style="1" customWidth="1"/>
    <col min="8970" max="8970" width="6.1796875" style="1" customWidth="1"/>
    <col min="8971" max="8971" width="8.7265625" style="1" customWidth="1"/>
    <col min="8972" max="9211" width="9.1796875" style="1"/>
    <col min="9212" max="9212" width="13.453125" style="1" customWidth="1"/>
    <col min="9213" max="9213" width="9.1796875" style="1"/>
    <col min="9214" max="9214" width="17" style="1" customWidth="1"/>
    <col min="9215" max="9215" width="7.54296875" style="1" customWidth="1"/>
    <col min="9216" max="9216" width="9.1796875" style="1"/>
    <col min="9217" max="9217" width="9.1796875" style="1" customWidth="1"/>
    <col min="9218" max="9218" width="9.1796875" style="1"/>
    <col min="9219" max="9219" width="8.7265625" style="1" customWidth="1"/>
    <col min="9220" max="9220" width="7.453125" style="1" customWidth="1"/>
    <col min="9221" max="9221" width="7.54296875" style="1" customWidth="1"/>
    <col min="9222" max="9222" width="9.1796875" style="1" customWidth="1"/>
    <col min="9223" max="9223" width="9.1796875" style="1"/>
    <col min="9224" max="9224" width="10" style="1" customWidth="1"/>
    <col min="9225" max="9225" width="7.81640625" style="1" customWidth="1"/>
    <col min="9226" max="9226" width="6.1796875" style="1" customWidth="1"/>
    <col min="9227" max="9227" width="8.7265625" style="1" customWidth="1"/>
    <col min="9228" max="9467" width="9.1796875" style="1"/>
    <col min="9468" max="9468" width="13.453125" style="1" customWidth="1"/>
    <col min="9469" max="9469" width="9.1796875" style="1"/>
    <col min="9470" max="9470" width="17" style="1" customWidth="1"/>
    <col min="9471" max="9471" width="7.54296875" style="1" customWidth="1"/>
    <col min="9472" max="9472" width="9.1796875" style="1"/>
    <col min="9473" max="9473" width="9.1796875" style="1" customWidth="1"/>
    <col min="9474" max="9474" width="9.1796875" style="1"/>
    <col min="9475" max="9475" width="8.7265625" style="1" customWidth="1"/>
    <col min="9476" max="9476" width="7.453125" style="1" customWidth="1"/>
    <col min="9477" max="9477" width="7.54296875" style="1" customWidth="1"/>
    <col min="9478" max="9478" width="9.1796875" style="1" customWidth="1"/>
    <col min="9479" max="9479" width="9.1796875" style="1"/>
    <col min="9480" max="9480" width="10" style="1" customWidth="1"/>
    <col min="9481" max="9481" width="7.81640625" style="1" customWidth="1"/>
    <col min="9482" max="9482" width="6.1796875" style="1" customWidth="1"/>
    <col min="9483" max="9483" width="8.7265625" style="1" customWidth="1"/>
    <col min="9484" max="9723" width="9.1796875" style="1"/>
    <col min="9724" max="9724" width="13.453125" style="1" customWidth="1"/>
    <col min="9725" max="9725" width="9.1796875" style="1"/>
    <col min="9726" max="9726" width="17" style="1" customWidth="1"/>
    <col min="9727" max="9727" width="7.54296875" style="1" customWidth="1"/>
    <col min="9728" max="9728" width="9.1796875" style="1"/>
    <col min="9729" max="9729" width="9.1796875" style="1" customWidth="1"/>
    <col min="9730" max="9730" width="9.1796875" style="1"/>
    <col min="9731" max="9731" width="8.7265625" style="1" customWidth="1"/>
    <col min="9732" max="9732" width="7.453125" style="1" customWidth="1"/>
    <col min="9733" max="9733" width="7.54296875" style="1" customWidth="1"/>
    <col min="9734" max="9734" width="9.1796875" style="1" customWidth="1"/>
    <col min="9735" max="9735" width="9.1796875" style="1"/>
    <col min="9736" max="9736" width="10" style="1" customWidth="1"/>
    <col min="9737" max="9737" width="7.81640625" style="1" customWidth="1"/>
    <col min="9738" max="9738" width="6.1796875" style="1" customWidth="1"/>
    <col min="9739" max="9739" width="8.7265625" style="1" customWidth="1"/>
    <col min="9740" max="9979" width="9.1796875" style="1"/>
    <col min="9980" max="9980" width="13.453125" style="1" customWidth="1"/>
    <col min="9981" max="9981" width="9.1796875" style="1"/>
    <col min="9982" max="9982" width="17" style="1" customWidth="1"/>
    <col min="9983" max="9983" width="7.54296875" style="1" customWidth="1"/>
    <col min="9984" max="9984" width="9.1796875" style="1"/>
    <col min="9985" max="9985" width="9.1796875" style="1" customWidth="1"/>
    <col min="9986" max="9986" width="9.1796875" style="1"/>
    <col min="9987" max="9987" width="8.7265625" style="1" customWidth="1"/>
    <col min="9988" max="9988" width="7.453125" style="1" customWidth="1"/>
    <col min="9989" max="9989" width="7.54296875" style="1" customWidth="1"/>
    <col min="9990" max="9990" width="9.1796875" style="1" customWidth="1"/>
    <col min="9991" max="9991" width="9.1796875" style="1"/>
    <col min="9992" max="9992" width="10" style="1" customWidth="1"/>
    <col min="9993" max="9993" width="7.81640625" style="1" customWidth="1"/>
    <col min="9994" max="9994" width="6.1796875" style="1" customWidth="1"/>
    <col min="9995" max="9995" width="8.7265625" style="1" customWidth="1"/>
    <col min="9996" max="10235" width="9.1796875" style="1"/>
    <col min="10236" max="10236" width="13.453125" style="1" customWidth="1"/>
    <col min="10237" max="10237" width="9.1796875" style="1"/>
    <col min="10238" max="10238" width="17" style="1" customWidth="1"/>
    <col min="10239" max="10239" width="7.54296875" style="1" customWidth="1"/>
    <col min="10240" max="10240" width="9.1796875" style="1"/>
    <col min="10241" max="10241" width="9.1796875" style="1" customWidth="1"/>
    <col min="10242" max="10242" width="9.1796875" style="1"/>
    <col min="10243" max="10243" width="8.7265625" style="1" customWidth="1"/>
    <col min="10244" max="10244" width="7.453125" style="1" customWidth="1"/>
    <col min="10245" max="10245" width="7.54296875" style="1" customWidth="1"/>
    <col min="10246" max="10246" width="9.1796875" style="1" customWidth="1"/>
    <col min="10247" max="10247" width="9.1796875" style="1"/>
    <col min="10248" max="10248" width="10" style="1" customWidth="1"/>
    <col min="10249" max="10249" width="7.81640625" style="1" customWidth="1"/>
    <col min="10250" max="10250" width="6.1796875" style="1" customWidth="1"/>
    <col min="10251" max="10251" width="8.7265625" style="1" customWidth="1"/>
    <col min="10252" max="10491" width="9.1796875" style="1"/>
    <col min="10492" max="10492" width="13.453125" style="1" customWidth="1"/>
    <col min="10493" max="10493" width="9.1796875" style="1"/>
    <col min="10494" max="10494" width="17" style="1" customWidth="1"/>
    <col min="10495" max="10495" width="7.54296875" style="1" customWidth="1"/>
    <col min="10496" max="10496" width="9.1796875" style="1"/>
    <col min="10497" max="10497" width="9.1796875" style="1" customWidth="1"/>
    <col min="10498" max="10498" width="9.1796875" style="1"/>
    <col min="10499" max="10499" width="8.7265625" style="1" customWidth="1"/>
    <col min="10500" max="10500" width="7.453125" style="1" customWidth="1"/>
    <col min="10501" max="10501" width="7.54296875" style="1" customWidth="1"/>
    <col min="10502" max="10502" width="9.1796875" style="1" customWidth="1"/>
    <col min="10503" max="10503" width="9.1796875" style="1"/>
    <col min="10504" max="10504" width="10" style="1" customWidth="1"/>
    <col min="10505" max="10505" width="7.81640625" style="1" customWidth="1"/>
    <col min="10506" max="10506" width="6.1796875" style="1" customWidth="1"/>
    <col min="10507" max="10507" width="8.7265625" style="1" customWidth="1"/>
    <col min="10508" max="10747" width="9.1796875" style="1"/>
    <col min="10748" max="10748" width="13.453125" style="1" customWidth="1"/>
    <col min="10749" max="10749" width="9.1796875" style="1"/>
    <col min="10750" max="10750" width="17" style="1" customWidth="1"/>
    <col min="10751" max="10751" width="7.54296875" style="1" customWidth="1"/>
    <col min="10752" max="10752" width="9.1796875" style="1"/>
    <col min="10753" max="10753" width="9.1796875" style="1" customWidth="1"/>
    <col min="10754" max="10754" width="9.1796875" style="1"/>
    <col min="10755" max="10755" width="8.7265625" style="1" customWidth="1"/>
    <col min="10756" max="10756" width="7.453125" style="1" customWidth="1"/>
    <col min="10757" max="10757" width="7.54296875" style="1" customWidth="1"/>
    <col min="10758" max="10758" width="9.1796875" style="1" customWidth="1"/>
    <col min="10759" max="10759" width="9.1796875" style="1"/>
    <col min="10760" max="10760" width="10" style="1" customWidth="1"/>
    <col min="10761" max="10761" width="7.81640625" style="1" customWidth="1"/>
    <col min="10762" max="10762" width="6.1796875" style="1" customWidth="1"/>
    <col min="10763" max="10763" width="8.7265625" style="1" customWidth="1"/>
    <col min="10764" max="11003" width="9.1796875" style="1"/>
    <col min="11004" max="11004" width="13.453125" style="1" customWidth="1"/>
    <col min="11005" max="11005" width="9.1796875" style="1"/>
    <col min="11006" max="11006" width="17" style="1" customWidth="1"/>
    <col min="11007" max="11007" width="7.54296875" style="1" customWidth="1"/>
    <col min="11008" max="11008" width="9.1796875" style="1"/>
    <col min="11009" max="11009" width="9.1796875" style="1" customWidth="1"/>
    <col min="11010" max="11010" width="9.1796875" style="1"/>
    <col min="11011" max="11011" width="8.7265625" style="1" customWidth="1"/>
    <col min="11012" max="11012" width="7.453125" style="1" customWidth="1"/>
    <col min="11013" max="11013" width="7.54296875" style="1" customWidth="1"/>
    <col min="11014" max="11014" width="9.1796875" style="1" customWidth="1"/>
    <col min="11015" max="11015" width="9.1796875" style="1"/>
    <col min="11016" max="11016" width="10" style="1" customWidth="1"/>
    <col min="11017" max="11017" width="7.81640625" style="1" customWidth="1"/>
    <col min="11018" max="11018" width="6.1796875" style="1" customWidth="1"/>
    <col min="11019" max="11019" width="8.7265625" style="1" customWidth="1"/>
    <col min="11020" max="11259" width="9.1796875" style="1"/>
    <col min="11260" max="11260" width="13.453125" style="1" customWidth="1"/>
    <col min="11261" max="11261" width="9.1796875" style="1"/>
    <col min="11262" max="11262" width="17" style="1" customWidth="1"/>
    <col min="11263" max="11263" width="7.54296875" style="1" customWidth="1"/>
    <col min="11264" max="11264" width="9.1796875" style="1"/>
    <col min="11265" max="11265" width="9.1796875" style="1" customWidth="1"/>
    <col min="11266" max="11266" width="9.1796875" style="1"/>
    <col min="11267" max="11267" width="8.7265625" style="1" customWidth="1"/>
    <col min="11268" max="11268" width="7.453125" style="1" customWidth="1"/>
    <col min="11269" max="11269" width="7.54296875" style="1" customWidth="1"/>
    <col min="11270" max="11270" width="9.1796875" style="1" customWidth="1"/>
    <col min="11271" max="11271" width="9.1796875" style="1"/>
    <col min="11272" max="11272" width="10" style="1" customWidth="1"/>
    <col min="11273" max="11273" width="7.81640625" style="1" customWidth="1"/>
    <col min="11274" max="11274" width="6.1796875" style="1" customWidth="1"/>
    <col min="11275" max="11275" width="8.7265625" style="1" customWidth="1"/>
    <col min="11276" max="11515" width="9.1796875" style="1"/>
    <col min="11516" max="11516" width="13.453125" style="1" customWidth="1"/>
    <col min="11517" max="11517" width="9.1796875" style="1"/>
    <col min="11518" max="11518" width="17" style="1" customWidth="1"/>
    <col min="11519" max="11519" width="7.54296875" style="1" customWidth="1"/>
    <col min="11520" max="11520" width="9.1796875" style="1"/>
    <col min="11521" max="11521" width="9.1796875" style="1" customWidth="1"/>
    <col min="11522" max="11522" width="9.1796875" style="1"/>
    <col min="11523" max="11523" width="8.7265625" style="1" customWidth="1"/>
    <col min="11524" max="11524" width="7.453125" style="1" customWidth="1"/>
    <col min="11525" max="11525" width="7.54296875" style="1" customWidth="1"/>
    <col min="11526" max="11526" width="9.1796875" style="1" customWidth="1"/>
    <col min="11527" max="11527" width="9.1796875" style="1"/>
    <col min="11528" max="11528" width="10" style="1" customWidth="1"/>
    <col min="11529" max="11529" width="7.81640625" style="1" customWidth="1"/>
    <col min="11530" max="11530" width="6.1796875" style="1" customWidth="1"/>
    <col min="11531" max="11531" width="8.7265625" style="1" customWidth="1"/>
    <col min="11532" max="11771" width="9.1796875" style="1"/>
    <col min="11772" max="11772" width="13.453125" style="1" customWidth="1"/>
    <col min="11773" max="11773" width="9.1796875" style="1"/>
    <col min="11774" max="11774" width="17" style="1" customWidth="1"/>
    <col min="11775" max="11775" width="7.54296875" style="1" customWidth="1"/>
    <col min="11776" max="11776" width="9.1796875" style="1"/>
    <col min="11777" max="11777" width="9.1796875" style="1" customWidth="1"/>
    <col min="11778" max="11778" width="9.1796875" style="1"/>
    <col min="11779" max="11779" width="8.7265625" style="1" customWidth="1"/>
    <col min="11780" max="11780" width="7.453125" style="1" customWidth="1"/>
    <col min="11781" max="11781" width="7.54296875" style="1" customWidth="1"/>
    <col min="11782" max="11782" width="9.1796875" style="1" customWidth="1"/>
    <col min="11783" max="11783" width="9.1796875" style="1"/>
    <col min="11784" max="11784" width="10" style="1" customWidth="1"/>
    <col min="11785" max="11785" width="7.81640625" style="1" customWidth="1"/>
    <col min="11786" max="11786" width="6.1796875" style="1" customWidth="1"/>
    <col min="11787" max="11787" width="8.7265625" style="1" customWidth="1"/>
    <col min="11788" max="12027" width="9.1796875" style="1"/>
    <col min="12028" max="12028" width="13.453125" style="1" customWidth="1"/>
    <col min="12029" max="12029" width="9.1796875" style="1"/>
    <col min="12030" max="12030" width="17" style="1" customWidth="1"/>
    <col min="12031" max="12031" width="7.54296875" style="1" customWidth="1"/>
    <col min="12032" max="12032" width="9.1796875" style="1"/>
    <col min="12033" max="12033" width="9.1796875" style="1" customWidth="1"/>
    <col min="12034" max="12034" width="9.1796875" style="1"/>
    <col min="12035" max="12035" width="8.7265625" style="1" customWidth="1"/>
    <col min="12036" max="12036" width="7.453125" style="1" customWidth="1"/>
    <col min="12037" max="12037" width="7.54296875" style="1" customWidth="1"/>
    <col min="12038" max="12038" width="9.1796875" style="1" customWidth="1"/>
    <col min="12039" max="12039" width="9.1796875" style="1"/>
    <col min="12040" max="12040" width="10" style="1" customWidth="1"/>
    <col min="12041" max="12041" width="7.81640625" style="1" customWidth="1"/>
    <col min="12042" max="12042" width="6.1796875" style="1" customWidth="1"/>
    <col min="12043" max="12043" width="8.7265625" style="1" customWidth="1"/>
    <col min="12044" max="12283" width="9.1796875" style="1"/>
    <col min="12284" max="12284" width="13.453125" style="1" customWidth="1"/>
    <col min="12285" max="12285" width="9.1796875" style="1"/>
    <col min="12286" max="12286" width="17" style="1" customWidth="1"/>
    <col min="12287" max="12287" width="7.54296875" style="1" customWidth="1"/>
    <col min="12288" max="12288" width="9.1796875" style="1"/>
    <col min="12289" max="12289" width="9.1796875" style="1" customWidth="1"/>
    <col min="12290" max="12290" width="9.1796875" style="1"/>
    <col min="12291" max="12291" width="8.7265625" style="1" customWidth="1"/>
    <col min="12292" max="12292" width="7.453125" style="1" customWidth="1"/>
    <col min="12293" max="12293" width="7.54296875" style="1" customWidth="1"/>
    <col min="12294" max="12294" width="9.1796875" style="1" customWidth="1"/>
    <col min="12295" max="12295" width="9.1796875" style="1"/>
    <col min="12296" max="12296" width="10" style="1" customWidth="1"/>
    <col min="12297" max="12297" width="7.81640625" style="1" customWidth="1"/>
    <col min="12298" max="12298" width="6.1796875" style="1" customWidth="1"/>
    <col min="12299" max="12299" width="8.7265625" style="1" customWidth="1"/>
    <col min="12300" max="12539" width="9.1796875" style="1"/>
    <col min="12540" max="12540" width="13.453125" style="1" customWidth="1"/>
    <col min="12541" max="12541" width="9.1796875" style="1"/>
    <col min="12542" max="12542" width="17" style="1" customWidth="1"/>
    <col min="12543" max="12543" width="7.54296875" style="1" customWidth="1"/>
    <col min="12544" max="12544" width="9.1796875" style="1"/>
    <col min="12545" max="12545" width="9.1796875" style="1" customWidth="1"/>
    <col min="12546" max="12546" width="9.1796875" style="1"/>
    <col min="12547" max="12547" width="8.7265625" style="1" customWidth="1"/>
    <col min="12548" max="12548" width="7.453125" style="1" customWidth="1"/>
    <col min="12549" max="12549" width="7.54296875" style="1" customWidth="1"/>
    <col min="12550" max="12550" width="9.1796875" style="1" customWidth="1"/>
    <col min="12551" max="12551" width="9.1796875" style="1"/>
    <col min="12552" max="12552" width="10" style="1" customWidth="1"/>
    <col min="12553" max="12553" width="7.81640625" style="1" customWidth="1"/>
    <col min="12554" max="12554" width="6.1796875" style="1" customWidth="1"/>
    <col min="12555" max="12555" width="8.7265625" style="1" customWidth="1"/>
    <col min="12556" max="12795" width="9.1796875" style="1"/>
    <col min="12796" max="12796" width="13.453125" style="1" customWidth="1"/>
    <col min="12797" max="12797" width="9.1796875" style="1"/>
    <col min="12798" max="12798" width="17" style="1" customWidth="1"/>
    <col min="12799" max="12799" width="7.54296875" style="1" customWidth="1"/>
    <col min="12800" max="12800" width="9.1796875" style="1"/>
    <col min="12801" max="12801" width="9.1796875" style="1" customWidth="1"/>
    <col min="12802" max="12802" width="9.1796875" style="1"/>
    <col min="12803" max="12803" width="8.7265625" style="1" customWidth="1"/>
    <col min="12804" max="12804" width="7.453125" style="1" customWidth="1"/>
    <col min="12805" max="12805" width="7.54296875" style="1" customWidth="1"/>
    <col min="12806" max="12806" width="9.1796875" style="1" customWidth="1"/>
    <col min="12807" max="12807" width="9.1796875" style="1"/>
    <col min="12808" max="12808" width="10" style="1" customWidth="1"/>
    <col min="12809" max="12809" width="7.81640625" style="1" customWidth="1"/>
    <col min="12810" max="12810" width="6.1796875" style="1" customWidth="1"/>
    <col min="12811" max="12811" width="8.7265625" style="1" customWidth="1"/>
    <col min="12812" max="13051" width="9.1796875" style="1"/>
    <col min="13052" max="13052" width="13.453125" style="1" customWidth="1"/>
    <col min="13053" max="13053" width="9.1796875" style="1"/>
    <col min="13054" max="13054" width="17" style="1" customWidth="1"/>
    <col min="13055" max="13055" width="7.54296875" style="1" customWidth="1"/>
    <col min="13056" max="13056" width="9.1796875" style="1"/>
    <col min="13057" max="13057" width="9.1796875" style="1" customWidth="1"/>
    <col min="13058" max="13058" width="9.1796875" style="1"/>
    <col min="13059" max="13059" width="8.7265625" style="1" customWidth="1"/>
    <col min="13060" max="13060" width="7.453125" style="1" customWidth="1"/>
    <col min="13061" max="13061" width="7.54296875" style="1" customWidth="1"/>
    <col min="13062" max="13062" width="9.1796875" style="1" customWidth="1"/>
    <col min="13063" max="13063" width="9.1796875" style="1"/>
    <col min="13064" max="13064" width="10" style="1" customWidth="1"/>
    <col min="13065" max="13065" width="7.81640625" style="1" customWidth="1"/>
    <col min="13066" max="13066" width="6.1796875" style="1" customWidth="1"/>
    <col min="13067" max="13067" width="8.7265625" style="1" customWidth="1"/>
    <col min="13068" max="13307" width="9.1796875" style="1"/>
    <col min="13308" max="13308" width="13.453125" style="1" customWidth="1"/>
    <col min="13309" max="13309" width="9.1796875" style="1"/>
    <col min="13310" max="13310" width="17" style="1" customWidth="1"/>
    <col min="13311" max="13311" width="7.54296875" style="1" customWidth="1"/>
    <col min="13312" max="13312" width="9.1796875" style="1"/>
    <col min="13313" max="13313" width="9.1796875" style="1" customWidth="1"/>
    <col min="13314" max="13314" width="9.1796875" style="1"/>
    <col min="13315" max="13315" width="8.7265625" style="1" customWidth="1"/>
    <col min="13316" max="13316" width="7.453125" style="1" customWidth="1"/>
    <col min="13317" max="13317" width="7.54296875" style="1" customWidth="1"/>
    <col min="13318" max="13318" width="9.1796875" style="1" customWidth="1"/>
    <col min="13319" max="13319" width="9.1796875" style="1"/>
    <col min="13320" max="13320" width="10" style="1" customWidth="1"/>
    <col min="13321" max="13321" width="7.81640625" style="1" customWidth="1"/>
    <col min="13322" max="13322" width="6.1796875" style="1" customWidth="1"/>
    <col min="13323" max="13323" width="8.7265625" style="1" customWidth="1"/>
    <col min="13324" max="13563" width="9.1796875" style="1"/>
    <col min="13564" max="13564" width="13.453125" style="1" customWidth="1"/>
    <col min="13565" max="13565" width="9.1796875" style="1"/>
    <col min="13566" max="13566" width="17" style="1" customWidth="1"/>
    <col min="13567" max="13567" width="7.54296875" style="1" customWidth="1"/>
    <col min="13568" max="13568" width="9.1796875" style="1"/>
    <col min="13569" max="13569" width="9.1796875" style="1" customWidth="1"/>
    <col min="13570" max="13570" width="9.1796875" style="1"/>
    <col min="13571" max="13571" width="8.7265625" style="1" customWidth="1"/>
    <col min="13572" max="13572" width="7.453125" style="1" customWidth="1"/>
    <col min="13573" max="13573" width="7.54296875" style="1" customWidth="1"/>
    <col min="13574" max="13574" width="9.1796875" style="1" customWidth="1"/>
    <col min="13575" max="13575" width="9.1796875" style="1"/>
    <col min="13576" max="13576" width="10" style="1" customWidth="1"/>
    <col min="13577" max="13577" width="7.81640625" style="1" customWidth="1"/>
    <col min="13578" max="13578" width="6.1796875" style="1" customWidth="1"/>
    <col min="13579" max="13579" width="8.7265625" style="1" customWidth="1"/>
    <col min="13580" max="13819" width="9.1796875" style="1"/>
    <col min="13820" max="13820" width="13.453125" style="1" customWidth="1"/>
    <col min="13821" max="13821" width="9.1796875" style="1"/>
    <col min="13822" max="13822" width="17" style="1" customWidth="1"/>
    <col min="13823" max="13823" width="7.54296875" style="1" customWidth="1"/>
    <col min="13824" max="13824" width="9.1796875" style="1"/>
    <col min="13825" max="13825" width="9.1796875" style="1" customWidth="1"/>
    <col min="13826" max="13826" width="9.1796875" style="1"/>
    <col min="13827" max="13827" width="8.7265625" style="1" customWidth="1"/>
    <col min="13828" max="13828" width="7.453125" style="1" customWidth="1"/>
    <col min="13829" max="13829" width="7.54296875" style="1" customWidth="1"/>
    <col min="13830" max="13830" width="9.1796875" style="1" customWidth="1"/>
    <col min="13831" max="13831" width="9.1796875" style="1"/>
    <col min="13832" max="13832" width="10" style="1" customWidth="1"/>
    <col min="13833" max="13833" width="7.81640625" style="1" customWidth="1"/>
    <col min="13834" max="13834" width="6.1796875" style="1" customWidth="1"/>
    <col min="13835" max="13835" width="8.7265625" style="1" customWidth="1"/>
    <col min="13836" max="14075" width="9.1796875" style="1"/>
    <col min="14076" max="14076" width="13.453125" style="1" customWidth="1"/>
    <col min="14077" max="14077" width="9.1796875" style="1"/>
    <col min="14078" max="14078" width="17" style="1" customWidth="1"/>
    <col min="14079" max="14079" width="7.54296875" style="1" customWidth="1"/>
    <col min="14080" max="14080" width="9.1796875" style="1"/>
    <col min="14081" max="14081" width="9.1796875" style="1" customWidth="1"/>
    <col min="14082" max="14082" width="9.1796875" style="1"/>
    <col min="14083" max="14083" width="8.7265625" style="1" customWidth="1"/>
    <col min="14084" max="14084" width="7.453125" style="1" customWidth="1"/>
    <col min="14085" max="14085" width="7.54296875" style="1" customWidth="1"/>
    <col min="14086" max="14086" width="9.1796875" style="1" customWidth="1"/>
    <col min="14087" max="14087" width="9.1796875" style="1"/>
    <col min="14088" max="14088" width="10" style="1" customWidth="1"/>
    <col min="14089" max="14089" width="7.81640625" style="1" customWidth="1"/>
    <col min="14090" max="14090" width="6.1796875" style="1" customWidth="1"/>
    <col min="14091" max="14091" width="8.7265625" style="1" customWidth="1"/>
    <col min="14092" max="14331" width="9.1796875" style="1"/>
    <col min="14332" max="14332" width="13.453125" style="1" customWidth="1"/>
    <col min="14333" max="14333" width="9.1796875" style="1"/>
    <col min="14334" max="14334" width="17" style="1" customWidth="1"/>
    <col min="14335" max="14335" width="7.54296875" style="1" customWidth="1"/>
    <col min="14336" max="14336" width="9.1796875" style="1"/>
    <col min="14337" max="14337" width="9.1796875" style="1" customWidth="1"/>
    <col min="14338" max="14338" width="9.1796875" style="1"/>
    <col min="14339" max="14339" width="8.7265625" style="1" customWidth="1"/>
    <col min="14340" max="14340" width="7.453125" style="1" customWidth="1"/>
    <col min="14341" max="14341" width="7.54296875" style="1" customWidth="1"/>
    <col min="14342" max="14342" width="9.1796875" style="1" customWidth="1"/>
    <col min="14343" max="14343" width="9.1796875" style="1"/>
    <col min="14344" max="14344" width="10" style="1" customWidth="1"/>
    <col min="14345" max="14345" width="7.81640625" style="1" customWidth="1"/>
    <col min="14346" max="14346" width="6.1796875" style="1" customWidth="1"/>
    <col min="14347" max="14347" width="8.7265625" style="1" customWidth="1"/>
    <col min="14348" max="14587" width="9.1796875" style="1"/>
    <col min="14588" max="14588" width="13.453125" style="1" customWidth="1"/>
    <col min="14589" max="14589" width="9.1796875" style="1"/>
    <col min="14590" max="14590" width="17" style="1" customWidth="1"/>
    <col min="14591" max="14591" width="7.54296875" style="1" customWidth="1"/>
    <col min="14592" max="14592" width="9.1796875" style="1"/>
    <col min="14593" max="14593" width="9.1796875" style="1" customWidth="1"/>
    <col min="14594" max="14594" width="9.1796875" style="1"/>
    <col min="14595" max="14595" width="8.7265625" style="1" customWidth="1"/>
    <col min="14596" max="14596" width="7.453125" style="1" customWidth="1"/>
    <col min="14597" max="14597" width="7.54296875" style="1" customWidth="1"/>
    <col min="14598" max="14598" width="9.1796875" style="1" customWidth="1"/>
    <col min="14599" max="14599" width="9.1796875" style="1"/>
    <col min="14600" max="14600" width="10" style="1" customWidth="1"/>
    <col min="14601" max="14601" width="7.81640625" style="1" customWidth="1"/>
    <col min="14602" max="14602" width="6.1796875" style="1" customWidth="1"/>
    <col min="14603" max="14603" width="8.7265625" style="1" customWidth="1"/>
    <col min="14604" max="14843" width="9.1796875" style="1"/>
    <col min="14844" max="14844" width="13.453125" style="1" customWidth="1"/>
    <col min="14845" max="14845" width="9.1796875" style="1"/>
    <col min="14846" max="14846" width="17" style="1" customWidth="1"/>
    <col min="14847" max="14847" width="7.54296875" style="1" customWidth="1"/>
    <col min="14848" max="14848" width="9.1796875" style="1"/>
    <col min="14849" max="14849" width="9.1796875" style="1" customWidth="1"/>
    <col min="14850" max="14850" width="9.1796875" style="1"/>
    <col min="14851" max="14851" width="8.7265625" style="1" customWidth="1"/>
    <col min="14852" max="14852" width="7.453125" style="1" customWidth="1"/>
    <col min="14853" max="14853" width="7.54296875" style="1" customWidth="1"/>
    <col min="14854" max="14854" width="9.1796875" style="1" customWidth="1"/>
    <col min="14855" max="14855" width="9.1796875" style="1"/>
    <col min="14856" max="14856" width="10" style="1" customWidth="1"/>
    <col min="14857" max="14857" width="7.81640625" style="1" customWidth="1"/>
    <col min="14858" max="14858" width="6.1796875" style="1" customWidth="1"/>
    <col min="14859" max="14859" width="8.7265625" style="1" customWidth="1"/>
    <col min="14860" max="15099" width="9.1796875" style="1"/>
    <col min="15100" max="15100" width="13.453125" style="1" customWidth="1"/>
    <col min="15101" max="15101" width="9.1796875" style="1"/>
    <col min="15102" max="15102" width="17" style="1" customWidth="1"/>
    <col min="15103" max="15103" width="7.54296875" style="1" customWidth="1"/>
    <col min="15104" max="15104" width="9.1796875" style="1"/>
    <col min="15105" max="15105" width="9.1796875" style="1" customWidth="1"/>
    <col min="15106" max="15106" width="9.1796875" style="1"/>
    <col min="15107" max="15107" width="8.7265625" style="1" customWidth="1"/>
    <col min="15108" max="15108" width="7.453125" style="1" customWidth="1"/>
    <col min="15109" max="15109" width="7.54296875" style="1" customWidth="1"/>
    <col min="15110" max="15110" width="9.1796875" style="1" customWidth="1"/>
    <col min="15111" max="15111" width="9.1796875" style="1"/>
    <col min="15112" max="15112" width="10" style="1" customWidth="1"/>
    <col min="15113" max="15113" width="7.81640625" style="1" customWidth="1"/>
    <col min="15114" max="15114" width="6.1796875" style="1" customWidth="1"/>
    <col min="15115" max="15115" width="8.7265625" style="1" customWidth="1"/>
    <col min="15116" max="15355" width="9.1796875" style="1"/>
    <col min="15356" max="15356" width="13.453125" style="1" customWidth="1"/>
    <col min="15357" max="15357" width="9.1796875" style="1"/>
    <col min="15358" max="15358" width="17" style="1" customWidth="1"/>
    <col min="15359" max="15359" width="7.54296875" style="1" customWidth="1"/>
    <col min="15360" max="15360" width="9.1796875" style="1"/>
    <col min="15361" max="15361" width="9.1796875" style="1" customWidth="1"/>
    <col min="15362" max="15362" width="9.1796875" style="1"/>
    <col min="15363" max="15363" width="8.7265625" style="1" customWidth="1"/>
    <col min="15364" max="15364" width="7.453125" style="1" customWidth="1"/>
    <col min="15365" max="15365" width="7.54296875" style="1" customWidth="1"/>
    <col min="15366" max="15366" width="9.1796875" style="1" customWidth="1"/>
    <col min="15367" max="15367" width="9.1796875" style="1"/>
    <col min="15368" max="15368" width="10" style="1" customWidth="1"/>
    <col min="15369" max="15369" width="7.81640625" style="1" customWidth="1"/>
    <col min="15370" max="15370" width="6.1796875" style="1" customWidth="1"/>
    <col min="15371" max="15371" width="8.7265625" style="1" customWidth="1"/>
    <col min="15372" max="15611" width="9.1796875" style="1"/>
    <col min="15612" max="15612" width="13.453125" style="1" customWidth="1"/>
    <col min="15613" max="15613" width="9.1796875" style="1"/>
    <col min="15614" max="15614" width="17" style="1" customWidth="1"/>
    <col min="15615" max="15615" width="7.54296875" style="1" customWidth="1"/>
    <col min="15616" max="15616" width="9.1796875" style="1"/>
    <col min="15617" max="15617" width="9.1796875" style="1" customWidth="1"/>
    <col min="15618" max="15618" width="9.1796875" style="1"/>
    <col min="15619" max="15619" width="8.7265625" style="1" customWidth="1"/>
    <col min="15620" max="15620" width="7.453125" style="1" customWidth="1"/>
    <col min="15621" max="15621" width="7.54296875" style="1" customWidth="1"/>
    <col min="15622" max="15622" width="9.1796875" style="1" customWidth="1"/>
    <col min="15623" max="15623" width="9.1796875" style="1"/>
    <col min="15624" max="15624" width="10" style="1" customWidth="1"/>
    <col min="15625" max="15625" width="7.81640625" style="1" customWidth="1"/>
    <col min="15626" max="15626" width="6.1796875" style="1" customWidth="1"/>
    <col min="15627" max="15627" width="8.7265625" style="1" customWidth="1"/>
    <col min="15628" max="15867" width="9.1796875" style="1"/>
    <col min="15868" max="15868" width="13.453125" style="1" customWidth="1"/>
    <col min="15869" max="15869" width="9.1796875" style="1"/>
    <col min="15870" max="15870" width="17" style="1" customWidth="1"/>
    <col min="15871" max="15871" width="7.54296875" style="1" customWidth="1"/>
    <col min="15872" max="15872" width="9.1796875" style="1"/>
    <col min="15873" max="15873" width="9.1796875" style="1" customWidth="1"/>
    <col min="15874" max="15874" width="9.1796875" style="1"/>
    <col min="15875" max="15875" width="8.7265625" style="1" customWidth="1"/>
    <col min="15876" max="15876" width="7.453125" style="1" customWidth="1"/>
    <col min="15877" max="15877" width="7.54296875" style="1" customWidth="1"/>
    <col min="15878" max="15878" width="9.1796875" style="1" customWidth="1"/>
    <col min="15879" max="15879" width="9.1796875" style="1"/>
    <col min="15880" max="15880" width="10" style="1" customWidth="1"/>
    <col min="15881" max="15881" width="7.81640625" style="1" customWidth="1"/>
    <col min="15882" max="15882" width="6.1796875" style="1" customWidth="1"/>
    <col min="15883" max="15883" width="8.7265625" style="1" customWidth="1"/>
    <col min="15884" max="16123" width="9.1796875" style="1"/>
    <col min="16124" max="16124" width="13.453125" style="1" customWidth="1"/>
    <col min="16125" max="16125" width="9.1796875" style="1"/>
    <col min="16126" max="16126" width="17" style="1" customWidth="1"/>
    <col min="16127" max="16127" width="7.54296875" style="1" customWidth="1"/>
    <col min="16128" max="16128" width="9.1796875" style="1"/>
    <col min="16129" max="16129" width="9.1796875" style="1" customWidth="1"/>
    <col min="16130" max="16130" width="9.1796875" style="1"/>
    <col min="16131" max="16131" width="8.7265625" style="1" customWidth="1"/>
    <col min="16132" max="16132" width="7.453125" style="1" customWidth="1"/>
    <col min="16133" max="16133" width="7.54296875" style="1" customWidth="1"/>
    <col min="16134" max="16134" width="9.1796875" style="1" customWidth="1"/>
    <col min="16135" max="16135" width="9.1796875" style="1"/>
    <col min="16136" max="16136" width="10" style="1" customWidth="1"/>
    <col min="16137" max="16137" width="7.81640625" style="1" customWidth="1"/>
    <col min="16138" max="16138" width="6.1796875" style="1" customWidth="1"/>
    <col min="16139" max="16139" width="8.7265625" style="1" customWidth="1"/>
    <col min="16140" max="16384" width="9.1796875" style="1"/>
  </cols>
  <sheetData>
    <row r="1" spans="1:26" x14ac:dyDescent="0.25">
      <c r="A1" s="1179" t="s">
        <v>190</v>
      </c>
      <c r="B1" s="1180"/>
      <c r="C1" s="1180"/>
      <c r="D1" s="1180"/>
      <c r="E1" s="1180"/>
      <c r="F1" s="1180"/>
      <c r="G1" s="1180"/>
      <c r="H1" s="1180"/>
      <c r="I1" s="1180"/>
      <c r="J1" s="1180"/>
      <c r="K1" s="1181"/>
      <c r="P1" s="1185" t="s">
        <v>151</v>
      </c>
      <c r="Q1" s="1186"/>
      <c r="R1" s="1186"/>
      <c r="S1" s="1186"/>
      <c r="T1" s="1186"/>
      <c r="U1" s="1186"/>
      <c r="V1" s="1186"/>
      <c r="W1" s="1186"/>
      <c r="X1" s="1186"/>
      <c r="Y1" s="1186"/>
      <c r="Z1" s="1187"/>
    </row>
    <row r="2" spans="1:26" ht="13" thickBot="1" x14ac:dyDescent="0.3">
      <c r="A2" s="1182"/>
      <c r="B2" s="1183"/>
      <c r="C2" s="1183"/>
      <c r="D2" s="1183"/>
      <c r="E2" s="1183"/>
      <c r="F2" s="1183"/>
      <c r="G2" s="1183"/>
      <c r="H2" s="1183"/>
      <c r="I2" s="1183"/>
      <c r="J2" s="1183"/>
      <c r="K2" s="1184"/>
      <c r="P2" s="1188"/>
      <c r="Q2" s="1189"/>
      <c r="R2" s="1189"/>
      <c r="S2" s="1189"/>
      <c r="T2" s="1189"/>
      <c r="U2" s="1189"/>
      <c r="V2" s="1189"/>
      <c r="W2" s="1189"/>
      <c r="X2" s="1189"/>
      <c r="Y2" s="1189"/>
      <c r="Z2" s="1190"/>
    </row>
    <row r="3" spans="1:26" x14ac:dyDescent="0.25">
      <c r="A3" s="6"/>
      <c r="K3" s="5"/>
      <c r="P3" s="6"/>
      <c r="Z3" s="5"/>
    </row>
    <row r="4" spans="1:26" ht="13" x14ac:dyDescent="0.3">
      <c r="A4" s="112" t="s">
        <v>191</v>
      </c>
      <c r="B4" s="113"/>
      <c r="C4" s="114">
        <f>ID!D36</f>
        <v>2</v>
      </c>
      <c r="D4" s="115" t="s">
        <v>192</v>
      </c>
      <c r="E4" s="116"/>
      <c r="F4" s="116"/>
      <c r="G4" s="116"/>
      <c r="H4" s="116"/>
      <c r="I4" s="116"/>
      <c r="J4" s="116"/>
      <c r="K4" s="117"/>
      <c r="P4" s="112" t="s">
        <v>191</v>
      </c>
      <c r="Q4" s="113"/>
      <c r="R4" s="114">
        <f>C4</f>
        <v>2</v>
      </c>
      <c r="S4" s="115" t="s">
        <v>192</v>
      </c>
      <c r="T4" s="116"/>
      <c r="U4" s="116"/>
      <c r="V4" s="116"/>
      <c r="W4" s="116"/>
      <c r="X4" s="116"/>
      <c r="Y4" s="116"/>
      <c r="Z4" s="117"/>
    </row>
    <row r="5" spans="1:26" ht="16.5" x14ac:dyDescent="0.3">
      <c r="A5" s="174" t="s">
        <v>193</v>
      </c>
      <c r="B5" s="175" t="s">
        <v>194</v>
      </c>
      <c r="C5" s="176" t="s">
        <v>195</v>
      </c>
      <c r="D5" s="175" t="s">
        <v>196</v>
      </c>
      <c r="E5" s="177" t="s">
        <v>197</v>
      </c>
      <c r="F5" s="175" t="s">
        <v>198</v>
      </c>
      <c r="G5" s="176" t="s">
        <v>199</v>
      </c>
      <c r="H5" s="175" t="s">
        <v>200</v>
      </c>
      <c r="I5" s="176" t="s">
        <v>201</v>
      </c>
      <c r="J5" s="175" t="s">
        <v>202</v>
      </c>
      <c r="K5" s="178" t="s">
        <v>203</v>
      </c>
      <c r="P5" s="118" t="s">
        <v>193</v>
      </c>
      <c r="Q5" s="119" t="s">
        <v>194</v>
      </c>
      <c r="R5" s="120" t="s">
        <v>195</v>
      </c>
      <c r="S5" s="119" t="s">
        <v>204</v>
      </c>
      <c r="T5" s="121" t="s">
        <v>197</v>
      </c>
      <c r="U5" s="119" t="s">
        <v>198</v>
      </c>
      <c r="V5" s="120" t="s">
        <v>199</v>
      </c>
      <c r="W5" s="119" t="s">
        <v>200</v>
      </c>
      <c r="X5" s="120" t="s">
        <v>201</v>
      </c>
      <c r="Y5" s="119" t="s">
        <v>205</v>
      </c>
      <c r="Z5" s="122" t="s">
        <v>206</v>
      </c>
    </row>
    <row r="6" spans="1:26" x14ac:dyDescent="0.25">
      <c r="A6" s="123" t="s">
        <v>207</v>
      </c>
      <c r="B6" s="124" t="str">
        <f>D4</f>
        <v>RPM</v>
      </c>
      <c r="C6" s="125" t="s">
        <v>208</v>
      </c>
      <c r="D6" s="358">
        <f>'DB TACHO'!E209</f>
        <v>0.38340579025351668</v>
      </c>
      <c r="E6" s="127">
        <f>SQRT(6)</f>
        <v>2.4494897427831779</v>
      </c>
      <c r="F6" s="124">
        <v>5</v>
      </c>
      <c r="G6" s="128">
        <f>D6/E6</f>
        <v>0.15652475842494462</v>
      </c>
      <c r="H6" s="129">
        <v>1</v>
      </c>
      <c r="I6" s="128">
        <f>G6*H6</f>
        <v>0.15652475842494462</v>
      </c>
      <c r="J6" s="130">
        <f>I6^2</f>
        <v>2.4499999999987272E-2</v>
      </c>
      <c r="K6" s="131">
        <f>I6^4/F6</f>
        <v>1.2004999999987527E-4</v>
      </c>
      <c r="P6" s="123" t="s">
        <v>207</v>
      </c>
      <c r="Q6" s="124" t="str">
        <f>S4</f>
        <v>RPM</v>
      </c>
      <c r="R6" s="125" t="s">
        <v>208</v>
      </c>
      <c r="S6" s="126">
        <v>0.5</v>
      </c>
      <c r="T6" s="127">
        <v>2.4500000000000002</v>
      </c>
      <c r="U6" s="124">
        <v>5</v>
      </c>
      <c r="V6" s="128">
        <f>S6/T6</f>
        <v>0.2040816326530612</v>
      </c>
      <c r="W6" s="129">
        <v>1</v>
      </c>
      <c r="X6" s="128">
        <f>V6*W6</f>
        <v>0.2040816326530612</v>
      </c>
      <c r="Y6" s="130">
        <f>X6^2</f>
        <v>4.1649312786339016E-2</v>
      </c>
      <c r="Z6" s="131">
        <f>X6^4/U6</f>
        <v>3.4693305111486051E-4</v>
      </c>
    </row>
    <row r="7" spans="1:26" x14ac:dyDescent="0.25">
      <c r="A7" s="132"/>
      <c r="B7" s="124"/>
      <c r="C7" s="133"/>
      <c r="D7" s="359"/>
      <c r="E7" s="135"/>
      <c r="F7" s="124"/>
      <c r="G7" s="136"/>
      <c r="H7" s="124"/>
      <c r="I7" s="136"/>
      <c r="J7" s="137"/>
      <c r="K7" s="138"/>
      <c r="P7" s="132" t="s">
        <v>209</v>
      </c>
      <c r="Q7" s="124" t="str">
        <f>S4</f>
        <v>RPM</v>
      </c>
      <c r="R7" s="133" t="s">
        <v>210</v>
      </c>
      <c r="S7" s="134">
        <v>0.5</v>
      </c>
      <c r="T7" s="135">
        <v>1.73</v>
      </c>
      <c r="U7" s="124">
        <f>0.5*(100/10)^2</f>
        <v>50</v>
      </c>
      <c r="V7" s="136">
        <f>S7/T7</f>
        <v>0.28901734104046245</v>
      </c>
      <c r="W7" s="124">
        <v>1</v>
      </c>
      <c r="X7" s="136">
        <f>V7*W7</f>
        <v>0.28901734104046245</v>
      </c>
      <c r="Y7" s="137">
        <f>X7^2</f>
        <v>8.3531023422098977E-2</v>
      </c>
      <c r="Z7" s="138">
        <f>X7^4/U7</f>
        <v>1.3954863747886494E-4</v>
      </c>
    </row>
    <row r="8" spans="1:26" x14ac:dyDescent="0.25">
      <c r="A8" s="123" t="s">
        <v>211</v>
      </c>
      <c r="B8" s="124" t="str">
        <f>D4</f>
        <v>RPM</v>
      </c>
      <c r="C8" s="124" t="s">
        <v>210</v>
      </c>
      <c r="D8" s="360">
        <f>'DB TACHO'!M209</f>
        <v>-4.465418110949991E-2</v>
      </c>
      <c r="E8" s="139">
        <f>SQRT(3)</f>
        <v>1.7320508075688772</v>
      </c>
      <c r="F8" s="124">
        <f t="shared" ref="F8:F10" si="0">0.5*(100/10)^2</f>
        <v>50</v>
      </c>
      <c r="G8" s="137">
        <f>D8/E8</f>
        <v>-2.5781103484012077E-2</v>
      </c>
      <c r="H8" s="124">
        <v>1</v>
      </c>
      <c r="I8" s="137">
        <f>G8*H8</f>
        <v>-2.5781103484012077E-2</v>
      </c>
      <c r="J8" s="137">
        <f>I8^2</f>
        <v>6.6466529685333959E-4</v>
      </c>
      <c r="K8" s="140">
        <f>I8^4/F8</f>
        <v>8.8355991368227607E-9</v>
      </c>
      <c r="P8" s="123" t="s">
        <v>211</v>
      </c>
      <c r="Q8" s="124" t="str">
        <f>S4</f>
        <v>RPM</v>
      </c>
      <c r="R8" s="124" t="s">
        <v>210</v>
      </c>
      <c r="S8" s="139">
        <v>0</v>
      </c>
      <c r="T8" s="139">
        <v>1.73</v>
      </c>
      <c r="U8" s="124">
        <f t="shared" ref="U8:U9" si="1">0.5*(100/10)^2</f>
        <v>50</v>
      </c>
      <c r="V8" s="137">
        <f>S8/T8</f>
        <v>0</v>
      </c>
      <c r="W8" s="124">
        <v>1</v>
      </c>
      <c r="X8" s="137">
        <f>V8*W8</f>
        <v>0</v>
      </c>
      <c r="Y8" s="137">
        <f>X8^2</f>
        <v>0</v>
      </c>
      <c r="Z8" s="140">
        <f>X8^4/U8</f>
        <v>0</v>
      </c>
    </row>
    <row r="9" spans="1:26" x14ac:dyDescent="0.25">
      <c r="A9" s="141" t="s">
        <v>212</v>
      </c>
      <c r="B9" s="124" t="str">
        <f>D4</f>
        <v>RPM</v>
      </c>
      <c r="C9" s="133" t="s">
        <v>208</v>
      </c>
      <c r="D9" s="361">
        <f>'DB TACHO'!K209</f>
        <v>0.63649500382754931</v>
      </c>
      <c r="E9" s="143">
        <v>2</v>
      </c>
      <c r="F9" s="124">
        <f t="shared" si="0"/>
        <v>50</v>
      </c>
      <c r="G9" s="136">
        <f>D9/E9</f>
        <v>0.31824750191377466</v>
      </c>
      <c r="H9" s="124">
        <v>1</v>
      </c>
      <c r="I9" s="136">
        <f>G9*H9</f>
        <v>0.31824750191377466</v>
      </c>
      <c r="J9" s="137">
        <f>I9^2</f>
        <v>0.10128147247435801</v>
      </c>
      <c r="K9" s="140">
        <f>I9^4/F9</f>
        <v>2.0515873333148277E-4</v>
      </c>
      <c r="P9" s="141" t="s">
        <v>212</v>
      </c>
      <c r="Q9" s="124" t="str">
        <f>S4</f>
        <v>RPM</v>
      </c>
      <c r="R9" s="133" t="s">
        <v>208</v>
      </c>
      <c r="S9" s="142">
        <v>1</v>
      </c>
      <c r="T9" s="143">
        <v>2</v>
      </c>
      <c r="U9" s="124">
        <f t="shared" si="1"/>
        <v>50</v>
      </c>
      <c r="V9" s="136">
        <f>S9/T9</f>
        <v>0.5</v>
      </c>
      <c r="W9" s="124">
        <v>1</v>
      </c>
      <c r="X9" s="136">
        <f>V9*W9</f>
        <v>0.5</v>
      </c>
      <c r="Y9" s="137">
        <f>X9^2</f>
        <v>0.25</v>
      </c>
      <c r="Z9" s="140">
        <f>X9^4/U9</f>
        <v>1.25E-3</v>
      </c>
    </row>
    <row r="10" spans="1:26" x14ac:dyDescent="0.25">
      <c r="A10" s="141" t="s">
        <v>213</v>
      </c>
      <c r="B10" s="124" t="s">
        <v>192</v>
      </c>
      <c r="C10" s="124" t="s">
        <v>210</v>
      </c>
      <c r="D10" s="360">
        <f>'DB TACHO'!N226</f>
        <v>0.05</v>
      </c>
      <c r="E10" s="139">
        <f>SQRT(3)</f>
        <v>1.7320508075688772</v>
      </c>
      <c r="F10" s="124">
        <f t="shared" si="0"/>
        <v>50</v>
      </c>
      <c r="G10" s="136">
        <f>D10/E10</f>
        <v>2.8867513459481291E-2</v>
      </c>
      <c r="H10" s="124">
        <v>1</v>
      </c>
      <c r="I10" s="136">
        <f>G10*H10</f>
        <v>2.8867513459481291E-2</v>
      </c>
      <c r="J10" s="137">
        <f>I10^2</f>
        <v>8.333333333333335E-4</v>
      </c>
      <c r="K10" s="140">
        <f>I10^4/F10</f>
        <v>1.3888888888888894E-8</v>
      </c>
      <c r="P10" s="141" t="s">
        <v>213</v>
      </c>
      <c r="Q10" s="124" t="s">
        <v>192</v>
      </c>
      <c r="R10" s="124" t="s">
        <v>210</v>
      </c>
      <c r="S10" s="124">
        <v>1</v>
      </c>
      <c r="T10" s="139">
        <v>1.73</v>
      </c>
      <c r="U10" s="124">
        <v>50</v>
      </c>
      <c r="V10" s="136">
        <f>S10/T10</f>
        <v>0.5780346820809249</v>
      </c>
      <c r="W10" s="124">
        <v>1</v>
      </c>
      <c r="X10" s="136">
        <f>V10*W10</f>
        <v>0.5780346820809249</v>
      </c>
      <c r="Y10" s="137">
        <f>X10^2</f>
        <v>0.33412409368839591</v>
      </c>
      <c r="Z10" s="140">
        <f>X10^4/U10</f>
        <v>2.2327781996618391E-3</v>
      </c>
    </row>
    <row r="11" spans="1:26" ht="13" x14ac:dyDescent="0.3">
      <c r="A11" s="144" t="s">
        <v>214</v>
      </c>
      <c r="B11" s="145"/>
      <c r="C11" s="145"/>
      <c r="D11" s="145"/>
      <c r="E11" s="146"/>
      <c r="F11" s="145"/>
      <c r="G11" s="145"/>
      <c r="H11" s="145"/>
      <c r="I11" s="145"/>
      <c r="J11" s="147">
        <f>SUM(J6:J10)</f>
        <v>0.12727947110453194</v>
      </c>
      <c r="K11" s="148">
        <f>SUM(K6:K10)</f>
        <v>3.2523145781938379E-4</v>
      </c>
      <c r="P11" s="144" t="s">
        <v>214</v>
      </c>
      <c r="Q11" s="145"/>
      <c r="R11" s="145"/>
      <c r="S11" s="145"/>
      <c r="T11" s="146"/>
      <c r="U11" s="145"/>
      <c r="V11" s="145"/>
      <c r="W11" s="145"/>
      <c r="X11" s="145"/>
      <c r="Y11" s="147">
        <f>SUM(Y6:Y9)</f>
        <v>0.37518033620843799</v>
      </c>
      <c r="Z11" s="148">
        <f>SUM(Z6:Z9)</f>
        <v>1.7364816885937254E-3</v>
      </c>
    </row>
    <row r="12" spans="1:26" ht="15.5" x14ac:dyDescent="0.4">
      <c r="A12" s="149" t="s">
        <v>215</v>
      </c>
      <c r="B12" s="150"/>
      <c r="C12" s="150"/>
      <c r="D12" s="150"/>
      <c r="E12" s="151"/>
      <c r="F12" s="150"/>
      <c r="G12" s="152" t="s">
        <v>216</v>
      </c>
      <c r="H12" s="150"/>
      <c r="I12" s="150"/>
      <c r="J12" s="153">
        <f>SQRT(J11)</f>
        <v>0.35676248556221818</v>
      </c>
      <c r="K12" s="154"/>
      <c r="P12" s="149" t="s">
        <v>215</v>
      </c>
      <c r="Q12" s="150"/>
      <c r="R12" s="150"/>
      <c r="S12" s="150"/>
      <c r="T12" s="151"/>
      <c r="U12" s="150"/>
      <c r="V12" s="152" t="s">
        <v>216</v>
      </c>
      <c r="W12" s="150"/>
      <c r="X12" s="150"/>
      <c r="Y12" s="153">
        <f>SQRT(Y11)</f>
        <v>0.61251966189538598</v>
      </c>
      <c r="Z12" s="154"/>
    </row>
    <row r="13" spans="1:26" ht="16" x14ac:dyDescent="0.4">
      <c r="A13" s="144" t="s">
        <v>217</v>
      </c>
      <c r="B13" s="145"/>
      <c r="C13" s="145"/>
      <c r="D13" s="145"/>
      <c r="E13" s="146"/>
      <c r="F13" s="145"/>
      <c r="G13" s="116" t="s">
        <v>218</v>
      </c>
      <c r="H13" s="145"/>
      <c r="I13" s="145"/>
      <c r="J13" s="147">
        <f>J12^4/(K11)</f>
        <v>49.810875839833535</v>
      </c>
      <c r="K13" s="155"/>
      <c r="P13" s="144" t="s">
        <v>217</v>
      </c>
      <c r="Q13" s="145"/>
      <c r="R13" s="145"/>
      <c r="S13" s="145"/>
      <c r="T13" s="146"/>
      <c r="U13" s="145"/>
      <c r="V13" s="116" t="s">
        <v>218</v>
      </c>
      <c r="W13" s="145"/>
      <c r="X13" s="145"/>
      <c r="Y13" s="147">
        <f>Y12^4/(Z11)</f>
        <v>81.060621371406469</v>
      </c>
      <c r="Z13" s="155"/>
    </row>
    <row r="14" spans="1:26" ht="13" x14ac:dyDescent="0.3">
      <c r="A14" s="149" t="s">
        <v>219</v>
      </c>
      <c r="B14" s="150"/>
      <c r="C14" s="150"/>
      <c r="D14" s="150"/>
      <c r="E14" s="151"/>
      <c r="F14" s="150"/>
      <c r="G14" s="113" t="s">
        <v>220</v>
      </c>
      <c r="H14" s="150"/>
      <c r="I14" s="150"/>
      <c r="J14" s="153">
        <f>1.95996+(2.37356/J13)+(2.818745/J13^2)+(2.546662/J13^3)+(1.761829/J13^4)+(0.245458/J13^5)+(1.000764/J13^6)</f>
        <v>2.0087684102032615</v>
      </c>
      <c r="K14" s="154"/>
      <c r="P14" s="149" t="s">
        <v>219</v>
      </c>
      <c r="Q14" s="150"/>
      <c r="R14" s="150"/>
      <c r="S14" s="150"/>
      <c r="T14" s="151"/>
      <c r="U14" s="150"/>
      <c r="V14" s="113" t="s">
        <v>220</v>
      </c>
      <c r="W14" s="150"/>
      <c r="X14" s="150"/>
      <c r="Y14" s="153">
        <f>1.95996+(2.37356/Y13)+(2.818745/Y13^2)+(2.546662/Y13^3)+(1.761829/Y13^4)+(0.245458/Y13^5)+(1.000764/Y13^6)</f>
        <v>1.9896750964349093</v>
      </c>
      <c r="Z14" s="154"/>
    </row>
    <row r="15" spans="1:26" ht="13" x14ac:dyDescent="0.3">
      <c r="A15" s="156" t="s">
        <v>221</v>
      </c>
      <c r="B15" s="157"/>
      <c r="C15" s="157"/>
      <c r="D15" s="157"/>
      <c r="E15" s="158"/>
      <c r="F15" s="157"/>
      <c r="G15" s="159" t="s">
        <v>222</v>
      </c>
      <c r="H15" s="157"/>
      <c r="I15" s="145"/>
      <c r="J15" s="248">
        <f>J12*J14</f>
        <v>0.71665321094298107</v>
      </c>
      <c r="K15" s="251" t="str">
        <f>D4</f>
        <v>RPM</v>
      </c>
      <c r="P15" s="156" t="s">
        <v>221</v>
      </c>
      <c r="Q15" s="157"/>
      <c r="R15" s="157"/>
      <c r="S15" s="157"/>
      <c r="T15" s="158"/>
      <c r="U15" s="157"/>
      <c r="V15" s="159" t="s">
        <v>222</v>
      </c>
      <c r="W15" s="157"/>
      <c r="X15" s="157"/>
      <c r="Y15" s="160">
        <f>Y12*Y14</f>
        <v>1.2187151173499802</v>
      </c>
      <c r="Z15" s="161" t="str">
        <f>S4</f>
        <v>RPM</v>
      </c>
    </row>
    <row r="16" spans="1:26" ht="13" x14ac:dyDescent="0.3">
      <c r="A16" s="6"/>
      <c r="J16" s="249">
        <f>J15/ID!L36*100</f>
        <v>3.3776296910883429E-2</v>
      </c>
      <c r="K16" s="255" t="s">
        <v>223</v>
      </c>
      <c r="L16" s="345" t="s">
        <v>224</v>
      </c>
      <c r="M16" s="346">
        <v>0.01</v>
      </c>
      <c r="N16" s="347" t="s">
        <v>223</v>
      </c>
      <c r="P16" s="6"/>
      <c r="Z16" s="5"/>
    </row>
    <row r="17" spans="1:26" ht="13" x14ac:dyDescent="0.3">
      <c r="A17" s="112" t="str">
        <f>A4</f>
        <v>Kecepatan</v>
      </c>
      <c r="B17" s="113"/>
      <c r="C17" s="114">
        <f>ID!D37</f>
        <v>4</v>
      </c>
      <c r="D17" s="115" t="str">
        <f>D4</f>
        <v>RPM</v>
      </c>
      <c r="E17" s="116"/>
      <c r="F17" s="116"/>
      <c r="G17" s="116"/>
      <c r="H17" s="116"/>
      <c r="I17" s="116"/>
      <c r="J17" s="116"/>
      <c r="K17" s="117"/>
      <c r="P17" s="112" t="str">
        <f>P4</f>
        <v>Kecepatan</v>
      </c>
      <c r="Q17" s="113"/>
      <c r="R17" s="114">
        <f>C17</f>
        <v>4</v>
      </c>
      <c r="S17" s="115" t="str">
        <f>S4</f>
        <v>RPM</v>
      </c>
      <c r="T17" s="116"/>
      <c r="U17" s="116"/>
      <c r="V17" s="116"/>
      <c r="W17" s="116"/>
      <c r="X17" s="116"/>
      <c r="Y17" s="116"/>
      <c r="Z17" s="117"/>
    </row>
    <row r="18" spans="1:26" ht="16.5" x14ac:dyDescent="0.3">
      <c r="A18" s="174" t="s">
        <v>193</v>
      </c>
      <c r="B18" s="175" t="s">
        <v>194</v>
      </c>
      <c r="C18" s="176" t="s">
        <v>195</v>
      </c>
      <c r="D18" s="175" t="s">
        <v>196</v>
      </c>
      <c r="E18" s="177" t="s">
        <v>197</v>
      </c>
      <c r="F18" s="175" t="s">
        <v>198</v>
      </c>
      <c r="G18" s="176" t="s">
        <v>199</v>
      </c>
      <c r="H18" s="175" t="s">
        <v>200</v>
      </c>
      <c r="I18" s="176" t="s">
        <v>201</v>
      </c>
      <c r="J18" s="175" t="s">
        <v>202</v>
      </c>
      <c r="K18" s="178" t="s">
        <v>203</v>
      </c>
      <c r="P18" s="118" t="s">
        <v>193</v>
      </c>
      <c r="Q18" s="119" t="s">
        <v>194</v>
      </c>
      <c r="R18" s="120" t="s">
        <v>195</v>
      </c>
      <c r="S18" s="119" t="s">
        <v>204</v>
      </c>
      <c r="T18" s="121" t="s">
        <v>197</v>
      </c>
      <c r="U18" s="119" t="s">
        <v>198</v>
      </c>
      <c r="V18" s="120" t="s">
        <v>199</v>
      </c>
      <c r="W18" s="119" t="s">
        <v>200</v>
      </c>
      <c r="X18" s="120" t="s">
        <v>201</v>
      </c>
      <c r="Y18" s="119" t="s">
        <v>205</v>
      </c>
      <c r="Z18" s="122" t="s">
        <v>206</v>
      </c>
    </row>
    <row r="19" spans="1:26" x14ac:dyDescent="0.25">
      <c r="A19" s="123" t="s">
        <v>207</v>
      </c>
      <c r="B19" s="124" t="str">
        <f>D17</f>
        <v>RPM</v>
      </c>
      <c r="C19" s="125" t="s">
        <v>208</v>
      </c>
      <c r="D19" s="358">
        <f>'DB TACHO'!E210</f>
        <v>0.60249481325563292</v>
      </c>
      <c r="E19" s="127">
        <f>SQRT(6)</f>
        <v>2.4494897427831779</v>
      </c>
      <c r="F19" s="124">
        <v>5</v>
      </c>
      <c r="G19" s="128">
        <f>D19/E19</f>
        <v>0.24596747752495657</v>
      </c>
      <c r="H19" s="129">
        <v>1</v>
      </c>
      <c r="I19" s="128">
        <f>G19*H19</f>
        <v>0.24596747752495657</v>
      </c>
      <c r="J19" s="130">
        <f>I19^2</f>
        <v>6.0499999999990013E-2</v>
      </c>
      <c r="K19" s="131">
        <f>I19^4/F19</f>
        <v>7.3204999999975837E-4</v>
      </c>
      <c r="P19" s="123" t="s">
        <v>207</v>
      </c>
      <c r="Q19" s="124" t="str">
        <f>S17</f>
        <v>RPM</v>
      </c>
      <c r="R19" s="125" t="s">
        <v>208</v>
      </c>
      <c r="S19" s="126">
        <v>0.47</v>
      </c>
      <c r="T19" s="127">
        <v>2.4500000000000002</v>
      </c>
      <c r="U19" s="124">
        <v>5</v>
      </c>
      <c r="V19" s="128">
        <f>S19/T19</f>
        <v>0.19183673469387752</v>
      </c>
      <c r="W19" s="129">
        <v>1</v>
      </c>
      <c r="X19" s="128">
        <f>V19*W19</f>
        <v>0.19183673469387752</v>
      </c>
      <c r="Y19" s="130">
        <f>X19^2</f>
        <v>3.6801332778009149E-2</v>
      </c>
      <c r="Z19" s="131">
        <f>X19^4/U19</f>
        <v>2.7086761884755414E-4</v>
      </c>
    </row>
    <row r="20" spans="1:26" x14ac:dyDescent="0.25">
      <c r="A20" s="132"/>
      <c r="B20" s="124"/>
      <c r="C20" s="133"/>
      <c r="D20" s="359"/>
      <c r="E20" s="135"/>
      <c r="F20" s="124"/>
      <c r="G20" s="136"/>
      <c r="H20" s="124"/>
      <c r="I20" s="136"/>
      <c r="J20" s="137"/>
      <c r="K20" s="138"/>
      <c r="P20" s="132" t="s">
        <v>209</v>
      </c>
      <c r="Q20" s="124" t="str">
        <f>S17</f>
        <v>RPM</v>
      </c>
      <c r="R20" s="133" t="s">
        <v>210</v>
      </c>
      <c r="S20" s="134">
        <v>0.5</v>
      </c>
      <c r="T20" s="135">
        <v>1.73</v>
      </c>
      <c r="U20" s="124">
        <f>0.5*(100/10)^2</f>
        <v>50</v>
      </c>
      <c r="V20" s="136">
        <f>S20/T20</f>
        <v>0.28901734104046245</v>
      </c>
      <c r="W20" s="124">
        <v>1</v>
      </c>
      <c r="X20" s="136">
        <f>V20*W20</f>
        <v>0.28901734104046245</v>
      </c>
      <c r="Y20" s="137">
        <f>X20^2</f>
        <v>8.3531023422098977E-2</v>
      </c>
      <c r="Z20" s="138">
        <f>X20^4/U20</f>
        <v>1.3954863747886494E-4</v>
      </c>
    </row>
    <row r="21" spans="1:26" x14ac:dyDescent="0.25">
      <c r="A21" s="123" t="s">
        <v>211</v>
      </c>
      <c r="B21" s="124" t="str">
        <f>D17</f>
        <v>RPM</v>
      </c>
      <c r="C21" s="124" t="s">
        <v>210</v>
      </c>
      <c r="D21" s="360">
        <f>'DB TACHO'!M210</f>
        <v>3.9789127109807199E-3</v>
      </c>
      <c r="E21" s="139">
        <f>SQRT(3)</f>
        <v>1.7320508075688772</v>
      </c>
      <c r="F21" s="124">
        <f t="shared" ref="F21:F23" si="2">0.5*(100/10)^2</f>
        <v>50</v>
      </c>
      <c r="G21" s="137">
        <f>D21/E21</f>
        <v>2.2972263247667424E-3</v>
      </c>
      <c r="H21" s="124">
        <v>1</v>
      </c>
      <c r="I21" s="137">
        <f>G21*H21</f>
        <v>2.2972263247667424E-3</v>
      </c>
      <c r="J21" s="137">
        <f>I21^2</f>
        <v>5.2772487872013144E-6</v>
      </c>
      <c r="K21" s="140">
        <f>I21^4/F21</f>
        <v>5.5698709524035487E-13</v>
      </c>
      <c r="P21" s="123" t="s">
        <v>211</v>
      </c>
      <c r="Q21" s="124" t="str">
        <f>S17</f>
        <v>RPM</v>
      </c>
      <c r="R21" s="124" t="s">
        <v>210</v>
      </c>
      <c r="S21" s="139">
        <v>0</v>
      </c>
      <c r="T21" s="139">
        <v>1.73</v>
      </c>
      <c r="U21" s="124">
        <f t="shared" ref="U21:U22" si="3">0.5*(100/10)^2</f>
        <v>50</v>
      </c>
      <c r="V21" s="137">
        <f>S21/T21</f>
        <v>0</v>
      </c>
      <c r="W21" s="124">
        <v>1</v>
      </c>
      <c r="X21" s="137">
        <f>V21*W21</f>
        <v>0</v>
      </c>
      <c r="Y21" s="137">
        <f>X21^2</f>
        <v>0</v>
      </c>
      <c r="Z21" s="140">
        <f>X21^4/U21</f>
        <v>0</v>
      </c>
    </row>
    <row r="22" spans="1:26" x14ac:dyDescent="0.25">
      <c r="A22" s="141" t="s">
        <v>212</v>
      </c>
      <c r="B22" s="124" t="str">
        <f>D17</f>
        <v>RPM</v>
      </c>
      <c r="C22" s="133" t="s">
        <v>208</v>
      </c>
      <c r="D22" s="361">
        <f>'DB TACHO'!K210</f>
        <v>1.2127949965725247</v>
      </c>
      <c r="E22" s="143">
        <v>2</v>
      </c>
      <c r="F22" s="124">
        <f t="shared" si="2"/>
        <v>50</v>
      </c>
      <c r="G22" s="136">
        <f>D22/E22</f>
        <v>0.60639749828626233</v>
      </c>
      <c r="H22" s="124">
        <v>1</v>
      </c>
      <c r="I22" s="136">
        <f>G22*H22</f>
        <v>0.60639749828626233</v>
      </c>
      <c r="J22" s="137">
        <f>I22^2</f>
        <v>0.36771792592783753</v>
      </c>
      <c r="K22" s="140">
        <f>I22^4/F22</f>
        <v>2.7043294609734119E-3</v>
      </c>
      <c r="P22" s="141" t="s">
        <v>212</v>
      </c>
      <c r="Q22" s="124" t="str">
        <f>S17</f>
        <v>RPM</v>
      </c>
      <c r="R22" s="133" t="s">
        <v>208</v>
      </c>
      <c r="S22" s="142">
        <v>1</v>
      </c>
      <c r="T22" s="143">
        <v>2</v>
      </c>
      <c r="U22" s="124">
        <f t="shared" si="3"/>
        <v>50</v>
      </c>
      <c r="V22" s="136">
        <f>S22/T22</f>
        <v>0.5</v>
      </c>
      <c r="W22" s="124">
        <v>1</v>
      </c>
      <c r="X22" s="136">
        <f>V22*W22</f>
        <v>0.5</v>
      </c>
      <c r="Y22" s="137">
        <f>X22^2</f>
        <v>0.25</v>
      </c>
      <c r="Z22" s="140">
        <f>X22^4/U22</f>
        <v>1.25E-3</v>
      </c>
    </row>
    <row r="23" spans="1:26" x14ac:dyDescent="0.25">
      <c r="A23" s="141" t="s">
        <v>213</v>
      </c>
      <c r="B23" s="124" t="s">
        <v>192</v>
      </c>
      <c r="C23" s="124" t="s">
        <v>210</v>
      </c>
      <c r="D23" s="362">
        <f>D10</f>
        <v>0.05</v>
      </c>
      <c r="E23" s="139">
        <f>SQRT(3)</f>
        <v>1.7320508075688772</v>
      </c>
      <c r="F23" s="124">
        <f t="shared" si="2"/>
        <v>50</v>
      </c>
      <c r="G23" s="136">
        <f>D23/E23</f>
        <v>2.8867513459481291E-2</v>
      </c>
      <c r="H23" s="124">
        <v>1</v>
      </c>
      <c r="I23" s="136">
        <f>G23*H23</f>
        <v>2.8867513459481291E-2</v>
      </c>
      <c r="J23" s="137">
        <f>I23^2</f>
        <v>8.333333333333335E-4</v>
      </c>
      <c r="K23" s="140">
        <f>I23^4/F23</f>
        <v>1.3888888888888894E-8</v>
      </c>
      <c r="P23" s="141" t="s">
        <v>213</v>
      </c>
      <c r="Q23" s="124" t="s">
        <v>192</v>
      </c>
      <c r="R23" s="124" t="s">
        <v>210</v>
      </c>
      <c r="S23" s="124">
        <v>1</v>
      </c>
      <c r="T23" s="139">
        <v>1.73</v>
      </c>
      <c r="U23" s="124">
        <v>50</v>
      </c>
      <c r="V23" s="136">
        <f>S23/T23</f>
        <v>0.5780346820809249</v>
      </c>
      <c r="W23" s="124">
        <v>1</v>
      </c>
      <c r="X23" s="137">
        <f>V23*W23</f>
        <v>0.5780346820809249</v>
      </c>
      <c r="Y23" s="137">
        <f>X23^2</f>
        <v>0.33412409368839591</v>
      </c>
      <c r="Z23" s="140">
        <f>X23^4/U23</f>
        <v>2.2327781996618391E-3</v>
      </c>
    </row>
    <row r="24" spans="1:26" ht="13" x14ac:dyDescent="0.3">
      <c r="A24" s="144" t="s">
        <v>214</v>
      </c>
      <c r="B24" s="145"/>
      <c r="C24" s="145"/>
      <c r="D24" s="145"/>
      <c r="E24" s="146"/>
      <c r="F24" s="145"/>
      <c r="G24" s="145"/>
      <c r="H24" s="145"/>
      <c r="I24" s="145"/>
      <c r="J24" s="147">
        <f>SUM(J19:J23)</f>
        <v>0.42905653650994813</v>
      </c>
      <c r="K24" s="148">
        <f>SUM(K19:K23)</f>
        <v>3.436393350419046E-3</v>
      </c>
      <c r="P24" s="144" t="s">
        <v>214</v>
      </c>
      <c r="Q24" s="145"/>
      <c r="R24" s="145"/>
      <c r="S24" s="145"/>
      <c r="T24" s="146"/>
      <c r="U24" s="145"/>
      <c r="V24" s="145"/>
      <c r="W24" s="145"/>
      <c r="X24" s="145"/>
      <c r="Y24" s="147">
        <f>SUM(Y19:Y23)</f>
        <v>0.70445644988850398</v>
      </c>
      <c r="Z24" s="148">
        <f>SUM(Z19:Z22)</f>
        <v>1.6604162563264191E-3</v>
      </c>
    </row>
    <row r="25" spans="1:26" ht="15.5" x14ac:dyDescent="0.4">
      <c r="A25" s="149" t="s">
        <v>215</v>
      </c>
      <c r="B25" s="150"/>
      <c r="C25" s="150"/>
      <c r="D25" s="150"/>
      <c r="E25" s="151"/>
      <c r="F25" s="150"/>
      <c r="G25" s="152" t="s">
        <v>216</v>
      </c>
      <c r="H25" s="150"/>
      <c r="I25" s="150"/>
      <c r="J25" s="153">
        <f>SQRT(J24)</f>
        <v>0.6550240732293342</v>
      </c>
      <c r="K25" s="154"/>
      <c r="P25" s="149" t="s">
        <v>215</v>
      </c>
      <c r="Q25" s="150"/>
      <c r="R25" s="150"/>
      <c r="S25" s="150"/>
      <c r="T25" s="151"/>
      <c r="U25" s="150"/>
      <c r="V25" s="152" t="s">
        <v>216</v>
      </c>
      <c r="W25" s="150"/>
      <c r="X25" s="150"/>
      <c r="Y25" s="153">
        <f>SQRT(Y24)</f>
        <v>0.83931903939354546</v>
      </c>
      <c r="Z25" s="154"/>
    </row>
    <row r="26" spans="1:26" ht="16" x14ac:dyDescent="0.4">
      <c r="A26" s="144" t="s">
        <v>217</v>
      </c>
      <c r="B26" s="145"/>
      <c r="C26" s="145"/>
      <c r="D26" s="145"/>
      <c r="E26" s="146"/>
      <c r="F26" s="145"/>
      <c r="G26" s="116" t="s">
        <v>218</v>
      </c>
      <c r="H26" s="145"/>
      <c r="I26" s="145"/>
      <c r="J26" s="147">
        <f>J25^4/(K24)</f>
        <v>53.57055864965632</v>
      </c>
      <c r="K26" s="155"/>
      <c r="P26" s="144" t="s">
        <v>217</v>
      </c>
      <c r="Q26" s="145"/>
      <c r="R26" s="145"/>
      <c r="S26" s="145"/>
      <c r="T26" s="146"/>
      <c r="U26" s="145"/>
      <c r="V26" s="116" t="s">
        <v>218</v>
      </c>
      <c r="W26" s="145"/>
      <c r="X26" s="145"/>
      <c r="Y26" s="147">
        <f>Y25^4/(Z24)</f>
        <v>298.87619318270231</v>
      </c>
      <c r="Z26" s="155"/>
    </row>
    <row r="27" spans="1:26" ht="13" x14ac:dyDescent="0.3">
      <c r="A27" s="149" t="s">
        <v>219</v>
      </c>
      <c r="B27" s="150"/>
      <c r="C27" s="150"/>
      <c r="D27" s="150"/>
      <c r="E27" s="151"/>
      <c r="F27" s="150"/>
      <c r="G27" s="113" t="s">
        <v>220</v>
      </c>
      <c r="H27" s="150"/>
      <c r="I27" s="150"/>
      <c r="J27" s="153">
        <f>1.95996+(2.37356/J26)+(2.818745/J26^2)+(2.546662/J26^3)+(1.761829/J26^4)+(0.245458/J26^5)+(1.000764/J26^6)</f>
        <v>2.0052661603253048</v>
      </c>
      <c r="K27" s="154"/>
      <c r="P27" s="149" t="s">
        <v>219</v>
      </c>
      <c r="Q27" s="150"/>
      <c r="R27" s="150"/>
      <c r="S27" s="150"/>
      <c r="T27" s="151"/>
      <c r="U27" s="150"/>
      <c r="V27" s="113" t="s">
        <v>220</v>
      </c>
      <c r="W27" s="150"/>
      <c r="X27" s="150"/>
      <c r="Y27" s="153">
        <f>1.95996+(2.37356/Y26)+(2.818745/Y26^2)+(2.546662/Y26^3)+(1.761829/Y26^4)+(0.245458/Y26^5)+(1.000764/Y26^6)</f>
        <v>1.9679332671111689</v>
      </c>
      <c r="Z27" s="154"/>
    </row>
    <row r="28" spans="1:26" ht="13" x14ac:dyDescent="0.3">
      <c r="A28" s="156" t="s">
        <v>221</v>
      </c>
      <c r="B28" s="157"/>
      <c r="C28" s="157"/>
      <c r="D28" s="157"/>
      <c r="E28" s="158"/>
      <c r="F28" s="157"/>
      <c r="G28" s="159" t="s">
        <v>222</v>
      </c>
      <c r="H28" s="157"/>
      <c r="I28" s="157"/>
      <c r="J28" s="248">
        <f>J25*J27</f>
        <v>1.3134976082452283</v>
      </c>
      <c r="K28" s="251" t="str">
        <f>D17</f>
        <v>RPM</v>
      </c>
      <c r="P28" s="156" t="s">
        <v>221</v>
      </c>
      <c r="Q28" s="157"/>
      <c r="R28" s="157"/>
      <c r="S28" s="157"/>
      <c r="T28" s="158"/>
      <c r="U28" s="157"/>
      <c r="V28" s="159" t="s">
        <v>222</v>
      </c>
      <c r="W28" s="157"/>
      <c r="X28" s="157"/>
      <c r="Y28" s="160">
        <f>Y25*Y27</f>
        <v>1.6517238593423478</v>
      </c>
      <c r="Z28" s="161" t="str">
        <f>S17</f>
        <v>RPM</v>
      </c>
    </row>
    <row r="29" spans="1:26" ht="13" x14ac:dyDescent="0.3">
      <c r="A29" s="6"/>
      <c r="J29" s="249">
        <f>J28/ID!L37*100</f>
        <v>3.2491823267259835E-2</v>
      </c>
      <c r="K29" s="254" t="s">
        <v>223</v>
      </c>
      <c r="L29" s="345" t="s">
        <v>224</v>
      </c>
      <c r="M29" s="346">
        <v>0.01</v>
      </c>
      <c r="N29" s="347" t="s">
        <v>223</v>
      </c>
      <c r="P29" s="6"/>
      <c r="Z29" s="5"/>
    </row>
    <row r="30" spans="1:26" ht="13" x14ac:dyDescent="0.3">
      <c r="A30" s="112" t="str">
        <f>A4</f>
        <v>Kecepatan</v>
      </c>
      <c r="B30" s="113"/>
      <c r="C30" s="114">
        <f>ID!D38</f>
        <v>7</v>
      </c>
      <c r="D30" s="115" t="str">
        <f>D4</f>
        <v>RPM</v>
      </c>
      <c r="E30" s="116"/>
      <c r="F30" s="116"/>
      <c r="G30" s="116"/>
      <c r="H30" s="116"/>
      <c r="I30" s="116"/>
      <c r="J30" s="116"/>
      <c r="K30" s="117"/>
      <c r="P30" s="112" t="str">
        <f>P4</f>
        <v>Kecepatan</v>
      </c>
      <c r="Q30" s="113"/>
      <c r="R30" s="114">
        <f>C30</f>
        <v>7</v>
      </c>
      <c r="S30" s="115" t="str">
        <f>S4</f>
        <v>RPM</v>
      </c>
      <c r="T30" s="116"/>
      <c r="U30" s="116"/>
      <c r="V30" s="116"/>
      <c r="W30" s="116"/>
      <c r="X30" s="116"/>
      <c r="Y30" s="116"/>
      <c r="Z30" s="117"/>
    </row>
    <row r="31" spans="1:26" ht="16.5" x14ac:dyDescent="0.3">
      <c r="A31" s="174" t="s">
        <v>193</v>
      </c>
      <c r="B31" s="175" t="s">
        <v>194</v>
      </c>
      <c r="C31" s="176" t="s">
        <v>195</v>
      </c>
      <c r="D31" s="175" t="s">
        <v>196</v>
      </c>
      <c r="E31" s="177" t="s">
        <v>197</v>
      </c>
      <c r="F31" s="175" t="s">
        <v>198</v>
      </c>
      <c r="G31" s="176" t="s">
        <v>199</v>
      </c>
      <c r="H31" s="175" t="s">
        <v>200</v>
      </c>
      <c r="I31" s="176" t="s">
        <v>201</v>
      </c>
      <c r="J31" s="175" t="s">
        <v>202</v>
      </c>
      <c r="K31" s="178" t="s">
        <v>203</v>
      </c>
      <c r="P31" s="118" t="s">
        <v>193</v>
      </c>
      <c r="Q31" s="119" t="s">
        <v>194</v>
      </c>
      <c r="R31" s="120" t="s">
        <v>195</v>
      </c>
      <c r="S31" s="119" t="s">
        <v>204</v>
      </c>
      <c r="T31" s="121" t="s">
        <v>197</v>
      </c>
      <c r="U31" s="119" t="s">
        <v>198</v>
      </c>
      <c r="V31" s="120" t="s">
        <v>199</v>
      </c>
      <c r="W31" s="119" t="s">
        <v>200</v>
      </c>
      <c r="X31" s="120" t="s">
        <v>201</v>
      </c>
      <c r="Y31" s="119" t="s">
        <v>205</v>
      </c>
      <c r="Z31" s="122" t="s">
        <v>206</v>
      </c>
    </row>
    <row r="32" spans="1:26" x14ac:dyDescent="0.25">
      <c r="A32" s="123" t="s">
        <v>207</v>
      </c>
      <c r="B32" s="124" t="str">
        <f>D30</f>
        <v>RPM</v>
      </c>
      <c r="C32" s="125" t="s">
        <v>208</v>
      </c>
      <c r="D32" s="358">
        <f>'DB TACHO'!E211</f>
        <v>0.65726706900609977</v>
      </c>
      <c r="E32" s="127">
        <f>SQRT(6)</f>
        <v>2.4494897427831779</v>
      </c>
      <c r="F32" s="124">
        <v>5</v>
      </c>
      <c r="G32" s="128">
        <f>D32/E32</f>
        <v>0.26832815729993414</v>
      </c>
      <c r="H32" s="129">
        <v>1</v>
      </c>
      <c r="I32" s="128">
        <f>G32*H32</f>
        <v>0.26832815729993414</v>
      </c>
      <c r="J32" s="130">
        <f>I32^2</f>
        <v>7.1999999999978206E-2</v>
      </c>
      <c r="K32" s="131">
        <f>I32^4/F32</f>
        <v>1.0367999999993725E-3</v>
      </c>
      <c r="P32" s="123" t="s">
        <v>207</v>
      </c>
      <c r="Q32" s="124" t="str">
        <f>S30</f>
        <v>RPM</v>
      </c>
      <c r="R32" s="125" t="s">
        <v>208</v>
      </c>
      <c r="S32" s="126">
        <v>0.47</v>
      </c>
      <c r="T32" s="127">
        <v>2.4500000000000002</v>
      </c>
      <c r="U32" s="124">
        <v>5</v>
      </c>
      <c r="V32" s="128">
        <f>S32/T32</f>
        <v>0.19183673469387752</v>
      </c>
      <c r="W32" s="129">
        <v>1</v>
      </c>
      <c r="X32" s="128">
        <f>V32*W32</f>
        <v>0.19183673469387752</v>
      </c>
      <c r="Y32" s="130">
        <f>X32^2</f>
        <v>3.6801332778009149E-2</v>
      </c>
      <c r="Z32" s="131">
        <f>X32^4/U32</f>
        <v>2.7086761884755414E-4</v>
      </c>
    </row>
    <row r="33" spans="1:26" x14ac:dyDescent="0.25">
      <c r="A33" s="132"/>
      <c r="B33" s="124"/>
      <c r="C33" s="133"/>
      <c r="D33" s="359"/>
      <c r="E33" s="135"/>
      <c r="F33" s="124"/>
      <c r="G33" s="136"/>
      <c r="H33" s="124"/>
      <c r="I33" s="136"/>
      <c r="J33" s="137"/>
      <c r="K33" s="138"/>
      <c r="P33" s="132" t="s">
        <v>209</v>
      </c>
      <c r="Q33" s="124" t="str">
        <f>S30</f>
        <v>RPM</v>
      </c>
      <c r="R33" s="133" t="s">
        <v>210</v>
      </c>
      <c r="S33" s="134">
        <v>0.5</v>
      </c>
      <c r="T33" s="135">
        <v>1.73</v>
      </c>
      <c r="U33" s="124">
        <f>0.5*(100/10)^2</f>
        <v>50</v>
      </c>
      <c r="V33" s="136">
        <f>S33/T33</f>
        <v>0.28901734104046245</v>
      </c>
      <c r="W33" s="124">
        <v>1</v>
      </c>
      <c r="X33" s="136">
        <f>V33*W33</f>
        <v>0.28901734104046245</v>
      </c>
      <c r="Y33" s="137">
        <f>X33^2</f>
        <v>8.3531023422098977E-2</v>
      </c>
      <c r="Z33" s="138">
        <f>X33^4/U33</f>
        <v>1.3954863747886494E-4</v>
      </c>
    </row>
    <row r="34" spans="1:26" x14ac:dyDescent="0.25">
      <c r="A34" s="123" t="s">
        <v>211</v>
      </c>
      <c r="B34" s="124" t="str">
        <f>D30</f>
        <v>RPM</v>
      </c>
      <c r="C34" s="124" t="s">
        <v>210</v>
      </c>
      <c r="D34" s="360">
        <f>'DB TACHO'!M211</f>
        <v>8.428174558129492E-2</v>
      </c>
      <c r="E34" s="139">
        <f>SQRT(3)</f>
        <v>1.7320508075688772</v>
      </c>
      <c r="F34" s="124">
        <f t="shared" ref="F34:F36" si="4">0.5*(100/10)^2</f>
        <v>50</v>
      </c>
      <c r="G34" s="137">
        <f>D34/E34</f>
        <v>4.8660088499132177E-2</v>
      </c>
      <c r="H34" s="124">
        <v>1</v>
      </c>
      <c r="I34" s="137">
        <f>G34*H34</f>
        <v>4.8660088499132177E-2</v>
      </c>
      <c r="J34" s="137">
        <f>I34^2</f>
        <v>2.3678042127433757E-3</v>
      </c>
      <c r="K34" s="140">
        <f>I34^4/F34</f>
        <v>1.1212993579770553E-7</v>
      </c>
      <c r="P34" s="123" t="s">
        <v>211</v>
      </c>
      <c r="Q34" s="124" t="str">
        <f>S30</f>
        <v>RPM</v>
      </c>
      <c r="R34" s="124" t="s">
        <v>210</v>
      </c>
      <c r="S34" s="139">
        <v>0</v>
      </c>
      <c r="T34" s="139">
        <v>1.73</v>
      </c>
      <c r="U34" s="124">
        <f t="shared" ref="U34:U35" si="5">0.5*(100/10)^2</f>
        <v>50</v>
      </c>
      <c r="V34" s="137">
        <f>S34/T34</f>
        <v>0</v>
      </c>
      <c r="W34" s="124">
        <v>1</v>
      </c>
      <c r="X34" s="137">
        <f>V34*W34</f>
        <v>0</v>
      </c>
      <c r="Y34" s="137">
        <f>X34^2</f>
        <v>0</v>
      </c>
      <c r="Z34" s="140">
        <f>X34^4/U34</f>
        <v>0</v>
      </c>
    </row>
    <row r="35" spans="1:26" x14ac:dyDescent="0.25">
      <c r="A35" s="141" t="s">
        <v>212</v>
      </c>
      <c r="B35" s="124" t="str">
        <f>D30</f>
        <v>RPM</v>
      </c>
      <c r="C35" s="133" t="s">
        <v>208</v>
      </c>
      <c r="D35" s="361">
        <f>'DB TACHO'!K211</f>
        <v>2.1643799845930478</v>
      </c>
      <c r="E35" s="143">
        <v>2</v>
      </c>
      <c r="F35" s="124">
        <f t="shared" si="4"/>
        <v>50</v>
      </c>
      <c r="G35" s="136">
        <f>D35/E35</f>
        <v>1.0821899922965239</v>
      </c>
      <c r="H35" s="124">
        <v>1</v>
      </c>
      <c r="I35" s="136">
        <f>G35*H35</f>
        <v>1.0821899922965239</v>
      </c>
      <c r="J35" s="137">
        <f>I35^2</f>
        <v>1.1711351794267504</v>
      </c>
      <c r="K35" s="140">
        <f>I35^4/F35</f>
        <v>2.7431152169818538E-2</v>
      </c>
      <c r="P35" s="141" t="s">
        <v>212</v>
      </c>
      <c r="Q35" s="124" t="str">
        <f>S30</f>
        <v>RPM</v>
      </c>
      <c r="R35" s="133" t="s">
        <v>208</v>
      </c>
      <c r="S35" s="142">
        <v>1</v>
      </c>
      <c r="T35" s="143">
        <v>2</v>
      </c>
      <c r="U35" s="124">
        <f t="shared" si="5"/>
        <v>50</v>
      </c>
      <c r="V35" s="136">
        <f>S35/T35</f>
        <v>0.5</v>
      </c>
      <c r="W35" s="124">
        <v>1</v>
      </c>
      <c r="X35" s="136">
        <f>V35*W35</f>
        <v>0.5</v>
      </c>
      <c r="Y35" s="137">
        <f>X35^2</f>
        <v>0.25</v>
      </c>
      <c r="Z35" s="140">
        <f>X35^4/U35</f>
        <v>1.25E-3</v>
      </c>
    </row>
    <row r="36" spans="1:26" x14ac:dyDescent="0.25">
      <c r="A36" s="141" t="s">
        <v>213</v>
      </c>
      <c r="B36" s="124" t="s">
        <v>192</v>
      </c>
      <c r="C36" s="124" t="s">
        <v>210</v>
      </c>
      <c r="D36" s="362">
        <f>D10</f>
        <v>0.05</v>
      </c>
      <c r="E36" s="139">
        <f>SQRT(3)</f>
        <v>1.7320508075688772</v>
      </c>
      <c r="F36" s="124">
        <f t="shared" si="4"/>
        <v>50</v>
      </c>
      <c r="G36" s="136">
        <f>D36/E36</f>
        <v>2.8867513459481291E-2</v>
      </c>
      <c r="H36" s="124">
        <v>1</v>
      </c>
      <c r="I36" s="136">
        <f>G36*H36</f>
        <v>2.8867513459481291E-2</v>
      </c>
      <c r="J36" s="137">
        <f>I36^2</f>
        <v>8.333333333333335E-4</v>
      </c>
      <c r="K36" s="140">
        <f>I36^4/F36</f>
        <v>1.3888888888888894E-8</v>
      </c>
      <c r="P36" s="141" t="s">
        <v>213</v>
      </c>
      <c r="Q36" s="124" t="s">
        <v>192</v>
      </c>
      <c r="R36" s="124" t="s">
        <v>210</v>
      </c>
      <c r="S36" s="124">
        <v>1</v>
      </c>
      <c r="T36" s="139">
        <v>1.73</v>
      </c>
      <c r="U36" s="124">
        <v>50</v>
      </c>
      <c r="V36" s="136">
        <f>S36/T36</f>
        <v>0.5780346820809249</v>
      </c>
      <c r="W36" s="124">
        <v>1</v>
      </c>
      <c r="X36" s="137">
        <f>V36*W36</f>
        <v>0.5780346820809249</v>
      </c>
      <c r="Y36" s="137">
        <f>X36^2</f>
        <v>0.33412409368839591</v>
      </c>
      <c r="Z36" s="140">
        <f>X36^4/U36</f>
        <v>2.2327781996618391E-3</v>
      </c>
    </row>
    <row r="37" spans="1:26" ht="13" x14ac:dyDescent="0.3">
      <c r="A37" s="144" t="s">
        <v>214</v>
      </c>
      <c r="B37" s="145"/>
      <c r="C37" s="145"/>
      <c r="D37" s="145"/>
      <c r="E37" s="146"/>
      <c r="F37" s="145"/>
      <c r="G37" s="145"/>
      <c r="H37" s="145"/>
      <c r="I37" s="145"/>
      <c r="J37" s="147">
        <f>SUM(J32:J36)</f>
        <v>1.2463363169728052</v>
      </c>
      <c r="K37" s="148">
        <f>SUM(K32:K36)</f>
        <v>2.8468078188642599E-2</v>
      </c>
      <c r="P37" s="144" t="s">
        <v>214</v>
      </c>
      <c r="Q37" s="145"/>
      <c r="R37" s="145"/>
      <c r="S37" s="145"/>
      <c r="T37" s="146"/>
      <c r="U37" s="145"/>
      <c r="V37" s="145"/>
      <c r="W37" s="145"/>
      <c r="X37" s="145"/>
      <c r="Y37" s="147">
        <f>SUM(Y32:Y36)</f>
        <v>0.70445644988850398</v>
      </c>
      <c r="Z37" s="148">
        <f>SUM(Z32:Z35)</f>
        <v>1.6604162563264191E-3</v>
      </c>
    </row>
    <row r="38" spans="1:26" ht="15.5" x14ac:dyDescent="0.4">
      <c r="A38" s="149" t="s">
        <v>215</v>
      </c>
      <c r="B38" s="150"/>
      <c r="C38" s="150"/>
      <c r="D38" s="150"/>
      <c r="E38" s="151"/>
      <c r="F38" s="150"/>
      <c r="G38" s="152" t="s">
        <v>216</v>
      </c>
      <c r="H38" s="150"/>
      <c r="I38" s="150"/>
      <c r="J38" s="153">
        <f>SQRT(J37)</f>
        <v>1.11639433757647</v>
      </c>
      <c r="K38" s="154"/>
      <c r="P38" s="149" t="s">
        <v>215</v>
      </c>
      <c r="Q38" s="150"/>
      <c r="R38" s="150"/>
      <c r="S38" s="150"/>
      <c r="T38" s="151"/>
      <c r="U38" s="150"/>
      <c r="V38" s="152" t="s">
        <v>216</v>
      </c>
      <c r="W38" s="150"/>
      <c r="X38" s="150"/>
      <c r="Y38" s="153">
        <f>SQRT(Y37)</f>
        <v>0.83931903939354546</v>
      </c>
      <c r="Z38" s="154"/>
    </row>
    <row r="39" spans="1:26" ht="16" x14ac:dyDescent="0.4">
      <c r="A39" s="144" t="s">
        <v>217</v>
      </c>
      <c r="B39" s="145"/>
      <c r="C39" s="145"/>
      <c r="D39" s="145"/>
      <c r="E39" s="146"/>
      <c r="F39" s="145"/>
      <c r="G39" s="116" t="s">
        <v>218</v>
      </c>
      <c r="H39" s="145"/>
      <c r="I39" s="145"/>
      <c r="J39" s="147">
        <f>J38^4/(K37)</f>
        <v>54.564772680196263</v>
      </c>
      <c r="K39" s="155"/>
      <c r="P39" s="144" t="s">
        <v>217</v>
      </c>
      <c r="Q39" s="145"/>
      <c r="R39" s="145"/>
      <c r="S39" s="145"/>
      <c r="T39" s="146"/>
      <c r="U39" s="145"/>
      <c r="V39" s="116" t="s">
        <v>218</v>
      </c>
      <c r="W39" s="145"/>
      <c r="X39" s="145"/>
      <c r="Y39" s="147">
        <f>Y38^4/(Z37)</f>
        <v>298.87619318270231</v>
      </c>
      <c r="Z39" s="155"/>
    </row>
    <row r="40" spans="1:26" ht="13" x14ac:dyDescent="0.3">
      <c r="A40" s="149" t="s">
        <v>219</v>
      </c>
      <c r="B40" s="150"/>
      <c r="C40" s="150"/>
      <c r="D40" s="150"/>
      <c r="E40" s="151"/>
      <c r="F40" s="150"/>
      <c r="G40" s="113" t="s">
        <v>220</v>
      </c>
      <c r="H40" s="150"/>
      <c r="I40" s="150"/>
      <c r="J40" s="153">
        <f>1.95996+(2.37356/J39)+(2.818745/J39^2)+(2.546662/J39^3)+(1.761829/J39^4)+(0.245458/J39^5)+(1.000764/J39^6)</f>
        <v>2.0044224765550176</v>
      </c>
      <c r="K40" s="154"/>
      <c r="P40" s="149" t="s">
        <v>219</v>
      </c>
      <c r="Q40" s="150"/>
      <c r="R40" s="150"/>
      <c r="S40" s="150"/>
      <c r="T40" s="151"/>
      <c r="U40" s="150"/>
      <c r="V40" s="113" t="s">
        <v>220</v>
      </c>
      <c r="W40" s="150"/>
      <c r="X40" s="150"/>
      <c r="Y40" s="153">
        <f>1.95996+(2.37356/Y39)+(2.818745/Y39^2)+(2.546662/Y39^3)+(1.761829/Y39^4)+(0.245458/Y39^5)+(1.000764/Y39^6)</f>
        <v>1.9679332671111689</v>
      </c>
      <c r="Z40" s="154"/>
    </row>
    <row r="41" spans="1:26" ht="13" x14ac:dyDescent="0.3">
      <c r="A41" s="156" t="s">
        <v>221</v>
      </c>
      <c r="B41" s="157"/>
      <c r="C41" s="157"/>
      <c r="D41" s="157"/>
      <c r="E41" s="158"/>
      <c r="F41" s="157"/>
      <c r="G41" s="159" t="s">
        <v>222</v>
      </c>
      <c r="H41" s="157"/>
      <c r="I41" s="157"/>
      <c r="J41" s="182">
        <f>J38*J40</f>
        <v>2.2377259029370262</v>
      </c>
      <c r="K41" s="252" t="str">
        <f>D30</f>
        <v>RPM</v>
      </c>
      <c r="P41" s="156" t="s">
        <v>221</v>
      </c>
      <c r="Q41" s="157"/>
      <c r="R41" s="157"/>
      <c r="S41" s="157"/>
      <c r="T41" s="158"/>
      <c r="U41" s="157"/>
      <c r="V41" s="159" t="s">
        <v>222</v>
      </c>
      <c r="W41" s="157"/>
      <c r="X41" s="157"/>
      <c r="Y41" s="160">
        <f>Y38*Y40</f>
        <v>1.6517238593423478</v>
      </c>
      <c r="Z41" s="161" t="str">
        <f>S30</f>
        <v>RPM</v>
      </c>
    </row>
    <row r="42" spans="1:26" ht="13" x14ac:dyDescent="0.3">
      <c r="A42" s="144"/>
      <c r="B42" s="145"/>
      <c r="C42" s="145"/>
      <c r="D42" s="145"/>
      <c r="E42" s="146"/>
      <c r="J42" s="247">
        <f>J41/ID!L38*100</f>
        <v>3.1018599526243029E-2</v>
      </c>
      <c r="K42" s="251" t="s">
        <v>223</v>
      </c>
      <c r="L42" s="345" t="s">
        <v>224</v>
      </c>
      <c r="M42" s="346">
        <v>0.01</v>
      </c>
      <c r="N42" s="347" t="s">
        <v>223</v>
      </c>
      <c r="P42" s="144"/>
      <c r="Q42" s="145"/>
      <c r="R42" s="145"/>
      <c r="S42" s="145"/>
      <c r="T42" s="146"/>
      <c r="U42" s="145"/>
      <c r="V42" s="116"/>
      <c r="W42" s="145"/>
      <c r="X42" s="145"/>
      <c r="Y42" s="162"/>
      <c r="Z42" s="163"/>
    </row>
    <row r="43" spans="1:26" ht="13" x14ac:dyDescent="0.3">
      <c r="A43" s="112" t="str">
        <f>A17</f>
        <v>Kecepatan</v>
      </c>
      <c r="B43" s="113"/>
      <c r="C43" s="114">
        <f>ID!D39</f>
        <v>9</v>
      </c>
      <c r="D43" s="115" t="str">
        <f>D17</f>
        <v>RPM</v>
      </c>
      <c r="E43" s="116"/>
      <c r="F43" s="116"/>
      <c r="G43" s="116"/>
      <c r="H43" s="116"/>
      <c r="I43" s="116"/>
      <c r="J43" s="116"/>
      <c r="K43" s="117"/>
      <c r="P43" s="112" t="str">
        <f>P17</f>
        <v>Kecepatan</v>
      </c>
      <c r="Q43" s="113"/>
      <c r="R43" s="114">
        <f>C43</f>
        <v>9</v>
      </c>
      <c r="S43" s="115" t="str">
        <f>S17</f>
        <v>RPM</v>
      </c>
      <c r="T43" s="116"/>
      <c r="U43" s="116"/>
      <c r="V43" s="116"/>
      <c r="W43" s="116"/>
      <c r="X43" s="116"/>
      <c r="Y43" s="116"/>
      <c r="Z43" s="117"/>
    </row>
    <row r="44" spans="1:26" ht="16.5" x14ac:dyDescent="0.3">
      <c r="A44" s="174" t="s">
        <v>193</v>
      </c>
      <c r="B44" s="175" t="s">
        <v>194</v>
      </c>
      <c r="C44" s="176" t="s">
        <v>195</v>
      </c>
      <c r="D44" s="175" t="s">
        <v>196</v>
      </c>
      <c r="E44" s="177" t="s">
        <v>197</v>
      </c>
      <c r="F44" s="175" t="s">
        <v>198</v>
      </c>
      <c r="G44" s="176" t="s">
        <v>199</v>
      </c>
      <c r="H44" s="175" t="s">
        <v>200</v>
      </c>
      <c r="I44" s="176" t="s">
        <v>201</v>
      </c>
      <c r="J44" s="175" t="s">
        <v>202</v>
      </c>
      <c r="K44" s="178" t="s">
        <v>203</v>
      </c>
      <c r="P44" s="118" t="s">
        <v>193</v>
      </c>
      <c r="Q44" s="119" t="s">
        <v>194</v>
      </c>
      <c r="R44" s="120" t="s">
        <v>195</v>
      </c>
      <c r="S44" s="119" t="s">
        <v>204</v>
      </c>
      <c r="T44" s="121" t="s">
        <v>197</v>
      </c>
      <c r="U44" s="119" t="s">
        <v>198</v>
      </c>
      <c r="V44" s="120" t="s">
        <v>199</v>
      </c>
      <c r="W44" s="119" t="s">
        <v>200</v>
      </c>
      <c r="X44" s="120" t="s">
        <v>201</v>
      </c>
      <c r="Y44" s="119" t="s">
        <v>205</v>
      </c>
      <c r="Z44" s="122" t="s">
        <v>206</v>
      </c>
    </row>
    <row r="45" spans="1:26" x14ac:dyDescent="0.25">
      <c r="A45" s="123" t="s">
        <v>207</v>
      </c>
      <c r="B45" s="124" t="str">
        <f>D43</f>
        <v>RPM</v>
      </c>
      <c r="C45" s="125" t="s">
        <v>208</v>
      </c>
      <c r="D45" s="358">
        <f>'DB TACHO'!E212</f>
        <v>1.6020819787597222</v>
      </c>
      <c r="E45" s="127">
        <f>SQRT(6)</f>
        <v>2.4494897427831779</v>
      </c>
      <c r="F45" s="124">
        <v>5</v>
      </c>
      <c r="G45" s="128">
        <f>D45/E45</f>
        <v>0.6540472290116196</v>
      </c>
      <c r="H45" s="129">
        <v>1</v>
      </c>
      <c r="I45" s="128">
        <f>G45*H45</f>
        <v>0.6540472290116196</v>
      </c>
      <c r="J45" s="130">
        <f>I45^2</f>
        <v>0.42777777777777798</v>
      </c>
      <c r="K45" s="131">
        <f>I45^4/F45</f>
        <v>3.65987654320988E-2</v>
      </c>
      <c r="P45" s="123" t="s">
        <v>207</v>
      </c>
      <c r="Q45" s="124" t="str">
        <f>S43</f>
        <v>RPM</v>
      </c>
      <c r="R45" s="125" t="s">
        <v>208</v>
      </c>
      <c r="S45" s="126">
        <v>0.37</v>
      </c>
      <c r="T45" s="127">
        <v>2.4500000000000002</v>
      </c>
      <c r="U45" s="124">
        <v>5</v>
      </c>
      <c r="V45" s="128">
        <f>S45/T45</f>
        <v>0.15102040816326529</v>
      </c>
      <c r="W45" s="129">
        <v>1</v>
      </c>
      <c r="X45" s="128">
        <f>V45*W45</f>
        <v>0.15102040816326529</v>
      </c>
      <c r="Y45" s="130">
        <f>X45^2</f>
        <v>2.2807163681799244E-2</v>
      </c>
      <c r="Z45" s="131">
        <f>X45^4/U45</f>
        <v>1.0403334304167648E-4</v>
      </c>
    </row>
    <row r="46" spans="1:26" x14ac:dyDescent="0.25">
      <c r="A46" s="132"/>
      <c r="B46" s="124"/>
      <c r="C46" s="133"/>
      <c r="D46" s="359"/>
      <c r="E46" s="135"/>
      <c r="F46" s="124"/>
      <c r="G46" s="136"/>
      <c r="H46" s="124"/>
      <c r="I46" s="136"/>
      <c r="J46" s="137"/>
      <c r="K46" s="138"/>
      <c r="P46" s="132" t="s">
        <v>209</v>
      </c>
      <c r="Q46" s="124" t="str">
        <f>S43</f>
        <v>RPM</v>
      </c>
      <c r="R46" s="133" t="s">
        <v>210</v>
      </c>
      <c r="S46" s="134">
        <v>0.5</v>
      </c>
      <c r="T46" s="135">
        <v>1.73</v>
      </c>
      <c r="U46" s="124">
        <f>0.5*(100/10)^2</f>
        <v>50</v>
      </c>
      <c r="V46" s="136">
        <f>S46/T46</f>
        <v>0.28901734104046245</v>
      </c>
      <c r="W46" s="124">
        <v>1</v>
      </c>
      <c r="X46" s="136">
        <f>V46*W46</f>
        <v>0.28901734104046245</v>
      </c>
      <c r="Y46" s="137">
        <f>X46^2</f>
        <v>8.3531023422098977E-2</v>
      </c>
      <c r="Z46" s="138">
        <f>X46^4/U46</f>
        <v>1.3954863747886494E-4</v>
      </c>
    </row>
    <row r="47" spans="1:26" x14ac:dyDescent="0.25">
      <c r="A47" s="123" t="s">
        <v>225</v>
      </c>
      <c r="B47" s="124" t="str">
        <f>D43</f>
        <v>RPM</v>
      </c>
      <c r="C47" s="124" t="s">
        <v>210</v>
      </c>
      <c r="D47" s="360">
        <f>'DB TACHO'!M212</f>
        <v>0.13869292014772094</v>
      </c>
      <c r="E47" s="139">
        <f>SQRT(3)</f>
        <v>1.7320508075688772</v>
      </c>
      <c r="F47" s="124">
        <f t="shared" ref="F47:F49" si="6">0.5*(100/10)^2</f>
        <v>50</v>
      </c>
      <c r="G47" s="137">
        <f>D47/E47</f>
        <v>8.0074394781981958E-2</v>
      </c>
      <c r="H47" s="124">
        <v>1</v>
      </c>
      <c r="I47" s="137">
        <f>G47*H47</f>
        <v>8.0074394781981958E-2</v>
      </c>
      <c r="J47" s="137">
        <f>I47^2</f>
        <v>6.4119086997006993E-3</v>
      </c>
      <c r="K47" s="140">
        <f>I47^4/F47</f>
        <v>8.2225146346595024E-7</v>
      </c>
      <c r="P47" s="123" t="s">
        <v>211</v>
      </c>
      <c r="Q47" s="124" t="str">
        <f>S43</f>
        <v>RPM</v>
      </c>
      <c r="R47" s="124" t="s">
        <v>210</v>
      </c>
      <c r="S47" s="139">
        <v>0</v>
      </c>
      <c r="T47" s="139">
        <v>1.73</v>
      </c>
      <c r="U47" s="124">
        <f t="shared" ref="U47:U48" si="7">0.5*(100/10)^2</f>
        <v>50</v>
      </c>
      <c r="V47" s="137">
        <f>S47/T47</f>
        <v>0</v>
      </c>
      <c r="W47" s="124">
        <v>1</v>
      </c>
      <c r="X47" s="137">
        <f>V47*W47</f>
        <v>0</v>
      </c>
      <c r="Y47" s="137">
        <f>X47^2</f>
        <v>0</v>
      </c>
      <c r="Z47" s="140">
        <f>X47^4/U47</f>
        <v>0</v>
      </c>
    </row>
    <row r="48" spans="1:26" x14ac:dyDescent="0.25">
      <c r="A48" s="141" t="s">
        <v>226</v>
      </c>
      <c r="B48" s="124" t="str">
        <f>D43</f>
        <v>RPM</v>
      </c>
      <c r="C48" s="133" t="s">
        <v>208</v>
      </c>
      <c r="D48" s="361">
        <f>'DB TACHO'!K212</f>
        <v>2.8091499764760566</v>
      </c>
      <c r="E48" s="143">
        <v>2</v>
      </c>
      <c r="F48" s="124">
        <f t="shared" si="6"/>
        <v>50</v>
      </c>
      <c r="G48" s="136">
        <f>D48/E48</f>
        <v>1.4045749882380283</v>
      </c>
      <c r="H48" s="124">
        <v>1</v>
      </c>
      <c r="I48" s="136">
        <f>G48*H48</f>
        <v>1.4045749882380283</v>
      </c>
      <c r="J48" s="137">
        <f>I48^2</f>
        <v>1.9728308975838573</v>
      </c>
      <c r="K48" s="140">
        <f>I48^4/F48</f>
        <v>7.7841235009230555E-2</v>
      </c>
      <c r="P48" s="141" t="s">
        <v>212</v>
      </c>
      <c r="Q48" s="124" t="str">
        <f>S43</f>
        <v>RPM</v>
      </c>
      <c r="R48" s="133" t="s">
        <v>208</v>
      </c>
      <c r="S48" s="142">
        <v>1</v>
      </c>
      <c r="T48" s="143">
        <v>2</v>
      </c>
      <c r="U48" s="124">
        <f t="shared" si="7"/>
        <v>50</v>
      </c>
      <c r="V48" s="136">
        <f>S48/T48</f>
        <v>0.5</v>
      </c>
      <c r="W48" s="124">
        <v>1</v>
      </c>
      <c r="X48" s="136">
        <f>V48*W48</f>
        <v>0.5</v>
      </c>
      <c r="Y48" s="137">
        <f>X48^2</f>
        <v>0.25</v>
      </c>
      <c r="Z48" s="140">
        <f>X48^4/U48</f>
        <v>1.25E-3</v>
      </c>
    </row>
    <row r="49" spans="1:26" x14ac:dyDescent="0.25">
      <c r="A49" s="141" t="s">
        <v>213</v>
      </c>
      <c r="B49" s="124" t="s">
        <v>192</v>
      </c>
      <c r="C49" s="124" t="s">
        <v>210</v>
      </c>
      <c r="D49" s="362">
        <f>D10</f>
        <v>0.05</v>
      </c>
      <c r="E49" s="139">
        <f>SQRT(3)</f>
        <v>1.7320508075688772</v>
      </c>
      <c r="F49" s="124">
        <f t="shared" si="6"/>
        <v>50</v>
      </c>
      <c r="G49" s="136">
        <f>D49/E49</f>
        <v>2.8867513459481291E-2</v>
      </c>
      <c r="H49" s="124">
        <v>1</v>
      </c>
      <c r="I49" s="136">
        <f>G49*H49</f>
        <v>2.8867513459481291E-2</v>
      </c>
      <c r="J49" s="137">
        <f>I49^2</f>
        <v>8.333333333333335E-4</v>
      </c>
      <c r="K49" s="140">
        <f>I49^4/F49</f>
        <v>1.3888888888888894E-8</v>
      </c>
      <c r="P49" s="141" t="s">
        <v>213</v>
      </c>
      <c r="Q49" s="124" t="s">
        <v>192</v>
      </c>
      <c r="R49" s="124" t="s">
        <v>210</v>
      </c>
      <c r="S49" s="124">
        <v>1</v>
      </c>
      <c r="T49" s="139">
        <v>1.73</v>
      </c>
      <c r="U49" s="124">
        <v>50</v>
      </c>
      <c r="V49" s="136">
        <f>S49/T49</f>
        <v>0.5780346820809249</v>
      </c>
      <c r="W49" s="124">
        <v>1</v>
      </c>
      <c r="X49" s="137">
        <f>V49*W49</f>
        <v>0.5780346820809249</v>
      </c>
      <c r="Y49" s="137">
        <f>X49^2</f>
        <v>0.33412409368839591</v>
      </c>
      <c r="Z49" s="140">
        <f>X49^4/U49</f>
        <v>2.2327781996618391E-3</v>
      </c>
    </row>
    <row r="50" spans="1:26" ht="13" x14ac:dyDescent="0.3">
      <c r="A50" s="144" t="s">
        <v>214</v>
      </c>
      <c r="B50" s="145"/>
      <c r="C50" s="145"/>
      <c r="D50" s="145"/>
      <c r="E50" s="146"/>
      <c r="F50" s="145"/>
      <c r="G50" s="145"/>
      <c r="H50" s="145"/>
      <c r="I50" s="145"/>
      <c r="J50" s="147">
        <f>SUM(J45:J49)</f>
        <v>2.4078539173946694</v>
      </c>
      <c r="K50" s="148">
        <f>SUM(K45:K49)</f>
        <v>0.11444083658168171</v>
      </c>
      <c r="P50" s="144" t="s">
        <v>214</v>
      </c>
      <c r="Q50" s="145"/>
      <c r="R50" s="145"/>
      <c r="S50" s="145"/>
      <c r="T50" s="146"/>
      <c r="U50" s="145"/>
      <c r="V50" s="145"/>
      <c r="W50" s="145"/>
      <c r="X50" s="145"/>
      <c r="Y50" s="147">
        <f>SUM(Y45:Y49)</f>
        <v>0.6904622807922941</v>
      </c>
      <c r="Z50" s="148">
        <f>SUM(Z45:Z48)</f>
        <v>1.4935819805205414E-3</v>
      </c>
    </row>
    <row r="51" spans="1:26" ht="15.5" x14ac:dyDescent="0.4">
      <c r="A51" s="149" t="s">
        <v>215</v>
      </c>
      <c r="B51" s="150"/>
      <c r="C51" s="150"/>
      <c r="D51" s="150"/>
      <c r="E51" s="151"/>
      <c r="F51" s="150"/>
      <c r="G51" s="152" t="s">
        <v>216</v>
      </c>
      <c r="H51" s="150"/>
      <c r="I51" s="150"/>
      <c r="J51" s="153">
        <f>SQRT(J50)</f>
        <v>1.5517261090136587</v>
      </c>
      <c r="K51" s="154"/>
      <c r="P51" s="149" t="s">
        <v>215</v>
      </c>
      <c r="Q51" s="150"/>
      <c r="R51" s="150"/>
      <c r="S51" s="150"/>
      <c r="T51" s="151"/>
      <c r="U51" s="150"/>
      <c r="V51" s="152" t="s">
        <v>216</v>
      </c>
      <c r="W51" s="150"/>
      <c r="X51" s="150"/>
      <c r="Y51" s="153">
        <f>SQRT(Y50)</f>
        <v>0.83094060003847092</v>
      </c>
      <c r="Z51" s="154"/>
    </row>
    <row r="52" spans="1:26" ht="16" x14ac:dyDescent="0.4">
      <c r="A52" s="144" t="s">
        <v>217</v>
      </c>
      <c r="B52" s="145"/>
      <c r="C52" s="145"/>
      <c r="D52" s="145"/>
      <c r="E52" s="146"/>
      <c r="F52" s="145"/>
      <c r="G52" s="116" t="s">
        <v>218</v>
      </c>
      <c r="H52" s="145"/>
      <c r="I52" s="145"/>
      <c r="J52" s="147">
        <f>J51^4/(K50)</f>
        <v>50.661640203711059</v>
      </c>
      <c r="K52" s="155"/>
      <c r="P52" s="144" t="s">
        <v>217</v>
      </c>
      <c r="Q52" s="145"/>
      <c r="R52" s="145"/>
      <c r="S52" s="145"/>
      <c r="T52" s="146"/>
      <c r="U52" s="145"/>
      <c r="V52" s="116" t="s">
        <v>218</v>
      </c>
      <c r="W52" s="145"/>
      <c r="X52" s="145"/>
      <c r="Y52" s="147">
        <f>Y51^4/(Z50)</f>
        <v>319.19115750897356</v>
      </c>
      <c r="Z52" s="155"/>
    </row>
    <row r="53" spans="1:26" ht="13" x14ac:dyDescent="0.3">
      <c r="A53" s="149" t="s">
        <v>219</v>
      </c>
      <c r="B53" s="150"/>
      <c r="C53" s="150"/>
      <c r="D53" s="150"/>
      <c r="E53" s="151"/>
      <c r="F53" s="150"/>
      <c r="G53" s="113" t="s">
        <v>220</v>
      </c>
      <c r="H53" s="150"/>
      <c r="I53" s="150"/>
      <c r="J53" s="153">
        <f>1.95996+(2.37356/J52)+(2.818745/J52^2)+(2.546662/J52^3)+(1.761829/J52^4)+(0.245458/J52^5)+(1.000764/J52^6)</f>
        <v>2.0079293206900628</v>
      </c>
      <c r="K53" s="154"/>
      <c r="P53" s="149" t="s">
        <v>219</v>
      </c>
      <c r="Q53" s="150"/>
      <c r="R53" s="150"/>
      <c r="S53" s="150"/>
      <c r="T53" s="151"/>
      <c r="U53" s="150"/>
      <c r="V53" s="113" t="s">
        <v>220</v>
      </c>
      <c r="W53" s="150"/>
      <c r="X53" s="150"/>
      <c r="Y53" s="153">
        <f>1.95996+(2.37356/Y52)+(2.818745/Y52^2)+(2.546662/Y52^3)+(1.761829/Y52^4)+(0.245458/Y52^5)+(1.000764/Y52^6)</f>
        <v>1.9674239158808053</v>
      </c>
      <c r="Z53" s="154"/>
    </row>
    <row r="54" spans="1:26" ht="13" x14ac:dyDescent="0.3">
      <c r="A54" s="156" t="s">
        <v>221</v>
      </c>
      <c r="B54" s="157"/>
      <c r="C54" s="157"/>
      <c r="D54" s="157"/>
      <c r="E54" s="158"/>
      <c r="F54" s="157"/>
      <c r="G54" s="159" t="s">
        <v>222</v>
      </c>
      <c r="H54" s="157"/>
      <c r="I54" s="157"/>
      <c r="J54" s="160">
        <f>J51*J53</f>
        <v>3.1157563519688303</v>
      </c>
      <c r="K54" s="252" t="str">
        <f>D43</f>
        <v>RPM</v>
      </c>
      <c r="P54" s="156" t="s">
        <v>221</v>
      </c>
      <c r="Q54" s="157"/>
      <c r="R54" s="157"/>
      <c r="S54" s="157"/>
      <c r="T54" s="158"/>
      <c r="U54" s="157"/>
      <c r="V54" s="159" t="s">
        <v>222</v>
      </c>
      <c r="W54" s="157"/>
      <c r="X54" s="157"/>
      <c r="Y54" s="160">
        <f>Y51*Y53</f>
        <v>1.6348124091920346</v>
      </c>
      <c r="Z54" s="161" t="str">
        <f>S43</f>
        <v>RPM</v>
      </c>
    </row>
    <row r="55" spans="1:26" ht="13.5" thickBot="1" x14ac:dyDescent="0.35">
      <c r="A55" s="214"/>
      <c r="B55" s="215"/>
      <c r="C55" s="215"/>
      <c r="D55" s="215"/>
      <c r="E55" s="215"/>
      <c r="J55" s="246">
        <f>J54/ID!L39*100</f>
        <v>3.3276851493988811E-2</v>
      </c>
      <c r="K55" s="253" t="s">
        <v>223</v>
      </c>
      <c r="L55" s="345" t="s">
        <v>224</v>
      </c>
      <c r="M55" s="346">
        <v>0.01</v>
      </c>
      <c r="N55" s="347" t="s">
        <v>223</v>
      </c>
      <c r="P55" s="6"/>
      <c r="Z55" s="5"/>
    </row>
  </sheetData>
  <mergeCells count="2">
    <mergeCell ref="A1:K2"/>
    <mergeCell ref="P1:Z2"/>
  </mergeCells>
  <printOptions horizontalCentered="1"/>
  <pageMargins left="0.51181102362204722" right="0.23622047244094491" top="0.74803149606299213" bottom="0.51181102362204722" header="0.23622047244094491" footer="0.23622047244094491"/>
  <pageSetup paperSize="9" scale="80" orientation="portrait" horizontalDpi="4294967294" verticalDpi="4294967294" r:id="rId1"/>
  <headerFooter>
    <oddHeader>&amp;R&amp;"-,Regular"&amp;8WF.UB - 016-18 / REV : 0</oddHeader>
    <oddFooter>&amp;R&amp;8&amp;K00-021Software Infusion Pump 2019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5CF9-536B-49C9-AEB4-872D73400873}">
  <dimension ref="A1:Z13"/>
  <sheetViews>
    <sheetView view="pageBreakPreview" zoomScaleNormal="100" zoomScaleSheetLayoutView="100" workbookViewId="0">
      <selection activeCell="I16" sqref="I16"/>
    </sheetView>
  </sheetViews>
  <sheetFormatPr defaultRowHeight="12.5" x14ac:dyDescent="0.25"/>
  <sheetData>
    <row r="1" spans="1:26" ht="13" x14ac:dyDescent="0.3">
      <c r="A1" s="216" t="str">
        <f>ID!C44</f>
        <v>Waktu (s)</v>
      </c>
      <c r="B1" s="217"/>
      <c r="C1" s="218">
        <f>ID!D44</f>
        <v>300</v>
      </c>
      <c r="D1" s="219" t="s">
        <v>227</v>
      </c>
      <c r="E1" s="220"/>
      <c r="F1" s="220"/>
      <c r="G1" s="220"/>
      <c r="H1" s="220"/>
      <c r="I1" s="220"/>
      <c r="J1" s="220"/>
      <c r="K1" s="221"/>
      <c r="L1" s="1"/>
      <c r="M1" s="1"/>
      <c r="N1" s="1"/>
      <c r="O1" s="1"/>
      <c r="P1" s="112" t="str">
        <f>A1</f>
        <v>Waktu (s)</v>
      </c>
      <c r="Q1" s="113"/>
      <c r="R1" s="183">
        <f>C1</f>
        <v>300</v>
      </c>
      <c r="S1" s="115" t="s">
        <v>227</v>
      </c>
      <c r="T1" s="116"/>
      <c r="U1" s="116"/>
      <c r="V1" s="116"/>
      <c r="W1" s="116"/>
      <c r="X1" s="116"/>
      <c r="Y1" s="116"/>
      <c r="Z1" s="117"/>
    </row>
    <row r="2" spans="1:26" ht="16.5" x14ac:dyDescent="0.3">
      <c r="A2" s="222" t="s">
        <v>193</v>
      </c>
      <c r="B2" s="175" t="s">
        <v>194</v>
      </c>
      <c r="C2" s="176" t="s">
        <v>195</v>
      </c>
      <c r="D2" s="175" t="s">
        <v>196</v>
      </c>
      <c r="E2" s="177" t="s">
        <v>197</v>
      </c>
      <c r="F2" s="175" t="s">
        <v>198</v>
      </c>
      <c r="G2" s="176" t="s">
        <v>199</v>
      </c>
      <c r="H2" s="175" t="s">
        <v>200</v>
      </c>
      <c r="I2" s="176" t="s">
        <v>201</v>
      </c>
      <c r="J2" s="175" t="s">
        <v>202</v>
      </c>
      <c r="K2" s="223" t="s">
        <v>203</v>
      </c>
      <c r="L2" s="1"/>
      <c r="M2" s="1"/>
      <c r="N2" s="1"/>
      <c r="O2" s="1"/>
      <c r="P2" s="118" t="s">
        <v>193</v>
      </c>
      <c r="Q2" s="119" t="s">
        <v>194</v>
      </c>
      <c r="R2" s="120" t="s">
        <v>195</v>
      </c>
      <c r="S2" s="119" t="s">
        <v>204</v>
      </c>
      <c r="T2" s="121" t="s">
        <v>197</v>
      </c>
      <c r="U2" s="119" t="s">
        <v>198</v>
      </c>
      <c r="V2" s="120" t="s">
        <v>199</v>
      </c>
      <c r="W2" s="119" t="s">
        <v>200</v>
      </c>
      <c r="X2" s="120" t="s">
        <v>201</v>
      </c>
      <c r="Y2" s="119" t="s">
        <v>205</v>
      </c>
      <c r="Z2" s="122" t="s">
        <v>206</v>
      </c>
    </row>
    <row r="3" spans="1:26" x14ac:dyDescent="0.25">
      <c r="A3" s="123" t="s">
        <v>207</v>
      </c>
      <c r="B3" s="124" t="str">
        <f>D1</f>
        <v>s</v>
      </c>
      <c r="C3" s="125" t="s">
        <v>208</v>
      </c>
      <c r="D3" s="358">
        <f>'DB Stopwatch'!E227</f>
        <v>1</v>
      </c>
      <c r="E3" s="127">
        <f>SQRT(6)</f>
        <v>2.4494897427831779</v>
      </c>
      <c r="F3" s="124">
        <v>2</v>
      </c>
      <c r="G3" s="128">
        <f>D3/E3</f>
        <v>0.40824829046386307</v>
      </c>
      <c r="H3" s="129">
        <v>1</v>
      </c>
      <c r="I3" s="128">
        <f>G3*H3</f>
        <v>0.40824829046386307</v>
      </c>
      <c r="J3" s="130">
        <f>I3^2</f>
        <v>0.16666666666666671</v>
      </c>
      <c r="K3" s="131">
        <f>I3^4/F3</f>
        <v>1.3888888888888897E-2</v>
      </c>
      <c r="L3" s="1"/>
      <c r="M3" s="1"/>
      <c r="N3" s="1"/>
      <c r="O3" s="1"/>
      <c r="P3" s="123" t="s">
        <v>207</v>
      </c>
      <c r="Q3" s="124" t="str">
        <f>S1</f>
        <v>s</v>
      </c>
      <c r="R3" s="125" t="s">
        <v>208</v>
      </c>
      <c r="S3" s="126">
        <v>1</v>
      </c>
      <c r="T3" s="127">
        <f>SQRT(6)</f>
        <v>2.4494897427831779</v>
      </c>
      <c r="U3" s="124">
        <v>5</v>
      </c>
      <c r="V3" s="128">
        <f>S3/T3</f>
        <v>0.40824829046386307</v>
      </c>
      <c r="W3" s="129">
        <v>1</v>
      </c>
      <c r="X3" s="128">
        <f>V3*W3</f>
        <v>0.40824829046386307</v>
      </c>
      <c r="Y3" s="130">
        <f>X3^2</f>
        <v>0.16666666666666671</v>
      </c>
      <c r="Z3" s="131">
        <f>X3^4/U3</f>
        <v>5.5555555555555584E-3</v>
      </c>
    </row>
    <row r="4" spans="1:26" x14ac:dyDescent="0.25">
      <c r="A4" s="132" t="s">
        <v>209</v>
      </c>
      <c r="B4" s="124" t="str">
        <f>D1</f>
        <v>s</v>
      </c>
      <c r="C4" s="133" t="s">
        <v>210</v>
      </c>
      <c r="D4" s="359">
        <f>'DB Stopwatch'!K227</f>
        <v>0.05</v>
      </c>
      <c r="E4" s="135">
        <f>SQRT(3)</f>
        <v>1.7320508075688772</v>
      </c>
      <c r="F4" s="124">
        <f>0.5*(100/10)^2</f>
        <v>50</v>
      </c>
      <c r="G4" s="136">
        <f>D4/E4</f>
        <v>2.8867513459481291E-2</v>
      </c>
      <c r="H4" s="124">
        <v>1</v>
      </c>
      <c r="I4" s="136">
        <f>G4*H4</f>
        <v>2.8867513459481291E-2</v>
      </c>
      <c r="J4" s="137">
        <f>I4^2</f>
        <v>8.333333333333335E-4</v>
      </c>
      <c r="K4" s="138">
        <f>I4^4/F4</f>
        <v>1.3888888888888894E-8</v>
      </c>
      <c r="L4" s="1"/>
      <c r="M4" s="1"/>
      <c r="N4" s="1"/>
      <c r="O4" s="1"/>
      <c r="P4" s="132" t="s">
        <v>209</v>
      </c>
      <c r="Q4" s="124" t="str">
        <f>S1</f>
        <v>s</v>
      </c>
      <c r="R4" s="133" t="s">
        <v>210</v>
      </c>
      <c r="S4" s="134">
        <v>0.5</v>
      </c>
      <c r="T4" s="135">
        <v>1.73</v>
      </c>
      <c r="U4" s="124">
        <f>0.5*(100/10)^2</f>
        <v>50</v>
      </c>
      <c r="V4" s="136">
        <f>S4/T4</f>
        <v>0.28901734104046245</v>
      </c>
      <c r="W4" s="124">
        <v>1</v>
      </c>
      <c r="X4" s="136">
        <f>V4*W4</f>
        <v>0.28901734104046245</v>
      </c>
      <c r="Y4" s="137">
        <f>X4^2</f>
        <v>8.3531023422098977E-2</v>
      </c>
      <c r="Z4" s="138">
        <f>X4^4/U4</f>
        <v>1.3954863747886494E-4</v>
      </c>
    </row>
    <row r="5" spans="1:26" x14ac:dyDescent="0.25">
      <c r="A5" s="123" t="s">
        <v>211</v>
      </c>
      <c r="B5" s="124" t="str">
        <f>D1</f>
        <v>s</v>
      </c>
      <c r="C5" s="124" t="s">
        <v>210</v>
      </c>
      <c r="D5" s="360">
        <f>'DB Stopwatch'!L227</f>
        <v>1.5703846209077235E-2</v>
      </c>
      <c r="E5" s="139">
        <f>SQRT(3)</f>
        <v>1.7320508075688772</v>
      </c>
      <c r="F5" s="124">
        <f>0.5*(100/10)^2</f>
        <v>50</v>
      </c>
      <c r="G5" s="137">
        <f>D5/E5</f>
        <v>9.0666198361232259E-3</v>
      </c>
      <c r="H5" s="124">
        <v>1</v>
      </c>
      <c r="I5" s="137">
        <f>G5*H5</f>
        <v>9.0666198361232259E-3</v>
      </c>
      <c r="J5" s="137">
        <f>I5^2</f>
        <v>8.2203595252783153E-5</v>
      </c>
      <c r="K5" s="140">
        <f>I5^4/F5</f>
        <v>1.3514862144966786E-10</v>
      </c>
      <c r="L5" s="1"/>
      <c r="M5" s="1"/>
      <c r="N5" s="1"/>
      <c r="O5" s="1"/>
      <c r="P5" s="123" t="s">
        <v>211</v>
      </c>
      <c r="Q5" s="124" t="str">
        <f>S1</f>
        <v>s</v>
      </c>
      <c r="R5" s="124" t="s">
        <v>210</v>
      </c>
      <c r="S5" s="139">
        <v>0</v>
      </c>
      <c r="T5" s="139">
        <v>1.73</v>
      </c>
      <c r="U5" s="124">
        <f>0.5*(100/10)^2</f>
        <v>50</v>
      </c>
      <c r="V5" s="137">
        <f>S5/T5</f>
        <v>0</v>
      </c>
      <c r="W5" s="124">
        <v>1</v>
      </c>
      <c r="X5" s="137">
        <f>V5*W5</f>
        <v>0</v>
      </c>
      <c r="Y5" s="137">
        <f>X5^2</f>
        <v>0</v>
      </c>
      <c r="Z5" s="140">
        <f>X5^4/U5</f>
        <v>0</v>
      </c>
    </row>
    <row r="6" spans="1:26" x14ac:dyDescent="0.25">
      <c r="A6" s="141" t="s">
        <v>212</v>
      </c>
      <c r="B6" s="124" t="str">
        <f>D1</f>
        <v>s</v>
      </c>
      <c r="C6" s="133" t="s">
        <v>208</v>
      </c>
      <c r="D6" s="361">
        <f>'DB Stopwatch'!J227</f>
        <v>0.11124809151829718</v>
      </c>
      <c r="E6" s="143">
        <v>2</v>
      </c>
      <c r="F6" s="124">
        <f>0.5*(100/10)^2</f>
        <v>50</v>
      </c>
      <c r="G6" s="136">
        <f>D6/E6</f>
        <v>5.5624045759148588E-2</v>
      </c>
      <c r="H6" s="124">
        <v>1</v>
      </c>
      <c r="I6" s="136">
        <f>G6*H6</f>
        <v>5.5624045759148588E-2</v>
      </c>
      <c r="J6" s="137">
        <f>I6^2</f>
        <v>3.094034466615856E-3</v>
      </c>
      <c r="K6" s="140">
        <f>I6^4/F6</f>
        <v>1.9146098561213729E-7</v>
      </c>
      <c r="L6" s="1"/>
      <c r="M6" s="1"/>
      <c r="N6" s="1"/>
      <c r="O6" s="1"/>
      <c r="P6" s="141" t="s">
        <v>212</v>
      </c>
      <c r="Q6" s="124" t="str">
        <f>S1</f>
        <v>s</v>
      </c>
      <c r="R6" s="133" t="s">
        <v>208</v>
      </c>
      <c r="S6" s="142">
        <v>0</v>
      </c>
      <c r="T6" s="143">
        <v>2</v>
      </c>
      <c r="U6" s="124">
        <f>0.5*(100/10)^2</f>
        <v>50</v>
      </c>
      <c r="V6" s="136">
        <f>S6/T6</f>
        <v>0</v>
      </c>
      <c r="W6" s="124">
        <v>1</v>
      </c>
      <c r="X6" s="136">
        <f>V6*W6</f>
        <v>0</v>
      </c>
      <c r="Y6" s="137">
        <f>X6^2</f>
        <v>0</v>
      </c>
      <c r="Z6" s="140">
        <f>X6^4/U6</f>
        <v>0</v>
      </c>
    </row>
    <row r="7" spans="1:26" x14ac:dyDescent="0.25">
      <c r="A7" s="141" t="s">
        <v>213</v>
      </c>
      <c r="B7" s="124" t="s">
        <v>192</v>
      </c>
      <c r="C7" s="124" t="s">
        <v>210</v>
      </c>
      <c r="D7" s="362">
        <f>0.5*0.01</f>
        <v>5.0000000000000001E-3</v>
      </c>
      <c r="E7" s="139">
        <f>SQRT(3)</f>
        <v>1.7320508075688772</v>
      </c>
      <c r="F7" s="124">
        <f>0.5*(100/10)^2</f>
        <v>50</v>
      </c>
      <c r="G7" s="136">
        <f>D7/E7</f>
        <v>2.886751345948129E-3</v>
      </c>
      <c r="H7" s="124">
        <v>1</v>
      </c>
      <c r="I7" s="136">
        <f>G7*H7</f>
        <v>2.886751345948129E-3</v>
      </c>
      <c r="J7" s="137">
        <f>I7^2</f>
        <v>8.3333333333333337E-6</v>
      </c>
      <c r="K7" s="140">
        <f>I7^4/F7</f>
        <v>1.3888888888888891E-12</v>
      </c>
      <c r="L7" s="1"/>
      <c r="M7" s="1"/>
      <c r="N7" s="1"/>
      <c r="O7" s="1"/>
      <c r="P7" s="141" t="str">
        <f>A7</f>
        <v>5. Daya baca alat standar</v>
      </c>
      <c r="Q7" s="124" t="s">
        <v>227</v>
      </c>
      <c r="R7" s="124" t="s">
        <v>210</v>
      </c>
      <c r="S7" s="124">
        <v>5.0000000000000001E-3</v>
      </c>
      <c r="T7" s="139">
        <v>1.73</v>
      </c>
      <c r="U7" s="124">
        <v>50</v>
      </c>
      <c r="V7" s="136">
        <f>S7/T7</f>
        <v>2.8901734104046246E-3</v>
      </c>
      <c r="W7" s="124">
        <v>1</v>
      </c>
      <c r="X7" s="137">
        <f>V7*W7</f>
        <v>2.8901734104046246E-3</v>
      </c>
      <c r="Y7" s="137">
        <f>X7^2</f>
        <v>8.3531023422098981E-6</v>
      </c>
      <c r="Z7" s="140">
        <f>X7^4/U7</f>
        <v>1.3954863747886498E-12</v>
      </c>
    </row>
    <row r="8" spans="1:26" ht="13" x14ac:dyDescent="0.3">
      <c r="A8" s="144" t="s">
        <v>214</v>
      </c>
      <c r="B8" s="145"/>
      <c r="C8" s="145"/>
      <c r="D8" s="145"/>
      <c r="E8" s="146"/>
      <c r="F8" s="145"/>
      <c r="G8" s="145"/>
      <c r="H8" s="145"/>
      <c r="I8" s="145"/>
      <c r="J8" s="147">
        <f>SUM(J3:J7)</f>
        <v>0.17068457139520202</v>
      </c>
      <c r="K8" s="148">
        <f>SUM(K3:K7)</f>
        <v>1.388909437530091E-2</v>
      </c>
      <c r="L8" s="1"/>
      <c r="M8" s="1"/>
      <c r="N8" s="1"/>
      <c r="O8" s="1"/>
      <c r="P8" s="144" t="s">
        <v>214</v>
      </c>
      <c r="Q8" s="145"/>
      <c r="R8" s="145"/>
      <c r="S8" s="145"/>
      <c r="T8" s="146"/>
      <c r="U8" s="145"/>
      <c r="V8" s="145"/>
      <c r="W8" s="145"/>
      <c r="X8" s="145"/>
      <c r="Y8" s="147">
        <f>SUM(Y3:Y7)</f>
        <v>0.2502060431911079</v>
      </c>
      <c r="Z8" s="148">
        <f>SUM(Z3:Z6)</f>
        <v>5.695104193034423E-3</v>
      </c>
    </row>
    <row r="9" spans="1:26" ht="15.5" x14ac:dyDescent="0.4">
      <c r="A9" s="149" t="s">
        <v>215</v>
      </c>
      <c r="B9" s="150"/>
      <c r="C9" s="150"/>
      <c r="D9" s="150"/>
      <c r="E9" s="151"/>
      <c r="F9" s="150"/>
      <c r="G9" s="152" t="s">
        <v>216</v>
      </c>
      <c r="H9" s="150"/>
      <c r="I9" s="150"/>
      <c r="J9" s="153">
        <f>SQRT(J8)</f>
        <v>0.41313989325070272</v>
      </c>
      <c r="K9" s="154"/>
      <c r="L9" s="1"/>
      <c r="M9" s="1"/>
      <c r="N9" s="1"/>
      <c r="O9" s="1"/>
      <c r="P9" s="149" t="s">
        <v>215</v>
      </c>
      <c r="Q9" s="150"/>
      <c r="R9" s="150"/>
      <c r="S9" s="150"/>
      <c r="T9" s="151"/>
      <c r="U9" s="150"/>
      <c r="V9" s="152" t="s">
        <v>216</v>
      </c>
      <c r="W9" s="150"/>
      <c r="X9" s="150"/>
      <c r="Y9" s="153">
        <f>SQRT(Y8)</f>
        <v>0.50020600075479693</v>
      </c>
      <c r="Z9" s="154"/>
    </row>
    <row r="10" spans="1:26" ht="16" x14ac:dyDescent="0.4">
      <c r="A10" s="144" t="s">
        <v>217</v>
      </c>
      <c r="B10" s="145"/>
      <c r="C10" s="145"/>
      <c r="D10" s="145"/>
      <c r="E10" s="146"/>
      <c r="F10" s="145"/>
      <c r="G10" s="116" t="s">
        <v>218</v>
      </c>
      <c r="H10" s="145"/>
      <c r="I10" s="145"/>
      <c r="J10" s="147">
        <f>J9^4/(K8)</f>
        <v>2.0975610162295153</v>
      </c>
      <c r="K10" s="155"/>
      <c r="L10" s="1"/>
      <c r="M10" s="1"/>
      <c r="N10" s="1"/>
      <c r="O10" s="1"/>
      <c r="P10" s="144" t="s">
        <v>217</v>
      </c>
      <c r="Q10" s="145"/>
      <c r="R10" s="145"/>
      <c r="S10" s="145"/>
      <c r="T10" s="146"/>
      <c r="U10" s="145"/>
      <c r="V10" s="116" t="s">
        <v>218</v>
      </c>
      <c r="W10" s="145"/>
      <c r="X10" s="145"/>
      <c r="Y10" s="147">
        <f>Y9^4/(Z8)</f>
        <v>10.992435243927444</v>
      </c>
      <c r="Z10" s="155"/>
    </row>
    <row r="11" spans="1:26" ht="13" x14ac:dyDescent="0.3">
      <c r="A11" s="149" t="s">
        <v>219</v>
      </c>
      <c r="B11" s="150"/>
      <c r="C11" s="150"/>
      <c r="D11" s="150"/>
      <c r="E11" s="151"/>
      <c r="F11" s="150"/>
      <c r="G11" s="113" t="s">
        <v>220</v>
      </c>
      <c r="H11" s="150"/>
      <c r="I11" s="150"/>
      <c r="J11" s="153">
        <f>1.95996+(2.37356/J10)+(2.818745/J10^2)+(2.546662/J10^3)+(1.761829/J10^4)+(0.245458/J10^5)+(1.000764/J10^6)</f>
        <v>4.1169562299122493</v>
      </c>
      <c r="K11" s="154"/>
      <c r="L11" s="1"/>
      <c r="M11" s="1"/>
      <c r="N11" s="1"/>
      <c r="O11" s="1"/>
      <c r="P11" s="149" t="s">
        <v>219</v>
      </c>
      <c r="Q11" s="150"/>
      <c r="R11" s="150"/>
      <c r="S11" s="150"/>
      <c r="T11" s="151"/>
      <c r="U11" s="150"/>
      <c r="V11" s="113" t="s">
        <v>220</v>
      </c>
      <c r="W11" s="150"/>
      <c r="X11" s="150"/>
      <c r="Y11" s="153">
        <f>1.95996+(2.37356/Y10)+(2.818745/Y10^2)+(2.546662/Y10^3)+(1.761829/Y10^4)+(0.245458/Y10^5)+(1.000764/Y10^6)</f>
        <v>2.2012542239643174</v>
      </c>
      <c r="Z11" s="154"/>
    </row>
    <row r="12" spans="1:26" ht="13.5" thickBot="1" x14ac:dyDescent="0.35">
      <c r="A12" s="156" t="s">
        <v>221</v>
      </c>
      <c r="B12" s="157"/>
      <c r="C12" s="157"/>
      <c r="D12" s="157"/>
      <c r="E12" s="158"/>
      <c r="F12" s="157"/>
      <c r="G12" s="159" t="s">
        <v>222</v>
      </c>
      <c r="H12" s="157"/>
      <c r="I12" s="157"/>
      <c r="J12" s="248">
        <f>J9*J11</f>
        <v>1.7008788573437621</v>
      </c>
      <c r="K12" s="251" t="str">
        <f>D1</f>
        <v>s</v>
      </c>
      <c r="L12" s="1"/>
      <c r="M12" s="1"/>
      <c r="N12" s="1"/>
      <c r="O12" s="1"/>
      <c r="P12" s="164" t="s">
        <v>221</v>
      </c>
      <c r="Q12" s="165"/>
      <c r="R12" s="165"/>
      <c r="S12" s="165"/>
      <c r="T12" s="166"/>
      <c r="U12" s="165"/>
      <c r="V12" s="167" t="s">
        <v>222</v>
      </c>
      <c r="W12" s="165"/>
      <c r="X12" s="165"/>
      <c r="Y12" s="168">
        <f>Y9*Y11</f>
        <v>1.1010805720137953</v>
      </c>
      <c r="Z12" s="169" t="str">
        <f>S1</f>
        <v>s</v>
      </c>
    </row>
    <row r="13" spans="1:26" ht="13" x14ac:dyDescent="0.3">
      <c r="A13" s="214"/>
      <c r="B13" s="215"/>
      <c r="C13" s="215"/>
      <c r="D13" s="215"/>
      <c r="E13" s="215"/>
      <c r="F13" s="1"/>
      <c r="G13" s="1"/>
      <c r="H13" s="1"/>
      <c r="I13" s="1"/>
      <c r="J13" s="249">
        <f>J12/C1*100</f>
        <v>0.56695961911458737</v>
      </c>
      <c r="K13" s="250" t="s">
        <v>223</v>
      </c>
      <c r="L13" s="345" t="s">
        <v>224</v>
      </c>
      <c r="M13" s="346">
        <v>0.05</v>
      </c>
      <c r="N13" s="347" t="s">
        <v>223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</sheetData>
  <pageMargins left="0.7" right="0.7" top="0.75" bottom="0.75" header="0.3" footer="0.3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96"/>
  <sheetViews>
    <sheetView showGridLines="0" view="pageBreakPreview" topLeftCell="A31" zoomScale="90" zoomScaleNormal="90" zoomScaleSheetLayoutView="90" zoomScalePageLayoutView="90" workbookViewId="0">
      <selection activeCell="P9" sqref="P9"/>
    </sheetView>
  </sheetViews>
  <sheetFormatPr defaultColWidth="9.1796875" defaultRowHeight="14" x14ac:dyDescent="0.25"/>
  <cols>
    <col min="1" max="1" width="4.54296875" style="30" customWidth="1"/>
    <col min="2" max="2" width="5.1796875" style="30" customWidth="1"/>
    <col min="3" max="3" width="17.453125" style="30" customWidth="1"/>
    <col min="4" max="4" width="2.26953125" style="30" customWidth="1"/>
    <col min="5" max="5" width="9.1796875" style="30" customWidth="1"/>
    <col min="6" max="6" width="11.54296875" style="30" customWidth="1"/>
    <col min="7" max="7" width="10.1796875" style="30" customWidth="1"/>
    <col min="8" max="8" width="11" style="30" customWidth="1"/>
    <col min="9" max="9" width="9.81640625" style="30" customWidth="1"/>
    <col min="10" max="10" width="5.26953125" style="30" customWidth="1"/>
    <col min="11" max="11" width="9" style="30" customWidth="1"/>
    <col min="12" max="12" width="9.26953125" style="30" customWidth="1"/>
    <col min="13" max="13" width="13.26953125" style="30" customWidth="1"/>
    <col min="14" max="14" width="9.453125" style="30" customWidth="1"/>
    <col min="15" max="15" width="10.453125" style="30" customWidth="1"/>
    <col min="16" max="16" width="11.453125" style="30" bestFit="1" customWidth="1"/>
    <col min="17" max="19" width="9.1796875" style="30"/>
    <col min="20" max="20" width="10.453125" style="30" customWidth="1"/>
    <col min="21" max="16384" width="9.1796875" style="30"/>
  </cols>
  <sheetData>
    <row r="1" spans="1:17" ht="18" x14ac:dyDescent="0.25">
      <c r="A1" s="1106" t="s">
        <v>228</v>
      </c>
      <c r="B1" s="1106"/>
      <c r="C1" s="1106"/>
      <c r="D1" s="1106"/>
      <c r="E1" s="1106"/>
      <c r="F1" s="1106"/>
      <c r="G1" s="1106"/>
      <c r="H1" s="1106"/>
      <c r="I1" s="1106"/>
      <c r="J1" s="1106"/>
      <c r="K1" s="1106"/>
      <c r="L1" s="1106"/>
      <c r="M1" s="1106"/>
      <c r="N1" s="369"/>
      <c r="O1" s="314"/>
    </row>
    <row r="2" spans="1:17" ht="15.5" x14ac:dyDescent="0.25">
      <c r="A2" s="1107" t="str">
        <f>ID!E2&amp;ID!O2&amp;ID!I2</f>
        <v>Nomor Sertifikat : 10 / 1 / VIII - 22 / E - 008.27 DL</v>
      </c>
      <c r="B2" s="1107"/>
      <c r="C2" s="1107"/>
      <c r="D2" s="1107"/>
      <c r="E2" s="1107"/>
      <c r="F2" s="1107"/>
      <c r="G2" s="1107"/>
      <c r="H2" s="1107"/>
      <c r="I2" s="1107"/>
      <c r="J2" s="1107"/>
      <c r="K2" s="1107"/>
      <c r="L2" s="1107"/>
      <c r="M2" s="1107"/>
      <c r="N2" s="370"/>
    </row>
    <row r="3" spans="1:17" ht="14.25" customHeight="1" x14ac:dyDescent="0.25">
      <c r="L3" s="315"/>
      <c r="M3" s="315"/>
    </row>
    <row r="4" spans="1:17" x14ac:dyDescent="0.25">
      <c r="A4" s="30" t="str">
        <f>ID!A6</f>
        <v>Merek</v>
      </c>
      <c r="D4" s="31" t="str">
        <f>ID!D6</f>
        <v>:</v>
      </c>
      <c r="E4" s="21" t="str">
        <f>ID!E6</f>
        <v>-</v>
      </c>
      <c r="F4" s="21"/>
      <c r="G4" s="21"/>
      <c r="L4" s="315"/>
      <c r="M4" s="315"/>
    </row>
    <row r="5" spans="1:17" x14ac:dyDescent="0.25">
      <c r="A5" s="30" t="str">
        <f>ID!A7</f>
        <v>Model/Tipe</v>
      </c>
      <c r="D5" s="31" t="str">
        <f>ID!D7</f>
        <v>:</v>
      </c>
      <c r="E5" s="21" t="str">
        <f>ID!E7</f>
        <v>80-1</v>
      </c>
      <c r="F5" s="21"/>
      <c r="G5" s="21"/>
      <c r="L5" s="315"/>
      <c r="M5" s="315"/>
    </row>
    <row r="6" spans="1:17" x14ac:dyDescent="0.25">
      <c r="A6" s="30" t="str">
        <f>ID!A8</f>
        <v>No. Seri</v>
      </c>
      <c r="D6" s="31" t="str">
        <f>ID!D8</f>
        <v>:</v>
      </c>
      <c r="E6" s="1195" t="str">
        <f>ID!E8</f>
        <v>-</v>
      </c>
      <c r="F6" s="1195"/>
      <c r="G6" s="1195"/>
      <c r="L6" s="315"/>
      <c r="M6" s="315"/>
      <c r="P6" s="1116" t="str">
        <f>ID!E9</f>
        <v>( Analog )</v>
      </c>
      <c r="Q6" s="1116"/>
    </row>
    <row r="7" spans="1:17" hidden="1" x14ac:dyDescent="0.25">
      <c r="A7" s="30" t="str">
        <f>ID!A9</f>
        <v>Resolusi</v>
      </c>
      <c r="D7" s="31" t="str">
        <f>ID!D9</f>
        <v>:</v>
      </c>
      <c r="E7" s="1246" t="str">
        <f>ID!E9</f>
        <v>( Analog )</v>
      </c>
      <c r="F7" s="1246"/>
      <c r="G7" s="21"/>
      <c r="L7" s="315"/>
      <c r="M7" s="315"/>
    </row>
    <row r="8" spans="1:17" x14ac:dyDescent="0.25">
      <c r="A8" s="30" t="str">
        <f>ID!A10</f>
        <v>Tanggal Penerimaan Alat</v>
      </c>
      <c r="D8" s="31" t="str">
        <f>ID!D10</f>
        <v>:</v>
      </c>
      <c r="E8" s="1242" t="str">
        <f>ID!E10</f>
        <v>2 Agustus 2022</v>
      </c>
      <c r="F8" s="1242"/>
      <c r="G8" s="21"/>
      <c r="L8" s="315"/>
      <c r="M8" s="315"/>
      <c r="P8" s="1196" t="str">
        <f>IFERROR(IF(P6=P9,E7/Q9,E7/Q10),"-")</f>
        <v>-</v>
      </c>
      <c r="Q8" s="1197"/>
    </row>
    <row r="9" spans="1:17" x14ac:dyDescent="0.25">
      <c r="A9" s="30" t="str">
        <f>ID!A11</f>
        <v>Tanggal Pengujian</v>
      </c>
      <c r="D9" s="31" t="str">
        <f>ID!D11</f>
        <v>:</v>
      </c>
      <c r="E9" s="1242" t="str">
        <f>ID!E11</f>
        <v>2 Agustus 2022</v>
      </c>
      <c r="F9" s="1242"/>
      <c r="G9" s="21"/>
      <c r="L9" s="315"/>
      <c r="M9" s="315"/>
      <c r="P9" s="399" t="s">
        <v>229</v>
      </c>
      <c r="Q9" s="241">
        <v>2</v>
      </c>
    </row>
    <row r="10" spans="1:17" x14ac:dyDescent="0.25">
      <c r="A10" s="30" t="str">
        <f>ID!A12</f>
        <v>Tempat Pengujian</v>
      </c>
      <c r="D10" s="31" t="str">
        <f>ID!D12</f>
        <v>:</v>
      </c>
      <c r="E10" s="21" t="str">
        <f>ID!E12</f>
        <v>Laboratorium Kalibrasi LPFK Banjarbaru</v>
      </c>
      <c r="F10" s="21"/>
      <c r="G10" s="21"/>
      <c r="L10" s="315"/>
      <c r="M10" s="315"/>
      <c r="P10" s="399" t="s">
        <v>130</v>
      </c>
      <c r="Q10" s="400">
        <v>10</v>
      </c>
    </row>
    <row r="11" spans="1:17" x14ac:dyDescent="0.25">
      <c r="A11" s="30" t="str">
        <f>ID!A13</f>
        <v>Nama Ruang</v>
      </c>
      <c r="D11" s="31" t="str">
        <f>ID!D13</f>
        <v>:</v>
      </c>
      <c r="E11" s="21" t="str">
        <f>ID!E13</f>
        <v>-</v>
      </c>
      <c r="F11" s="21"/>
      <c r="G11" s="21"/>
      <c r="L11" s="315"/>
      <c r="M11" s="315"/>
    </row>
    <row r="12" spans="1:17" x14ac:dyDescent="0.25">
      <c r="A12" s="30" t="s">
        <v>135</v>
      </c>
      <c r="D12" s="31" t="s">
        <v>59</v>
      </c>
      <c r="E12" s="30" t="str">
        <f>ID!E14</f>
        <v>MK 016-18</v>
      </c>
      <c r="L12" s="315"/>
      <c r="M12" s="315"/>
    </row>
    <row r="13" spans="1:17" ht="14.25" customHeight="1" x14ac:dyDescent="0.25">
      <c r="D13" s="31"/>
      <c r="L13" s="315"/>
      <c r="M13" s="315"/>
    </row>
    <row r="14" spans="1:17" x14ac:dyDescent="0.25">
      <c r="A14" s="324" t="str">
        <f>ID!A16</f>
        <v>I.</v>
      </c>
      <c r="B14" s="324" t="str">
        <f>ID!B16</f>
        <v>Kondisi Ruang</v>
      </c>
      <c r="C14" s="324"/>
      <c r="D14" s="325"/>
      <c r="E14" s="324"/>
      <c r="F14" s="324"/>
      <c r="G14" s="324"/>
      <c r="H14" s="324"/>
      <c r="I14" s="324"/>
      <c r="J14" s="324"/>
      <c r="K14" s="324"/>
      <c r="L14" s="453"/>
      <c r="M14" s="453"/>
      <c r="N14" s="324"/>
    </row>
    <row r="15" spans="1:17" x14ac:dyDescent="0.25">
      <c r="B15" s="30" t="str">
        <f>ID!B18</f>
        <v xml:space="preserve">1. Suhu </v>
      </c>
      <c r="D15" s="31" t="s">
        <v>59</v>
      </c>
      <c r="E15" s="454" t="str">
        <f>'DB Suhu'!T381</f>
        <v>( 20.6 ± 0.1 ) °C</v>
      </c>
      <c r="F15" s="455"/>
      <c r="G15" s="456"/>
      <c r="L15" s="315"/>
      <c r="M15" s="315" t="s">
        <v>230</v>
      </c>
    </row>
    <row r="16" spans="1:17" x14ac:dyDescent="0.25">
      <c r="B16" s="30" t="str">
        <f>ID!B19</f>
        <v xml:space="preserve">2. Kelembaban </v>
      </c>
      <c r="D16" s="31" t="s">
        <v>59</v>
      </c>
      <c r="E16" s="454" t="str">
        <f>'DB Suhu'!T382</f>
        <v>( 66.4 ± 1.5 ) %RH</v>
      </c>
      <c r="F16" s="455"/>
      <c r="G16" s="456"/>
      <c r="L16" s="315"/>
      <c r="M16" s="315"/>
    </row>
    <row r="17" spans="1:30" x14ac:dyDescent="0.25">
      <c r="B17" s="30" t="str">
        <f>ID!B20</f>
        <v>3. Tegangan Jala - jala</v>
      </c>
      <c r="D17" s="31" t="s">
        <v>59</v>
      </c>
      <c r="E17" s="1247" t="str">
        <f>'DB ESA'!H274</f>
        <v>( 211.8 ± 2.5 ) Volt</v>
      </c>
      <c r="F17" s="1247"/>
      <c r="G17" s="31"/>
      <c r="L17" s="315"/>
      <c r="M17" s="315"/>
    </row>
    <row r="18" spans="1:30" ht="14.25" customHeight="1" x14ac:dyDescent="0.25">
      <c r="D18" s="31"/>
      <c r="F18" s="321"/>
      <c r="L18" s="315"/>
      <c r="M18" s="315"/>
    </row>
    <row r="19" spans="1:30" x14ac:dyDescent="0.25">
      <c r="A19" s="324" t="str">
        <f>ID!A22</f>
        <v>II.</v>
      </c>
      <c r="B19" s="324" t="str">
        <f>ID!B22</f>
        <v>Pemeriksaan Kondisi Fisik dan Fungsi Alat</v>
      </c>
      <c r="C19" s="324"/>
      <c r="D19" s="324"/>
      <c r="E19" s="324"/>
      <c r="F19" s="324"/>
      <c r="G19" s="324"/>
      <c r="H19" s="324"/>
      <c r="I19" s="324"/>
      <c r="J19" s="324"/>
      <c r="K19" s="324"/>
      <c r="L19" s="315"/>
      <c r="M19" s="452" t="s">
        <v>231</v>
      </c>
      <c r="P19" s="1248" t="str">
        <f>IF(I27="-",S27,ID!P29)</f>
        <v>NG</v>
      </c>
      <c r="Q19" s="1248"/>
      <c r="R19" s="1245" t="s">
        <v>88</v>
      </c>
      <c r="S19" s="1245" t="s">
        <v>232</v>
      </c>
      <c r="T19" s="1245" t="s">
        <v>94</v>
      </c>
      <c r="V19" s="1116" t="str">
        <f>IF(OR(I27="-",P19=S27),V20,IF(OR(S21&gt;T21,C27=V28),"",IF(I27&gt;K27,V21,"")))</f>
        <v>Tidak terdapat grounding di ruangan</v>
      </c>
      <c r="W19" s="1116"/>
      <c r="X19" s="1116"/>
      <c r="Y19" s="1116"/>
      <c r="Z19" s="1116"/>
      <c r="AA19" s="1116"/>
      <c r="AB19" s="1116"/>
      <c r="AC19" s="1116"/>
      <c r="AD19" s="1116"/>
    </row>
    <row r="20" spans="1:30" ht="14.25" customHeight="1" x14ac:dyDescent="0.25">
      <c r="B20" s="30" t="str">
        <f>ID!B23</f>
        <v>1. Fisik</v>
      </c>
      <c r="D20" s="31" t="s">
        <v>59</v>
      </c>
      <c r="E20" s="30" t="str">
        <f>ID!E23</f>
        <v>Baik</v>
      </c>
      <c r="L20" s="315"/>
      <c r="M20" s="404">
        <f>IF(E20="baik",5,IF(E20="Tidak Baik",0))</f>
        <v>5</v>
      </c>
      <c r="P20" s="1248"/>
      <c r="Q20" s="1248"/>
      <c r="R20" s="1245"/>
      <c r="S20" s="1245"/>
      <c r="T20" s="1245"/>
      <c r="V20" s="1252" t="s">
        <v>233</v>
      </c>
      <c r="W20" s="1252"/>
      <c r="X20" s="1252"/>
      <c r="Y20" s="1252"/>
      <c r="Z20" s="1252"/>
      <c r="AA20" s="1252"/>
      <c r="AB20" s="1252"/>
      <c r="AC20" s="1252"/>
      <c r="AD20" s="1252"/>
    </row>
    <row r="21" spans="1:30" ht="14.25" customHeight="1" x14ac:dyDescent="0.25">
      <c r="B21" s="30" t="str">
        <f>ID!B24</f>
        <v>2. Fungsi</v>
      </c>
      <c r="D21" s="31" t="s">
        <v>59</v>
      </c>
      <c r="E21" s="30" t="str">
        <f>ID!E24</f>
        <v>Baik</v>
      </c>
      <c r="L21" s="315"/>
      <c r="M21" s="404">
        <f>IF(E21="baik",5,IF(E21="Tidak Baik",0))</f>
        <v>5</v>
      </c>
      <c r="P21" s="241" t="s">
        <v>147</v>
      </c>
      <c r="Q21" s="41" t="s">
        <v>148</v>
      </c>
      <c r="R21" s="19">
        <f>ID!R32</f>
        <v>10</v>
      </c>
      <c r="S21" s="401">
        <f>'DB ESA'!O272</f>
        <v>11.366888701481241</v>
      </c>
      <c r="T21" s="402">
        <v>100</v>
      </c>
      <c r="V21" s="1252" t="s">
        <v>234</v>
      </c>
      <c r="W21" s="1252"/>
      <c r="X21" s="1252"/>
      <c r="Y21" s="1252"/>
      <c r="Z21" s="1252"/>
      <c r="AA21" s="1252"/>
      <c r="AB21" s="1252"/>
      <c r="AC21" s="1252"/>
      <c r="AD21" s="1252"/>
    </row>
    <row r="22" spans="1:30" ht="14.25" customHeight="1" x14ac:dyDescent="0.25">
      <c r="B22" s="324"/>
      <c r="C22" s="324"/>
      <c r="D22" s="324"/>
      <c r="L22" s="315"/>
      <c r="M22" s="322"/>
    </row>
    <row r="23" spans="1:30" ht="16.5" x14ac:dyDescent="0.25">
      <c r="A23" s="324" t="str">
        <f>ID!A26</f>
        <v>III.</v>
      </c>
      <c r="B23" s="324" t="str">
        <f>ID!B26</f>
        <v>Pengujian Keselamatan Listrik</v>
      </c>
      <c r="C23" s="324"/>
      <c r="D23" s="324"/>
      <c r="H23" s="457"/>
      <c r="L23" s="315"/>
      <c r="M23" s="322"/>
    </row>
    <row r="24" spans="1:30" ht="34.5" customHeight="1" x14ac:dyDescent="0.25">
      <c r="B24" s="452" t="s">
        <v>77</v>
      </c>
      <c r="C24" s="1205" t="s">
        <v>78</v>
      </c>
      <c r="D24" s="1205"/>
      <c r="E24" s="1205"/>
      <c r="F24" s="1205"/>
      <c r="G24" s="1205"/>
      <c r="H24" s="1205"/>
      <c r="I24" s="1202" t="s">
        <v>79</v>
      </c>
      <c r="J24" s="1203"/>
      <c r="K24" s="1202" t="s">
        <v>80</v>
      </c>
      <c r="L24" s="1203"/>
      <c r="M24" s="452" t="s">
        <v>231</v>
      </c>
      <c r="N24" s="403"/>
      <c r="V24" s="1249" t="s">
        <v>526</v>
      </c>
      <c r="W24" s="1249"/>
      <c r="X24" s="1249"/>
      <c r="Y24" s="1249"/>
      <c r="Z24" s="1249"/>
      <c r="AA24" s="1249"/>
      <c r="AB24" s="1249"/>
    </row>
    <row r="25" spans="1:30" ht="16.5" customHeight="1" x14ac:dyDescent="0.25">
      <c r="B25" s="35">
        <v>1</v>
      </c>
      <c r="C25" s="459" t="str">
        <f>ID!C28</f>
        <v xml:space="preserve">Resistansi isolasi </v>
      </c>
      <c r="D25" s="460"/>
      <c r="E25" s="460"/>
      <c r="F25" s="460"/>
      <c r="G25" s="461"/>
      <c r="H25" s="462"/>
      <c r="I25" s="1206" t="str">
        <f>'DB ESA'!O269</f>
        <v>OL</v>
      </c>
      <c r="J25" s="1207"/>
      <c r="K25" s="1243">
        <f>ID!K28</f>
        <v>2</v>
      </c>
      <c r="L25" s="1244"/>
      <c r="M25" s="1204">
        <f>IF(OR(I27="-",N27&gt;=20),SUM(N25:N27),0)</f>
        <v>10</v>
      </c>
      <c r="N25" s="404">
        <f>IF(OR(I25="-",I25="OL",I25&gt;K25),10,0)</f>
        <v>10</v>
      </c>
      <c r="P25" s="1245" t="s">
        <v>235</v>
      </c>
      <c r="Q25" s="1143" t="s">
        <v>94</v>
      </c>
      <c r="S25" s="241" t="s">
        <v>236</v>
      </c>
      <c r="V25" s="458" t="s">
        <v>144</v>
      </c>
      <c r="W25" s="463"/>
      <c r="X25" s="463"/>
      <c r="Y25" s="463"/>
      <c r="Z25" s="463"/>
      <c r="AA25" s="464"/>
      <c r="AB25" s="465">
        <v>0.2</v>
      </c>
      <c r="AC25" s="30" t="s">
        <v>237</v>
      </c>
      <c r="AD25" s="337"/>
    </row>
    <row r="26" spans="1:30" x14ac:dyDescent="0.25">
      <c r="B26" s="466">
        <f>ID!B29</f>
        <v>2</v>
      </c>
      <c r="C26" s="467" t="str">
        <f>V24</f>
        <v>Resistansi pembumian protektif</v>
      </c>
      <c r="D26" s="468"/>
      <c r="E26" s="468"/>
      <c r="F26" s="468"/>
      <c r="G26" s="468"/>
      <c r="H26" s="469"/>
      <c r="I26" s="1200">
        <f>'DB ESA'!O270</f>
        <v>0.21622046948820212</v>
      </c>
      <c r="J26" s="1201"/>
      <c r="K26" s="1240">
        <f>ID!K29</f>
        <v>0.2</v>
      </c>
      <c r="L26" s="1241"/>
      <c r="M26" s="1204"/>
      <c r="N26" s="404">
        <f>IF(OR(I26="-",I26="OL",I26&lt;=K26,C27=V28),10,0)</f>
        <v>0</v>
      </c>
      <c r="P26" s="1245"/>
      <c r="Q26" s="1144"/>
      <c r="S26" s="241" t="s">
        <v>145</v>
      </c>
      <c r="V26" s="470" t="s">
        <v>238</v>
      </c>
      <c r="W26" s="471"/>
      <c r="X26" s="471"/>
      <c r="Y26" s="471"/>
      <c r="Z26" s="471"/>
      <c r="AA26" s="472"/>
      <c r="AB26" s="473">
        <v>0.3</v>
      </c>
      <c r="AC26" s="30" t="s">
        <v>239</v>
      </c>
      <c r="AD26" s="337"/>
    </row>
    <row r="27" spans="1:30" x14ac:dyDescent="0.25">
      <c r="B27" s="474">
        <f>ID!B30</f>
        <v>3</v>
      </c>
      <c r="C27" s="475" t="str">
        <f>ID!C30</f>
        <v>Arus bocor peralatan untuk peralatan elektromedik kelas I</v>
      </c>
      <c r="D27" s="476"/>
      <c r="E27" s="476"/>
      <c r="F27" s="476"/>
      <c r="G27" s="476"/>
      <c r="H27" s="477"/>
      <c r="I27" s="1208" t="str">
        <f>'DB ESA'!O271</f>
        <v>-</v>
      </c>
      <c r="J27" s="1209"/>
      <c r="K27" s="1198">
        <f>ID!K30</f>
        <v>500</v>
      </c>
      <c r="L27" s="1199"/>
      <c r="M27" s="1204"/>
      <c r="N27" s="404">
        <f>IF(P27&lt;=Q27,20,0)</f>
        <v>0</v>
      </c>
      <c r="P27" s="401" t="str">
        <f>IF(OR(R21="",C27=V28,P19=S27),I27,IF(I27&gt;K27,S21,I27))</f>
        <v>-</v>
      </c>
      <c r="Q27" s="241">
        <f>IF(OR(R21="",C27=V28,P19=S27),K27,IF(I27&gt;K27,T21,K27))</f>
        <v>500</v>
      </c>
      <c r="S27" s="241" t="s">
        <v>240</v>
      </c>
      <c r="V27" s="478" t="s">
        <v>146</v>
      </c>
      <c r="W27" s="479"/>
      <c r="X27" s="479"/>
      <c r="Y27" s="479"/>
      <c r="Z27" s="479"/>
      <c r="AA27" s="472"/>
      <c r="AB27" s="465">
        <v>500</v>
      </c>
      <c r="AC27" s="337"/>
      <c r="AD27" s="337"/>
    </row>
    <row r="28" spans="1:30" ht="14.25" customHeight="1" x14ac:dyDescent="0.25">
      <c r="B28" s="324"/>
      <c r="C28" s="324"/>
      <c r="D28" s="324"/>
      <c r="L28" s="315"/>
      <c r="M28" s="322"/>
      <c r="P28" s="31"/>
      <c r="V28" s="478" t="s">
        <v>241</v>
      </c>
      <c r="W28" s="479"/>
      <c r="X28" s="479"/>
      <c r="Y28" s="479"/>
      <c r="Z28" s="479"/>
      <c r="AA28" s="472"/>
      <c r="AB28" s="465">
        <v>100</v>
      </c>
      <c r="AC28" s="337"/>
      <c r="AD28" s="337"/>
    </row>
    <row r="29" spans="1:30" x14ac:dyDescent="0.25">
      <c r="A29" s="324" t="str">
        <f>ID!A33</f>
        <v>IV.</v>
      </c>
      <c r="B29" s="324" t="str">
        <f>ID!B33</f>
        <v>Pengujian Kinerja</v>
      </c>
      <c r="C29" s="324"/>
      <c r="D29" s="324"/>
      <c r="E29" s="324"/>
      <c r="F29" s="324"/>
      <c r="G29" s="324"/>
      <c r="H29" s="31"/>
      <c r="L29" s="315"/>
      <c r="M29" s="322"/>
    </row>
    <row r="30" spans="1:30" ht="26.25" customHeight="1" x14ac:dyDescent="0.3">
      <c r="B30" s="1191" t="s">
        <v>91</v>
      </c>
      <c r="C30" s="1191" t="s">
        <v>78</v>
      </c>
      <c r="D30" s="1214" t="s">
        <v>92</v>
      </c>
      <c r="E30" s="1215"/>
      <c r="F30" s="549" t="s">
        <v>103</v>
      </c>
      <c r="G30" s="550" t="s">
        <v>150</v>
      </c>
      <c r="H30" s="1205" t="s">
        <v>94</v>
      </c>
      <c r="I30" s="1223" t="s">
        <v>242</v>
      </c>
      <c r="J30" s="1224"/>
      <c r="K30" s="1214" t="s">
        <v>243</v>
      </c>
      <c r="L30" s="1215"/>
      <c r="M30" s="1205" t="s">
        <v>231</v>
      </c>
      <c r="N30" s="403"/>
      <c r="O30" s="1205" t="s">
        <v>244</v>
      </c>
      <c r="Q30" s="1251" t="s">
        <v>245</v>
      </c>
      <c r="R30" s="1251"/>
      <c r="X30" s="325"/>
    </row>
    <row r="31" spans="1:30" ht="19.5" customHeight="1" x14ac:dyDescent="0.25">
      <c r="B31" s="1192"/>
      <c r="C31" s="1192"/>
      <c r="D31" s="1216"/>
      <c r="E31" s="1217"/>
      <c r="F31" s="551" t="s">
        <v>246</v>
      </c>
      <c r="G31" s="552" t="s">
        <v>247</v>
      </c>
      <c r="H31" s="1205"/>
      <c r="I31" s="1216" t="s">
        <v>247</v>
      </c>
      <c r="J31" s="1217"/>
      <c r="K31" s="1216"/>
      <c r="L31" s="1217"/>
      <c r="M31" s="1205"/>
      <c r="N31" s="403"/>
      <c r="O31" s="1205"/>
      <c r="P31" s="450"/>
      <c r="Q31" s="1251"/>
      <c r="R31" s="1251"/>
      <c r="S31" s="316"/>
      <c r="T31" s="316"/>
      <c r="U31" s="316"/>
    </row>
    <row r="32" spans="1:30" ht="35.15" customHeight="1" x14ac:dyDescent="0.25">
      <c r="B32" s="41">
        <f>ID!B36</f>
        <v>1</v>
      </c>
      <c r="C32" s="1237" t="str">
        <f>ID!C36</f>
        <v>Kecepatan Putaran (RPM)</v>
      </c>
      <c r="D32" s="1213">
        <f>ID!D36</f>
        <v>2</v>
      </c>
      <c r="E32" s="1213"/>
      <c r="F32" s="480">
        <f>ID!L36</f>
        <v>2121.763711498108</v>
      </c>
      <c r="G32" s="481">
        <f>IFERROR(ID!M36,"-")</f>
        <v>1.8070145519776395E-2</v>
      </c>
      <c r="H32" s="1166">
        <v>10</v>
      </c>
      <c r="I32" s="1194">
        <f>IFERROR(IF('UB RPM'!J16&lt;'UB RPM'!M16,'UB RPM'!M16,'UB RPM'!J16),"-")</f>
        <v>3.3776296910883429E-2</v>
      </c>
      <c r="J32" s="1194"/>
      <c r="K32" s="1236">
        <f>IFERROR(((ABS(G32)+O32)/F32)*100,"-")</f>
        <v>3.4627953738731503E-2</v>
      </c>
      <c r="L32" s="1236"/>
      <c r="M32" s="1204">
        <f>IF(SUM(N32:N35)&gt;=24.5,35,0)</f>
        <v>35</v>
      </c>
      <c r="N32" s="405">
        <f>IF(OR(G32="-",K32&lt;=$H$32),8.75,0)</f>
        <v>8.75</v>
      </c>
      <c r="O32" s="451">
        <f>I32*F32/100</f>
        <v>0.71665321094298107</v>
      </c>
      <c r="Q32" s="1251"/>
      <c r="R32" s="1251"/>
      <c r="S32" s="316"/>
      <c r="T32" s="316"/>
      <c r="U32" s="316"/>
    </row>
    <row r="33" spans="1:21" ht="35.15" customHeight="1" x14ac:dyDescent="0.25">
      <c r="B33" s="41">
        <f>ID!B37</f>
        <v>2</v>
      </c>
      <c r="C33" s="1238"/>
      <c r="D33" s="1213">
        <f>ID!D37</f>
        <v>4</v>
      </c>
      <c r="E33" s="1213"/>
      <c r="F33" s="480">
        <f>IFERROR(ID!L37,"-")</f>
        <v>4042.5481741702233</v>
      </c>
      <c r="G33" s="481">
        <f>IFERROR(ID!M37,"-")</f>
        <v>1.490383756228957E-2</v>
      </c>
      <c r="H33" s="1167"/>
      <c r="I33" s="1194">
        <f>IFERROR(IF('UB RPM'!J29&lt;'UB RPM'!M16,'UB RPM'!M16,'UB RPM'!J29),"-")</f>
        <v>3.2491823267259835E-2</v>
      </c>
      <c r="J33" s="1194"/>
      <c r="K33" s="1236">
        <f t="shared" ref="K33:K34" si="0">IFERROR(((ABS(G33)+O33)/F33)*100,"-")</f>
        <v>3.2860497601372107E-2</v>
      </c>
      <c r="L33" s="1236"/>
      <c r="M33" s="1204"/>
      <c r="N33" s="405">
        <f>IF(OR(G33="-",K33&lt;=$H$32),8.75,0)</f>
        <v>8.75</v>
      </c>
      <c r="O33" s="451">
        <f>I33*F33/100</f>
        <v>1.3134976082452283</v>
      </c>
      <c r="P33" s="316"/>
      <c r="Q33" s="1251"/>
      <c r="R33" s="1251"/>
      <c r="S33" s="316"/>
      <c r="T33" s="316"/>
      <c r="U33" s="316"/>
    </row>
    <row r="34" spans="1:21" ht="35.15" customHeight="1" x14ac:dyDescent="0.25">
      <c r="B34" s="41">
        <f>ID!B38</f>
        <v>3</v>
      </c>
      <c r="C34" s="1238"/>
      <c r="D34" s="1213">
        <f>ID!D38</f>
        <v>7</v>
      </c>
      <c r="E34" s="1213"/>
      <c r="F34" s="480">
        <f>IFERROR(ID!L38,"-")</f>
        <v>7214.1422795178642</v>
      </c>
      <c r="G34" s="481">
        <f>IFERROR(ID!M38,"-")</f>
        <v>9.1108137813165815E-3</v>
      </c>
      <c r="H34" s="1167"/>
      <c r="I34" s="1194">
        <f>IFERROR(IF('UB RPM'!J42&lt;'UB RPM'!M16,'UB RPM'!M16,'UB RPM'!J42),"-")</f>
        <v>3.1018599526243029E-2</v>
      </c>
      <c r="J34" s="1194"/>
      <c r="K34" s="1236">
        <f t="shared" si="0"/>
        <v>3.1144890545026841E-2</v>
      </c>
      <c r="L34" s="1236"/>
      <c r="M34" s="1204"/>
      <c r="N34" s="405">
        <f>IF(OR(G34="-",K34&lt;=$H$32),8.75,0)</f>
        <v>8.75</v>
      </c>
      <c r="O34" s="451">
        <f>I34*F34/100</f>
        <v>2.2377259029370262</v>
      </c>
      <c r="P34" s="316"/>
      <c r="Q34" s="1251"/>
      <c r="R34" s="1251"/>
      <c r="S34" s="316"/>
      <c r="T34" s="316"/>
      <c r="U34" s="316"/>
    </row>
    <row r="35" spans="1:21" ht="35.15" customHeight="1" x14ac:dyDescent="0.25">
      <c r="B35" s="482">
        <f>ID!B39</f>
        <v>4</v>
      </c>
      <c r="C35" s="1239"/>
      <c r="D35" s="1213">
        <f>ID!D39</f>
        <v>9</v>
      </c>
      <c r="E35" s="1213"/>
      <c r="F35" s="483">
        <f>IFERROR(ID!L39,"-")</f>
        <v>9363.1344676093104</v>
      </c>
      <c r="G35" s="484">
        <f>IFERROR(ID!M39,"-")</f>
        <v>1.7110530499182094E-2</v>
      </c>
      <c r="H35" s="1168"/>
      <c r="I35" s="1194">
        <f>IFERROR(IF('UB RPM'!J55&lt;'UB RPM'!M16,'UB RPM'!M16,'UB RPM'!J55),"-")</f>
        <v>3.3276851493988811E-2</v>
      </c>
      <c r="J35" s="1194"/>
      <c r="K35" s="1236">
        <f>IFERROR(((ABS(G35)+O35)/F35)*100,"-")</f>
        <v>3.3459595110011571E-2</v>
      </c>
      <c r="L35" s="1236"/>
      <c r="M35" s="1204"/>
      <c r="N35" s="405">
        <f>IF(OR(G35="-",K35&lt;=$H$32),8.75,0)</f>
        <v>8.75</v>
      </c>
      <c r="O35" s="451">
        <f>I35*F35/100</f>
        <v>3.1157563519688303</v>
      </c>
      <c r="Q35" s="1250">
        <f>IF(P6=P10,M32+15,IF((M32+M39&gt;35),M32+M39,0))</f>
        <v>50</v>
      </c>
      <c r="R35" s="1250"/>
      <c r="S35" s="316"/>
      <c r="T35" s="316"/>
      <c r="U35" s="316"/>
    </row>
    <row r="36" spans="1:21" ht="14.25" customHeight="1" x14ac:dyDescent="0.25">
      <c r="B36" s="44"/>
      <c r="C36" s="111"/>
      <c r="D36" s="111"/>
      <c r="E36" s="179"/>
      <c r="F36" s="340"/>
      <c r="G36" s="340"/>
      <c r="H36" s="340"/>
      <c r="I36" s="340"/>
      <c r="J36" s="340"/>
      <c r="K36" s="340"/>
      <c r="L36" s="340"/>
      <c r="M36" s="485"/>
      <c r="Q36" s="1250"/>
      <c r="R36" s="1250"/>
    </row>
    <row r="37" spans="1:21" ht="26.25" customHeight="1" x14ac:dyDescent="0.3">
      <c r="B37" s="1191" t="s">
        <v>91</v>
      </c>
      <c r="C37" s="1191" t="s">
        <v>78</v>
      </c>
      <c r="D37" s="1233" t="s">
        <v>92</v>
      </c>
      <c r="E37" s="1233"/>
      <c r="F37" s="553" t="s">
        <v>103</v>
      </c>
      <c r="G37" s="554" t="s">
        <v>154</v>
      </c>
      <c r="H37" s="1218" t="s">
        <v>94</v>
      </c>
      <c r="I37" s="1223" t="str">
        <f>I30</f>
        <v>Ketidakpastian Pengukuran</v>
      </c>
      <c r="J37" s="1224"/>
      <c r="K37" s="1214" t="s">
        <v>243</v>
      </c>
      <c r="L37" s="1215"/>
      <c r="M37" s="1191" t="s">
        <v>231</v>
      </c>
      <c r="N37" s="403"/>
      <c r="O37" s="1191" t="s">
        <v>244</v>
      </c>
      <c r="Q37" s="1250"/>
      <c r="R37" s="1250"/>
    </row>
    <row r="38" spans="1:21" ht="18.75" customHeight="1" x14ac:dyDescent="0.25">
      <c r="B38" s="1192"/>
      <c r="C38" s="1192"/>
      <c r="D38" s="1219" t="s">
        <v>248</v>
      </c>
      <c r="E38" s="1219"/>
      <c r="F38" s="32" t="s">
        <v>248</v>
      </c>
      <c r="G38" s="32" t="s">
        <v>248</v>
      </c>
      <c r="H38" s="1218"/>
      <c r="I38" s="1219" t="str">
        <f>I31</f>
        <v>(%)</v>
      </c>
      <c r="J38" s="1219"/>
      <c r="K38" s="1216"/>
      <c r="L38" s="1217"/>
      <c r="M38" s="1192"/>
      <c r="N38" s="403"/>
      <c r="O38" s="1192"/>
      <c r="Q38" s="1250"/>
      <c r="R38" s="1250"/>
    </row>
    <row r="39" spans="1:21" ht="39.75" customHeight="1" x14ac:dyDescent="0.25">
      <c r="B39" s="482">
        <f>ID!B44</f>
        <v>5</v>
      </c>
      <c r="C39" s="34" t="str">
        <f>ID!C44</f>
        <v>Waktu (s)</v>
      </c>
      <c r="D39" s="1231">
        <f>IFERROR(ID!D44,"-")</f>
        <v>300</v>
      </c>
      <c r="E39" s="1232"/>
      <c r="F39" s="486">
        <f>IFERROR(ID!L44,"-")</f>
        <v>400.99894143489377</v>
      </c>
      <c r="G39" s="1046">
        <f>IFERROR(ID!M44,"-")</f>
        <v>100.99894143489377</v>
      </c>
      <c r="H39" s="487">
        <v>10</v>
      </c>
      <c r="I39" s="1194">
        <f>IFERROR(IF('UB TIMER'!J13&lt;'UB TIMER'!M13,'UB TIMER'!M13,'UB TIMER'!J13),"-")</f>
        <v>0.56695961911458737</v>
      </c>
      <c r="J39" s="1194"/>
      <c r="K39" s="1234">
        <f>IFERROR(((ABS(G39)+O39)/D39)*100,"-")</f>
        <v>34.23327343074584</v>
      </c>
      <c r="L39" s="1235"/>
      <c r="M39" s="404">
        <f>IF(OR(G39="-",K39&lt;=H39),15,0)</f>
        <v>0</v>
      </c>
      <c r="N39" s="406"/>
      <c r="O39" s="451">
        <f>I39*D39/100</f>
        <v>1.7008788573437621</v>
      </c>
      <c r="Q39" s="1250"/>
      <c r="R39" s="1250"/>
    </row>
    <row r="40" spans="1:21" ht="14.25" customHeight="1" x14ac:dyDescent="0.25">
      <c r="B40" s="317"/>
      <c r="C40" s="318"/>
      <c r="D40" s="318"/>
      <c r="E40" s="319"/>
      <c r="F40" s="320"/>
      <c r="G40" s="320"/>
      <c r="H40" s="320"/>
      <c r="I40" s="321"/>
      <c r="J40" s="321"/>
      <c r="K40" s="321"/>
      <c r="L40" s="322"/>
      <c r="M40" s="323"/>
      <c r="N40" s="322"/>
      <c r="O40" s="28"/>
    </row>
    <row r="41" spans="1:21" x14ac:dyDescent="0.25">
      <c r="A41" s="68" t="str">
        <f>ID!A46</f>
        <v>V.</v>
      </c>
      <c r="B41" s="68" t="str">
        <f>ID!B46</f>
        <v>Keterangan</v>
      </c>
      <c r="C41" s="68"/>
      <c r="D41" s="68"/>
      <c r="E41" s="71"/>
      <c r="F41" s="95"/>
      <c r="G41" s="95"/>
      <c r="H41" s="95"/>
      <c r="I41" s="95"/>
      <c r="J41" s="95"/>
      <c r="K41" s="95"/>
      <c r="L41" s="95"/>
      <c r="M41" s="96"/>
      <c r="N41" s="322"/>
    </row>
    <row r="42" spans="1:21" x14ac:dyDescent="0.25">
      <c r="A42" s="68"/>
      <c r="B42" s="59" t="str">
        <f>ID!B47</f>
        <v>Ketidakpastian pengukuran dilaporkan pada tingkat kepercayaan 95 % dengan faktor cakupan k = 2</v>
      </c>
      <c r="C42" s="407"/>
      <c r="D42" s="407"/>
      <c r="E42" s="59"/>
      <c r="F42" s="59"/>
      <c r="G42" s="59"/>
      <c r="H42" s="59"/>
      <c r="I42" s="59"/>
      <c r="J42" s="59"/>
      <c r="K42" s="59"/>
      <c r="L42" s="70"/>
      <c r="M42" s="70"/>
    </row>
    <row r="43" spans="1:21" x14ac:dyDescent="0.25">
      <c r="A43" s="68"/>
      <c r="B43" s="59" t="str">
        <f>ID!B48</f>
        <v>Hasil pengukuran keselamatan listrik tertelusur ke Satuan Internasional ( SI ) melalui PT. Kaliman (LK-032-IDN)</v>
      </c>
      <c r="C43" s="407"/>
      <c r="D43" s="407"/>
      <c r="E43" s="59"/>
      <c r="F43" s="59"/>
      <c r="G43" s="59"/>
      <c r="H43" s="59"/>
      <c r="I43" s="59"/>
      <c r="J43" s="59"/>
      <c r="K43" s="59"/>
      <c r="L43" s="70"/>
      <c r="M43" s="70"/>
    </row>
    <row r="44" spans="1:21" x14ac:dyDescent="0.25">
      <c r="A44" s="68"/>
      <c r="B44" s="59" t="str">
        <f>ID!B49</f>
        <v>Hasil kalibrasi kecepatan tertelusur ke Satuan Internasional ( SI ) melalui PT KALIMAN</v>
      </c>
      <c r="C44" s="407"/>
      <c r="D44" s="407"/>
      <c r="E44" s="59"/>
      <c r="F44" s="59"/>
      <c r="G44" s="59"/>
      <c r="H44" s="59"/>
      <c r="I44" s="59"/>
      <c r="J44" s="59"/>
      <c r="K44" s="59"/>
      <c r="L44" s="70"/>
      <c r="M44" s="70"/>
    </row>
    <row r="45" spans="1:21" x14ac:dyDescent="0.25">
      <c r="A45" s="68"/>
      <c r="B45" s="59" t="str">
        <f>ID!B50</f>
        <v>Hasil pengukuran akurasi waktu tertelusur ke Satuan Internasional ( SI ) melalui PT KALIMAN</v>
      </c>
      <c r="C45" s="407"/>
      <c r="D45" s="407"/>
      <c r="E45" s="59"/>
      <c r="F45" s="59"/>
      <c r="G45" s="59"/>
      <c r="H45" s="59"/>
      <c r="I45" s="59"/>
      <c r="J45" s="59"/>
      <c r="K45" s="59"/>
      <c r="L45" s="70"/>
      <c r="M45" s="70"/>
    </row>
    <row r="46" spans="1:21" x14ac:dyDescent="0.25">
      <c r="A46" s="68"/>
      <c r="B46" s="407" t="str">
        <f>ID!B51</f>
        <v>Tidak terdapat grounding di ruangan</v>
      </c>
      <c r="C46" s="407"/>
      <c r="D46" s="407"/>
      <c r="E46" s="59"/>
      <c r="F46" s="59"/>
      <c r="G46" s="59"/>
      <c r="H46" s="59"/>
      <c r="I46" s="59"/>
      <c r="J46" s="59"/>
      <c r="K46" s="59"/>
      <c r="L46" s="70"/>
      <c r="M46" s="70"/>
    </row>
    <row r="47" spans="1:21" ht="19.5" hidden="1" customHeight="1" x14ac:dyDescent="0.25">
      <c r="A47" s="68"/>
      <c r="B47" s="59"/>
      <c r="C47" s="407"/>
      <c r="D47" s="407"/>
      <c r="E47" s="407"/>
      <c r="F47" s="407"/>
      <c r="G47" s="407"/>
      <c r="H47" s="407"/>
      <c r="I47" s="59"/>
      <c r="J47" s="59"/>
      <c r="K47" s="59"/>
      <c r="L47" s="70"/>
      <c r="M47" s="70"/>
    </row>
    <row r="48" spans="1:21" s="381" customFormat="1" ht="19.5" customHeight="1" x14ac:dyDescent="0.25">
      <c r="A48" s="558"/>
      <c r="B48" s="559"/>
      <c r="C48" s="560"/>
      <c r="D48" s="560"/>
      <c r="E48" s="560"/>
      <c r="F48" s="560"/>
      <c r="G48" s="560"/>
      <c r="H48" s="560"/>
      <c r="I48" s="559"/>
      <c r="J48" s="559"/>
      <c r="K48" s="559"/>
      <c r="L48" s="561"/>
      <c r="M48" s="561"/>
    </row>
    <row r="49" spans="1:14" x14ac:dyDescent="0.25">
      <c r="A49" s="68" t="str">
        <f>ID!A54</f>
        <v>VI.</v>
      </c>
      <c r="B49" s="68" t="str">
        <f>ID!B54</f>
        <v>Alat Ukur Yang Digunakan</v>
      </c>
      <c r="C49" s="562"/>
      <c r="D49" s="562"/>
      <c r="E49" s="59"/>
      <c r="F49" s="59"/>
      <c r="G49" s="59"/>
      <c r="H49" s="59"/>
      <c r="I49" s="59"/>
      <c r="J49" s="59"/>
      <c r="K49" s="59"/>
      <c r="L49" s="70"/>
      <c r="M49" s="70"/>
    </row>
    <row r="50" spans="1:14" x14ac:dyDescent="0.25">
      <c r="A50" s="68"/>
      <c r="B50" s="59" t="str">
        <f>ID!B55:L55</f>
        <v>Digital Tachometer, Merek : Krisbow, Model : KW06-563, SN : 180812206</v>
      </c>
      <c r="C50" s="59"/>
      <c r="D50" s="59"/>
      <c r="E50" s="59"/>
      <c r="F50" s="59"/>
      <c r="G50" s="59"/>
      <c r="H50" s="59"/>
      <c r="I50" s="59"/>
      <c r="J50" s="59"/>
      <c r="K50" s="59"/>
      <c r="L50" s="70"/>
      <c r="M50" s="70"/>
    </row>
    <row r="51" spans="1:14" x14ac:dyDescent="0.25">
      <c r="A51" s="68"/>
      <c r="B51" s="59" t="str">
        <f>ID!B56:L56</f>
        <v>Stopwatch, Merek : Casio, Model : HS - 80TW, SN : 605Q11R</v>
      </c>
      <c r="C51" s="59"/>
      <c r="D51" s="59"/>
      <c r="E51" s="59"/>
      <c r="F51" s="59"/>
      <c r="G51" s="59"/>
      <c r="H51" s="59"/>
      <c r="I51" s="59"/>
      <c r="J51" s="59"/>
      <c r="K51" s="59"/>
      <c r="L51" s="70"/>
      <c r="M51" s="70"/>
    </row>
    <row r="52" spans="1:14" x14ac:dyDescent="0.25">
      <c r="A52" s="68"/>
      <c r="B52" s="59" t="str">
        <f>ID!B57</f>
        <v>Electrical Safety Analyzer, Merek : Fluke, Model : ESA 615, SN : 4670010</v>
      </c>
      <c r="C52" s="59"/>
      <c r="D52" s="59"/>
      <c r="E52" s="59"/>
      <c r="F52" s="59"/>
      <c r="G52" s="59"/>
      <c r="H52" s="59"/>
      <c r="I52" s="59"/>
      <c r="J52" s="59"/>
      <c r="K52" s="59"/>
      <c r="L52" s="70"/>
      <c r="M52" s="70"/>
    </row>
    <row r="53" spans="1:14" x14ac:dyDescent="0.25">
      <c r="A53" s="68"/>
      <c r="B53" s="59" t="str">
        <f>ID!B58</f>
        <v>Thermohygrobarometer, Merek : EXTECH, Model : SD700, SN : A.100615</v>
      </c>
      <c r="C53" s="59"/>
      <c r="D53" s="59"/>
      <c r="E53" s="59"/>
      <c r="F53" s="59"/>
      <c r="G53" s="59"/>
      <c r="H53" s="59"/>
      <c r="I53" s="59"/>
      <c r="J53" s="59"/>
      <c r="K53" s="59"/>
      <c r="L53" s="70"/>
      <c r="M53" s="70"/>
    </row>
    <row r="54" spans="1:14" ht="14.25" customHeight="1" x14ac:dyDescent="0.25">
      <c r="A54" s="6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70"/>
      <c r="M54" s="70"/>
    </row>
    <row r="55" spans="1:14" x14ac:dyDescent="0.25">
      <c r="A55" s="68" t="str">
        <f>ID!A60</f>
        <v>VII.</v>
      </c>
      <c r="B55" s="68" t="str">
        <f>ID!B60</f>
        <v>Kesimpulan</v>
      </c>
      <c r="C55" s="68"/>
      <c r="D55" s="68"/>
      <c r="E55" s="68"/>
      <c r="F55" s="59"/>
      <c r="G55" s="59"/>
      <c r="H55" s="59"/>
      <c r="I55" s="59"/>
      <c r="J55" s="59"/>
      <c r="K55" s="59"/>
      <c r="L55" s="70"/>
      <c r="M55" s="70"/>
    </row>
    <row r="56" spans="1:14" ht="15" customHeight="1" x14ac:dyDescent="0.25">
      <c r="A56" s="68"/>
      <c r="B56" s="1193" t="str">
        <f>ID!B61:I61</f>
        <v>Alat yang diuji dalam batas toleransi dan dinyatakan LAIK PAKAI, dimana hasil atau skor akhir sama dengan atau melampaui 70% berdasarkan Keputusan Direktur Jenderal Pelayanan Kesehatan No : HK.02.02/V/0412/2020</v>
      </c>
      <c r="C56" s="1193"/>
      <c r="D56" s="1193"/>
      <c r="E56" s="1193"/>
      <c r="F56" s="1193"/>
      <c r="G56" s="1193"/>
      <c r="H56" s="1193"/>
      <c r="I56" s="1193"/>
      <c r="J56" s="1193"/>
      <c r="K56" s="1193"/>
      <c r="L56" s="1193"/>
      <c r="M56" s="1193"/>
    </row>
    <row r="57" spans="1:14" x14ac:dyDescent="0.25">
      <c r="A57" s="68"/>
      <c r="B57" s="1193"/>
      <c r="C57" s="1193"/>
      <c r="D57" s="1193"/>
      <c r="E57" s="1193"/>
      <c r="F57" s="1193"/>
      <c r="G57" s="1193"/>
      <c r="H57" s="1193"/>
      <c r="I57" s="1193"/>
      <c r="J57" s="1193"/>
      <c r="K57" s="1193"/>
      <c r="L57" s="1193"/>
      <c r="M57" s="1193"/>
    </row>
    <row r="58" spans="1:14" ht="14.25" customHeight="1" x14ac:dyDescent="0.25">
      <c r="A58" s="68"/>
      <c r="B58" s="68"/>
      <c r="C58" s="59"/>
      <c r="D58" s="59"/>
      <c r="E58" s="59"/>
      <c r="F58" s="59"/>
      <c r="G58" s="59"/>
      <c r="H58" s="59"/>
      <c r="I58" s="59"/>
      <c r="J58" s="59"/>
      <c r="K58" s="59"/>
      <c r="L58" s="70"/>
      <c r="M58" s="70"/>
    </row>
    <row r="59" spans="1:14" x14ac:dyDescent="0.25">
      <c r="A59" s="68" t="str">
        <f>ID!A64</f>
        <v>VIII.</v>
      </c>
      <c r="B59" s="68" t="str">
        <f>ID!B64</f>
        <v>Petugas Pengujian</v>
      </c>
      <c r="C59" s="68"/>
      <c r="D59" s="68"/>
      <c r="E59" s="59"/>
      <c r="F59" s="59"/>
      <c r="G59" s="59"/>
      <c r="H59" s="59"/>
      <c r="I59" s="59"/>
      <c r="J59" s="59"/>
      <c r="K59" s="59"/>
      <c r="L59" s="70"/>
      <c r="M59" s="70"/>
    </row>
    <row r="60" spans="1:14" x14ac:dyDescent="0.25">
      <c r="A60" s="59"/>
      <c r="B60" s="59" t="str">
        <f>ID!B65:D65</f>
        <v>Gusti Arya Dinata</v>
      </c>
      <c r="C60" s="59"/>
      <c r="D60" s="59"/>
      <c r="E60" s="59"/>
      <c r="F60" s="59"/>
      <c r="G60" s="59"/>
      <c r="H60" s="59"/>
      <c r="I60" s="59"/>
      <c r="J60" s="59"/>
      <c r="K60" s="59"/>
      <c r="L60" s="70"/>
      <c r="M60" s="70"/>
      <c r="N60" s="315"/>
    </row>
    <row r="61" spans="1:14" x14ac:dyDescent="0.25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70"/>
      <c r="M61" s="70"/>
    </row>
    <row r="62" spans="1:14" x14ac:dyDescent="0.25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70"/>
      <c r="M62" s="70"/>
    </row>
    <row r="63" spans="1:14" x14ac:dyDescent="0.25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63"/>
      <c r="M63" s="70"/>
    </row>
    <row r="64" spans="1:14" x14ac:dyDescent="0.25">
      <c r="A64" s="327"/>
      <c r="L64" s="326"/>
      <c r="M64" s="315"/>
    </row>
    <row r="65" spans="1:15" x14ac:dyDescent="0.25">
      <c r="A65" s="327"/>
      <c r="B65" s="1222" t="s">
        <v>249</v>
      </c>
      <c r="C65" s="1222"/>
      <c r="D65" s="1222"/>
      <c r="E65" s="1222"/>
      <c r="F65" s="1222"/>
      <c r="G65" s="1222" t="s">
        <v>1</v>
      </c>
      <c r="H65" s="1222"/>
      <c r="I65" s="328" t="s">
        <v>250</v>
      </c>
      <c r="J65" s="1229" t="s">
        <v>251</v>
      </c>
      <c r="K65" s="1230"/>
      <c r="L65" s="324"/>
    </row>
    <row r="66" spans="1:15" x14ac:dyDescent="0.25">
      <c r="A66" s="329"/>
      <c r="B66" s="330" t="str">
        <f>C177&amp;ID!B65:E65</f>
        <v>Dibuat : Gusti Arya Dinata</v>
      </c>
      <c r="C66" s="331"/>
      <c r="D66" s="331"/>
      <c r="E66" s="331"/>
      <c r="F66" s="332"/>
      <c r="G66" s="1222" t="str">
        <f>ID!B68</f>
        <v>7/8/2022</v>
      </c>
      <c r="H66" s="1222"/>
      <c r="I66" s="333"/>
      <c r="J66" s="1225">
        <f>SUM(M20,M21,M25,Q35)</f>
        <v>70</v>
      </c>
      <c r="K66" s="1226"/>
    </row>
    <row r="67" spans="1:15" x14ac:dyDescent="0.25">
      <c r="B67" s="334" t="s">
        <v>252</v>
      </c>
      <c r="C67" s="335"/>
      <c r="D67" s="335"/>
      <c r="E67" s="335"/>
      <c r="F67" s="332"/>
      <c r="G67" s="336"/>
      <c r="H67" s="332"/>
      <c r="I67" s="333"/>
      <c r="J67" s="1227"/>
      <c r="K67" s="1228"/>
      <c r="L67" s="315"/>
      <c r="M67" s="315"/>
    </row>
    <row r="68" spans="1:15" x14ac:dyDescent="0.25">
      <c r="C68" s="322"/>
      <c r="D68" s="322"/>
      <c r="E68" s="322"/>
      <c r="F68" s="322"/>
      <c r="G68" s="322"/>
      <c r="H68" s="322"/>
      <c r="I68" s="315"/>
      <c r="J68" s="315"/>
      <c r="L68" s="315"/>
      <c r="M68" s="315"/>
    </row>
    <row r="69" spans="1:15" x14ac:dyDescent="0.25">
      <c r="L69" s="315"/>
      <c r="M69" s="315"/>
    </row>
    <row r="70" spans="1:15" x14ac:dyDescent="0.25"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37"/>
    </row>
    <row r="71" spans="1:15" x14ac:dyDescent="0.25"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37"/>
    </row>
    <row r="72" spans="1:15" x14ac:dyDescent="0.25"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37"/>
    </row>
    <row r="73" spans="1:15" x14ac:dyDescent="0.25">
      <c r="L73" s="337"/>
      <c r="M73" s="337"/>
      <c r="N73" s="337"/>
      <c r="O73" s="337"/>
    </row>
    <row r="74" spans="1:15" x14ac:dyDescent="0.25">
      <c r="L74" s="337"/>
      <c r="M74" s="337"/>
      <c r="N74" s="337"/>
      <c r="O74" s="337"/>
    </row>
    <row r="75" spans="1:15" x14ac:dyDescent="0.25">
      <c r="B75" s="1" t="s">
        <v>141</v>
      </c>
      <c r="C75"/>
      <c r="L75" s="337"/>
      <c r="M75" s="337"/>
      <c r="N75" s="337"/>
      <c r="O75" s="337"/>
    </row>
    <row r="76" spans="1:15" x14ac:dyDescent="0.25">
      <c r="B76" s="1" t="s">
        <v>253</v>
      </c>
      <c r="C76"/>
      <c r="L76" s="337"/>
      <c r="M76" s="337"/>
      <c r="N76" s="337"/>
      <c r="O76" s="337"/>
    </row>
    <row r="77" spans="1:15" ht="14.5" thickBot="1" x14ac:dyDescent="0.3"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37"/>
    </row>
    <row r="78" spans="1:15" ht="14.5" thickBot="1" x14ac:dyDescent="0.35">
      <c r="B78" s="488" t="str">
        <f>ID!E2</f>
        <v>Nomor Sertifikat : 10 /</v>
      </c>
      <c r="C78" s="489"/>
      <c r="D78" s="489"/>
      <c r="E78" s="490"/>
      <c r="F78" s="490"/>
      <c r="G78" s="490"/>
      <c r="H78" s="490"/>
      <c r="I78" s="490"/>
      <c r="J78" s="490"/>
      <c r="K78" s="491"/>
      <c r="L78" s="492"/>
      <c r="M78" s="337"/>
      <c r="N78" s="337"/>
      <c r="O78" s="337"/>
    </row>
    <row r="79" spans="1:15" x14ac:dyDescent="0.3">
      <c r="B79" s="493" t="s">
        <v>254</v>
      </c>
      <c r="C79" s="494"/>
      <c r="D79" s="494"/>
      <c r="E79" s="495"/>
      <c r="F79" s="495"/>
      <c r="G79" s="495"/>
      <c r="H79" s="495"/>
      <c r="I79" s="495"/>
      <c r="J79" s="495"/>
      <c r="K79" s="496"/>
      <c r="L79" s="497">
        <v>1</v>
      </c>
    </row>
    <row r="80" spans="1:15" ht="14.5" thickBot="1" x14ac:dyDescent="0.35">
      <c r="B80" s="498" t="s">
        <v>255</v>
      </c>
      <c r="C80" s="499"/>
      <c r="D80" s="499"/>
      <c r="E80" s="236"/>
      <c r="F80" s="236"/>
      <c r="G80" s="236"/>
      <c r="H80" s="236"/>
      <c r="I80" s="236"/>
      <c r="J80" s="236"/>
      <c r="K80" s="500"/>
      <c r="L80" s="501">
        <v>2</v>
      </c>
    </row>
    <row r="81" spans="2:22" ht="14.5" thickBot="1" x14ac:dyDescent="0.35">
      <c r="B81" s="1210">
        <f>VLOOKUP(B78,B79:L80,11,FALSE)</f>
        <v>1</v>
      </c>
      <c r="C81" s="1211"/>
      <c r="D81" s="1211"/>
      <c r="E81" s="1211"/>
      <c r="F81" s="1211"/>
      <c r="G81" s="1211"/>
      <c r="H81" s="1211"/>
      <c r="I81" s="1211"/>
      <c r="J81" s="1211"/>
      <c r="K81" s="1212"/>
      <c r="L81" s="492"/>
    </row>
    <row r="82" spans="2:22" ht="14.5" thickBot="1" x14ac:dyDescent="0.3"/>
    <row r="83" spans="2:22" ht="14.5" thickBot="1" x14ac:dyDescent="0.3">
      <c r="B83" s="1220">
        <f>B81</f>
        <v>1</v>
      </c>
      <c r="C83" s="1221"/>
      <c r="D83" s="1221"/>
      <c r="E83" s="1221"/>
      <c r="F83" s="1221"/>
      <c r="G83" s="1221"/>
      <c r="H83" s="1221"/>
      <c r="I83" s="1221"/>
      <c r="J83" s="1221"/>
      <c r="K83" s="1221"/>
      <c r="L83" s="1221"/>
      <c r="M83" s="502"/>
      <c r="N83" s="502"/>
      <c r="O83" s="502"/>
      <c r="P83" s="502"/>
      <c r="Q83" s="502"/>
      <c r="R83" s="502"/>
      <c r="S83" s="502"/>
      <c r="T83" s="502"/>
      <c r="U83" s="503"/>
      <c r="V83"/>
    </row>
    <row r="84" spans="2:22" x14ac:dyDescent="0.3">
      <c r="B84" s="504">
        <v>1</v>
      </c>
      <c r="C84" s="505" t="s">
        <v>17</v>
      </c>
      <c r="D84" s="506"/>
      <c r="E84" s="507"/>
      <c r="F84" s="507"/>
      <c r="G84" s="507"/>
      <c r="H84" s="507"/>
      <c r="I84" s="507"/>
      <c r="J84" s="508"/>
      <c r="K84" s="509"/>
      <c r="L84" s="509"/>
      <c r="M84" s="224"/>
      <c r="N84" s="224"/>
      <c r="O84" s="224"/>
      <c r="P84" s="224"/>
      <c r="Q84" s="224"/>
      <c r="R84" s="224"/>
      <c r="S84" s="224"/>
      <c r="T84" s="224"/>
      <c r="U84" s="510"/>
      <c r="V84"/>
    </row>
    <row r="85" spans="2:22" ht="14.5" thickBot="1" x14ac:dyDescent="0.35">
      <c r="B85" s="511">
        <v>2</v>
      </c>
      <c r="C85" s="512" t="s">
        <v>256</v>
      </c>
      <c r="D85" s="513"/>
      <c r="E85" s="514"/>
      <c r="F85" s="514"/>
      <c r="G85" s="514"/>
      <c r="H85" s="514"/>
      <c r="I85" s="514"/>
      <c r="J85" s="515"/>
      <c r="K85" s="516"/>
      <c r="L85" s="516"/>
      <c r="M85" s="517"/>
      <c r="N85" s="517"/>
      <c r="O85" s="517"/>
      <c r="P85" s="517"/>
      <c r="Q85" s="517"/>
      <c r="R85" s="517"/>
      <c r="S85" s="517"/>
      <c r="T85" s="517"/>
      <c r="U85" s="518"/>
      <c r="V85"/>
    </row>
    <row r="86" spans="2:22" ht="14.5" thickBot="1" x14ac:dyDescent="0.35">
      <c r="B86" s="519" t="str">
        <f>VLOOKUP(B83,B84:H85,2,FALSE)</f>
        <v>Alat yang diuji dalam batas toleransi dan dinyatakan LAIK PAKAI, dimana hasil atau skor akhir sama dengan atau melampaui 70% berdasarkan Keputusan Direktur Jenderal Pelayanan Kesehatan No : HK.02.02/V/0412/2020</v>
      </c>
      <c r="C86" s="520"/>
      <c r="D86" s="520"/>
      <c r="E86" s="521"/>
      <c r="F86" s="521"/>
      <c r="G86" s="521"/>
      <c r="H86" s="521"/>
      <c r="I86" s="521"/>
      <c r="J86" s="522"/>
      <c r="K86" s="516"/>
      <c r="L86" s="523"/>
      <c r="M86" s="517"/>
      <c r="N86" s="517"/>
      <c r="O86" s="517"/>
      <c r="P86" s="517"/>
      <c r="Q86" s="517"/>
      <c r="R86" s="517"/>
      <c r="S86" s="517"/>
      <c r="T86" s="517"/>
      <c r="U86" s="518"/>
      <c r="V86"/>
    </row>
    <row r="92" spans="2:22" x14ac:dyDescent="0.3">
      <c r="D92"/>
      <c r="E92"/>
      <c r="F92"/>
      <c r="G92"/>
      <c r="H92"/>
      <c r="I92"/>
      <c r="J92"/>
      <c r="K92"/>
      <c r="L92"/>
      <c r="M92"/>
      <c r="N92"/>
      <c r="O92" s="353"/>
      <c r="P92" s="352"/>
      <c r="Q92" s="2"/>
      <c r="R92" s="2"/>
      <c r="S92" s="2"/>
      <c r="T92" s="2"/>
      <c r="U92" s="2"/>
      <c r="V92" s="2"/>
    </row>
    <row r="93" spans="2:22" x14ac:dyDescent="0.3">
      <c r="D93"/>
      <c r="E93"/>
      <c r="F93"/>
      <c r="G93"/>
      <c r="H93"/>
      <c r="I93"/>
      <c r="J93"/>
      <c r="K93"/>
      <c r="L93"/>
      <c r="M93"/>
      <c r="N93"/>
      <c r="O93" s="353"/>
      <c r="P93" s="352"/>
      <c r="Q93" s="2"/>
      <c r="R93" s="2"/>
      <c r="S93" s="2"/>
      <c r="T93" s="2"/>
      <c r="U93" s="2"/>
      <c r="V93" s="2"/>
    </row>
    <row r="94" spans="2:22" x14ac:dyDescent="0.25">
      <c r="B94" s="1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</row>
    <row r="95" spans="2:22" x14ac:dyDescent="0.25">
      <c r="B95" s="1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</row>
    <row r="96" spans="2:22" x14ac:dyDescent="0.25">
      <c r="M96"/>
      <c r="N96"/>
      <c r="O96"/>
      <c r="P96"/>
      <c r="Q96"/>
      <c r="R96"/>
      <c r="S96"/>
      <c r="T96"/>
      <c r="U96"/>
      <c r="V96"/>
    </row>
    <row r="97" spans="2:22" x14ac:dyDescent="0.25">
      <c r="M97"/>
      <c r="N97"/>
      <c r="O97"/>
      <c r="P97"/>
      <c r="Q97"/>
      <c r="R97"/>
      <c r="S97"/>
      <c r="T97"/>
      <c r="U97"/>
      <c r="V97"/>
    </row>
    <row r="98" spans="2:22" x14ac:dyDescent="0.25">
      <c r="M98"/>
      <c r="N98"/>
      <c r="O98"/>
      <c r="P98"/>
      <c r="Q98"/>
      <c r="R98"/>
      <c r="S98"/>
      <c r="T98"/>
      <c r="U98"/>
      <c r="V98"/>
    </row>
    <row r="99" spans="2:22" x14ac:dyDescent="0.25">
      <c r="M99"/>
      <c r="N99"/>
      <c r="O99"/>
      <c r="P99"/>
      <c r="Q99"/>
      <c r="R99"/>
      <c r="S99"/>
      <c r="T99"/>
      <c r="U99"/>
      <c r="V99"/>
    </row>
    <row r="100" spans="2:22" x14ac:dyDescent="0.3">
      <c r="B100" s="237"/>
      <c r="C100" s="524"/>
      <c r="D100" s="524"/>
      <c r="E100" s="237"/>
      <c r="F100" s="237"/>
      <c r="G100" s="237"/>
      <c r="H100" s="237"/>
      <c r="I100" s="237"/>
      <c r="J100" s="237"/>
      <c r="K100" s="237"/>
      <c r="L100" s="237"/>
      <c r="M100"/>
      <c r="N100"/>
      <c r="O100"/>
      <c r="P100"/>
      <c r="Q100"/>
      <c r="R100"/>
      <c r="S100"/>
      <c r="T100"/>
      <c r="U100"/>
      <c r="V100"/>
    </row>
    <row r="105" spans="2:22" x14ac:dyDescent="0.25"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7"/>
      <c r="N105" s="337"/>
      <c r="O105" s="337"/>
    </row>
    <row r="106" spans="2:22" x14ac:dyDescent="0.25">
      <c r="B106" s="337"/>
      <c r="C106" s="337"/>
      <c r="D106" s="337"/>
      <c r="E106" s="337"/>
      <c r="F106" s="337"/>
      <c r="G106" s="337"/>
      <c r="H106" s="337"/>
      <c r="I106" s="337"/>
      <c r="J106" s="337"/>
      <c r="K106" s="337"/>
      <c r="L106" s="337"/>
      <c r="M106" s="337"/>
      <c r="N106" s="337"/>
      <c r="O106" s="337"/>
    </row>
    <row r="107" spans="2:22" x14ac:dyDescent="0.25">
      <c r="B107" s="337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  <c r="N107" s="337"/>
      <c r="O107" s="337"/>
    </row>
    <row r="108" spans="2:22" x14ac:dyDescent="0.25">
      <c r="B108" s="337"/>
      <c r="C108" s="337"/>
      <c r="D108" s="337"/>
      <c r="E108" s="337"/>
      <c r="F108" s="337"/>
      <c r="G108" s="337"/>
      <c r="H108" s="337"/>
      <c r="I108" s="337"/>
      <c r="J108" s="337"/>
      <c r="K108" s="337"/>
      <c r="L108" s="337"/>
      <c r="M108" s="337"/>
      <c r="N108" s="337"/>
      <c r="O108" s="337"/>
    </row>
    <row r="109" spans="2:22" x14ac:dyDescent="0.25">
      <c r="B109" s="337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  <c r="N109" s="337"/>
      <c r="O109" s="337"/>
    </row>
    <row r="110" spans="2:22" x14ac:dyDescent="0.25"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37"/>
    </row>
    <row r="111" spans="2:22" x14ac:dyDescent="0.25"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37"/>
    </row>
    <row r="112" spans="2:22" x14ac:dyDescent="0.25"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</row>
    <row r="113" spans="2:15" x14ac:dyDescent="0.25">
      <c r="B113" s="337"/>
      <c r="C113" s="337"/>
      <c r="D113" s="337"/>
      <c r="E113" s="337"/>
      <c r="F113" s="337"/>
      <c r="G113" s="337"/>
      <c r="H113" s="337"/>
      <c r="I113" s="337"/>
      <c r="J113" s="337"/>
      <c r="K113" s="337"/>
      <c r="L113" s="337"/>
      <c r="M113" s="337"/>
      <c r="N113" s="337"/>
      <c r="O113" s="337"/>
    </row>
    <row r="114" spans="2:15" x14ac:dyDescent="0.25">
      <c r="B114" s="337"/>
      <c r="C114" s="337"/>
      <c r="D114" s="337"/>
      <c r="E114" s="337"/>
      <c r="F114" s="337"/>
      <c r="G114" s="337"/>
      <c r="H114" s="337"/>
      <c r="I114" s="337"/>
      <c r="J114" s="337"/>
      <c r="K114" s="337"/>
      <c r="L114" s="337"/>
      <c r="M114" s="337"/>
      <c r="N114" s="337"/>
      <c r="O114" s="337"/>
    </row>
    <row r="115" spans="2:15" x14ac:dyDescent="0.25"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37"/>
    </row>
    <row r="116" spans="2:15" x14ac:dyDescent="0.25"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37"/>
    </row>
    <row r="117" spans="2:15" x14ac:dyDescent="0.25"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</row>
    <row r="118" spans="2:15" x14ac:dyDescent="0.25"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</row>
    <row r="119" spans="2:15" x14ac:dyDescent="0.25"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37"/>
    </row>
    <row r="120" spans="2:15" x14ac:dyDescent="0.25"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7"/>
      <c r="N120" s="337"/>
      <c r="O120" s="337"/>
    </row>
    <row r="121" spans="2:15" x14ac:dyDescent="0.25">
      <c r="B121" s="337"/>
      <c r="C121" s="337"/>
      <c r="D121" s="337"/>
      <c r="E121" s="337"/>
      <c r="F121" s="337"/>
      <c r="G121" s="337"/>
      <c r="H121" s="337"/>
      <c r="I121" s="337"/>
      <c r="J121" s="337"/>
      <c r="K121" s="337"/>
      <c r="L121" s="337"/>
      <c r="M121" s="337"/>
      <c r="N121" s="337"/>
      <c r="O121" s="337"/>
    </row>
    <row r="122" spans="2:15" x14ac:dyDescent="0.25"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37"/>
    </row>
    <row r="123" spans="2:15" x14ac:dyDescent="0.25"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37"/>
    </row>
    <row r="124" spans="2:15" x14ac:dyDescent="0.25"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</row>
    <row r="125" spans="2:15" x14ac:dyDescent="0.25"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</row>
    <row r="126" spans="2:15" x14ac:dyDescent="0.25"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7"/>
      <c r="N126" s="337"/>
      <c r="O126" s="337"/>
    </row>
    <row r="127" spans="2:15" x14ac:dyDescent="0.25">
      <c r="B127" s="337"/>
      <c r="C127" s="337"/>
      <c r="D127" s="337"/>
      <c r="E127" s="337"/>
      <c r="F127" s="337"/>
      <c r="G127" s="337"/>
      <c r="H127" s="337"/>
      <c r="I127" s="337"/>
      <c r="J127" s="337"/>
      <c r="K127" s="337"/>
      <c r="L127" s="337"/>
      <c r="M127" s="337"/>
      <c r="N127" s="337"/>
      <c r="O127" s="337"/>
    </row>
    <row r="128" spans="2:15" x14ac:dyDescent="0.25"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37"/>
    </row>
    <row r="129" spans="2:15" x14ac:dyDescent="0.25"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37"/>
    </row>
    <row r="130" spans="2:15" x14ac:dyDescent="0.25"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</row>
    <row r="131" spans="2:15" x14ac:dyDescent="0.25"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</row>
    <row r="132" spans="2:15" x14ac:dyDescent="0.25"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337"/>
      <c r="M132" s="337"/>
      <c r="N132" s="337"/>
      <c r="O132" s="337"/>
    </row>
    <row r="133" spans="2:15" x14ac:dyDescent="0.25"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37"/>
    </row>
    <row r="134" spans="2:15" x14ac:dyDescent="0.25"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37"/>
    </row>
    <row r="135" spans="2:15" x14ac:dyDescent="0.25"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</row>
    <row r="136" spans="2:15" x14ac:dyDescent="0.25"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</row>
    <row r="137" spans="2:15" x14ac:dyDescent="0.25">
      <c r="B137" s="337"/>
      <c r="C137" s="337"/>
      <c r="D137" s="337"/>
      <c r="E137" s="337"/>
      <c r="F137" s="337"/>
      <c r="G137" s="337"/>
      <c r="H137" s="337"/>
      <c r="I137" s="337"/>
      <c r="J137" s="337"/>
      <c r="K137" s="337"/>
      <c r="L137" s="337"/>
      <c r="M137" s="337"/>
      <c r="N137" s="337"/>
      <c r="O137" s="337"/>
    </row>
    <row r="138" spans="2:15" x14ac:dyDescent="0.25"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37"/>
    </row>
    <row r="139" spans="2:15" x14ac:dyDescent="0.25"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37"/>
    </row>
    <row r="140" spans="2:15" x14ac:dyDescent="0.25"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</row>
    <row r="141" spans="2:15" x14ac:dyDescent="0.25"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</row>
    <row r="142" spans="2:15" x14ac:dyDescent="0.25">
      <c r="B142" s="337"/>
      <c r="C142" s="337"/>
      <c r="D142" s="337"/>
      <c r="E142" s="337"/>
      <c r="F142" s="337"/>
      <c r="G142" s="337"/>
      <c r="H142" s="337"/>
      <c r="I142" s="337"/>
      <c r="J142" s="337"/>
      <c r="K142" s="337"/>
      <c r="L142" s="337"/>
      <c r="M142" s="337"/>
      <c r="N142" s="337"/>
      <c r="O142" s="337"/>
    </row>
    <row r="143" spans="2:15" x14ac:dyDescent="0.25">
      <c r="B143" s="337"/>
      <c r="C143" s="337"/>
      <c r="D143" s="337"/>
      <c r="E143" s="337"/>
      <c r="F143" s="337"/>
      <c r="G143" s="337"/>
      <c r="H143" s="337"/>
      <c r="I143" s="337"/>
      <c r="J143" s="337"/>
      <c r="K143" s="337"/>
      <c r="L143" s="337"/>
      <c r="M143" s="337"/>
      <c r="N143" s="337"/>
      <c r="O143" s="337"/>
    </row>
    <row r="144" spans="2:15" x14ac:dyDescent="0.25"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37"/>
    </row>
    <row r="145" spans="2:15" x14ac:dyDescent="0.25"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37"/>
    </row>
    <row r="146" spans="2:15" x14ac:dyDescent="0.25"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</row>
    <row r="147" spans="2:15" x14ac:dyDescent="0.25"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</row>
    <row r="148" spans="2:15" x14ac:dyDescent="0.25">
      <c r="B148" s="337"/>
      <c r="C148" s="337"/>
      <c r="D148" s="337"/>
      <c r="E148" s="337"/>
      <c r="F148" s="337"/>
      <c r="G148" s="337"/>
      <c r="H148" s="337"/>
      <c r="I148" s="337"/>
      <c r="J148" s="337"/>
      <c r="K148" s="337"/>
      <c r="L148" s="337"/>
      <c r="M148" s="337"/>
      <c r="N148" s="337"/>
      <c r="O148" s="337"/>
    </row>
    <row r="149" spans="2:15" x14ac:dyDescent="0.25"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37"/>
    </row>
    <row r="150" spans="2:15" x14ac:dyDescent="0.25"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37"/>
    </row>
    <row r="151" spans="2:15" x14ac:dyDescent="0.25">
      <c r="B151" s="337"/>
      <c r="C151" s="337"/>
      <c r="D151" s="337"/>
      <c r="E151" s="337"/>
      <c r="F151" s="337"/>
      <c r="G151" s="337"/>
      <c r="H151" s="337"/>
      <c r="I151" s="337"/>
      <c r="J151" s="337"/>
      <c r="K151" s="337"/>
      <c r="L151" s="337"/>
      <c r="M151" s="337"/>
      <c r="N151" s="337"/>
      <c r="O151" s="337"/>
    </row>
    <row r="152" spans="2:15" x14ac:dyDescent="0.25"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</row>
    <row r="153" spans="2:15" x14ac:dyDescent="0.25"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</row>
    <row r="154" spans="2:15" x14ac:dyDescent="0.25">
      <c r="B154" s="337"/>
      <c r="C154" s="337"/>
      <c r="D154" s="337"/>
      <c r="E154" s="337"/>
      <c r="F154" s="337"/>
      <c r="G154" s="337"/>
      <c r="H154" s="337"/>
      <c r="I154" s="337"/>
      <c r="J154" s="337"/>
      <c r="K154" s="337"/>
      <c r="L154" s="337"/>
      <c r="M154" s="337"/>
      <c r="N154" s="337"/>
      <c r="O154" s="337"/>
    </row>
    <row r="155" spans="2:15" x14ac:dyDescent="0.25"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37"/>
    </row>
    <row r="156" spans="2:15" x14ac:dyDescent="0.25"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37"/>
    </row>
    <row r="157" spans="2:15" x14ac:dyDescent="0.25"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</row>
    <row r="158" spans="2:15" x14ac:dyDescent="0.25"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</row>
    <row r="159" spans="2:15" x14ac:dyDescent="0.25"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7"/>
      <c r="N159" s="337"/>
      <c r="O159" s="337"/>
    </row>
    <row r="160" spans="2:15" x14ac:dyDescent="0.25">
      <c r="B160" s="337"/>
      <c r="C160" s="337" t="s">
        <v>257</v>
      </c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</row>
    <row r="161" spans="2:15" x14ac:dyDescent="0.25">
      <c r="B161" s="337"/>
      <c r="C161" s="337" t="s">
        <v>258</v>
      </c>
      <c r="D161" s="337"/>
      <c r="E161" s="337"/>
      <c r="F161" s="337"/>
      <c r="G161" s="337"/>
      <c r="H161" s="337"/>
      <c r="I161" s="337"/>
      <c r="J161" s="337"/>
      <c r="K161" s="337"/>
      <c r="L161" s="337"/>
      <c r="M161" s="337"/>
      <c r="N161" s="337"/>
      <c r="O161" s="337"/>
    </row>
    <row r="162" spans="2:15" x14ac:dyDescent="0.25">
      <c r="B162" s="337"/>
      <c r="C162" s="337"/>
      <c r="D162" s="337"/>
      <c r="E162" s="337"/>
      <c r="F162" s="337"/>
      <c r="G162" s="337"/>
      <c r="H162" s="337"/>
      <c r="I162" s="337"/>
      <c r="J162" s="337"/>
      <c r="K162" s="337"/>
      <c r="L162" s="337"/>
      <c r="M162" s="337"/>
      <c r="N162" s="337"/>
      <c r="O162" s="337"/>
    </row>
    <row r="163" spans="2:15" x14ac:dyDescent="0.25">
      <c r="B163" s="337"/>
      <c r="C163" s="337" t="s">
        <v>259</v>
      </c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37"/>
    </row>
    <row r="164" spans="2:15" x14ac:dyDescent="0.25">
      <c r="B164" s="337"/>
      <c r="C164" s="337" t="s">
        <v>260</v>
      </c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37"/>
    </row>
    <row r="165" spans="2:15" x14ac:dyDescent="0.25"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</row>
    <row r="166" spans="2:15" x14ac:dyDescent="0.25">
      <c r="B166" s="337"/>
      <c r="C166" s="337" t="s">
        <v>167</v>
      </c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</row>
    <row r="167" spans="2:15" x14ac:dyDescent="0.25">
      <c r="B167" s="337"/>
      <c r="C167" s="337" t="s">
        <v>261</v>
      </c>
      <c r="D167" s="337"/>
      <c r="E167" s="337"/>
      <c r="F167" s="337"/>
      <c r="G167" s="337"/>
      <c r="H167" s="337"/>
      <c r="I167" s="337"/>
      <c r="J167" s="337"/>
      <c r="K167" s="337"/>
      <c r="L167" s="337"/>
      <c r="M167" s="337"/>
      <c r="N167" s="337"/>
      <c r="O167" s="337"/>
    </row>
    <row r="168" spans="2:15" x14ac:dyDescent="0.25">
      <c r="B168" s="337"/>
      <c r="C168" s="337" t="s">
        <v>168</v>
      </c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37"/>
    </row>
    <row r="169" spans="2:15" x14ac:dyDescent="0.25">
      <c r="B169" s="337"/>
      <c r="C169" s="337" t="s">
        <v>262</v>
      </c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37"/>
    </row>
    <row r="170" spans="2:15" x14ac:dyDescent="0.25">
      <c r="B170" s="337"/>
      <c r="C170" s="337" t="s">
        <v>263</v>
      </c>
      <c r="D170" s="337"/>
      <c r="E170" s="337"/>
      <c r="F170" s="337"/>
      <c r="G170" s="337"/>
      <c r="H170" s="337"/>
      <c r="I170" s="337"/>
      <c r="J170" s="337"/>
      <c r="K170" s="337"/>
      <c r="L170" s="337"/>
      <c r="M170" s="337"/>
      <c r="N170" s="337"/>
      <c r="O170" s="337"/>
    </row>
    <row r="171" spans="2:15" x14ac:dyDescent="0.25"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</row>
    <row r="172" spans="2:15" x14ac:dyDescent="0.25"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</row>
    <row r="173" spans="2:15" x14ac:dyDescent="0.25">
      <c r="B173" s="337"/>
      <c r="C173" s="337"/>
      <c r="D173" s="337"/>
      <c r="E173" s="337"/>
      <c r="F173" s="337"/>
      <c r="G173" s="337"/>
      <c r="H173" s="337"/>
      <c r="I173" s="337"/>
      <c r="J173" s="337"/>
      <c r="K173" s="337"/>
      <c r="L173" s="337"/>
      <c r="M173" s="337"/>
      <c r="N173" s="337"/>
      <c r="O173" s="337"/>
    </row>
    <row r="174" spans="2:15" x14ac:dyDescent="0.25">
      <c r="B174" s="337"/>
      <c r="C174" s="337"/>
      <c r="D174" s="337"/>
      <c r="E174" s="337"/>
      <c r="F174" s="337"/>
      <c r="G174" s="337"/>
      <c r="H174" s="337"/>
      <c r="I174" s="337"/>
      <c r="J174" s="337"/>
      <c r="K174" s="337"/>
      <c r="L174" s="337"/>
      <c r="M174" s="337"/>
      <c r="N174" s="337"/>
      <c r="O174" s="337"/>
    </row>
    <row r="175" spans="2:15" x14ac:dyDescent="0.25">
      <c r="B175" s="337"/>
      <c r="C175" s="337"/>
      <c r="D175" s="337"/>
      <c r="E175" s="337"/>
      <c r="F175" s="337"/>
      <c r="G175" s="337"/>
      <c r="H175" s="337"/>
      <c r="I175" s="337"/>
      <c r="J175" s="337"/>
      <c r="K175" s="337"/>
      <c r="L175" s="337"/>
      <c r="M175" s="337"/>
      <c r="N175" s="337"/>
      <c r="O175" s="337"/>
    </row>
    <row r="176" spans="2:15" x14ac:dyDescent="0.25"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37"/>
    </row>
    <row r="177" spans="2:15" x14ac:dyDescent="0.25">
      <c r="B177" s="337"/>
      <c r="C177" s="337" t="s">
        <v>264</v>
      </c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37"/>
    </row>
    <row r="178" spans="2:15" x14ac:dyDescent="0.25"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</row>
    <row r="179" spans="2:15" x14ac:dyDescent="0.25">
      <c r="B179" s="337"/>
      <c r="C179" s="337" t="s">
        <v>265</v>
      </c>
      <c r="D179" s="337"/>
      <c r="E179" s="337"/>
      <c r="F179" s="337"/>
      <c r="G179" s="337"/>
      <c r="H179" s="337"/>
      <c r="I179" s="337"/>
      <c r="J179" s="337"/>
      <c r="K179" s="337"/>
      <c r="L179" s="337"/>
      <c r="M179" s="337"/>
      <c r="N179" s="337"/>
      <c r="O179" s="337"/>
    </row>
    <row r="180" spans="2:15" x14ac:dyDescent="0.25">
      <c r="B180" s="337"/>
      <c r="C180" s="337" t="s">
        <v>266</v>
      </c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37"/>
    </row>
    <row r="181" spans="2:15" x14ac:dyDescent="0.25">
      <c r="B181" s="337"/>
      <c r="C181" s="337" t="s">
        <v>267</v>
      </c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37"/>
    </row>
    <row r="182" spans="2:15" x14ac:dyDescent="0.25">
      <c r="B182" s="337"/>
      <c r="C182" s="337" t="s">
        <v>268</v>
      </c>
      <c r="D182" s="337"/>
      <c r="E182" s="337"/>
      <c r="F182" s="337"/>
      <c r="G182" s="337"/>
      <c r="H182" s="337"/>
      <c r="I182" s="337"/>
      <c r="J182" s="337"/>
      <c r="K182" s="337"/>
      <c r="L182" s="337"/>
      <c r="M182" s="337"/>
      <c r="N182" s="337"/>
      <c r="O182" s="337"/>
    </row>
    <row r="183" spans="2:15" x14ac:dyDescent="0.25">
      <c r="B183" s="337"/>
      <c r="C183" s="337" t="s">
        <v>269</v>
      </c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</row>
    <row r="184" spans="2:15" x14ac:dyDescent="0.25"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37"/>
    </row>
    <row r="185" spans="2:15" x14ac:dyDescent="0.25">
      <c r="B185" s="337"/>
      <c r="C185" s="337" t="s">
        <v>265</v>
      </c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37"/>
    </row>
    <row r="186" spans="2:15" x14ac:dyDescent="0.25">
      <c r="B186" s="337"/>
      <c r="C186" s="337" t="s">
        <v>267</v>
      </c>
      <c r="D186" s="337"/>
      <c r="E186" s="337"/>
      <c r="F186" s="337"/>
      <c r="G186" s="337"/>
      <c r="H186" s="337"/>
      <c r="I186" s="337"/>
      <c r="J186" s="337"/>
      <c r="K186" s="337"/>
      <c r="L186" s="337"/>
      <c r="M186" s="337"/>
      <c r="N186" s="337"/>
      <c r="O186" s="337"/>
    </row>
    <row r="187" spans="2:15" x14ac:dyDescent="0.25">
      <c r="B187" s="337"/>
      <c r="C187" s="337"/>
      <c r="D187" s="337"/>
      <c r="E187" s="337"/>
      <c r="F187" s="337"/>
      <c r="G187" s="337"/>
      <c r="H187" s="337"/>
      <c r="I187" s="337"/>
      <c r="J187" s="337"/>
      <c r="K187" s="337"/>
      <c r="L187" s="337"/>
      <c r="M187" s="337"/>
      <c r="N187" s="337"/>
      <c r="O187" s="337"/>
    </row>
    <row r="188" spans="2:15" x14ac:dyDescent="0.25">
      <c r="B188" s="337"/>
      <c r="C188" s="337" t="s">
        <v>270</v>
      </c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37"/>
    </row>
    <row r="189" spans="2:15" x14ac:dyDescent="0.25">
      <c r="B189" s="337"/>
      <c r="C189" s="337" t="s">
        <v>271</v>
      </c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37"/>
    </row>
    <row r="190" spans="2:15" x14ac:dyDescent="0.25"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37"/>
    </row>
    <row r="191" spans="2:15" x14ac:dyDescent="0.25">
      <c r="B191" s="337"/>
      <c r="C191" s="338" t="s">
        <v>272</v>
      </c>
      <c r="D191" s="338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</row>
    <row r="192" spans="2:15" x14ac:dyDescent="0.25">
      <c r="B192" s="337"/>
      <c r="C192" s="338" t="s">
        <v>273</v>
      </c>
      <c r="D192" s="338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</row>
    <row r="193" spans="2:15" x14ac:dyDescent="0.25">
      <c r="B193" s="337"/>
      <c r="C193" s="337"/>
      <c r="D193" s="337"/>
      <c r="E193" s="337"/>
      <c r="F193" s="337"/>
      <c r="G193" s="337"/>
      <c r="H193" s="337"/>
      <c r="I193" s="337"/>
      <c r="J193" s="337"/>
      <c r="K193" s="337"/>
      <c r="L193" s="337"/>
      <c r="M193" s="337"/>
      <c r="N193" s="337"/>
      <c r="O193" s="337"/>
    </row>
    <row r="194" spans="2:15" x14ac:dyDescent="0.25">
      <c r="B194" s="337"/>
      <c r="C194" s="338" t="s">
        <v>274</v>
      </c>
      <c r="D194" s="338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37"/>
    </row>
    <row r="195" spans="2:15" x14ac:dyDescent="0.25">
      <c r="B195" s="337"/>
      <c r="C195" s="338" t="s">
        <v>275</v>
      </c>
      <c r="D195" s="338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37"/>
    </row>
    <row r="196" spans="2:15" x14ac:dyDescent="0.25">
      <c r="B196" s="339"/>
      <c r="C196" s="339"/>
      <c r="D196" s="339"/>
      <c r="E196" s="339"/>
      <c r="F196" s="339"/>
      <c r="G196" s="339"/>
      <c r="H196" s="339"/>
      <c r="I196" s="339"/>
      <c r="J196" s="339"/>
      <c r="K196" s="339"/>
      <c r="L196" s="339"/>
      <c r="M196" s="339"/>
      <c r="N196" s="339"/>
      <c r="O196" s="339"/>
    </row>
  </sheetData>
  <sheetProtection formatCells="0" formatColumns="0" formatRows="0" insertColumns="0" insertRows="0" deleteRows="0"/>
  <mergeCells count="76">
    <mergeCell ref="Q25:Q26"/>
    <mergeCell ref="P19:Q20"/>
    <mergeCell ref="V24:AB24"/>
    <mergeCell ref="M32:M35"/>
    <mergeCell ref="K35:L35"/>
    <mergeCell ref="Q35:R39"/>
    <mergeCell ref="Q30:R34"/>
    <mergeCell ref="O30:O31"/>
    <mergeCell ref="R19:R20"/>
    <mergeCell ref="S19:S20"/>
    <mergeCell ref="T19:T20"/>
    <mergeCell ref="V19:AD19"/>
    <mergeCell ref="V20:AD20"/>
    <mergeCell ref="K37:L38"/>
    <mergeCell ref="M37:M38"/>
    <mergeCell ref="V21:AD21"/>
    <mergeCell ref="P25:P26"/>
    <mergeCell ref="E7:F7"/>
    <mergeCell ref="E17:F17"/>
    <mergeCell ref="E9:F9"/>
    <mergeCell ref="C24:H24"/>
    <mergeCell ref="K34:L34"/>
    <mergeCell ref="K26:L26"/>
    <mergeCell ref="D30:E31"/>
    <mergeCell ref="E8:F8"/>
    <mergeCell ref="I30:J30"/>
    <mergeCell ref="I31:J31"/>
    <mergeCell ref="K25:L25"/>
    <mergeCell ref="B83:L83"/>
    <mergeCell ref="I34:J34"/>
    <mergeCell ref="G66:H66"/>
    <mergeCell ref="I37:J37"/>
    <mergeCell ref="I39:J39"/>
    <mergeCell ref="J66:K67"/>
    <mergeCell ref="J65:K65"/>
    <mergeCell ref="G65:H65"/>
    <mergeCell ref="D39:E39"/>
    <mergeCell ref="D37:E37"/>
    <mergeCell ref="B65:F65"/>
    <mergeCell ref="K39:L39"/>
    <mergeCell ref="H32:H35"/>
    <mergeCell ref="K32:L32"/>
    <mergeCell ref="K33:L33"/>
    <mergeCell ref="C32:C35"/>
    <mergeCell ref="B81:K81"/>
    <mergeCell ref="H30:H31"/>
    <mergeCell ref="D35:E35"/>
    <mergeCell ref="D32:E32"/>
    <mergeCell ref="D33:E33"/>
    <mergeCell ref="D34:E34"/>
    <mergeCell ref="I32:J32"/>
    <mergeCell ref="I33:J33"/>
    <mergeCell ref="B30:B31"/>
    <mergeCell ref="C30:C31"/>
    <mergeCell ref="K30:L31"/>
    <mergeCell ref="H37:H38"/>
    <mergeCell ref="D38:E38"/>
    <mergeCell ref="I38:J38"/>
    <mergeCell ref="B37:B38"/>
    <mergeCell ref="C37:C38"/>
    <mergeCell ref="O37:O38"/>
    <mergeCell ref="P6:Q6"/>
    <mergeCell ref="B56:M57"/>
    <mergeCell ref="A1:M1"/>
    <mergeCell ref="A2:M2"/>
    <mergeCell ref="I35:J35"/>
    <mergeCell ref="E6:G6"/>
    <mergeCell ref="P8:Q8"/>
    <mergeCell ref="K27:L27"/>
    <mergeCell ref="I26:J26"/>
    <mergeCell ref="I24:J24"/>
    <mergeCell ref="M25:M27"/>
    <mergeCell ref="M30:M31"/>
    <mergeCell ref="K24:L24"/>
    <mergeCell ref="I25:J25"/>
    <mergeCell ref="I27:J27"/>
  </mergeCells>
  <phoneticPr fontId="4" type="noConversion"/>
  <printOptions horizontalCentered="1"/>
  <pageMargins left="0.511811023622047" right="0.23622047244094499" top="0.511811023622047" bottom="0.31496062992126" header="0.23622047244094499" footer="0.15748031496063"/>
  <pageSetup paperSize="9" scale="68" orientation="portrait" horizontalDpi="4294967294" verticalDpi="4294967294" r:id="rId1"/>
  <headerFooter>
    <oddHeader>&amp;R&amp;"-,Regular"&amp;8WF.LP - 016-18 / REV : 0</oddHeader>
    <oddFooter>&amp;R&amp;8&amp;K00-049Centrifuge Peng 13.7.2022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68" r:id="rId312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F2756803-BCB9-4B59-B3E2-08EB93669FA8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J66</xm:sqref>
        </x14:conditionalFormatting>
        <x14:conditionalFormatting xmlns:xm="http://schemas.microsoft.com/office/excel/2006/main">
          <x14:cfRule type="iconSet" priority="24" id="{471B92FD-6135-48FE-B585-C015B74FD105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K32:K35</xm:sqref>
        </x14:conditionalFormatting>
        <x14:conditionalFormatting xmlns:xm="http://schemas.microsoft.com/office/excel/2006/main">
          <x14:cfRule type="iconSet" priority="1" id="{39EAC543-32A1-4304-8107-F3366D4DCE2A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K39</xm:sqref>
        </x14:conditionalFormatting>
        <x14:conditionalFormatting xmlns:xm="http://schemas.microsoft.com/office/excel/2006/main">
          <x14:cfRule type="iconSet" priority="19" id="{3779A42A-D65C-4404-9F04-993A83549A94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M20:M21</xm:sqref>
        </x14:conditionalFormatting>
        <x14:conditionalFormatting xmlns:xm="http://schemas.microsoft.com/office/excel/2006/main">
          <x14:cfRule type="iconSet" priority="9" id="{866FE2E5-D0D7-4275-B4C9-D9D743E62AAD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M25:M27</xm:sqref>
        </x14:conditionalFormatting>
        <x14:conditionalFormatting xmlns:xm="http://schemas.microsoft.com/office/excel/2006/main">
          <x14:cfRule type="iconSet" priority="8" id="{D73158D1-AD13-4CCE-B793-9266918B5E12}">
            <x14:iconSet iconSet="3Symbols" custom="1">
              <x14:cfvo type="percent">
                <xm:f>0</xm:f>
              </x14:cfvo>
              <x14:cfvo type="num">
                <xm:f>26.25</xm:f>
              </x14:cfvo>
              <x14:cfvo type="num">
                <xm:f>26.25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M32:M35</xm:sqref>
        </x14:conditionalFormatting>
        <x14:conditionalFormatting xmlns:xm="http://schemas.microsoft.com/office/excel/2006/main">
          <x14:cfRule type="iconSet" priority="23" id="{FE9CB0CE-C06E-470F-B066-C158C42AF90E}">
            <x14:iconSet custom="1">
              <x14:cfvo type="percent">
                <xm:f>0</xm:f>
              </x14:cfvo>
              <x14:cfvo type="num" gte="0">
                <xm:f>-10</xm:f>
              </x14:cfvo>
              <x14:cfvo type="num" gte="0">
                <xm:f>10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0" id="{3D40B23B-BFEB-4989-B997-DF7C9EC8B794}">
            <x14:iconSet custom="1">
              <x14:cfvo type="percent">
                <xm:f>0</xm:f>
              </x14:cfvo>
              <x14:cfvo type="num">
                <xm:f>15</xm:f>
              </x14:cfvo>
              <x14:cfvo type="num">
                <xm:f>15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M39</xm:sqref>
        </x14:conditionalFormatting>
        <x14:conditionalFormatting xmlns:xm="http://schemas.microsoft.com/office/excel/2006/main">
          <x14:cfRule type="iconSet" priority="18" id="{7276865E-A82C-4B2B-A3FE-D26F2B0B6F50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N25:N27</xm:sqref>
        </x14:conditionalFormatting>
        <x14:conditionalFormatting xmlns:xm="http://schemas.microsoft.com/office/excel/2006/main">
          <x14:cfRule type="iconSet" priority="14" id="{B564BA63-2C05-48E3-B9B5-761A34881141}">
            <x14:iconSet custom="1">
              <x14:cfvo type="percent">
                <xm:f>0</xm:f>
              </x14:cfvo>
              <x14:cfvo type="num">
                <xm:f>6.25</xm:f>
              </x14:cfvo>
              <x14:cfvo type="num">
                <xm:f>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N32:N35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84"/>
  <sheetViews>
    <sheetView showGridLines="0" tabSelected="1" view="pageBreakPreview" zoomScaleNormal="100" zoomScaleSheetLayoutView="100" workbookViewId="0">
      <selection activeCell="E12" sqref="E12"/>
    </sheetView>
  </sheetViews>
  <sheetFormatPr defaultColWidth="9.1796875" defaultRowHeight="15" customHeight="1" x14ac:dyDescent="0.25"/>
  <cols>
    <col min="1" max="1" width="4.1796875" style="30" customWidth="1"/>
    <col min="2" max="2" width="4.81640625" style="30" customWidth="1"/>
    <col min="3" max="3" width="16.54296875" style="30" customWidth="1"/>
    <col min="4" max="4" width="2.1796875" style="30" customWidth="1"/>
    <col min="5" max="5" width="7.26953125" style="30" customWidth="1"/>
    <col min="6" max="6" width="12.54296875" style="30" customWidth="1"/>
    <col min="7" max="7" width="11.7265625" style="30" customWidth="1"/>
    <col min="8" max="8" width="10.90625" style="30" customWidth="1"/>
    <col min="9" max="9" width="9.1796875" style="30" customWidth="1"/>
    <col min="10" max="10" width="9.08984375" style="30" customWidth="1"/>
    <col min="11" max="11" width="9.1796875" style="30" customWidth="1"/>
    <col min="12" max="12" width="14.81640625" style="30" customWidth="1"/>
    <col min="13" max="13" width="7.54296875" style="30" customWidth="1"/>
    <col min="14" max="14" width="10.7265625" style="30" bestFit="1" customWidth="1"/>
    <col min="15" max="16384" width="9.1796875" style="30"/>
  </cols>
  <sheetData>
    <row r="1" spans="1:21" ht="15" customHeight="1" x14ac:dyDescent="0.25">
      <c r="A1" s="1106" t="str">
        <f>PENYELIA!A1:O1</f>
        <v>Hasil Pengujian Centrifuge</v>
      </c>
      <c r="B1" s="1106"/>
      <c r="C1" s="1106"/>
      <c r="D1" s="1106"/>
      <c r="E1" s="1106"/>
      <c r="F1" s="1106"/>
      <c r="G1" s="1106"/>
      <c r="H1" s="1106"/>
      <c r="I1" s="1106"/>
      <c r="J1" s="1106"/>
      <c r="K1" s="1106"/>
      <c r="L1" s="1106"/>
      <c r="M1" s="1106"/>
      <c r="N1" s="314"/>
    </row>
    <row r="2" spans="1:21" ht="15" customHeight="1" x14ac:dyDescent="0.25">
      <c r="A2" s="1257" t="str">
        <f>PENYELIA!A2:O2</f>
        <v>Nomor Sertifikat : 10 / 1 / VIII - 22 / E - 008.27 DL</v>
      </c>
      <c r="B2" s="1257"/>
      <c r="C2" s="1257"/>
      <c r="D2" s="1257"/>
      <c r="E2" s="1257"/>
      <c r="F2" s="1257"/>
      <c r="G2" s="1257"/>
      <c r="H2" s="1257"/>
      <c r="I2" s="1257"/>
      <c r="J2" s="1257"/>
      <c r="K2" s="1257"/>
      <c r="L2" s="1257"/>
      <c r="M2" s="1257"/>
    </row>
    <row r="3" spans="1:21" ht="15" customHeight="1" x14ac:dyDescent="0.25">
      <c r="L3" s="315"/>
    </row>
    <row r="4" spans="1:21" ht="15" customHeight="1" x14ac:dyDescent="0.25">
      <c r="A4" s="30" t="str">
        <f>PENYELIA!A4</f>
        <v>Merek</v>
      </c>
      <c r="D4" s="31" t="str">
        <f>PENYELIA!D4</f>
        <v>:</v>
      </c>
      <c r="E4" s="21" t="str">
        <f>PENYELIA!E4</f>
        <v>-</v>
      </c>
      <c r="F4" s="21"/>
      <c r="G4" s="21"/>
      <c r="L4" s="315"/>
    </row>
    <row r="5" spans="1:21" ht="15" customHeight="1" x14ac:dyDescent="0.25">
      <c r="A5" s="30" t="str">
        <f>PENYELIA!A5</f>
        <v>Model/Tipe</v>
      </c>
      <c r="D5" s="31" t="str">
        <f>PENYELIA!D5</f>
        <v>:</v>
      </c>
      <c r="E5" s="21" t="str">
        <f>PENYELIA!E5</f>
        <v>80-1</v>
      </c>
      <c r="F5" s="21"/>
      <c r="G5" s="21"/>
      <c r="L5" s="315"/>
    </row>
    <row r="6" spans="1:21" ht="15" customHeight="1" x14ac:dyDescent="0.25">
      <c r="A6" s="30" t="str">
        <f>PENYELIA!A6</f>
        <v>No. Seri</v>
      </c>
      <c r="D6" s="31" t="str">
        <f>PENYELIA!D6</f>
        <v>:</v>
      </c>
      <c r="E6" s="1195" t="str">
        <f>PENYELIA!E6</f>
        <v>-</v>
      </c>
      <c r="F6" s="1195"/>
      <c r="G6" s="1195"/>
      <c r="L6" s="315"/>
    </row>
    <row r="7" spans="1:21" ht="15" hidden="1" customHeight="1" x14ac:dyDescent="0.25">
      <c r="A7" s="30" t="str">
        <f>PENYELIA!A7</f>
        <v>Resolusi</v>
      </c>
      <c r="D7" s="31" t="str">
        <f>PENYELIA!D7</f>
        <v>:</v>
      </c>
      <c r="E7" s="1246" t="str">
        <f>PENYELIA!E7</f>
        <v>( Analog )</v>
      </c>
      <c r="F7" s="1246"/>
      <c r="G7" s="21"/>
      <c r="L7" s="315"/>
    </row>
    <row r="8" spans="1:21" ht="15" customHeight="1" x14ac:dyDescent="0.25">
      <c r="A8" s="30" t="str">
        <f>PENYELIA!A8</f>
        <v>Tanggal Penerimaan Alat</v>
      </c>
      <c r="D8" s="31" t="str">
        <f>PENYELIA!D8</f>
        <v>:</v>
      </c>
      <c r="E8" s="1242" t="str">
        <f>PENYELIA!E8</f>
        <v>2 Agustus 2022</v>
      </c>
      <c r="F8" s="1242"/>
      <c r="G8" s="21"/>
      <c r="L8" s="315"/>
    </row>
    <row r="9" spans="1:21" ht="15" customHeight="1" x14ac:dyDescent="0.25">
      <c r="A9" s="30" t="str">
        <f>PENYELIA!A9</f>
        <v>Tanggal Pengujian</v>
      </c>
      <c r="D9" s="31" t="str">
        <f>PENYELIA!D9</f>
        <v>:</v>
      </c>
      <c r="E9" s="1242" t="str">
        <f>PENYELIA!E9</f>
        <v>2 Agustus 2022</v>
      </c>
      <c r="F9" s="1242"/>
      <c r="G9" s="21"/>
      <c r="L9" s="315"/>
    </row>
    <row r="10" spans="1:21" ht="15" customHeight="1" x14ac:dyDescent="0.25">
      <c r="A10" s="30" t="str">
        <f>PENYELIA!A10</f>
        <v>Tempat Pengujian</v>
      </c>
      <c r="D10" s="31" t="str">
        <f>PENYELIA!D10</f>
        <v>:</v>
      </c>
      <c r="E10" s="21" t="str">
        <f>PENYELIA!E10</f>
        <v>Laboratorium Kalibrasi LPFK Banjarbaru</v>
      </c>
      <c r="F10" s="21"/>
      <c r="G10" s="21"/>
      <c r="L10" s="315"/>
      <c r="O10" s="1023" t="str">
        <f>O17&amp;O15&amp;P17&amp;P15&amp;Q17&amp;Q15</f>
        <v>( 20.6 ± 0.1 ) °C</v>
      </c>
      <c r="P10" s="260"/>
    </row>
    <row r="11" spans="1:21" ht="15" customHeight="1" x14ac:dyDescent="0.25">
      <c r="A11" s="30" t="str">
        <f>PENYELIA!A11</f>
        <v>Nama Ruang</v>
      </c>
      <c r="D11" s="31" t="str">
        <f>PENYELIA!D11</f>
        <v>:</v>
      </c>
      <c r="E11" s="21" t="str">
        <f>PENYELIA!E11</f>
        <v>-</v>
      </c>
      <c r="F11" s="21"/>
      <c r="G11" s="21"/>
      <c r="L11" s="315"/>
      <c r="O11" s="1023" t="str">
        <f>O17&amp;O16&amp;P17&amp;P16&amp;Q17&amp;Q16</f>
        <v>( 66.4 ± 1.5 ) %RH</v>
      </c>
      <c r="P11" s="260"/>
    </row>
    <row r="12" spans="1:21" ht="15" customHeight="1" x14ac:dyDescent="0.25">
      <c r="A12" s="30" t="str">
        <f>PENYELIA!A12</f>
        <v>Metode Kerja</v>
      </c>
      <c r="D12" s="31" t="str">
        <f>PENYELIA!D12</f>
        <v>:</v>
      </c>
      <c r="E12" s="30" t="str">
        <f>PENYELIA!E12</f>
        <v>MK 016-18</v>
      </c>
      <c r="L12" s="315"/>
      <c r="O12" s="1258" t="str">
        <f>S16&amp;S15&amp;T16&amp;T15&amp;U16&amp;U15</f>
        <v>( 211.8 ± 2.5 ) Volt</v>
      </c>
      <c r="P12" s="1258"/>
    </row>
    <row r="13" spans="1:21" ht="12" customHeight="1" thickBot="1" x14ac:dyDescent="0.3">
      <c r="D13" s="31"/>
      <c r="L13" s="315"/>
    </row>
    <row r="14" spans="1:21" ht="15" customHeight="1" x14ac:dyDescent="0.25">
      <c r="A14" s="256" t="str">
        <f>PENYELIA!A14</f>
        <v>I.</v>
      </c>
      <c r="B14" s="256" t="str">
        <f>PENYELIA!B14</f>
        <v>Kondisi Ruang</v>
      </c>
      <c r="C14" s="256"/>
      <c r="D14" s="256"/>
      <c r="E14" s="256"/>
      <c r="F14" s="256"/>
      <c r="G14" s="256"/>
      <c r="H14" s="256"/>
      <c r="I14" s="256"/>
      <c r="J14" s="256"/>
      <c r="K14" s="256"/>
      <c r="L14" s="257"/>
      <c r="M14" s="324"/>
      <c r="O14" s="1253" t="s">
        <v>276</v>
      </c>
      <c r="P14" s="1254"/>
      <c r="Q14" s="1255"/>
      <c r="S14" s="1253" t="s">
        <v>276</v>
      </c>
      <c r="T14" s="1254"/>
      <c r="U14" s="1255"/>
    </row>
    <row r="15" spans="1:21" ht="15" customHeight="1" x14ac:dyDescent="0.25">
      <c r="A15" s="258"/>
      <c r="B15" s="258" t="str">
        <f>PENYELIA!B15</f>
        <v xml:space="preserve">1. Suhu </v>
      </c>
      <c r="C15" s="258"/>
      <c r="D15" s="259" t="str">
        <f>PENYELIA!D15</f>
        <v>:</v>
      </c>
      <c r="E15" s="1056" t="str">
        <f>O15</f>
        <v>20.6</v>
      </c>
      <c r="F15" s="321" t="str">
        <f>P17</f>
        <v xml:space="preserve"> ± </v>
      </c>
      <c r="G15" s="260" t="str">
        <f>P15</f>
        <v>0.1</v>
      </c>
      <c r="H15" s="260" t="str">
        <f>Q15</f>
        <v xml:space="preserve"> °C</v>
      </c>
      <c r="I15" s="258"/>
      <c r="J15" s="258"/>
      <c r="K15" s="258"/>
      <c r="L15" s="262"/>
      <c r="O15" s="638" t="str">
        <f>'DB Suhu'!N390</f>
        <v>20.6</v>
      </c>
      <c r="P15" s="638" t="str">
        <f>'DB Suhu'!O390</f>
        <v>0.1</v>
      </c>
      <c r="Q15" s="639" t="s">
        <v>277</v>
      </c>
      <c r="S15" s="638" t="str">
        <f>'DB ESA'!H272</f>
        <v>211.8</v>
      </c>
      <c r="T15" s="624" t="str">
        <f>'DB ESA'!I272</f>
        <v>2.5</v>
      </c>
      <c r="U15" s="639" t="s">
        <v>278</v>
      </c>
    </row>
    <row r="16" spans="1:21" ht="15" customHeight="1" thickBot="1" x14ac:dyDescent="0.35">
      <c r="A16" s="258"/>
      <c r="B16" s="258" t="str">
        <f>PENYELIA!B16</f>
        <v xml:space="preserve">2. Kelembaban </v>
      </c>
      <c r="C16" s="258"/>
      <c r="D16" s="259" t="str">
        <f>PENYELIA!D16</f>
        <v>:</v>
      </c>
      <c r="E16" s="1056" t="str">
        <f>O16</f>
        <v>66.4</v>
      </c>
      <c r="F16" s="321" t="str">
        <f>P17</f>
        <v xml:space="preserve"> ± </v>
      </c>
      <c r="G16" s="260" t="str">
        <f>P16</f>
        <v>1.5</v>
      </c>
      <c r="H16" s="260" t="str">
        <f>Q16</f>
        <v xml:space="preserve"> %RH</v>
      </c>
      <c r="I16" s="258"/>
      <c r="J16" s="258"/>
      <c r="K16" s="258"/>
      <c r="L16" s="262"/>
      <c r="O16" s="638" t="str">
        <f>'DB Suhu'!N391</f>
        <v>66.4</v>
      </c>
      <c r="P16" s="638" t="str">
        <f>'DB Suhu'!O391</f>
        <v>1.5</v>
      </c>
      <c r="Q16" s="639" t="s">
        <v>279</v>
      </c>
      <c r="S16" s="643" t="s">
        <v>280</v>
      </c>
      <c r="T16" s="644" t="s">
        <v>281</v>
      </c>
      <c r="U16" s="645" t="s">
        <v>282</v>
      </c>
    </row>
    <row r="17" spans="1:21" ht="15" customHeight="1" thickBot="1" x14ac:dyDescent="0.35">
      <c r="A17" s="258"/>
      <c r="B17" s="258" t="str">
        <f>PENYELIA!B17</f>
        <v>3. Tegangan Jala - jala</v>
      </c>
      <c r="C17" s="258"/>
      <c r="D17" s="259" t="str">
        <f>PENYELIA!D17</f>
        <v>:</v>
      </c>
      <c r="E17" s="1056" t="str">
        <f>S15</f>
        <v>211.8</v>
      </c>
      <c r="F17" s="321" t="str">
        <f>T16</f>
        <v xml:space="preserve"> ± </v>
      </c>
      <c r="G17" s="260" t="str">
        <f>T15</f>
        <v>2.5</v>
      </c>
      <c r="H17" s="260" t="str">
        <f>U15</f>
        <v xml:space="preserve"> Volt</v>
      </c>
      <c r="I17" s="258"/>
      <c r="J17" s="258"/>
      <c r="K17" s="258"/>
      <c r="L17" s="262"/>
      <c r="O17" s="643" t="s">
        <v>280</v>
      </c>
      <c r="P17" s="644" t="s">
        <v>281</v>
      </c>
      <c r="Q17" s="645" t="s">
        <v>282</v>
      </c>
      <c r="S17" s="1256"/>
      <c r="T17" s="1256"/>
      <c r="U17" s="1256"/>
    </row>
    <row r="18" spans="1:21" ht="12" customHeight="1" x14ac:dyDescent="0.25">
      <c r="A18" s="258"/>
      <c r="B18" s="258"/>
      <c r="C18" s="258"/>
      <c r="D18" s="259"/>
      <c r="E18" s="263"/>
      <c r="F18" s="259"/>
      <c r="G18" s="261"/>
      <c r="H18" s="261"/>
      <c r="I18" s="258"/>
      <c r="J18" s="258"/>
      <c r="K18" s="258"/>
      <c r="L18" s="262"/>
    </row>
    <row r="19" spans="1:21" ht="15" customHeight="1" x14ac:dyDescent="0.25">
      <c r="A19" s="256" t="str">
        <f>PENYELIA!$A$19</f>
        <v>II.</v>
      </c>
      <c r="B19" s="256" t="str">
        <f>PENYELIA!$B$19</f>
        <v>Pemeriksaan Kondisi Fisik dan Fungsi Alat</v>
      </c>
      <c r="C19" s="256"/>
      <c r="D19" s="256"/>
      <c r="E19" s="256"/>
      <c r="F19" s="256"/>
      <c r="G19" s="256"/>
      <c r="H19" s="256"/>
      <c r="I19" s="256"/>
      <c r="J19" s="256"/>
      <c r="K19" s="256"/>
      <c r="L19" s="262"/>
      <c r="O19" s="1265"/>
      <c r="P19" s="1036"/>
      <c r="Q19" s="603"/>
    </row>
    <row r="20" spans="1:21" ht="15" customHeight="1" x14ac:dyDescent="0.25">
      <c r="A20" s="258"/>
      <c r="B20" s="258" t="str">
        <f>PENYELIA!$B$20</f>
        <v>1. Fisik</v>
      </c>
      <c r="C20" s="258"/>
      <c r="D20" s="259" t="str">
        <f>PENYELIA!$D$20</f>
        <v>:</v>
      </c>
      <c r="E20" s="258" t="str">
        <f>PENYELIA!$E$20</f>
        <v>Baik</v>
      </c>
      <c r="F20" s="258"/>
      <c r="G20" s="258"/>
      <c r="H20" s="258"/>
      <c r="I20" s="258"/>
      <c r="J20" s="258"/>
      <c r="K20" s="258"/>
      <c r="L20" s="262"/>
      <c r="O20" s="1265"/>
      <c r="P20" s="1036"/>
      <c r="Q20" s="603"/>
    </row>
    <row r="21" spans="1:21" ht="15" customHeight="1" x14ac:dyDescent="0.25">
      <c r="A21" s="258"/>
      <c r="B21" s="258" t="str">
        <f>PENYELIA!$B$21</f>
        <v>2. Fungsi</v>
      </c>
      <c r="C21" s="258"/>
      <c r="D21" s="259" t="str">
        <f>PENYELIA!$D$21</f>
        <v>:</v>
      </c>
      <c r="E21" s="258" t="str">
        <f>PENYELIA!$E$21</f>
        <v>Baik</v>
      </c>
      <c r="F21" s="258"/>
      <c r="G21" s="258"/>
      <c r="H21" s="258"/>
      <c r="I21" s="258"/>
      <c r="J21" s="258"/>
      <c r="K21" s="258"/>
      <c r="L21" s="262"/>
      <c r="O21" s="1265"/>
      <c r="P21" s="1036"/>
      <c r="Q21" s="603"/>
    </row>
    <row r="22" spans="1:21" ht="12" customHeight="1" x14ac:dyDescent="0.25">
      <c r="A22" s="258"/>
      <c r="B22" s="258"/>
      <c r="C22" s="258"/>
      <c r="D22" s="259"/>
      <c r="E22" s="258"/>
      <c r="F22" s="258"/>
      <c r="G22" s="258"/>
      <c r="H22" s="258"/>
      <c r="I22" s="258"/>
      <c r="J22" s="258"/>
      <c r="K22" s="258"/>
      <c r="L22" s="262"/>
    </row>
    <row r="23" spans="1:21" ht="15" customHeight="1" x14ac:dyDescent="0.25">
      <c r="A23" s="256" t="str">
        <f>PENYELIA!$A$23</f>
        <v>III.</v>
      </c>
      <c r="B23" s="256" t="str">
        <f>PENYELIA!$B$23</f>
        <v>Pengujian Keselamatan Listrik</v>
      </c>
      <c r="C23" s="256"/>
      <c r="D23" s="256"/>
      <c r="E23" s="258"/>
      <c r="F23" s="258"/>
      <c r="G23" s="258"/>
      <c r="H23" s="264"/>
      <c r="I23" s="258"/>
      <c r="J23" s="258"/>
      <c r="K23" s="258"/>
      <c r="L23" s="262"/>
    </row>
    <row r="24" spans="1:21" ht="32.25" customHeight="1" x14ac:dyDescent="0.25">
      <c r="A24" s="258"/>
      <c r="B24" s="265" t="s">
        <v>77</v>
      </c>
      <c r="C24" s="1266" t="s">
        <v>78</v>
      </c>
      <c r="D24" s="1267"/>
      <c r="E24" s="1267"/>
      <c r="F24" s="1267"/>
      <c r="G24" s="1268"/>
      <c r="H24" s="1266" t="s">
        <v>79</v>
      </c>
      <c r="I24" s="1268"/>
      <c r="J24" s="1266" t="s">
        <v>80</v>
      </c>
      <c r="K24" s="1268"/>
      <c r="L24" s="258"/>
    </row>
    <row r="25" spans="1:21" ht="15" customHeight="1" x14ac:dyDescent="0.25">
      <c r="A25" s="258"/>
      <c r="B25" s="266">
        <f>PENYELIA!B25</f>
        <v>1</v>
      </c>
      <c r="C25" s="267" t="str">
        <f>PENYELIA!C25</f>
        <v xml:space="preserve">Resistansi isolasi </v>
      </c>
      <c r="D25" s="268"/>
      <c r="E25" s="268"/>
      <c r="F25" s="268"/>
      <c r="G25" s="269"/>
      <c r="H25" s="1601" t="str">
        <f>PENYELIA!I25</f>
        <v>OL</v>
      </c>
      <c r="I25" s="1598" t="str">
        <f>IF(OR(H25="OL",H25="-"),"","MΩ")</f>
        <v/>
      </c>
      <c r="J25" s="1278">
        <f>PENYELIA!K25</f>
        <v>2</v>
      </c>
      <c r="K25" s="1279"/>
      <c r="L25" s="258"/>
    </row>
    <row r="26" spans="1:21" ht="15" customHeight="1" x14ac:dyDescent="0.25">
      <c r="A26" s="258"/>
      <c r="B26" s="270">
        <f>PENYELIA!B26</f>
        <v>2</v>
      </c>
      <c r="C26" s="1047" t="str">
        <f>PENYELIA!C26</f>
        <v>Resistansi pembumian protektif</v>
      </c>
      <c r="D26" s="271"/>
      <c r="E26" s="271"/>
      <c r="F26" s="271"/>
      <c r="G26" s="272"/>
      <c r="H26" s="1602">
        <f>PENYELIA!I26</f>
        <v>0.21622046948820212</v>
      </c>
      <c r="I26" s="1599" t="str">
        <f>IF(OR(H26="OL",H26="-"),"","Ω")</f>
        <v>Ω</v>
      </c>
      <c r="J26" s="1261">
        <f>PENYELIA!K26</f>
        <v>0.2</v>
      </c>
      <c r="K26" s="1262"/>
      <c r="L26" s="258"/>
    </row>
    <row r="27" spans="1:21" ht="15" customHeight="1" x14ac:dyDescent="0.25">
      <c r="A27" s="258"/>
      <c r="B27" s="273">
        <f>PENYELIA!B27</f>
        <v>3</v>
      </c>
      <c r="C27" s="1026" t="str">
        <f>PENYELIA!C27</f>
        <v>Arus bocor peralatan untuk peralatan elektromedik kelas I</v>
      </c>
      <c r="D27" s="274"/>
      <c r="E27" s="274"/>
      <c r="F27" s="274"/>
      <c r="G27" s="275"/>
      <c r="H27" s="1603" t="str">
        <f>PENYELIA!I27</f>
        <v>-</v>
      </c>
      <c r="I27" s="1600" t="str">
        <f>IF(OR(H27="OL",H27="-"),"","µA")</f>
        <v/>
      </c>
      <c r="J27" s="1263">
        <f>PENYELIA!K27</f>
        <v>500</v>
      </c>
      <c r="K27" s="1264"/>
      <c r="L27" s="258"/>
    </row>
    <row r="28" spans="1:21" ht="15" customHeight="1" x14ac:dyDescent="0.25">
      <c r="A28" s="258"/>
      <c r="B28" s="1067"/>
      <c r="C28" s="1068"/>
      <c r="D28" s="1069"/>
      <c r="E28" s="1069"/>
      <c r="F28" s="1069"/>
      <c r="G28" s="1069"/>
      <c r="H28" s="1070"/>
      <c r="I28" s="1071"/>
      <c r="J28" s="1071"/>
      <c r="K28" s="258"/>
      <c r="L28" s="258"/>
    </row>
    <row r="29" spans="1:21" ht="12" customHeight="1" x14ac:dyDescent="0.25">
      <c r="A29" s="258"/>
      <c r="B29" s="259"/>
      <c r="C29" s="258"/>
      <c r="D29" s="258"/>
      <c r="E29" s="258"/>
      <c r="F29" s="258"/>
      <c r="G29" s="258"/>
      <c r="H29" s="264"/>
      <c r="I29" s="258"/>
      <c r="J29" s="276"/>
      <c r="K29" s="258"/>
      <c r="L29" s="277"/>
    </row>
    <row r="30" spans="1:21" ht="19.5" customHeight="1" x14ac:dyDescent="0.25">
      <c r="A30" s="256" t="str">
        <f>PENYELIA!$A$29</f>
        <v>IV.</v>
      </c>
      <c r="B30" s="256" t="str">
        <f>PENYELIA!$B$29</f>
        <v>Pengujian Kinerja</v>
      </c>
      <c r="C30" s="256"/>
      <c r="D30" s="256"/>
      <c r="E30" s="256"/>
      <c r="F30" s="256"/>
      <c r="G30" s="256"/>
      <c r="H30" s="259"/>
      <c r="I30" s="258"/>
      <c r="J30" s="258"/>
      <c r="K30" s="258"/>
      <c r="L30" s="262"/>
    </row>
    <row r="31" spans="1:21" ht="26.25" customHeight="1" x14ac:dyDescent="0.3">
      <c r="A31" s="258"/>
      <c r="B31" s="1259" t="s">
        <v>91</v>
      </c>
      <c r="C31" s="1259" t="s">
        <v>78</v>
      </c>
      <c r="D31" s="1280" t="s">
        <v>92</v>
      </c>
      <c r="E31" s="1281"/>
      <c r="F31" s="555" t="s">
        <v>103</v>
      </c>
      <c r="G31" s="1586" t="s">
        <v>150</v>
      </c>
      <c r="H31" s="1587"/>
      <c r="I31" s="1280" t="s">
        <v>94</v>
      </c>
      <c r="J31" s="1281"/>
      <c r="K31" s="1280" t="s">
        <v>242</v>
      </c>
      <c r="L31" s="1281"/>
    </row>
    <row r="32" spans="1:21" ht="18.75" customHeight="1" x14ac:dyDescent="0.25">
      <c r="A32" s="258"/>
      <c r="B32" s="1260"/>
      <c r="C32" s="1260"/>
      <c r="D32" s="1282"/>
      <c r="E32" s="1283"/>
      <c r="F32" s="551" t="s">
        <v>246</v>
      </c>
      <c r="G32" s="1216" t="s">
        <v>247</v>
      </c>
      <c r="H32" s="1217"/>
      <c r="I32" s="1216" t="s">
        <v>247</v>
      </c>
      <c r="J32" s="1217"/>
      <c r="K32" s="1216" t="s">
        <v>247</v>
      </c>
      <c r="L32" s="1217"/>
    </row>
    <row r="33" spans="1:16" ht="20.149999999999999" customHeight="1" x14ac:dyDescent="0.25">
      <c r="A33" s="258"/>
      <c r="B33" s="308">
        <f>PENYELIA!B32</f>
        <v>1</v>
      </c>
      <c r="C33" s="1269" t="str">
        <f>PENYELIA!C32</f>
        <v>Kecepatan Putaran (RPM)</v>
      </c>
      <c r="D33" s="1274">
        <f>PENYELIA!D32</f>
        <v>2</v>
      </c>
      <c r="E33" s="1274"/>
      <c r="F33" s="1028" t="str">
        <f>TEXT(PENYELIA!F32,"0.0")</f>
        <v>2121.8</v>
      </c>
      <c r="G33" s="1588">
        <f>PENYELIA!G32</f>
        <v>1.8070145519776395E-2</v>
      </c>
      <c r="H33" s="1589"/>
      <c r="I33" s="1275" t="s">
        <v>532</v>
      </c>
      <c r="J33" s="1294">
        <v>10</v>
      </c>
      <c r="K33" s="1058" t="s">
        <v>532</v>
      </c>
      <c r="L33" s="1059" t="str">
        <f>O33</f>
        <v>0.03</v>
      </c>
      <c r="N33" s="322">
        <f>PENYELIA!I32</f>
        <v>3.3776296910883429E-2</v>
      </c>
      <c r="O33" s="1293" t="str">
        <f>IFERROR(IF(N33&gt;=10,TEXT(N33,"0"),IF(N33&gt;=1,TEXT(N33,"0.0"),TEXT(N33,"0.00"))),"-")</f>
        <v>0.03</v>
      </c>
      <c r="P33" s="1293"/>
    </row>
    <row r="34" spans="1:16" ht="20.149999999999999" customHeight="1" x14ac:dyDescent="0.25">
      <c r="A34" s="258"/>
      <c r="B34" s="309">
        <f>PENYELIA!B33</f>
        <v>2</v>
      </c>
      <c r="C34" s="1270"/>
      <c r="D34" s="1273">
        <f>PENYELIA!D33</f>
        <v>4</v>
      </c>
      <c r="E34" s="1273"/>
      <c r="F34" s="1030">
        <f>PENYELIA!F33</f>
        <v>4042.5481741702233</v>
      </c>
      <c r="G34" s="1592">
        <f>PENYELIA!G33</f>
        <v>1.490383756228957E-2</v>
      </c>
      <c r="H34" s="1593"/>
      <c r="I34" s="1276"/>
      <c r="J34" s="1295"/>
      <c r="K34" s="1060" t="s">
        <v>532</v>
      </c>
      <c r="L34" s="1061" t="str">
        <f>O34</f>
        <v>0.03</v>
      </c>
      <c r="N34" s="322">
        <f>PENYELIA!I33</f>
        <v>3.2491823267259835E-2</v>
      </c>
      <c r="O34" s="1293" t="str">
        <f>IFERROR(IF(N34&gt;=10,TEXT(N34,"0"),IF(N34&gt;=1,TEXT(N34,"0.0"),TEXT(N34,"0.00"))),"-")</f>
        <v>0.03</v>
      </c>
      <c r="P34" s="1293"/>
    </row>
    <row r="35" spans="1:16" ht="20.149999999999999" customHeight="1" x14ac:dyDescent="0.25">
      <c r="A35" s="258"/>
      <c r="B35" s="309">
        <f>PENYELIA!B34</f>
        <v>3</v>
      </c>
      <c r="C35" s="1270"/>
      <c r="D35" s="1273">
        <f>PENYELIA!D34</f>
        <v>7</v>
      </c>
      <c r="E35" s="1273"/>
      <c r="F35" s="1030">
        <f>PENYELIA!F34</f>
        <v>7214.1422795178642</v>
      </c>
      <c r="G35" s="1592">
        <f>PENYELIA!G34</f>
        <v>9.1108137813165815E-3</v>
      </c>
      <c r="H35" s="1593"/>
      <c r="I35" s="1276"/>
      <c r="J35" s="1295"/>
      <c r="K35" s="1060" t="s">
        <v>532</v>
      </c>
      <c r="L35" s="1061" t="str">
        <f>O35</f>
        <v>0.03</v>
      </c>
      <c r="N35" s="322">
        <f>PENYELIA!I34</f>
        <v>3.1018599526243029E-2</v>
      </c>
      <c r="O35" s="1293" t="str">
        <f>IFERROR(IF(N35&gt;=10,TEXT(N35,"0"),IF(N35&gt;=1,TEXT(N35,"0.0"),TEXT(N35,"0.00"))),"-")</f>
        <v>0.03</v>
      </c>
      <c r="P35" s="1293"/>
    </row>
    <row r="36" spans="1:16" ht="20.149999999999999" customHeight="1" x14ac:dyDescent="0.25">
      <c r="A36" s="258"/>
      <c r="B36" s="310">
        <f>PENYELIA!B35</f>
        <v>4</v>
      </c>
      <c r="C36" s="1271"/>
      <c r="D36" s="1272">
        <f>PENYELIA!D35</f>
        <v>9</v>
      </c>
      <c r="E36" s="1272"/>
      <c r="F36" s="1032">
        <f>PENYELIA!F35</f>
        <v>9363.1344676093104</v>
      </c>
      <c r="G36" s="1590">
        <f>PENYELIA!G35</f>
        <v>1.7110530499182094E-2</v>
      </c>
      <c r="H36" s="1591"/>
      <c r="I36" s="1277"/>
      <c r="J36" s="1296"/>
      <c r="K36" s="1062" t="s">
        <v>532</v>
      </c>
      <c r="L36" s="1063" t="str">
        <f>O36</f>
        <v>0.03</v>
      </c>
      <c r="N36" s="322">
        <f>PENYELIA!I35</f>
        <v>3.3276851493988811E-2</v>
      </c>
      <c r="O36" s="1293" t="str">
        <f>IFERROR(IF(N36&gt;=10,TEXT(N36,"0"),IF(N36&gt;=1,TEXT(N36,"0.0"),TEXT(N36,"0.00"))),"-")</f>
        <v>0.03</v>
      </c>
      <c r="P36" s="1293"/>
    </row>
    <row r="37" spans="1:16" ht="20.149999999999999" customHeight="1" x14ac:dyDescent="0.25">
      <c r="A37" s="258"/>
      <c r="B37" s="1083"/>
      <c r="C37" s="1083"/>
      <c r="D37" s="1084"/>
      <c r="E37" s="1084"/>
      <c r="F37" s="1085"/>
      <c r="G37" s="1086"/>
      <c r="H37" s="1087"/>
      <c r="I37" s="21"/>
      <c r="J37" s="1088"/>
      <c r="K37" s="1089"/>
      <c r="L37" s="258"/>
      <c r="N37" s="322"/>
      <c r="O37" s="1055"/>
      <c r="P37" s="1055"/>
    </row>
    <row r="38" spans="1:16" ht="12" customHeight="1" x14ac:dyDescent="0.25">
      <c r="A38" s="258"/>
      <c r="B38" s="278"/>
      <c r="C38" s="279"/>
      <c r="D38" s="278"/>
      <c r="E38" s="278"/>
      <c r="F38" s="280"/>
      <c r="G38" s="1594"/>
      <c r="H38" s="280"/>
      <c r="I38" s="281"/>
      <c r="J38" s="282"/>
      <c r="K38" s="283"/>
      <c r="L38" s="258"/>
    </row>
    <row r="39" spans="1:16" ht="26.25" customHeight="1" x14ac:dyDescent="0.3">
      <c r="A39" s="258"/>
      <c r="B39" s="1287" t="s">
        <v>91</v>
      </c>
      <c r="C39" s="1287" t="s">
        <v>78</v>
      </c>
      <c r="D39" s="1285" t="str">
        <f>D31</f>
        <v>Setting Alat</v>
      </c>
      <c r="E39" s="1286"/>
      <c r="F39" s="1066" t="str">
        <f>F31</f>
        <v>Pembacaan Standar</v>
      </c>
      <c r="G39" s="1289" t="str">
        <f>PENYELIA!G37</f>
        <v>Koreksi</v>
      </c>
      <c r="H39" s="1312"/>
      <c r="I39" s="1289" t="s">
        <v>94</v>
      </c>
      <c r="J39" s="1290"/>
      <c r="K39" s="1289" t="str">
        <f>K31</f>
        <v>Ketidakpastian Pengukuran</v>
      </c>
      <c r="L39" s="1290"/>
    </row>
    <row r="40" spans="1:16" ht="18.75" customHeight="1" x14ac:dyDescent="0.25">
      <c r="A40" s="258"/>
      <c r="B40" s="1288"/>
      <c r="C40" s="1288"/>
      <c r="D40" s="1219" t="s">
        <v>248</v>
      </c>
      <c r="E40" s="1219"/>
      <c r="F40" s="33" t="s">
        <v>248</v>
      </c>
      <c r="G40" s="1291" t="s">
        <v>248</v>
      </c>
      <c r="H40" s="1307"/>
      <c r="I40" s="1216" t="s">
        <v>247</v>
      </c>
      <c r="J40" s="1217"/>
      <c r="K40" s="1291" t="str">
        <f>K32</f>
        <v>(%)</v>
      </c>
      <c r="L40" s="1292"/>
    </row>
    <row r="41" spans="1:16" ht="20.149999999999999" customHeight="1" x14ac:dyDescent="0.25">
      <c r="A41" s="258"/>
      <c r="B41" s="284">
        <f>PENYELIA!B39</f>
        <v>5</v>
      </c>
      <c r="C41" s="284" t="str">
        <f>PENYELIA!C39</f>
        <v>Waktu (s)</v>
      </c>
      <c r="D41" s="1272">
        <f>PENYELIA!D39</f>
        <v>300</v>
      </c>
      <c r="E41" s="1272"/>
      <c r="F41" s="1034">
        <f>PENYELIA!F39</f>
        <v>400.99894143489377</v>
      </c>
      <c r="G41" s="1596">
        <f>PENYELIA!G39</f>
        <v>100.99894143489377</v>
      </c>
      <c r="H41" s="1597"/>
      <c r="I41" s="1057" t="s">
        <v>532</v>
      </c>
      <c r="J41" s="1065">
        <v>10</v>
      </c>
      <c r="K41" s="1038" t="s">
        <v>532</v>
      </c>
      <c r="L41" s="1064" t="str">
        <f>IF(N41&gt;=10,TEXT(N41,"0"),IF(N41&gt;=1,TEXT(N41,"0.0"),TEXT(N41,"0.00")))</f>
        <v>0.57</v>
      </c>
      <c r="N41" s="322">
        <f>PENYELIA!I39</f>
        <v>0.56695961911458737</v>
      </c>
    </row>
    <row r="42" spans="1:16" ht="12" customHeight="1" x14ac:dyDescent="0.25">
      <c r="B42" s="44"/>
      <c r="C42" s="111"/>
      <c r="D42" s="340"/>
      <c r="E42" s="340"/>
      <c r="F42" s="340"/>
      <c r="G42" s="1595"/>
      <c r="H42" s="42"/>
      <c r="I42" s="180"/>
      <c r="J42" s="341"/>
      <c r="K42" s="342"/>
    </row>
    <row r="43" spans="1:16" ht="15" customHeight="1" x14ac:dyDescent="0.25">
      <c r="A43" s="68" t="str">
        <f>PENYELIA!$A$41</f>
        <v>V.</v>
      </c>
      <c r="B43" s="68" t="str">
        <f>PENYELIA!$B$41</f>
        <v>Keterangan</v>
      </c>
      <c r="C43" s="386"/>
      <c r="D43" s="386"/>
      <c r="E43" s="59"/>
      <c r="F43" s="59"/>
      <c r="G43" s="59"/>
      <c r="H43" s="59"/>
      <c r="I43" s="59"/>
      <c r="J43" s="59"/>
      <c r="K43" s="59"/>
      <c r="L43" s="70"/>
      <c r="M43" s="59"/>
    </row>
    <row r="44" spans="1:16" ht="15" customHeight="1" x14ac:dyDescent="0.25">
      <c r="A44" s="59"/>
      <c r="B44" s="1035" t="str">
        <f>PENYELIA!B42</f>
        <v>Ketidakpastian pengukuran dilaporkan pada tingkat kepercayaan 95 % dengan faktor cakupan k = 2</v>
      </c>
      <c r="C44" s="387"/>
      <c r="D44" s="387"/>
      <c r="E44" s="59"/>
      <c r="F44" s="59"/>
      <c r="G44" s="59"/>
      <c r="H44" s="59"/>
      <c r="I44" s="59"/>
      <c r="J44" s="59"/>
      <c r="K44" s="59"/>
      <c r="L44" s="70"/>
      <c r="M44" s="59"/>
    </row>
    <row r="45" spans="1:16" ht="15" customHeight="1" x14ac:dyDescent="0.25">
      <c r="A45" s="59"/>
      <c r="B45" s="1035" t="str">
        <f>PENYELIA!B43</f>
        <v>Hasil pengukuran keselamatan listrik tertelusur ke Satuan Internasional ( SI ) melalui PT. Kaliman (LK-032-IDN)</v>
      </c>
      <c r="C45" s="387"/>
      <c r="D45" s="387"/>
      <c r="E45" s="59"/>
      <c r="F45" s="59"/>
      <c r="G45" s="59"/>
      <c r="H45" s="59"/>
      <c r="I45" s="59"/>
      <c r="J45" s="59"/>
      <c r="K45" s="59"/>
      <c r="L45" s="70"/>
      <c r="M45" s="59"/>
    </row>
    <row r="46" spans="1:16" ht="15" customHeight="1" x14ac:dyDescent="0.25">
      <c r="A46" s="59"/>
      <c r="B46" s="1035" t="str">
        <f>PENYELIA!B44</f>
        <v>Hasil kalibrasi kecepatan tertelusur ke Satuan Internasional ( SI ) melalui PT KALIMAN</v>
      </c>
      <c r="C46" s="387"/>
      <c r="D46" s="387"/>
      <c r="E46" s="59"/>
      <c r="F46" s="59"/>
      <c r="G46" s="59"/>
      <c r="H46" s="59"/>
      <c r="I46" s="59"/>
      <c r="J46" s="59"/>
      <c r="K46" s="59"/>
      <c r="L46" s="70"/>
      <c r="M46" s="59"/>
    </row>
    <row r="47" spans="1:16" ht="15" customHeight="1" x14ac:dyDescent="0.25">
      <c r="A47" s="59"/>
      <c r="B47" s="1035" t="str">
        <f>PENYELIA!B45</f>
        <v>Hasil pengukuran akurasi waktu tertelusur ke Satuan Internasional ( SI ) melalui PT KALIMAN</v>
      </c>
      <c r="C47" s="387"/>
      <c r="D47" s="387"/>
      <c r="E47" s="59"/>
      <c r="F47" s="59"/>
      <c r="G47" s="59"/>
      <c r="H47" s="59"/>
      <c r="I47" s="59"/>
      <c r="J47" s="59"/>
      <c r="K47" s="59"/>
      <c r="L47" s="70"/>
      <c r="M47" s="59"/>
    </row>
    <row r="48" spans="1:16" ht="15" customHeight="1" x14ac:dyDescent="0.25">
      <c r="A48" s="59"/>
      <c r="B48" s="1035" t="str">
        <f>PENYELIA!B46</f>
        <v>Tidak terdapat grounding di ruangan</v>
      </c>
      <c r="C48" s="387"/>
      <c r="D48" s="387"/>
      <c r="E48" s="59"/>
      <c r="F48" s="59"/>
      <c r="G48" s="59"/>
      <c r="H48" s="59"/>
      <c r="I48" s="59"/>
      <c r="J48" s="59"/>
      <c r="K48" s="59"/>
      <c r="L48" s="70"/>
      <c r="M48" s="59"/>
    </row>
    <row r="49" spans="1:13" ht="15" customHeight="1" x14ac:dyDescent="0.25">
      <c r="A49" s="59"/>
      <c r="B49" s="59"/>
      <c r="C49" s="387"/>
      <c r="D49" s="387"/>
      <c r="E49" s="59"/>
      <c r="F49" s="59"/>
      <c r="G49" s="59"/>
      <c r="H49" s="59"/>
      <c r="I49" s="59"/>
      <c r="J49" s="59"/>
      <c r="K49" s="59"/>
      <c r="L49" s="70"/>
      <c r="M49" s="59"/>
    </row>
    <row r="50" spans="1:13" ht="15" customHeight="1" x14ac:dyDescent="0.25">
      <c r="A50" s="68" t="str">
        <f>PENYELIA!$A$49</f>
        <v>VI.</v>
      </c>
      <c r="B50" s="68" t="str">
        <f>PENYELIA!$B$49</f>
        <v>Alat Ukur Yang Digunakan</v>
      </c>
      <c r="C50" s="386"/>
      <c r="D50" s="386"/>
      <c r="E50" s="68"/>
      <c r="F50" s="59"/>
      <c r="G50" s="59"/>
      <c r="H50" s="59"/>
      <c r="I50" s="59"/>
      <c r="J50" s="59"/>
      <c r="K50" s="59"/>
      <c r="L50" s="70"/>
      <c r="M50" s="59"/>
    </row>
    <row r="51" spans="1:13" ht="15" customHeight="1" x14ac:dyDescent="0.25">
      <c r="A51" s="59"/>
      <c r="B51" s="59" t="str">
        <f>PENYELIA!B50</f>
        <v>Digital Tachometer, Merek : Krisbow, Model : KW06-563, SN : 180812206</v>
      </c>
      <c r="C51" s="59"/>
      <c r="D51" s="59"/>
      <c r="E51" s="59"/>
      <c r="F51" s="59"/>
      <c r="G51" s="59"/>
      <c r="H51" s="59"/>
      <c r="I51" s="59"/>
      <c r="J51" s="59"/>
      <c r="K51" s="59"/>
      <c r="L51" s="70"/>
      <c r="M51" s="59"/>
    </row>
    <row r="52" spans="1:13" ht="15" customHeight="1" x14ac:dyDescent="0.25">
      <c r="A52" s="59"/>
      <c r="B52" s="59" t="str">
        <f>PENYELIA!B51</f>
        <v>Stopwatch, Merek : Casio, Model : HS - 80TW, SN : 605Q11R</v>
      </c>
      <c r="C52" s="59"/>
      <c r="D52" s="59"/>
      <c r="E52" s="59"/>
      <c r="F52" s="59"/>
      <c r="G52" s="59"/>
      <c r="H52" s="59"/>
      <c r="I52" s="59"/>
      <c r="J52" s="59"/>
      <c r="K52" s="59"/>
      <c r="L52" s="70"/>
      <c r="M52" s="59"/>
    </row>
    <row r="53" spans="1:13" ht="15" customHeight="1" x14ac:dyDescent="0.25">
      <c r="A53" s="59"/>
      <c r="B53" s="59" t="str">
        <f>PENYELIA!$B$52</f>
        <v>Electrical Safety Analyzer, Merek : Fluke, Model : ESA 615, SN : 4670010</v>
      </c>
      <c r="C53" s="59"/>
      <c r="D53" s="59"/>
      <c r="E53" s="59"/>
      <c r="F53" s="59"/>
      <c r="G53" s="59"/>
      <c r="H53" s="59"/>
      <c r="I53" s="59"/>
      <c r="J53" s="59"/>
      <c r="K53" s="59"/>
      <c r="L53" s="70"/>
      <c r="M53" s="59"/>
    </row>
    <row r="54" spans="1:13" ht="15" hidden="1" customHeight="1" x14ac:dyDescent="0.25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70"/>
      <c r="M54" s="59"/>
    </row>
    <row r="55" spans="1:13" ht="12" customHeight="1" x14ac:dyDescent="0.2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70"/>
      <c r="M55" s="59"/>
    </row>
    <row r="56" spans="1:13" ht="15" customHeight="1" x14ac:dyDescent="0.25">
      <c r="A56" s="68" t="str">
        <f>PENYELIA!$A$55</f>
        <v>VII.</v>
      </c>
      <c r="B56" s="68" t="str">
        <f>PENYELIA!$B$55</f>
        <v>Kesimpulan</v>
      </c>
      <c r="C56" s="68"/>
      <c r="D56" s="68"/>
      <c r="E56" s="59"/>
      <c r="F56" s="59"/>
      <c r="G56" s="59"/>
      <c r="H56" s="59"/>
      <c r="I56" s="59"/>
      <c r="J56" s="59"/>
      <c r="K56" s="59"/>
      <c r="L56" s="70"/>
      <c r="M56" s="59"/>
    </row>
    <row r="57" spans="1:13" ht="14.25" customHeight="1" x14ac:dyDescent="0.25">
      <c r="A57" s="59"/>
      <c r="B57" s="1284" t="str">
        <f>PENYELIA!$B$56</f>
        <v>Alat yang diuji dalam batas toleransi dan dinyatakan LAIK PAKAI, dimana hasil atau skor akhir sama dengan atau melampaui 70% berdasarkan Keputusan Direktur Jenderal Pelayanan Kesehatan No : HK.02.02/V/0412/2020</v>
      </c>
      <c r="C57" s="1284"/>
      <c r="D57" s="1284"/>
      <c r="E57" s="1284"/>
      <c r="F57" s="1284"/>
      <c r="G57" s="1284"/>
      <c r="H57" s="1284"/>
      <c r="I57" s="1284"/>
      <c r="J57" s="1284"/>
      <c r="K57" s="1284"/>
      <c r="L57" s="1284"/>
      <c r="M57" s="59"/>
    </row>
    <row r="58" spans="1:13" ht="14" x14ac:dyDescent="0.25">
      <c r="A58" s="59"/>
      <c r="B58" s="1284"/>
      <c r="C58" s="1284"/>
      <c r="D58" s="1284"/>
      <c r="E58" s="1284"/>
      <c r="F58" s="1284"/>
      <c r="G58" s="1284"/>
      <c r="H58" s="1284"/>
      <c r="I58" s="1284"/>
      <c r="J58" s="1284"/>
      <c r="K58" s="1284"/>
      <c r="L58" s="1284"/>
      <c r="M58" s="59"/>
    </row>
    <row r="59" spans="1:13" ht="12" customHeight="1" x14ac:dyDescent="0.25">
      <c r="A59" s="59"/>
      <c r="B59" s="388"/>
      <c r="C59" s="388"/>
      <c r="D59" s="388"/>
      <c r="E59" s="388"/>
      <c r="F59" s="388"/>
      <c r="G59" s="388"/>
      <c r="H59" s="388"/>
      <c r="I59" s="388"/>
      <c r="J59" s="388"/>
      <c r="K59" s="388"/>
      <c r="L59" s="388"/>
      <c r="M59" s="59"/>
    </row>
    <row r="60" spans="1:13" ht="15" customHeight="1" x14ac:dyDescent="0.25">
      <c r="A60" s="68" t="str">
        <f>PENYELIA!$A$59</f>
        <v>VIII.</v>
      </c>
      <c r="B60" s="68" t="str">
        <f>PENYELIA!$B$59</f>
        <v>Petugas Pengujian</v>
      </c>
      <c r="C60" s="68"/>
      <c r="D60" s="68"/>
      <c r="E60" s="59"/>
      <c r="F60" s="59"/>
      <c r="G60" s="59"/>
      <c r="H60" s="59"/>
      <c r="I60" s="70"/>
      <c r="J60" s="70"/>
      <c r="K60" s="59"/>
      <c r="L60" s="70"/>
      <c r="M60" s="59"/>
    </row>
    <row r="61" spans="1:13" ht="15" customHeight="1" x14ac:dyDescent="0.25">
      <c r="A61" s="59"/>
      <c r="B61" s="59" t="str">
        <f>PENYELIA!$B$60</f>
        <v>Gusti Arya Dinata</v>
      </c>
      <c r="C61" s="59"/>
      <c r="D61" s="59"/>
      <c r="E61" s="59"/>
      <c r="F61" s="59"/>
      <c r="G61" s="59"/>
      <c r="H61" s="59"/>
      <c r="I61" s="70"/>
      <c r="J61" s="70"/>
      <c r="K61" s="59"/>
      <c r="L61" s="70"/>
      <c r="M61" s="59"/>
    </row>
    <row r="62" spans="1:13" ht="15" customHeight="1" x14ac:dyDescent="0.25">
      <c r="A62" s="59"/>
      <c r="B62" s="59"/>
      <c r="C62" s="59"/>
      <c r="D62" s="59"/>
      <c r="E62" s="59"/>
      <c r="F62" s="59"/>
      <c r="G62" s="59"/>
      <c r="H62" s="59"/>
      <c r="I62" s="389"/>
      <c r="J62" s="59"/>
      <c r="K62" s="59"/>
      <c r="L62" s="70"/>
      <c r="M62" s="59"/>
    </row>
    <row r="63" spans="1:13" ht="15" customHeight="1" x14ac:dyDescent="0.25">
      <c r="A63" s="59"/>
      <c r="B63" s="59"/>
      <c r="C63" s="59"/>
      <c r="D63" s="59"/>
      <c r="E63" s="59"/>
      <c r="F63" s="59"/>
      <c r="G63" s="59"/>
      <c r="H63" s="59"/>
      <c r="I63" s="66" t="s">
        <v>284</v>
      </c>
      <c r="J63" s="59"/>
      <c r="K63" s="59"/>
      <c r="L63" s="70"/>
      <c r="M63" s="59"/>
    </row>
    <row r="64" spans="1:13" ht="15" customHeight="1" x14ac:dyDescent="0.25">
      <c r="A64" s="59"/>
      <c r="B64" s="59"/>
      <c r="C64" s="59"/>
      <c r="D64" s="59"/>
      <c r="E64" s="59"/>
      <c r="F64" s="59"/>
      <c r="G64" s="59"/>
      <c r="H64" s="103" t="str">
        <f>IF(I70=P70,"a.n"," ")</f>
        <v xml:space="preserve"> </v>
      </c>
      <c r="I64" s="66" t="s">
        <v>285</v>
      </c>
      <c r="J64" s="59"/>
      <c r="K64" s="59"/>
      <c r="L64" s="70"/>
      <c r="M64" s="59"/>
    </row>
    <row r="65" spans="1:19" ht="15" customHeight="1" x14ac:dyDescent="0.25">
      <c r="A65" s="59"/>
      <c r="B65" s="59"/>
      <c r="C65" s="390"/>
      <c r="D65" s="390"/>
      <c r="E65" s="390"/>
      <c r="F65" s="390"/>
      <c r="G65" s="391"/>
      <c r="H65" s="391"/>
      <c r="I65" s="66" t="s">
        <v>286</v>
      </c>
      <c r="J65" s="59"/>
      <c r="K65" s="59"/>
      <c r="L65" s="70"/>
      <c r="M65" s="59"/>
    </row>
    <row r="66" spans="1:19" ht="15" customHeight="1" x14ac:dyDescent="0.25">
      <c r="A66" s="59"/>
      <c r="B66" s="59"/>
      <c r="C66" s="392"/>
      <c r="D66" s="393"/>
      <c r="E66" s="393"/>
      <c r="F66" s="393"/>
      <c r="G66" s="391"/>
      <c r="H66" s="391"/>
      <c r="I66" s="66"/>
      <c r="J66" s="59"/>
      <c r="K66" s="59"/>
      <c r="L66" s="70"/>
      <c r="M66" s="59"/>
    </row>
    <row r="67" spans="1:19" ht="15" customHeight="1" x14ac:dyDescent="0.25">
      <c r="A67" s="59"/>
      <c r="B67" s="59"/>
      <c r="C67" s="59"/>
      <c r="D67" s="59"/>
      <c r="E67" s="59"/>
      <c r="F67" s="59"/>
      <c r="G67" s="59"/>
      <c r="H67" s="59"/>
      <c r="I67" s="66"/>
      <c r="J67" s="59"/>
      <c r="K67" s="67"/>
      <c r="L67" s="394"/>
      <c r="M67" s="68"/>
    </row>
    <row r="68" spans="1:19" ht="15" customHeight="1" x14ac:dyDescent="0.25">
      <c r="A68" s="59"/>
      <c r="B68" s="59"/>
      <c r="C68" s="59"/>
      <c r="D68" s="59"/>
      <c r="E68" s="59"/>
      <c r="F68" s="59"/>
      <c r="G68" s="59"/>
      <c r="H68" s="59"/>
      <c r="I68" s="66"/>
      <c r="J68" s="59"/>
      <c r="K68" s="68"/>
      <c r="L68" s="394"/>
      <c r="M68" s="68"/>
    </row>
    <row r="69" spans="1:19" ht="15" customHeight="1" x14ac:dyDescent="0.25">
      <c r="A69" s="59"/>
      <c r="B69" s="59"/>
      <c r="C69" s="59"/>
      <c r="D69" s="59"/>
      <c r="E69" s="59"/>
      <c r="F69" s="59"/>
      <c r="G69" s="59"/>
      <c r="H69" s="59"/>
      <c r="I69" s="395"/>
      <c r="J69" s="59"/>
      <c r="K69" s="59"/>
      <c r="L69" s="70"/>
      <c r="M69" s="59"/>
    </row>
    <row r="70" spans="1:19" ht="15" customHeight="1" x14ac:dyDescent="0.35">
      <c r="A70" s="59"/>
      <c r="B70" s="59"/>
      <c r="C70" s="59"/>
      <c r="D70" s="59"/>
      <c r="E70" s="59"/>
      <c r="F70" s="59"/>
      <c r="G70" s="59"/>
      <c r="H70" s="59"/>
      <c r="I70" s="396" t="s">
        <v>287</v>
      </c>
      <c r="J70" s="59"/>
      <c r="K70" s="59"/>
      <c r="L70" s="70"/>
      <c r="M70" s="59"/>
      <c r="P70" s="761" t="s">
        <v>288</v>
      </c>
      <c r="Q70" s="762" t="s">
        <v>289</v>
      </c>
      <c r="R70" s="1037"/>
      <c r="S70" s="1037"/>
    </row>
    <row r="71" spans="1:19" ht="15" customHeight="1" x14ac:dyDescent="0.35">
      <c r="A71" s="59"/>
      <c r="B71" s="59"/>
      <c r="C71" s="59"/>
      <c r="D71" s="59"/>
      <c r="E71" s="59"/>
      <c r="F71" s="59"/>
      <c r="G71" s="59"/>
      <c r="H71" s="59"/>
      <c r="I71" s="397" t="str">
        <f>VLOOKUP(I70,P70:Q71,2,0)</f>
        <v>NIP 198008062010121001</v>
      </c>
      <c r="J71" s="59"/>
      <c r="K71" s="59"/>
      <c r="L71" s="70"/>
      <c r="M71" s="59"/>
      <c r="P71" s="343" t="s">
        <v>287</v>
      </c>
      <c r="Q71" s="344" t="s">
        <v>290</v>
      </c>
      <c r="R71" s="1037"/>
      <c r="S71" s="1037"/>
    </row>
    <row r="72" spans="1:19" ht="15" customHeight="1" x14ac:dyDescent="0.25">
      <c r="A72" s="59"/>
      <c r="B72" s="59"/>
      <c r="C72" s="59"/>
      <c r="D72" s="59"/>
      <c r="E72" s="59"/>
      <c r="F72" s="59"/>
      <c r="G72" s="59"/>
      <c r="H72" s="59"/>
      <c r="I72" s="397"/>
      <c r="J72" s="59"/>
      <c r="K72" s="59"/>
      <c r="L72" s="70"/>
      <c r="M72" s="59"/>
    </row>
    <row r="73" spans="1:19" ht="15" customHeight="1" x14ac:dyDescent="0.25">
      <c r="A73" s="59"/>
      <c r="B73" s="59"/>
      <c r="C73" s="59"/>
      <c r="D73" s="59"/>
      <c r="E73" s="59"/>
      <c r="F73" s="59"/>
      <c r="G73" s="59"/>
      <c r="H73" s="59"/>
      <c r="I73" s="397"/>
      <c r="J73" s="59"/>
      <c r="K73" s="59"/>
      <c r="L73" s="70"/>
      <c r="M73" s="59"/>
    </row>
    <row r="74" spans="1:19" ht="15" customHeight="1" x14ac:dyDescent="0.25">
      <c r="A74" s="59"/>
      <c r="B74" s="59"/>
      <c r="C74" s="59"/>
      <c r="D74" s="59"/>
      <c r="E74" s="59"/>
      <c r="F74" s="59"/>
      <c r="G74" s="59"/>
      <c r="H74" s="59"/>
      <c r="I74" s="397"/>
      <c r="J74" s="59"/>
      <c r="K74" s="59"/>
      <c r="L74" s="70"/>
      <c r="M74" s="59"/>
    </row>
    <row r="75" spans="1:19" ht="35.25" customHeight="1" x14ac:dyDescent="0.2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398" t="s">
        <v>291</v>
      </c>
    </row>
    <row r="76" spans="1:19" ht="15" customHeight="1" x14ac:dyDescent="0.25">
      <c r="L76" s="315"/>
    </row>
    <row r="77" spans="1:19" ht="15" customHeight="1" x14ac:dyDescent="0.25">
      <c r="L77" s="315"/>
    </row>
    <row r="78" spans="1:19" ht="15" customHeight="1" x14ac:dyDescent="0.25">
      <c r="L78" s="315"/>
    </row>
    <row r="82" spans="12:12" ht="15" customHeight="1" x14ac:dyDescent="0.25">
      <c r="L82" s="315"/>
    </row>
    <row r="83" spans="12:12" ht="15" customHeight="1" x14ac:dyDescent="0.25">
      <c r="L83" s="315"/>
    </row>
    <row r="84" spans="12:12" ht="15" customHeight="1" x14ac:dyDescent="0.25">
      <c r="L84" s="315"/>
    </row>
  </sheetData>
  <sheetProtection formatCells="0" formatColumns="0" formatRows="0" insertRows="0" deleteRows="0"/>
  <mergeCells count="54">
    <mergeCell ref="O35:P35"/>
    <mergeCell ref="O36:P36"/>
    <mergeCell ref="O33:P33"/>
    <mergeCell ref="O34:P34"/>
    <mergeCell ref="J33:J36"/>
    <mergeCell ref="B57:L58"/>
    <mergeCell ref="D41:E41"/>
    <mergeCell ref="D39:E39"/>
    <mergeCell ref="D40:E40"/>
    <mergeCell ref="B39:B40"/>
    <mergeCell ref="C39:C40"/>
    <mergeCell ref="I39:J39"/>
    <mergeCell ref="I40:J40"/>
    <mergeCell ref="K39:L39"/>
    <mergeCell ref="K40:L40"/>
    <mergeCell ref="G39:H39"/>
    <mergeCell ref="G40:H40"/>
    <mergeCell ref="G41:H41"/>
    <mergeCell ref="I33:I36"/>
    <mergeCell ref="J25:K25"/>
    <mergeCell ref="D31:E32"/>
    <mergeCell ref="K31:L31"/>
    <mergeCell ref="K32:L32"/>
    <mergeCell ref="I31:J31"/>
    <mergeCell ref="I32:J32"/>
    <mergeCell ref="G31:H31"/>
    <mergeCell ref="G32:H32"/>
    <mergeCell ref="G33:H33"/>
    <mergeCell ref="G34:H34"/>
    <mergeCell ref="G35:H35"/>
    <mergeCell ref="G36:H36"/>
    <mergeCell ref="C33:C36"/>
    <mergeCell ref="D36:E36"/>
    <mergeCell ref="D35:E35"/>
    <mergeCell ref="D33:E33"/>
    <mergeCell ref="D34:E34"/>
    <mergeCell ref="B31:B32"/>
    <mergeCell ref="C31:C32"/>
    <mergeCell ref="J26:K26"/>
    <mergeCell ref="J27:K27"/>
    <mergeCell ref="O14:Q14"/>
    <mergeCell ref="O19:O21"/>
    <mergeCell ref="C24:G24"/>
    <mergeCell ref="J24:K24"/>
    <mergeCell ref="H24:I24"/>
    <mergeCell ref="S14:U14"/>
    <mergeCell ref="S17:U17"/>
    <mergeCell ref="A1:M1"/>
    <mergeCell ref="A2:M2"/>
    <mergeCell ref="E6:G6"/>
    <mergeCell ref="E7:F7"/>
    <mergeCell ref="E8:F8"/>
    <mergeCell ref="O12:P12"/>
    <mergeCell ref="E9:F9"/>
  </mergeCells>
  <phoneticPr fontId="4" type="noConversion"/>
  <dataValidations count="2">
    <dataValidation type="list" allowBlank="1" showInputMessage="1" showErrorMessage="1" sqref="I70" xr:uid="{558073F9-B0EF-40BB-8E65-9CC7D0C1A2E5}">
      <formula1>$P$70:$P$71</formula1>
    </dataValidation>
    <dataValidation allowBlank="1" showInputMessage="1" showErrorMessage="1" sqref="H65" xr:uid="{00000000-0002-0000-0400-000000000000}"/>
  </dataValidations>
  <printOptions horizontalCentered="1"/>
  <pageMargins left="0.196850393700787" right="0.196850393700787" top="0.39370078740157499" bottom="0.196850393700787" header="9.8425196850393706E-2" footer="9.8425196850393706E-2"/>
  <pageSetup paperSize="9" scale="69" orientation="portrait" horizontalDpi="4294967293" verticalDpi="4294967293" r:id="rId1"/>
  <headerFooter>
    <oddHeader xml:space="preserve">&amp;R&amp;"-,Regular"&amp;8WF.LHK - 016-18 / REV : 0
</oddHeader>
    <oddFooter>&amp;C&amp;8    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9</xdr:col>
                <xdr:colOff>12700</xdr:colOff>
                <xdr:row>85</xdr:row>
                <xdr:rowOff>0</xdr:rowOff>
              </from>
              <to>
                <xdr:col>10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11</xdr:col>
                <xdr:colOff>12700</xdr:colOff>
                <xdr:row>85</xdr:row>
                <xdr:rowOff>0</xdr:rowOff>
              </from>
              <to>
                <xdr:col>11</xdr:col>
                <xdr:colOff>412750</xdr:colOff>
                <xdr:row>85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11</xdr:col>
                <xdr:colOff>38100</xdr:colOff>
                <xdr:row>85</xdr:row>
                <xdr:rowOff>0</xdr:rowOff>
              </from>
              <to>
                <xdr:col>11</xdr:col>
                <xdr:colOff>419100</xdr:colOff>
                <xdr:row>85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0B4A-6C37-46B7-8CE0-B09F9719B8C9}">
  <dimension ref="A1:U83"/>
  <sheetViews>
    <sheetView view="pageBreakPreview" topLeftCell="A48" zoomScaleNormal="100" zoomScaleSheetLayoutView="100" workbookViewId="0">
      <selection activeCell="F44" sqref="F44"/>
    </sheetView>
  </sheetViews>
  <sheetFormatPr defaultColWidth="9.1796875" defaultRowHeight="15" customHeight="1" x14ac:dyDescent="0.25"/>
  <cols>
    <col min="1" max="1" width="4.1796875" style="30" customWidth="1"/>
    <col min="2" max="2" width="4.81640625" style="30" customWidth="1"/>
    <col min="3" max="3" width="16.54296875" style="30" customWidth="1"/>
    <col min="4" max="4" width="2.1796875" style="30" customWidth="1"/>
    <col min="5" max="5" width="7.26953125" style="30" customWidth="1"/>
    <col min="6" max="6" width="12.54296875" style="30" customWidth="1"/>
    <col min="7" max="7" width="11.7265625" style="30" customWidth="1"/>
    <col min="8" max="8" width="12.453125" style="30" customWidth="1"/>
    <col min="9" max="9" width="10.1796875" style="30" customWidth="1"/>
    <col min="10" max="10" width="4.26953125" style="30" customWidth="1"/>
    <col min="11" max="11" width="10.1796875" style="30" customWidth="1"/>
    <col min="12" max="12" width="14.81640625" style="30" customWidth="1"/>
    <col min="13" max="13" width="7.54296875" style="30" customWidth="1"/>
    <col min="14" max="14" width="10.7265625" style="30" bestFit="1" customWidth="1"/>
    <col min="15" max="16384" width="9.1796875" style="30"/>
  </cols>
  <sheetData>
    <row r="1" spans="1:21" ht="15" customHeight="1" x14ac:dyDescent="0.25">
      <c r="A1" s="1106" t="str">
        <f>PENYELIA!A1:O1</f>
        <v>Hasil Pengujian Centrifuge</v>
      </c>
      <c r="B1" s="1106"/>
      <c r="C1" s="1106"/>
      <c r="D1" s="1106"/>
      <c r="E1" s="1106"/>
      <c r="F1" s="1106"/>
      <c r="G1" s="1106"/>
      <c r="H1" s="1106"/>
      <c r="I1" s="1106"/>
      <c r="J1" s="1106"/>
      <c r="K1" s="1106"/>
      <c r="L1" s="1106"/>
      <c r="M1" s="1106"/>
      <c r="N1" s="314"/>
    </row>
    <row r="2" spans="1:21" ht="15" customHeight="1" x14ac:dyDescent="0.25">
      <c r="A2" s="1257" t="str">
        <f>PENYELIA!A2:O2</f>
        <v>Nomor Sertifikat : 10 / 1 / VIII - 22 / E - 008.27 DL</v>
      </c>
      <c r="B2" s="1257"/>
      <c r="C2" s="1257"/>
      <c r="D2" s="1257"/>
      <c r="E2" s="1257"/>
      <c r="F2" s="1257"/>
      <c r="G2" s="1257"/>
      <c r="H2" s="1257"/>
      <c r="I2" s="1257"/>
      <c r="J2" s="1257"/>
      <c r="K2" s="1257"/>
      <c r="L2" s="1257"/>
      <c r="M2" s="1257"/>
    </row>
    <row r="3" spans="1:21" ht="15" customHeight="1" x14ac:dyDescent="0.25">
      <c r="L3" s="315"/>
    </row>
    <row r="4" spans="1:21" ht="15" customHeight="1" x14ac:dyDescent="0.25">
      <c r="A4" s="30" t="str">
        <f>PENYELIA!A4</f>
        <v>Merek</v>
      </c>
      <c r="D4" s="31" t="str">
        <f>PENYELIA!D4</f>
        <v>:</v>
      </c>
      <c r="E4" s="21" t="str">
        <f>PENYELIA!E4</f>
        <v>-</v>
      </c>
      <c r="F4" s="21"/>
      <c r="G4" s="21"/>
      <c r="L4" s="315"/>
    </row>
    <row r="5" spans="1:21" ht="15" customHeight="1" x14ac:dyDescent="0.25">
      <c r="A5" s="30" t="str">
        <f>PENYELIA!A5</f>
        <v>Model/Tipe</v>
      </c>
      <c r="D5" s="31" t="str">
        <f>PENYELIA!D5</f>
        <v>:</v>
      </c>
      <c r="E5" s="21" t="str">
        <f>PENYELIA!E5</f>
        <v>80-1</v>
      </c>
      <c r="F5" s="21"/>
      <c r="G5" s="21"/>
      <c r="L5" s="315"/>
    </row>
    <row r="6" spans="1:21" ht="15" customHeight="1" x14ac:dyDescent="0.25">
      <c r="A6" s="30" t="str">
        <f>PENYELIA!A6</f>
        <v>No. Seri</v>
      </c>
      <c r="D6" s="31" t="str">
        <f>PENYELIA!D6</f>
        <v>:</v>
      </c>
      <c r="E6" s="1195" t="str">
        <f>PENYELIA!E6</f>
        <v>-</v>
      </c>
      <c r="F6" s="1195"/>
      <c r="G6" s="1195"/>
      <c r="L6" s="315"/>
    </row>
    <row r="7" spans="1:21" ht="15" hidden="1" customHeight="1" x14ac:dyDescent="0.25">
      <c r="A7" s="30" t="str">
        <f>PENYELIA!A7</f>
        <v>Resolusi</v>
      </c>
      <c r="D7" s="31" t="str">
        <f>PENYELIA!D7</f>
        <v>:</v>
      </c>
      <c r="E7" s="1246" t="str">
        <f>PENYELIA!E7</f>
        <v>( Analog )</v>
      </c>
      <c r="F7" s="1246"/>
      <c r="G7" s="21"/>
      <c r="L7" s="315"/>
    </row>
    <row r="8" spans="1:21" ht="15" customHeight="1" x14ac:dyDescent="0.25">
      <c r="A8" s="30" t="str">
        <f>PENYELIA!A8</f>
        <v>Tanggal Penerimaan Alat</v>
      </c>
      <c r="D8" s="31" t="str">
        <f>PENYELIA!D8</f>
        <v>:</v>
      </c>
      <c r="E8" s="1242" t="str">
        <f>PENYELIA!E8</f>
        <v>2 Agustus 2022</v>
      </c>
      <c r="F8" s="1242"/>
      <c r="G8" s="21"/>
      <c r="L8" s="315"/>
    </row>
    <row r="9" spans="1:21" ht="15" customHeight="1" x14ac:dyDescent="0.25">
      <c r="A9" s="30" t="str">
        <f>PENYELIA!A9</f>
        <v>Tanggal Pengujian</v>
      </c>
      <c r="D9" s="31" t="str">
        <f>PENYELIA!D9</f>
        <v>:</v>
      </c>
      <c r="E9" s="1242" t="str">
        <f>PENYELIA!E9</f>
        <v>2 Agustus 2022</v>
      </c>
      <c r="F9" s="1242"/>
      <c r="G9" s="21"/>
      <c r="L9" s="315"/>
    </row>
    <row r="10" spans="1:21" ht="15" customHeight="1" x14ac:dyDescent="0.25">
      <c r="A10" s="30" t="str">
        <f>PENYELIA!A10</f>
        <v>Tempat Pengujian</v>
      </c>
      <c r="D10" s="31" t="str">
        <f>PENYELIA!D10</f>
        <v>:</v>
      </c>
      <c r="E10" s="21" t="str">
        <f>PENYELIA!E10</f>
        <v>Laboratorium Kalibrasi LPFK Banjarbaru</v>
      </c>
      <c r="F10" s="21"/>
      <c r="G10" s="21"/>
      <c r="L10" s="315"/>
    </row>
    <row r="11" spans="1:21" ht="15" customHeight="1" x14ac:dyDescent="0.25">
      <c r="A11" s="30" t="str">
        <f>PENYELIA!A11</f>
        <v>Nama Ruang</v>
      </c>
      <c r="D11" s="31" t="str">
        <f>PENYELIA!D11</f>
        <v>:</v>
      </c>
      <c r="E11" s="21" t="str">
        <f>PENYELIA!E11</f>
        <v>-</v>
      </c>
      <c r="F11" s="21"/>
      <c r="G11" s="21"/>
      <c r="L11" s="315"/>
    </row>
    <row r="12" spans="1:21" ht="15" customHeight="1" x14ac:dyDescent="0.25">
      <c r="A12" s="30" t="str">
        <f>PENYELIA!A12</f>
        <v>Metode Kerja</v>
      </c>
      <c r="D12" s="31" t="str">
        <f>PENYELIA!D12</f>
        <v>:</v>
      </c>
      <c r="E12" s="30" t="str">
        <f>PENYELIA!E12</f>
        <v>MK 016-18</v>
      </c>
      <c r="L12" s="315"/>
    </row>
    <row r="13" spans="1:21" ht="12" customHeight="1" thickBot="1" x14ac:dyDescent="0.3">
      <c r="D13" s="31"/>
      <c r="L13" s="315"/>
    </row>
    <row r="14" spans="1:21" ht="15" customHeight="1" x14ac:dyDescent="0.25">
      <c r="A14" s="256" t="str">
        <f>PENYELIA!A14</f>
        <v>I.</v>
      </c>
      <c r="B14" s="256" t="str">
        <f>PENYELIA!B14</f>
        <v>Kondisi Ruang</v>
      </c>
      <c r="C14" s="256"/>
      <c r="D14" s="256"/>
      <c r="E14" s="256"/>
      <c r="F14" s="256"/>
      <c r="G14" s="256"/>
      <c r="H14" s="256"/>
      <c r="I14" s="256"/>
      <c r="J14" s="256"/>
      <c r="K14" s="256"/>
      <c r="L14" s="257"/>
      <c r="M14" s="324"/>
      <c r="O14" s="1253" t="s">
        <v>276</v>
      </c>
      <c r="P14" s="1254"/>
      <c r="Q14" s="1255"/>
      <c r="S14" s="1253" t="s">
        <v>276</v>
      </c>
      <c r="T14" s="1254"/>
      <c r="U14" s="1255"/>
    </row>
    <row r="15" spans="1:21" ht="15" customHeight="1" x14ac:dyDescent="0.25">
      <c r="A15" s="258"/>
      <c r="B15" s="258" t="str">
        <f>PENYELIA!B15</f>
        <v xml:space="preserve">1. Suhu </v>
      </c>
      <c r="C15" s="258"/>
      <c r="D15" s="259" t="str">
        <f>PENYELIA!D15</f>
        <v>:</v>
      </c>
      <c r="E15" s="1023" t="str">
        <f>O17&amp;O15&amp;P17&amp;P15&amp;Q17&amp;Q15</f>
        <v>( 20.6 ± 0.1 ) °C</v>
      </c>
      <c r="F15" s="260"/>
      <c r="G15" s="261"/>
      <c r="H15" s="261"/>
      <c r="I15" s="258"/>
      <c r="J15" s="258"/>
      <c r="K15" s="258"/>
      <c r="L15" s="262"/>
      <c r="O15" s="638" t="str">
        <f>'DB Suhu'!N390</f>
        <v>20.6</v>
      </c>
      <c r="P15" s="638" t="str">
        <f>'DB Suhu'!O390</f>
        <v>0.1</v>
      </c>
      <c r="Q15" s="639" t="s">
        <v>277</v>
      </c>
      <c r="S15" s="638" t="str">
        <f>'DB ESA'!H272</f>
        <v>211.8</v>
      </c>
      <c r="T15" s="624" t="str">
        <f>'DB ESA'!I272</f>
        <v>2.5</v>
      </c>
      <c r="U15" s="639" t="s">
        <v>278</v>
      </c>
    </row>
    <row r="16" spans="1:21" ht="15" customHeight="1" thickBot="1" x14ac:dyDescent="0.35">
      <c r="A16" s="258"/>
      <c r="B16" s="258" t="str">
        <f>PENYELIA!B16</f>
        <v xml:space="preserve">2. Kelembaban </v>
      </c>
      <c r="C16" s="258"/>
      <c r="D16" s="259" t="str">
        <f>PENYELIA!D16</f>
        <v>:</v>
      </c>
      <c r="E16" s="1023" t="str">
        <f>O17&amp;O16&amp;P17&amp;P16&amp;Q17&amp;Q16</f>
        <v>( 66.4 ± 1.5 ) %RH</v>
      </c>
      <c r="F16" s="260"/>
      <c r="G16" s="261"/>
      <c r="H16" s="261"/>
      <c r="I16" s="258"/>
      <c r="J16" s="258"/>
      <c r="K16" s="258"/>
      <c r="L16" s="262"/>
      <c r="O16" s="638" t="str">
        <f>'DB Suhu'!N391</f>
        <v>66.4</v>
      </c>
      <c r="P16" s="638" t="str">
        <f>'DB Suhu'!O391</f>
        <v>1.5</v>
      </c>
      <c r="Q16" s="639" t="s">
        <v>279</v>
      </c>
      <c r="S16" s="643" t="s">
        <v>280</v>
      </c>
      <c r="T16" s="644" t="s">
        <v>281</v>
      </c>
      <c r="U16" s="645" t="s">
        <v>282</v>
      </c>
    </row>
    <row r="17" spans="1:21" ht="15" customHeight="1" thickBot="1" x14ac:dyDescent="0.35">
      <c r="A17" s="258"/>
      <c r="B17" s="258" t="str">
        <f>PENYELIA!B17</f>
        <v>3. Tegangan Jala - jala</v>
      </c>
      <c r="C17" s="258"/>
      <c r="D17" s="259" t="str">
        <f>PENYELIA!D17</f>
        <v>:</v>
      </c>
      <c r="E17" s="1258" t="str">
        <f>S16&amp;S15&amp;T16&amp;T15&amp;U16&amp;U15</f>
        <v>( 211.8 ± 2.5 ) Volt</v>
      </c>
      <c r="F17" s="1258"/>
      <c r="G17" s="261"/>
      <c r="H17" s="261"/>
      <c r="I17" s="258"/>
      <c r="J17" s="258"/>
      <c r="K17" s="258"/>
      <c r="L17" s="262"/>
      <c r="O17" s="643" t="s">
        <v>280</v>
      </c>
      <c r="P17" s="644" t="s">
        <v>281</v>
      </c>
      <c r="Q17" s="645" t="s">
        <v>282</v>
      </c>
      <c r="S17" s="1256"/>
      <c r="T17" s="1256"/>
      <c r="U17" s="1256"/>
    </row>
    <row r="18" spans="1:21" ht="12" customHeight="1" x14ac:dyDescent="0.25">
      <c r="A18" s="258"/>
      <c r="B18" s="258"/>
      <c r="C18" s="258"/>
      <c r="D18" s="259"/>
      <c r="E18" s="263"/>
      <c r="F18" s="259"/>
      <c r="G18" s="261"/>
      <c r="H18" s="261"/>
      <c r="I18" s="258"/>
      <c r="J18" s="258"/>
      <c r="K18" s="258"/>
      <c r="L18" s="262"/>
    </row>
    <row r="19" spans="1:21" ht="15" customHeight="1" x14ac:dyDescent="0.25">
      <c r="A19" s="256" t="str">
        <f>PENYELIA!$A$19</f>
        <v>II.</v>
      </c>
      <c r="B19" s="256" t="str">
        <f>PENYELIA!$B$19</f>
        <v>Pemeriksaan Kondisi Fisik dan Fungsi Alat</v>
      </c>
      <c r="C19" s="256"/>
      <c r="D19" s="256"/>
      <c r="E19" s="256"/>
      <c r="F19" s="256"/>
      <c r="G19" s="256"/>
      <c r="H19" s="256"/>
      <c r="I19" s="256"/>
      <c r="J19" s="256"/>
      <c r="K19" s="256"/>
      <c r="L19" s="262"/>
      <c r="O19" s="1265"/>
      <c r="P19" s="1036"/>
      <c r="Q19" s="603"/>
    </row>
    <row r="20" spans="1:21" ht="15" customHeight="1" x14ac:dyDescent="0.25">
      <c r="A20" s="258"/>
      <c r="B20" s="258" t="str">
        <f>PENYELIA!$B$20</f>
        <v>1. Fisik</v>
      </c>
      <c r="C20" s="258"/>
      <c r="D20" s="259" t="str">
        <f>PENYELIA!$D$20</f>
        <v>:</v>
      </c>
      <c r="E20" s="258" t="str">
        <f>PENYELIA!$E$20</f>
        <v>Baik</v>
      </c>
      <c r="F20" s="258"/>
      <c r="G20" s="258"/>
      <c r="H20" s="258"/>
      <c r="I20" s="258"/>
      <c r="J20" s="258"/>
      <c r="K20" s="258"/>
      <c r="L20" s="262"/>
      <c r="O20" s="1265"/>
      <c r="P20" s="1036"/>
      <c r="Q20" s="603"/>
    </row>
    <row r="21" spans="1:21" ht="15" customHeight="1" x14ac:dyDescent="0.25">
      <c r="A21" s="258"/>
      <c r="B21" s="258" t="str">
        <f>PENYELIA!$B$21</f>
        <v>2. Fungsi</v>
      </c>
      <c r="C21" s="258"/>
      <c r="D21" s="259" t="str">
        <f>PENYELIA!$D$21</f>
        <v>:</v>
      </c>
      <c r="E21" s="258" t="str">
        <f>PENYELIA!$E$21</f>
        <v>Baik</v>
      </c>
      <c r="F21" s="258"/>
      <c r="G21" s="258"/>
      <c r="H21" s="258"/>
      <c r="I21" s="258"/>
      <c r="J21" s="258"/>
      <c r="K21" s="258"/>
      <c r="L21" s="262"/>
      <c r="O21" s="1265"/>
      <c r="P21" s="1036"/>
      <c r="Q21" s="603"/>
    </row>
    <row r="22" spans="1:21" ht="12" customHeight="1" x14ac:dyDescent="0.25">
      <c r="A22" s="258"/>
      <c r="B22" s="258"/>
      <c r="C22" s="258"/>
      <c r="D22" s="259"/>
      <c r="E22" s="258"/>
      <c r="F22" s="258"/>
      <c r="G22" s="258"/>
      <c r="H22" s="258"/>
      <c r="I22" s="258"/>
      <c r="J22" s="258"/>
      <c r="K22" s="258"/>
      <c r="L22" s="262"/>
    </row>
    <row r="23" spans="1:21" ht="15" customHeight="1" x14ac:dyDescent="0.25">
      <c r="A23" s="256" t="str">
        <f>PENYELIA!$A$23</f>
        <v>III.</v>
      </c>
      <c r="B23" s="256" t="str">
        <f>PENYELIA!$B$23</f>
        <v>Pengujian Keselamatan Listrik</v>
      </c>
      <c r="C23" s="256"/>
      <c r="D23" s="256"/>
      <c r="E23" s="258"/>
      <c r="F23" s="258"/>
      <c r="G23" s="258"/>
      <c r="H23" s="264"/>
      <c r="I23" s="258"/>
      <c r="J23" s="258"/>
      <c r="K23" s="258"/>
      <c r="L23" s="262"/>
    </row>
    <row r="24" spans="1:21" ht="32.25" customHeight="1" x14ac:dyDescent="0.25">
      <c r="A24" s="258"/>
      <c r="B24" s="265" t="s">
        <v>77</v>
      </c>
      <c r="C24" s="1266" t="s">
        <v>78</v>
      </c>
      <c r="D24" s="1267"/>
      <c r="E24" s="1267"/>
      <c r="F24" s="1267"/>
      <c r="G24" s="1268"/>
      <c r="H24" s="307" t="s">
        <v>79</v>
      </c>
      <c r="I24" s="1266" t="s">
        <v>80</v>
      </c>
      <c r="J24" s="1268"/>
      <c r="K24" s="258"/>
      <c r="L24" s="258"/>
    </row>
    <row r="25" spans="1:21" ht="15" customHeight="1" x14ac:dyDescent="0.25">
      <c r="A25" s="258"/>
      <c r="B25" s="266">
        <f>PENYELIA!B25</f>
        <v>1</v>
      </c>
      <c r="C25" s="267" t="str">
        <f>PENYELIA!C25</f>
        <v xml:space="preserve">Resistansi isolasi </v>
      </c>
      <c r="D25" s="268"/>
      <c r="E25" s="268"/>
      <c r="F25" s="268"/>
      <c r="G25" s="269"/>
      <c r="H25" s="1024" t="str">
        <f>PENYELIA!I25</f>
        <v>OL</v>
      </c>
      <c r="I25" s="1278">
        <f>PENYELIA!K25</f>
        <v>2</v>
      </c>
      <c r="J25" s="1279"/>
      <c r="K25" s="258"/>
      <c r="L25" s="258"/>
    </row>
    <row r="26" spans="1:21" ht="15" customHeight="1" x14ac:dyDescent="0.25">
      <c r="A26" s="258"/>
      <c r="B26" s="270">
        <f>PENYELIA!B26</f>
        <v>2</v>
      </c>
      <c r="C26" s="1047" t="str">
        <f>PENYELIA!C26</f>
        <v>Resistansi pembumian protektif</v>
      </c>
      <c r="D26" s="271"/>
      <c r="E26" s="271"/>
      <c r="F26" s="271"/>
      <c r="G26" s="272"/>
      <c r="H26" s="1025">
        <f>PENYELIA!I26</f>
        <v>0.21622046948820212</v>
      </c>
      <c r="I26" s="1261">
        <f>PENYELIA!K26</f>
        <v>0.2</v>
      </c>
      <c r="J26" s="1262"/>
      <c r="K26" s="258"/>
      <c r="L26" s="258"/>
    </row>
    <row r="27" spans="1:21" ht="15" customHeight="1" x14ac:dyDescent="0.25">
      <c r="A27" s="258"/>
      <c r="B27" s="273">
        <f>PENYELIA!B27</f>
        <v>3</v>
      </c>
      <c r="C27" s="1026" t="str">
        <f>PENYELIA!C27</f>
        <v>Arus bocor peralatan untuk peralatan elektromedik kelas I</v>
      </c>
      <c r="D27" s="274"/>
      <c r="E27" s="274"/>
      <c r="F27" s="274"/>
      <c r="G27" s="275"/>
      <c r="H27" s="1027" t="str">
        <f>PENYELIA!I27</f>
        <v>-</v>
      </c>
      <c r="I27" s="1263">
        <f>PENYELIA!K27</f>
        <v>500</v>
      </c>
      <c r="J27" s="1264"/>
      <c r="K27" s="258"/>
      <c r="L27" s="258"/>
    </row>
    <row r="28" spans="1:21" ht="12" customHeight="1" x14ac:dyDescent="0.25">
      <c r="A28" s="258"/>
      <c r="B28" s="259"/>
      <c r="C28" s="258"/>
      <c r="D28" s="258"/>
      <c r="E28" s="258"/>
      <c r="F28" s="258"/>
      <c r="G28" s="258"/>
      <c r="H28" s="264"/>
      <c r="I28" s="258"/>
      <c r="J28" s="276"/>
      <c r="K28" s="258"/>
      <c r="L28" s="277"/>
    </row>
    <row r="29" spans="1:21" ht="19.5" customHeight="1" x14ac:dyDescent="0.25">
      <c r="A29" s="256" t="str">
        <f>PENYELIA!$A$29</f>
        <v>IV.</v>
      </c>
      <c r="B29" s="256" t="str">
        <f>PENYELIA!$B$29</f>
        <v>Pengujian Kinerja</v>
      </c>
      <c r="C29" s="256"/>
      <c r="D29" s="256"/>
      <c r="E29" s="256"/>
      <c r="F29" s="256"/>
      <c r="G29" s="256"/>
      <c r="H29" s="259"/>
      <c r="I29" s="258"/>
      <c r="J29" s="258"/>
      <c r="K29" s="258"/>
      <c r="L29" s="262"/>
    </row>
    <row r="30" spans="1:21" ht="26.25" customHeight="1" x14ac:dyDescent="0.3">
      <c r="A30" s="258"/>
      <c r="B30" s="1259" t="s">
        <v>91</v>
      </c>
      <c r="C30" s="1259" t="s">
        <v>78</v>
      </c>
      <c r="D30" s="1280" t="s">
        <v>92</v>
      </c>
      <c r="E30" s="1281"/>
      <c r="F30" s="555" t="s">
        <v>103</v>
      </c>
      <c r="G30" s="525" t="s">
        <v>150</v>
      </c>
      <c r="H30" s="1280" t="s">
        <v>94</v>
      </c>
      <c r="I30" s="1298" t="s">
        <v>242</v>
      </c>
      <c r="J30" s="1299"/>
      <c r="K30" s="1299"/>
      <c r="L30" s="1051"/>
    </row>
    <row r="31" spans="1:21" ht="18.75" customHeight="1" x14ac:dyDescent="0.25">
      <c r="A31" s="258"/>
      <c r="B31" s="1260"/>
      <c r="C31" s="1260"/>
      <c r="D31" s="1282"/>
      <c r="E31" s="1283"/>
      <c r="F31" s="551" t="s">
        <v>246</v>
      </c>
      <c r="G31" s="551" t="s">
        <v>247</v>
      </c>
      <c r="H31" s="1297"/>
      <c r="I31" s="1300" t="s">
        <v>247</v>
      </c>
      <c r="J31" s="1301"/>
      <c r="K31" s="1302"/>
      <c r="L31" s="258"/>
    </row>
    <row r="32" spans="1:21" ht="20.149999999999999" customHeight="1" x14ac:dyDescent="0.25">
      <c r="A32" s="258"/>
      <c r="B32" s="308">
        <f>PENYELIA!B32</f>
        <v>1</v>
      </c>
      <c r="C32" s="1269" t="str">
        <f>PENYELIA!C32</f>
        <v>Kecepatan Putaran (RPM)</v>
      </c>
      <c r="D32" s="1274">
        <f>PENYELIA!D32</f>
        <v>2</v>
      </c>
      <c r="E32" s="1274"/>
      <c r="F32" s="1028" t="str">
        <f>TEXT(PENYELIA!F32,"0.0")</f>
        <v>2121.8</v>
      </c>
      <c r="G32" s="1029">
        <f>PENYELIA!G32</f>
        <v>1.8070145519776395E-2</v>
      </c>
      <c r="H32" s="1313" t="s">
        <v>283</v>
      </c>
      <c r="I32" s="1050" t="s">
        <v>525</v>
      </c>
      <c r="J32" s="1305" t="str">
        <f>O32</f>
        <v>0.03</v>
      </c>
      <c r="K32" s="1306"/>
      <c r="L32" s="258"/>
      <c r="N32" s="322">
        <f>PENYELIA!I32</f>
        <v>3.3776296910883429E-2</v>
      </c>
      <c r="O32" s="1293" t="str">
        <f>IFERROR(IF(N32&gt;=10,TEXT(N32,"0"),IF(N32&gt;=1,TEXT(N32,"0.0"),TEXT(N32,"0.00"))),"-")</f>
        <v>0.03</v>
      </c>
      <c r="P32" s="1293"/>
    </row>
    <row r="33" spans="1:16" ht="20.149999999999999" customHeight="1" x14ac:dyDescent="0.25">
      <c r="A33" s="258"/>
      <c r="B33" s="309">
        <f>PENYELIA!B33</f>
        <v>2</v>
      </c>
      <c r="C33" s="1270"/>
      <c r="D33" s="1273">
        <f>PENYELIA!D33</f>
        <v>4</v>
      </c>
      <c r="E33" s="1273"/>
      <c r="F33" s="1030">
        <f>PENYELIA!F33</f>
        <v>4042.5481741702233</v>
      </c>
      <c r="G33" s="1031">
        <f>PENYELIA!G33</f>
        <v>1.490383756228957E-2</v>
      </c>
      <c r="H33" s="1314"/>
      <c r="I33" s="1048" t="s">
        <v>525</v>
      </c>
      <c r="J33" s="1303" t="str">
        <f t="shared" ref="J33:J34" si="0">O33</f>
        <v>0.03</v>
      </c>
      <c r="K33" s="1304"/>
      <c r="L33" s="258"/>
      <c r="N33" s="322">
        <f>PENYELIA!I33</f>
        <v>3.2491823267259835E-2</v>
      </c>
      <c r="O33" s="1293" t="str">
        <f>IFERROR(IF(N33&gt;=10,TEXT(N33,"0"),IF(N33&gt;=1,TEXT(N33,"0.0"),TEXT(N33,"0.00"))),"-")</f>
        <v>0.03</v>
      </c>
      <c r="P33" s="1293"/>
    </row>
    <row r="34" spans="1:16" ht="20.149999999999999" customHeight="1" x14ac:dyDescent="0.25">
      <c r="A34" s="258"/>
      <c r="B34" s="309">
        <f>PENYELIA!B34</f>
        <v>3</v>
      </c>
      <c r="C34" s="1270"/>
      <c r="D34" s="1273">
        <f>PENYELIA!D34</f>
        <v>7</v>
      </c>
      <c r="E34" s="1273"/>
      <c r="F34" s="1030">
        <f>PENYELIA!F34</f>
        <v>7214.1422795178642</v>
      </c>
      <c r="G34" s="1031">
        <f>PENYELIA!G34</f>
        <v>9.1108137813165815E-3</v>
      </c>
      <c r="H34" s="1314"/>
      <c r="I34" s="1048" t="s">
        <v>525</v>
      </c>
      <c r="J34" s="1303" t="str">
        <f t="shared" si="0"/>
        <v>0.03</v>
      </c>
      <c r="K34" s="1304"/>
      <c r="L34" s="258"/>
      <c r="N34" s="322">
        <f>PENYELIA!I34</f>
        <v>3.1018599526243029E-2</v>
      </c>
      <c r="O34" s="1293" t="str">
        <f>IFERROR(IF(N34&gt;=10,TEXT(N34,"0"),IF(N34&gt;=1,TEXT(N34,"0.0"),TEXT(N34,"0.00"))),"-")</f>
        <v>0.03</v>
      </c>
      <c r="P34" s="1293"/>
    </row>
    <row r="35" spans="1:16" ht="20.149999999999999" customHeight="1" x14ac:dyDescent="0.25">
      <c r="A35" s="258"/>
      <c r="B35" s="310">
        <f>PENYELIA!B35</f>
        <v>4</v>
      </c>
      <c r="C35" s="1271"/>
      <c r="D35" s="1272">
        <f>PENYELIA!D35</f>
        <v>9</v>
      </c>
      <c r="E35" s="1272"/>
      <c r="F35" s="1032">
        <f>PENYELIA!F35</f>
        <v>9363.1344676093104</v>
      </c>
      <c r="G35" s="1033">
        <f>PENYELIA!G35</f>
        <v>1.7110530499182094E-2</v>
      </c>
      <c r="H35" s="1315"/>
      <c r="I35" s="1049" t="s">
        <v>525</v>
      </c>
      <c r="J35" s="1308" t="str">
        <f>O35</f>
        <v>0.03</v>
      </c>
      <c r="K35" s="1309"/>
      <c r="L35" s="258"/>
      <c r="N35" s="322">
        <f>PENYELIA!I35</f>
        <v>3.3276851493988811E-2</v>
      </c>
      <c r="O35" s="1293" t="str">
        <f>IFERROR(IF(N35&gt;=10,TEXT(N35,"0"),IF(N35&gt;=1,TEXT(N35,"0.0"),TEXT(N35,"0.00"))),"-")</f>
        <v>0.03</v>
      </c>
      <c r="P35" s="1293"/>
    </row>
    <row r="36" spans="1:16" ht="12" customHeight="1" x14ac:dyDescent="0.25">
      <c r="A36" s="258"/>
      <c r="B36" s="278"/>
      <c r="C36" s="279"/>
      <c r="D36" s="278"/>
      <c r="E36" s="278"/>
      <c r="F36" s="280"/>
      <c r="G36" s="280"/>
      <c r="H36" s="280"/>
      <c r="I36" s="281"/>
      <c r="J36" s="282"/>
      <c r="K36" s="283"/>
      <c r="L36" s="258"/>
    </row>
    <row r="37" spans="1:16" ht="26.25" customHeight="1" x14ac:dyDescent="0.3">
      <c r="A37" s="258"/>
      <c r="B37" s="1287" t="s">
        <v>91</v>
      </c>
      <c r="C37" s="1287" t="s">
        <v>78</v>
      </c>
      <c r="D37" s="1285" t="str">
        <f>D30</f>
        <v>Setting Alat</v>
      </c>
      <c r="E37" s="1286"/>
      <c r="F37" s="557" t="str">
        <f>F30</f>
        <v>Pembacaan Standar</v>
      </c>
      <c r="G37" s="556" t="str">
        <f>PENYELIA!G37</f>
        <v>Koreksi</v>
      </c>
      <c r="H37" s="1310" t="s">
        <v>94</v>
      </c>
      <c r="I37" s="1289" t="str">
        <f>I30</f>
        <v>Ketidakpastian Pengukuran</v>
      </c>
      <c r="J37" s="1312"/>
      <c r="K37" s="1290"/>
      <c r="L37" s="258"/>
    </row>
    <row r="38" spans="1:16" ht="18.75" customHeight="1" x14ac:dyDescent="0.25">
      <c r="A38" s="258"/>
      <c r="B38" s="1288"/>
      <c r="C38" s="1288"/>
      <c r="D38" s="1219" t="s">
        <v>248</v>
      </c>
      <c r="E38" s="1219"/>
      <c r="F38" s="32" t="s">
        <v>248</v>
      </c>
      <c r="G38" s="32" t="s">
        <v>248</v>
      </c>
      <c r="H38" s="1311"/>
      <c r="I38" s="1291" t="str">
        <f>I31</f>
        <v>(%)</v>
      </c>
      <c r="J38" s="1307"/>
      <c r="K38" s="1292"/>
      <c r="L38" s="258"/>
    </row>
    <row r="39" spans="1:16" ht="20.149999999999999" customHeight="1" x14ac:dyDescent="0.25">
      <c r="A39" s="258"/>
      <c r="B39" s="284">
        <f>PENYELIA!B39</f>
        <v>5</v>
      </c>
      <c r="C39" s="284" t="str">
        <f>PENYELIA!C39</f>
        <v>Waktu (s)</v>
      </c>
      <c r="D39" s="1272">
        <f>PENYELIA!D39</f>
        <v>300</v>
      </c>
      <c r="E39" s="1272"/>
      <c r="F39" s="1034">
        <f>PENYELIA!F39</f>
        <v>400.99894143489377</v>
      </c>
      <c r="G39" s="1034">
        <f>PENYELIA!G39</f>
        <v>100.99894143489377</v>
      </c>
      <c r="H39" s="285" t="s">
        <v>283</v>
      </c>
      <c r="I39" s="1038" t="s">
        <v>525</v>
      </c>
      <c r="J39" s="1040" t="str">
        <f>IF(N39&gt;=10,TEXT(N39,"0"),IF(N39&gt;=1,TEXT(N39,"0.0"),TEXT(N39,"0.00")))</f>
        <v>0.57</v>
      </c>
      <c r="K39" s="1039"/>
      <c r="L39" s="258"/>
      <c r="N39" s="322">
        <f>PENYELIA!I39</f>
        <v>0.56695961911458737</v>
      </c>
    </row>
    <row r="40" spans="1:16" ht="12" customHeight="1" x14ac:dyDescent="0.25">
      <c r="B40" s="44"/>
      <c r="C40" s="111"/>
      <c r="D40" s="340"/>
      <c r="E40" s="340"/>
      <c r="F40" s="340"/>
      <c r="G40" s="42"/>
      <c r="H40" s="42"/>
      <c r="I40" s="180"/>
      <c r="J40" s="341"/>
      <c r="K40" s="342"/>
    </row>
    <row r="41" spans="1:16" ht="15" customHeight="1" x14ac:dyDescent="0.25">
      <c r="A41" s="68" t="str">
        <f>PENYELIA!$A$41</f>
        <v>V.</v>
      </c>
      <c r="B41" s="68" t="str">
        <f>PENYELIA!$B$41</f>
        <v>Keterangan</v>
      </c>
      <c r="C41" s="386"/>
      <c r="D41" s="386"/>
      <c r="E41" s="59"/>
      <c r="F41" s="59"/>
      <c r="G41" s="59"/>
      <c r="H41" s="59"/>
      <c r="I41" s="59"/>
      <c r="J41" s="59"/>
      <c r="K41" s="59"/>
      <c r="L41" s="70"/>
      <c r="M41" s="59"/>
    </row>
    <row r="42" spans="1:16" ht="15" customHeight="1" x14ac:dyDescent="0.25">
      <c r="A42" s="59"/>
      <c r="B42" s="1035" t="str">
        <f>PENYELIA!B42</f>
        <v>Ketidakpastian pengukuran dilaporkan pada tingkat kepercayaan 95 % dengan faktor cakupan k = 2</v>
      </c>
      <c r="C42" s="387"/>
      <c r="D42" s="387"/>
      <c r="E42" s="59"/>
      <c r="F42" s="59"/>
      <c r="G42" s="59"/>
      <c r="H42" s="59"/>
      <c r="I42" s="59"/>
      <c r="J42" s="59"/>
      <c r="K42" s="59"/>
      <c r="L42" s="70"/>
      <c r="M42" s="59"/>
    </row>
    <row r="43" spans="1:16" ht="15" customHeight="1" x14ac:dyDescent="0.25">
      <c r="A43" s="59"/>
      <c r="B43" s="1035" t="str">
        <f>PENYELIA!B43</f>
        <v>Hasil pengukuran keselamatan listrik tertelusur ke Satuan Internasional ( SI ) melalui PT. Kaliman (LK-032-IDN)</v>
      </c>
      <c r="C43" s="387"/>
      <c r="D43" s="387"/>
      <c r="E43" s="59"/>
      <c r="F43" s="59"/>
      <c r="G43" s="59"/>
      <c r="H43" s="59"/>
      <c r="I43" s="59"/>
      <c r="J43" s="59"/>
      <c r="K43" s="59"/>
      <c r="L43" s="70"/>
      <c r="M43" s="59"/>
    </row>
    <row r="44" spans="1:16" ht="15" customHeight="1" x14ac:dyDescent="0.25">
      <c r="A44" s="59"/>
      <c r="B44" s="1035" t="str">
        <f>PENYELIA!B44</f>
        <v>Hasil kalibrasi kecepatan tertelusur ke Satuan Internasional ( SI ) melalui PT KALIMAN</v>
      </c>
      <c r="C44" s="387"/>
      <c r="D44" s="387"/>
      <c r="E44" s="59"/>
      <c r="F44" s="59"/>
      <c r="G44" s="59"/>
      <c r="H44" s="59"/>
      <c r="I44" s="59"/>
      <c r="J44" s="59"/>
      <c r="K44" s="59"/>
      <c r="L44" s="70"/>
      <c r="M44" s="59"/>
    </row>
    <row r="45" spans="1:16" ht="15" customHeight="1" x14ac:dyDescent="0.25">
      <c r="A45" s="59"/>
      <c r="B45" s="1035" t="str">
        <f>PENYELIA!B45</f>
        <v>Hasil pengukuran akurasi waktu tertelusur ke Satuan Internasional ( SI ) melalui PT KALIMAN</v>
      </c>
      <c r="C45" s="387"/>
      <c r="D45" s="387"/>
      <c r="E45" s="59"/>
      <c r="F45" s="59"/>
      <c r="G45" s="59"/>
      <c r="H45" s="59"/>
      <c r="I45" s="59"/>
      <c r="J45" s="59"/>
      <c r="K45" s="59"/>
      <c r="L45" s="70"/>
      <c r="M45" s="59"/>
    </row>
    <row r="46" spans="1:16" ht="15" customHeight="1" x14ac:dyDescent="0.25">
      <c r="A46" s="59"/>
      <c r="B46" s="1035" t="str">
        <f>PENYELIA!B46</f>
        <v>Tidak terdapat grounding di ruangan</v>
      </c>
      <c r="C46" s="387"/>
      <c r="D46" s="387"/>
      <c r="E46" s="59"/>
      <c r="F46" s="59"/>
      <c r="G46" s="59"/>
      <c r="H46" s="59"/>
      <c r="I46" s="59"/>
      <c r="J46" s="59"/>
      <c r="K46" s="59"/>
      <c r="L46" s="70"/>
      <c r="M46" s="59"/>
    </row>
    <row r="47" spans="1:16" ht="15" hidden="1" customHeight="1" x14ac:dyDescent="0.25">
      <c r="A47" s="59"/>
      <c r="B47" s="59"/>
      <c r="C47" s="387"/>
      <c r="D47" s="387"/>
      <c r="E47" s="59"/>
      <c r="F47" s="59"/>
      <c r="G47" s="59"/>
      <c r="H47" s="59"/>
      <c r="I47" s="59"/>
      <c r="J47" s="59"/>
      <c r="K47" s="59"/>
      <c r="L47" s="70"/>
      <c r="M47" s="59"/>
    </row>
    <row r="48" spans="1:16" ht="15" customHeight="1" x14ac:dyDescent="0.25">
      <c r="A48" s="59"/>
      <c r="B48" s="59"/>
      <c r="C48" s="387"/>
      <c r="D48" s="387"/>
      <c r="E48" s="59"/>
      <c r="F48" s="59"/>
      <c r="G48" s="59"/>
      <c r="H48" s="59"/>
      <c r="I48" s="59"/>
      <c r="J48" s="59"/>
      <c r="K48" s="59"/>
      <c r="L48" s="70"/>
      <c r="M48" s="59"/>
    </row>
    <row r="49" spans="1:13" ht="15" customHeight="1" x14ac:dyDescent="0.25">
      <c r="A49" s="68" t="str">
        <f>PENYELIA!$A$49</f>
        <v>VI.</v>
      </c>
      <c r="B49" s="68" t="str">
        <f>PENYELIA!$B$49</f>
        <v>Alat Ukur Yang Digunakan</v>
      </c>
      <c r="C49" s="386"/>
      <c r="D49" s="386"/>
      <c r="E49" s="68"/>
      <c r="F49" s="59"/>
      <c r="G49" s="59"/>
      <c r="H49" s="59"/>
      <c r="I49" s="59"/>
      <c r="J49" s="59"/>
      <c r="K49" s="59"/>
      <c r="L49" s="70"/>
      <c r="M49" s="59"/>
    </row>
    <row r="50" spans="1:13" ht="15" customHeight="1" x14ac:dyDescent="0.25">
      <c r="A50" s="59"/>
      <c r="B50" s="59" t="str">
        <f>PENYELIA!B50</f>
        <v>Digital Tachometer, Merek : Krisbow, Model : KW06-563, SN : 180812206</v>
      </c>
      <c r="C50" s="59"/>
      <c r="D50" s="59"/>
      <c r="E50" s="59"/>
      <c r="F50" s="59"/>
      <c r="G50" s="59"/>
      <c r="H50" s="59"/>
      <c r="I50" s="59"/>
      <c r="J50" s="59"/>
      <c r="K50" s="59"/>
      <c r="L50" s="70"/>
      <c r="M50" s="59"/>
    </row>
    <row r="51" spans="1:13" ht="15" customHeight="1" x14ac:dyDescent="0.25">
      <c r="A51" s="59"/>
      <c r="B51" s="59" t="str">
        <f>PENYELIA!B51</f>
        <v>Stopwatch, Merek : Casio, Model : HS - 80TW, SN : 605Q11R</v>
      </c>
      <c r="C51" s="59"/>
      <c r="D51" s="59"/>
      <c r="E51" s="59"/>
      <c r="F51" s="59"/>
      <c r="G51" s="59"/>
      <c r="H51" s="59"/>
      <c r="I51" s="59"/>
      <c r="J51" s="59"/>
      <c r="K51" s="59"/>
      <c r="L51" s="70"/>
      <c r="M51" s="59"/>
    </row>
    <row r="52" spans="1:13" ht="15" customHeight="1" x14ac:dyDescent="0.25">
      <c r="A52" s="59"/>
      <c r="B52" s="59" t="str">
        <f>PENYELIA!$B$52</f>
        <v>Electrical Safety Analyzer, Merek : Fluke, Model : ESA 615, SN : 4670010</v>
      </c>
      <c r="C52" s="59"/>
      <c r="D52" s="59"/>
      <c r="E52" s="59"/>
      <c r="F52" s="59"/>
      <c r="G52" s="59"/>
      <c r="H52" s="59"/>
      <c r="I52" s="59"/>
      <c r="J52" s="59"/>
      <c r="K52" s="59"/>
      <c r="L52" s="70"/>
      <c r="M52" s="59"/>
    </row>
    <row r="53" spans="1:13" ht="15" hidden="1" customHeight="1" x14ac:dyDescent="0.25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70"/>
      <c r="M53" s="59"/>
    </row>
    <row r="54" spans="1:13" ht="12" customHeight="1" x14ac:dyDescent="0.25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70"/>
      <c r="M54" s="59"/>
    </row>
    <row r="55" spans="1:13" ht="15" customHeight="1" x14ac:dyDescent="0.25">
      <c r="A55" s="68" t="str">
        <f>PENYELIA!$A$55</f>
        <v>VII.</v>
      </c>
      <c r="B55" s="68" t="str">
        <f>PENYELIA!$B$55</f>
        <v>Kesimpulan</v>
      </c>
      <c r="C55" s="68"/>
      <c r="D55" s="68"/>
      <c r="E55" s="59"/>
      <c r="F55" s="59"/>
      <c r="G55" s="59"/>
      <c r="H55" s="59"/>
      <c r="I55" s="59"/>
      <c r="J55" s="59"/>
      <c r="K55" s="59"/>
      <c r="L55" s="70"/>
      <c r="M55" s="59"/>
    </row>
    <row r="56" spans="1:13" ht="14.25" customHeight="1" x14ac:dyDescent="0.25">
      <c r="A56" s="59"/>
      <c r="B56" s="1284" t="str">
        <f>PENYELIA!$B$56</f>
        <v>Alat yang diuji dalam batas toleransi dan dinyatakan LAIK PAKAI, dimana hasil atau skor akhir sama dengan atau melampaui 70% berdasarkan Keputusan Direktur Jenderal Pelayanan Kesehatan No : HK.02.02/V/0412/2020</v>
      </c>
      <c r="C56" s="1284"/>
      <c r="D56" s="1284"/>
      <c r="E56" s="1284"/>
      <c r="F56" s="1284"/>
      <c r="G56" s="1284"/>
      <c r="H56" s="1284"/>
      <c r="I56" s="1284"/>
      <c r="J56" s="1284"/>
      <c r="K56" s="1284"/>
      <c r="L56" s="1284"/>
      <c r="M56" s="59"/>
    </row>
    <row r="57" spans="1:13" ht="14" x14ac:dyDescent="0.25">
      <c r="A57" s="59"/>
      <c r="B57" s="1284"/>
      <c r="C57" s="1284"/>
      <c r="D57" s="1284"/>
      <c r="E57" s="1284"/>
      <c r="F57" s="1284"/>
      <c r="G57" s="1284"/>
      <c r="H57" s="1284"/>
      <c r="I57" s="1284"/>
      <c r="J57" s="1284"/>
      <c r="K57" s="1284"/>
      <c r="L57" s="1284"/>
      <c r="M57" s="59"/>
    </row>
    <row r="58" spans="1:13" ht="12" customHeight="1" x14ac:dyDescent="0.25">
      <c r="A58" s="59"/>
      <c r="B58" s="388"/>
      <c r="C58" s="388"/>
      <c r="D58" s="388"/>
      <c r="E58" s="388"/>
      <c r="F58" s="388"/>
      <c r="G58" s="388"/>
      <c r="H58" s="388"/>
      <c r="I58" s="388"/>
      <c r="J58" s="388"/>
      <c r="K58" s="388"/>
      <c r="L58" s="388"/>
      <c r="M58" s="59"/>
    </row>
    <row r="59" spans="1:13" ht="15" customHeight="1" x14ac:dyDescent="0.25">
      <c r="A59" s="68" t="str">
        <f>PENYELIA!$A$59</f>
        <v>VIII.</v>
      </c>
      <c r="B59" s="68" t="str">
        <f>PENYELIA!$B$59</f>
        <v>Petugas Pengujian</v>
      </c>
      <c r="C59" s="68"/>
      <c r="D59" s="68"/>
      <c r="E59" s="59"/>
      <c r="F59" s="59"/>
      <c r="G59" s="59"/>
      <c r="H59" s="59"/>
      <c r="I59" s="70"/>
      <c r="J59" s="70"/>
      <c r="K59" s="59"/>
      <c r="L59" s="70"/>
      <c r="M59" s="59"/>
    </row>
    <row r="60" spans="1:13" ht="15" customHeight="1" x14ac:dyDescent="0.25">
      <c r="A60" s="59"/>
      <c r="B60" s="59" t="str">
        <f>PENYELIA!$B$60</f>
        <v>Gusti Arya Dinata</v>
      </c>
      <c r="C60" s="59"/>
      <c r="D60" s="59"/>
      <c r="E60" s="59"/>
      <c r="F60" s="59"/>
      <c r="G60" s="59"/>
      <c r="H60" s="59"/>
      <c r="I60" s="70"/>
      <c r="J60" s="70"/>
      <c r="K60" s="59"/>
      <c r="L60" s="70"/>
      <c r="M60" s="59"/>
    </row>
    <row r="61" spans="1:13" ht="15" customHeight="1" x14ac:dyDescent="0.25">
      <c r="A61" s="59"/>
      <c r="B61" s="59"/>
      <c r="C61" s="59"/>
      <c r="D61" s="59"/>
      <c r="E61" s="59"/>
      <c r="F61" s="59"/>
      <c r="G61" s="59"/>
      <c r="H61" s="59"/>
      <c r="I61" s="389"/>
      <c r="J61" s="59"/>
      <c r="K61" s="59"/>
      <c r="L61" s="70"/>
      <c r="M61" s="59"/>
    </row>
    <row r="62" spans="1:13" ht="15" customHeight="1" x14ac:dyDescent="0.25">
      <c r="A62" s="59"/>
      <c r="B62" s="59"/>
      <c r="C62" s="59"/>
      <c r="D62" s="59"/>
      <c r="E62" s="59"/>
      <c r="F62" s="59"/>
      <c r="G62" s="59"/>
      <c r="H62" s="59"/>
      <c r="I62" s="66" t="s">
        <v>284</v>
      </c>
      <c r="J62" s="59"/>
      <c r="K62" s="59"/>
      <c r="L62" s="70"/>
      <c r="M62" s="59"/>
    </row>
    <row r="63" spans="1:13" ht="15" customHeight="1" x14ac:dyDescent="0.25">
      <c r="A63" s="59"/>
      <c r="B63" s="59"/>
      <c r="C63" s="59"/>
      <c r="D63" s="59"/>
      <c r="E63" s="59"/>
      <c r="F63" s="59"/>
      <c r="G63" s="59"/>
      <c r="H63" s="103" t="str">
        <f>IF(I69=P69,"a.n"," ")</f>
        <v xml:space="preserve"> </v>
      </c>
      <c r="I63" s="66" t="s">
        <v>285</v>
      </c>
      <c r="J63" s="59"/>
      <c r="K63" s="59"/>
      <c r="L63" s="70"/>
      <c r="M63" s="59"/>
    </row>
    <row r="64" spans="1:13" ht="15" customHeight="1" x14ac:dyDescent="0.25">
      <c r="A64" s="59"/>
      <c r="B64" s="59"/>
      <c r="C64" s="390"/>
      <c r="D64" s="390"/>
      <c r="E64" s="390"/>
      <c r="F64" s="390"/>
      <c r="G64" s="391"/>
      <c r="H64" s="391"/>
      <c r="I64" s="66" t="s">
        <v>286</v>
      </c>
      <c r="J64" s="59"/>
      <c r="K64" s="59"/>
      <c r="L64" s="70"/>
      <c r="M64" s="59"/>
    </row>
    <row r="65" spans="1:19" ht="15" customHeight="1" x14ac:dyDescent="0.25">
      <c r="A65" s="59"/>
      <c r="B65" s="59"/>
      <c r="C65" s="392"/>
      <c r="D65" s="393"/>
      <c r="E65" s="393"/>
      <c r="F65" s="393"/>
      <c r="G65" s="391"/>
      <c r="H65" s="391"/>
      <c r="I65" s="66"/>
      <c r="J65" s="59"/>
      <c r="K65" s="59"/>
      <c r="L65" s="70"/>
      <c r="M65" s="59"/>
    </row>
    <row r="66" spans="1:19" ht="15" customHeight="1" x14ac:dyDescent="0.25">
      <c r="A66" s="59"/>
      <c r="B66" s="59"/>
      <c r="C66" s="59"/>
      <c r="D66" s="59"/>
      <c r="E66" s="59"/>
      <c r="F66" s="59"/>
      <c r="G66" s="59"/>
      <c r="H66" s="59"/>
      <c r="I66" s="66"/>
      <c r="J66" s="59"/>
      <c r="K66" s="67"/>
      <c r="L66" s="394"/>
      <c r="M66" s="68"/>
    </row>
    <row r="67" spans="1:19" ht="15" customHeight="1" x14ac:dyDescent="0.25">
      <c r="A67" s="59"/>
      <c r="B67" s="59"/>
      <c r="C67" s="59"/>
      <c r="D67" s="59"/>
      <c r="E67" s="59"/>
      <c r="F67" s="59"/>
      <c r="G67" s="59"/>
      <c r="H67" s="59"/>
      <c r="I67" s="66"/>
      <c r="J67" s="59"/>
      <c r="K67" s="68"/>
      <c r="L67" s="394"/>
      <c r="M67" s="68"/>
    </row>
    <row r="68" spans="1:19" ht="15" customHeight="1" x14ac:dyDescent="0.25">
      <c r="A68" s="59"/>
      <c r="B68" s="59"/>
      <c r="C68" s="59"/>
      <c r="D68" s="59"/>
      <c r="E68" s="59"/>
      <c r="F68" s="59"/>
      <c r="G68" s="59"/>
      <c r="H68" s="59"/>
      <c r="I68" s="395"/>
      <c r="J68" s="59"/>
      <c r="K68" s="59"/>
      <c r="L68" s="70"/>
      <c r="M68" s="59"/>
    </row>
    <row r="69" spans="1:19" ht="15" customHeight="1" x14ac:dyDescent="0.35">
      <c r="A69" s="59"/>
      <c r="B69" s="59"/>
      <c r="C69" s="59"/>
      <c r="D69" s="59"/>
      <c r="E69" s="59"/>
      <c r="F69" s="59"/>
      <c r="G69" s="59"/>
      <c r="H69" s="59"/>
      <c r="I69" s="396" t="s">
        <v>287</v>
      </c>
      <c r="J69" s="59"/>
      <c r="K69" s="59"/>
      <c r="L69" s="70"/>
      <c r="M69" s="59"/>
      <c r="P69" s="761" t="s">
        <v>288</v>
      </c>
      <c r="Q69" s="762" t="s">
        <v>289</v>
      </c>
      <c r="R69" s="1037"/>
      <c r="S69" s="1037"/>
    </row>
    <row r="70" spans="1:19" ht="15" customHeight="1" x14ac:dyDescent="0.35">
      <c r="A70" s="59"/>
      <c r="B70" s="59"/>
      <c r="C70" s="59"/>
      <c r="D70" s="59"/>
      <c r="E70" s="59"/>
      <c r="F70" s="59"/>
      <c r="G70" s="59"/>
      <c r="H70" s="59"/>
      <c r="I70" s="397" t="str">
        <f>VLOOKUP(I69,P69:Q70,2,0)</f>
        <v>NIP 198008062010121001</v>
      </c>
      <c r="J70" s="59"/>
      <c r="K70" s="59"/>
      <c r="L70" s="70"/>
      <c r="M70" s="59"/>
      <c r="P70" s="343" t="s">
        <v>287</v>
      </c>
      <c r="Q70" s="344" t="s">
        <v>290</v>
      </c>
      <c r="R70" s="1037"/>
      <c r="S70" s="1037"/>
    </row>
    <row r="71" spans="1:19" ht="15" customHeight="1" x14ac:dyDescent="0.25">
      <c r="A71" s="59"/>
      <c r="B71" s="59"/>
      <c r="C71" s="59"/>
      <c r="D71" s="59"/>
      <c r="E71" s="59"/>
      <c r="F71" s="59"/>
      <c r="G71" s="59"/>
      <c r="H71" s="59"/>
      <c r="I71" s="397"/>
      <c r="J71" s="59"/>
      <c r="K71" s="59"/>
      <c r="L71" s="70"/>
      <c r="M71" s="59"/>
    </row>
    <row r="72" spans="1:19" ht="15" customHeight="1" x14ac:dyDescent="0.25">
      <c r="A72" s="59"/>
      <c r="B72" s="59"/>
      <c r="C72" s="59"/>
      <c r="D72" s="59"/>
      <c r="E72" s="59"/>
      <c r="F72" s="59"/>
      <c r="G72" s="59"/>
      <c r="H72" s="59"/>
      <c r="I72" s="397"/>
      <c r="J72" s="59"/>
      <c r="K72" s="59"/>
      <c r="L72" s="70"/>
      <c r="M72" s="59"/>
    </row>
    <row r="73" spans="1:19" ht="15" customHeight="1" x14ac:dyDescent="0.25">
      <c r="A73" s="59"/>
      <c r="B73" s="59"/>
      <c r="C73" s="59"/>
      <c r="D73" s="59"/>
      <c r="E73" s="59"/>
      <c r="F73" s="59"/>
      <c r="G73" s="59"/>
      <c r="H73" s="59"/>
      <c r="I73" s="397"/>
      <c r="J73" s="59"/>
      <c r="K73" s="59"/>
      <c r="L73" s="70"/>
      <c r="M73" s="59"/>
    </row>
    <row r="74" spans="1:19" ht="35.25" customHeight="1" x14ac:dyDescent="0.25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398" t="s">
        <v>291</v>
      </c>
    </row>
    <row r="75" spans="1:19" ht="15" customHeight="1" x14ac:dyDescent="0.25">
      <c r="L75" s="315"/>
    </row>
    <row r="76" spans="1:19" ht="15" customHeight="1" x14ac:dyDescent="0.25">
      <c r="L76" s="315"/>
    </row>
    <row r="77" spans="1:19" ht="15" customHeight="1" x14ac:dyDescent="0.25">
      <c r="L77" s="315"/>
    </row>
    <row r="81" spans="12:12" ht="15" customHeight="1" x14ac:dyDescent="0.25">
      <c r="L81" s="315"/>
    </row>
    <row r="82" spans="12:12" ht="15" customHeight="1" x14ac:dyDescent="0.25">
      <c r="L82" s="315"/>
    </row>
    <row r="83" spans="12:12" ht="15" customHeight="1" x14ac:dyDescent="0.25">
      <c r="L83" s="315"/>
    </row>
  </sheetData>
  <mergeCells count="45">
    <mergeCell ref="D39:E39"/>
    <mergeCell ref="B56:L57"/>
    <mergeCell ref="O34:P34"/>
    <mergeCell ref="D35:E35"/>
    <mergeCell ref="J35:K35"/>
    <mergeCell ref="O35:P35"/>
    <mergeCell ref="B37:B38"/>
    <mergeCell ref="C37:C38"/>
    <mergeCell ref="D37:E37"/>
    <mergeCell ref="H37:H38"/>
    <mergeCell ref="I37:K37"/>
    <mergeCell ref="D38:E38"/>
    <mergeCell ref="C32:C35"/>
    <mergeCell ref="D32:E32"/>
    <mergeCell ref="H32:H35"/>
    <mergeCell ref="O32:P32"/>
    <mergeCell ref="D33:E33"/>
    <mergeCell ref="J33:K33"/>
    <mergeCell ref="O33:P33"/>
    <mergeCell ref="I38:K38"/>
    <mergeCell ref="D34:E34"/>
    <mergeCell ref="J34:K34"/>
    <mergeCell ref="I25:J25"/>
    <mergeCell ref="I26:J26"/>
    <mergeCell ref="I27:J27"/>
    <mergeCell ref="J32:K32"/>
    <mergeCell ref="B30:B31"/>
    <mergeCell ref="C30:C31"/>
    <mergeCell ref="D30:E31"/>
    <mergeCell ref="H30:H31"/>
    <mergeCell ref="I30:K30"/>
    <mergeCell ref="I31:K31"/>
    <mergeCell ref="O14:Q14"/>
    <mergeCell ref="S14:U14"/>
    <mergeCell ref="E17:F17"/>
    <mergeCell ref="S17:U17"/>
    <mergeCell ref="O19:O21"/>
    <mergeCell ref="C24:G24"/>
    <mergeCell ref="I24:J24"/>
    <mergeCell ref="A1:M1"/>
    <mergeCell ref="A2:M2"/>
    <mergeCell ref="E6:G6"/>
    <mergeCell ref="E7:F7"/>
    <mergeCell ref="E8:F8"/>
    <mergeCell ref="E9:F9"/>
  </mergeCells>
  <dataValidations count="2">
    <dataValidation allowBlank="1" showInputMessage="1" showErrorMessage="1" sqref="H64" xr:uid="{C680CDCB-54AC-46A8-8F26-3780C74E6305}"/>
    <dataValidation type="list" allowBlank="1" showInputMessage="1" showErrorMessage="1" sqref="I69" xr:uid="{CF291542-D083-4789-BA1D-9C979CCCEAA5}">
      <formula1>$P$69:$P$70</formula1>
    </dataValidation>
  </dataValidations>
  <pageMargins left="0.7" right="0.7" top="0.75" bottom="0.75" header="0.3" footer="0.3"/>
  <pageSetup paperSize="9" scale="65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5361" r:id="rId4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1" r:id="rId4"/>
      </mc:Fallback>
    </mc:AlternateContent>
    <mc:AlternateContent xmlns:mc="http://schemas.openxmlformats.org/markup-compatibility/2006">
      <mc:Choice Requires="x14">
        <oleObject progId="Equation.3" shapeId="15362" r:id="rId6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2" r:id="rId6"/>
      </mc:Fallback>
    </mc:AlternateContent>
    <mc:AlternateContent xmlns:mc="http://schemas.openxmlformats.org/markup-compatibility/2006">
      <mc:Choice Requires="x14">
        <oleObject progId="Equation.3" shapeId="15363" r:id="rId7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3" r:id="rId7"/>
      </mc:Fallback>
    </mc:AlternateContent>
    <mc:AlternateContent xmlns:mc="http://schemas.openxmlformats.org/markup-compatibility/2006">
      <mc:Choice Requires="x14">
        <oleObject progId="Equation.3" shapeId="15364" r:id="rId8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4" r:id="rId8"/>
      </mc:Fallback>
    </mc:AlternateContent>
    <mc:AlternateContent xmlns:mc="http://schemas.openxmlformats.org/markup-compatibility/2006">
      <mc:Choice Requires="x14">
        <oleObject progId="Equation.3" shapeId="15365" r:id="rId9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5" r:id="rId9"/>
      </mc:Fallback>
    </mc:AlternateContent>
    <mc:AlternateContent xmlns:mc="http://schemas.openxmlformats.org/markup-compatibility/2006">
      <mc:Choice Requires="x14">
        <oleObject progId="Equation.3" shapeId="15366" r:id="rId10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6" r:id="rId10"/>
      </mc:Fallback>
    </mc:AlternateContent>
    <mc:AlternateContent xmlns:mc="http://schemas.openxmlformats.org/markup-compatibility/2006">
      <mc:Choice Requires="x14">
        <oleObject progId="Equation.3" shapeId="15367" r:id="rId11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7" r:id="rId11"/>
      </mc:Fallback>
    </mc:AlternateContent>
    <mc:AlternateContent xmlns:mc="http://schemas.openxmlformats.org/markup-compatibility/2006">
      <mc:Choice Requires="x14">
        <oleObject progId="Equation.3" shapeId="15368" r:id="rId12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8" r:id="rId12"/>
      </mc:Fallback>
    </mc:AlternateContent>
    <mc:AlternateContent xmlns:mc="http://schemas.openxmlformats.org/markup-compatibility/2006">
      <mc:Choice Requires="x14">
        <oleObject progId="Equation.3" shapeId="15369" r:id="rId13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369" r:id="rId13"/>
      </mc:Fallback>
    </mc:AlternateContent>
    <mc:AlternateContent xmlns:mc="http://schemas.openxmlformats.org/markup-compatibility/2006">
      <mc:Choice Requires="x14">
        <oleObject progId="Equation.3" shapeId="15370" r:id="rId1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70" r:id="rId14"/>
      </mc:Fallback>
    </mc:AlternateContent>
    <mc:AlternateContent xmlns:mc="http://schemas.openxmlformats.org/markup-compatibility/2006">
      <mc:Choice Requires="x14">
        <oleObject progId="Equation.3" shapeId="15371" r:id="rId15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371" r:id="rId15"/>
      </mc:Fallback>
    </mc:AlternateContent>
    <mc:AlternateContent xmlns:mc="http://schemas.openxmlformats.org/markup-compatibility/2006">
      <mc:Choice Requires="x14">
        <oleObject progId="Equation.3" shapeId="15372" r:id="rId1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72" r:id="rId16"/>
      </mc:Fallback>
    </mc:AlternateContent>
    <mc:AlternateContent xmlns:mc="http://schemas.openxmlformats.org/markup-compatibility/2006">
      <mc:Choice Requires="x14">
        <oleObject progId="Equation.3" shapeId="15373" r:id="rId1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73" r:id="rId17"/>
      </mc:Fallback>
    </mc:AlternateContent>
    <mc:AlternateContent xmlns:mc="http://schemas.openxmlformats.org/markup-compatibility/2006">
      <mc:Choice Requires="x14">
        <oleObject progId="Equation.3" shapeId="15374" r:id="rId1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74" r:id="rId18"/>
      </mc:Fallback>
    </mc:AlternateContent>
    <mc:AlternateContent xmlns:mc="http://schemas.openxmlformats.org/markup-compatibility/2006">
      <mc:Choice Requires="x14">
        <oleObject progId="Equation.3" shapeId="15375" r:id="rId1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75" r:id="rId19"/>
      </mc:Fallback>
    </mc:AlternateContent>
    <mc:AlternateContent xmlns:mc="http://schemas.openxmlformats.org/markup-compatibility/2006">
      <mc:Choice Requires="x14">
        <oleObject progId="Equation.3" shapeId="15376" r:id="rId2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76" r:id="rId20"/>
      </mc:Fallback>
    </mc:AlternateContent>
    <mc:AlternateContent xmlns:mc="http://schemas.openxmlformats.org/markup-compatibility/2006">
      <mc:Choice Requires="x14">
        <oleObject progId="Equation.3" shapeId="15377" r:id="rId2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77" r:id="rId21"/>
      </mc:Fallback>
    </mc:AlternateContent>
    <mc:AlternateContent xmlns:mc="http://schemas.openxmlformats.org/markup-compatibility/2006">
      <mc:Choice Requires="x14">
        <oleObject progId="Equation.3" shapeId="15378" r:id="rId2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78" r:id="rId22"/>
      </mc:Fallback>
    </mc:AlternateContent>
    <mc:AlternateContent xmlns:mc="http://schemas.openxmlformats.org/markup-compatibility/2006">
      <mc:Choice Requires="x14">
        <oleObject progId="Equation.3" shapeId="15379" r:id="rId2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79" r:id="rId23"/>
      </mc:Fallback>
    </mc:AlternateContent>
    <mc:AlternateContent xmlns:mc="http://schemas.openxmlformats.org/markup-compatibility/2006">
      <mc:Choice Requires="x14">
        <oleObject progId="Equation.3" shapeId="15380" r:id="rId2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80" r:id="rId24"/>
      </mc:Fallback>
    </mc:AlternateContent>
    <mc:AlternateContent xmlns:mc="http://schemas.openxmlformats.org/markup-compatibility/2006">
      <mc:Choice Requires="x14">
        <oleObject progId="Equation.3" shapeId="15381" r:id="rId2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81" r:id="rId25"/>
      </mc:Fallback>
    </mc:AlternateContent>
    <mc:AlternateContent xmlns:mc="http://schemas.openxmlformats.org/markup-compatibility/2006">
      <mc:Choice Requires="x14">
        <oleObject progId="Equation.3" shapeId="15382" r:id="rId26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382" r:id="rId26"/>
      </mc:Fallback>
    </mc:AlternateContent>
    <mc:AlternateContent xmlns:mc="http://schemas.openxmlformats.org/markup-compatibility/2006">
      <mc:Choice Requires="x14">
        <oleObject progId="Equation.3" shapeId="15383" r:id="rId2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83" r:id="rId27"/>
      </mc:Fallback>
    </mc:AlternateContent>
    <mc:AlternateContent xmlns:mc="http://schemas.openxmlformats.org/markup-compatibility/2006">
      <mc:Choice Requires="x14">
        <oleObject progId="Equation.3" shapeId="15384" r:id="rId2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84" r:id="rId28"/>
      </mc:Fallback>
    </mc:AlternateContent>
    <mc:AlternateContent xmlns:mc="http://schemas.openxmlformats.org/markup-compatibility/2006">
      <mc:Choice Requires="x14">
        <oleObject progId="Equation.3" shapeId="15385" r:id="rId2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85" r:id="rId29"/>
      </mc:Fallback>
    </mc:AlternateContent>
    <mc:AlternateContent xmlns:mc="http://schemas.openxmlformats.org/markup-compatibility/2006">
      <mc:Choice Requires="x14">
        <oleObject progId="Equation.3" shapeId="15386" r:id="rId3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86" r:id="rId30"/>
      </mc:Fallback>
    </mc:AlternateContent>
    <mc:AlternateContent xmlns:mc="http://schemas.openxmlformats.org/markup-compatibility/2006">
      <mc:Choice Requires="x14">
        <oleObject progId="Equation.3" shapeId="15387" r:id="rId3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87" r:id="rId31"/>
      </mc:Fallback>
    </mc:AlternateContent>
    <mc:AlternateContent xmlns:mc="http://schemas.openxmlformats.org/markup-compatibility/2006">
      <mc:Choice Requires="x14">
        <oleObject progId="Equation.3" shapeId="15388" r:id="rId3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88" r:id="rId32"/>
      </mc:Fallback>
    </mc:AlternateContent>
    <mc:AlternateContent xmlns:mc="http://schemas.openxmlformats.org/markup-compatibility/2006">
      <mc:Choice Requires="x14">
        <oleObject progId="Equation.3" shapeId="15389" r:id="rId3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89" r:id="rId33"/>
      </mc:Fallback>
    </mc:AlternateContent>
    <mc:AlternateContent xmlns:mc="http://schemas.openxmlformats.org/markup-compatibility/2006">
      <mc:Choice Requires="x14">
        <oleObject progId="Equation.3" shapeId="15390" r:id="rId3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90" r:id="rId34"/>
      </mc:Fallback>
    </mc:AlternateContent>
    <mc:AlternateContent xmlns:mc="http://schemas.openxmlformats.org/markup-compatibility/2006">
      <mc:Choice Requires="x14">
        <oleObject progId="Equation.3" shapeId="15391" r:id="rId3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91" r:id="rId35"/>
      </mc:Fallback>
    </mc:AlternateContent>
    <mc:AlternateContent xmlns:mc="http://schemas.openxmlformats.org/markup-compatibility/2006">
      <mc:Choice Requires="x14">
        <oleObject progId="Equation.3" shapeId="15392" r:id="rId3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92" r:id="rId36"/>
      </mc:Fallback>
    </mc:AlternateContent>
    <mc:AlternateContent xmlns:mc="http://schemas.openxmlformats.org/markup-compatibility/2006">
      <mc:Choice Requires="x14">
        <oleObject progId="Equation.3" shapeId="15393" r:id="rId37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393" r:id="rId37"/>
      </mc:Fallback>
    </mc:AlternateContent>
    <mc:AlternateContent xmlns:mc="http://schemas.openxmlformats.org/markup-compatibility/2006">
      <mc:Choice Requires="x14">
        <oleObject progId="Equation.3" shapeId="15394" r:id="rId3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94" r:id="rId38"/>
      </mc:Fallback>
    </mc:AlternateContent>
    <mc:AlternateContent xmlns:mc="http://schemas.openxmlformats.org/markup-compatibility/2006">
      <mc:Choice Requires="x14">
        <oleObject progId="Equation.3" shapeId="15395" r:id="rId3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95" r:id="rId39"/>
      </mc:Fallback>
    </mc:AlternateContent>
    <mc:AlternateContent xmlns:mc="http://schemas.openxmlformats.org/markup-compatibility/2006">
      <mc:Choice Requires="x14">
        <oleObject progId="Equation.3" shapeId="15396" r:id="rId4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96" r:id="rId40"/>
      </mc:Fallback>
    </mc:AlternateContent>
    <mc:AlternateContent xmlns:mc="http://schemas.openxmlformats.org/markup-compatibility/2006">
      <mc:Choice Requires="x14">
        <oleObject progId="Equation.3" shapeId="15397" r:id="rId4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97" r:id="rId41"/>
      </mc:Fallback>
    </mc:AlternateContent>
    <mc:AlternateContent xmlns:mc="http://schemas.openxmlformats.org/markup-compatibility/2006">
      <mc:Choice Requires="x14">
        <oleObject progId="Equation.3" shapeId="15398" r:id="rId4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98" r:id="rId42"/>
      </mc:Fallback>
    </mc:AlternateContent>
    <mc:AlternateContent xmlns:mc="http://schemas.openxmlformats.org/markup-compatibility/2006">
      <mc:Choice Requires="x14">
        <oleObject progId="Equation.3" shapeId="15399" r:id="rId4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399" r:id="rId43"/>
      </mc:Fallback>
    </mc:AlternateContent>
    <mc:AlternateContent xmlns:mc="http://schemas.openxmlformats.org/markup-compatibility/2006">
      <mc:Choice Requires="x14">
        <oleObject progId="Equation.3" shapeId="15400" r:id="rId4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00" r:id="rId44"/>
      </mc:Fallback>
    </mc:AlternateContent>
    <mc:AlternateContent xmlns:mc="http://schemas.openxmlformats.org/markup-compatibility/2006">
      <mc:Choice Requires="x14">
        <oleObject progId="Equation.3" shapeId="15401" r:id="rId4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01" r:id="rId45"/>
      </mc:Fallback>
    </mc:AlternateContent>
    <mc:AlternateContent xmlns:mc="http://schemas.openxmlformats.org/markup-compatibility/2006">
      <mc:Choice Requires="x14">
        <oleObject progId="Equation.3" shapeId="15402" r:id="rId4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02" r:id="rId46"/>
      </mc:Fallback>
    </mc:AlternateContent>
    <mc:AlternateContent xmlns:mc="http://schemas.openxmlformats.org/markup-compatibility/2006">
      <mc:Choice Requires="x14">
        <oleObject progId="Equation.3" shapeId="15403" r:id="rId4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03" r:id="rId47"/>
      </mc:Fallback>
    </mc:AlternateContent>
    <mc:AlternateContent xmlns:mc="http://schemas.openxmlformats.org/markup-compatibility/2006">
      <mc:Choice Requires="x14">
        <oleObject progId="Equation.3" shapeId="15404" r:id="rId48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04" r:id="rId48"/>
      </mc:Fallback>
    </mc:AlternateContent>
    <mc:AlternateContent xmlns:mc="http://schemas.openxmlformats.org/markup-compatibility/2006">
      <mc:Choice Requires="x14">
        <oleObject progId="Equation.3" shapeId="15405" r:id="rId49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05" r:id="rId49"/>
      </mc:Fallback>
    </mc:AlternateContent>
    <mc:AlternateContent xmlns:mc="http://schemas.openxmlformats.org/markup-compatibility/2006">
      <mc:Choice Requires="x14">
        <oleObject progId="Equation.3" shapeId="15406" r:id="rId50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06" r:id="rId50"/>
      </mc:Fallback>
    </mc:AlternateContent>
    <mc:AlternateContent xmlns:mc="http://schemas.openxmlformats.org/markup-compatibility/2006">
      <mc:Choice Requires="x14">
        <oleObject progId="Equation.3" shapeId="15407" r:id="rId51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07" r:id="rId51"/>
      </mc:Fallback>
    </mc:AlternateContent>
    <mc:AlternateContent xmlns:mc="http://schemas.openxmlformats.org/markup-compatibility/2006">
      <mc:Choice Requires="x14">
        <oleObject progId="Equation.3" shapeId="15408" r:id="rId52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08" r:id="rId52"/>
      </mc:Fallback>
    </mc:AlternateContent>
    <mc:AlternateContent xmlns:mc="http://schemas.openxmlformats.org/markup-compatibility/2006">
      <mc:Choice Requires="x14">
        <oleObject progId="Equation.3" shapeId="15409" r:id="rId53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09" r:id="rId53"/>
      </mc:Fallback>
    </mc:AlternateContent>
    <mc:AlternateContent xmlns:mc="http://schemas.openxmlformats.org/markup-compatibility/2006">
      <mc:Choice Requires="x14">
        <oleObject progId="Equation.3" shapeId="15410" r:id="rId54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10" r:id="rId54"/>
      </mc:Fallback>
    </mc:AlternateContent>
    <mc:AlternateContent xmlns:mc="http://schemas.openxmlformats.org/markup-compatibility/2006">
      <mc:Choice Requires="x14">
        <oleObject progId="Equation.3" shapeId="15411" r:id="rId55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11" r:id="rId55"/>
      </mc:Fallback>
    </mc:AlternateContent>
    <mc:AlternateContent xmlns:mc="http://schemas.openxmlformats.org/markup-compatibility/2006">
      <mc:Choice Requires="x14">
        <oleObject progId="Equation.3" shapeId="15412" r:id="rId56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12" r:id="rId56"/>
      </mc:Fallback>
    </mc:AlternateContent>
    <mc:AlternateContent xmlns:mc="http://schemas.openxmlformats.org/markup-compatibility/2006">
      <mc:Choice Requires="x14">
        <oleObject progId="Equation.3" shapeId="15413" r:id="rId57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13" r:id="rId57"/>
      </mc:Fallback>
    </mc:AlternateContent>
    <mc:AlternateContent xmlns:mc="http://schemas.openxmlformats.org/markup-compatibility/2006">
      <mc:Choice Requires="x14">
        <oleObject progId="Equation.3" shapeId="15414" r:id="rId5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14" r:id="rId58"/>
      </mc:Fallback>
    </mc:AlternateContent>
    <mc:AlternateContent xmlns:mc="http://schemas.openxmlformats.org/markup-compatibility/2006">
      <mc:Choice Requires="x14">
        <oleObject progId="Equation.3" shapeId="15415" r:id="rId59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15" r:id="rId59"/>
      </mc:Fallback>
    </mc:AlternateContent>
    <mc:AlternateContent xmlns:mc="http://schemas.openxmlformats.org/markup-compatibility/2006">
      <mc:Choice Requires="x14">
        <oleObject progId="Equation.3" shapeId="15416" r:id="rId6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16" r:id="rId60"/>
      </mc:Fallback>
    </mc:AlternateContent>
    <mc:AlternateContent xmlns:mc="http://schemas.openxmlformats.org/markup-compatibility/2006">
      <mc:Choice Requires="x14">
        <oleObject progId="Equation.3" shapeId="15417" r:id="rId6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17" r:id="rId61"/>
      </mc:Fallback>
    </mc:AlternateContent>
    <mc:AlternateContent xmlns:mc="http://schemas.openxmlformats.org/markup-compatibility/2006">
      <mc:Choice Requires="x14">
        <oleObject progId="Equation.3" shapeId="15418" r:id="rId6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18" r:id="rId62"/>
      </mc:Fallback>
    </mc:AlternateContent>
    <mc:AlternateContent xmlns:mc="http://schemas.openxmlformats.org/markup-compatibility/2006">
      <mc:Choice Requires="x14">
        <oleObject progId="Equation.3" shapeId="15419" r:id="rId6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19" r:id="rId63"/>
      </mc:Fallback>
    </mc:AlternateContent>
    <mc:AlternateContent xmlns:mc="http://schemas.openxmlformats.org/markup-compatibility/2006">
      <mc:Choice Requires="x14">
        <oleObject progId="Equation.3" shapeId="15420" r:id="rId6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20" r:id="rId64"/>
      </mc:Fallback>
    </mc:AlternateContent>
    <mc:AlternateContent xmlns:mc="http://schemas.openxmlformats.org/markup-compatibility/2006">
      <mc:Choice Requires="x14">
        <oleObject progId="Equation.3" shapeId="15421" r:id="rId6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21" r:id="rId65"/>
      </mc:Fallback>
    </mc:AlternateContent>
    <mc:AlternateContent xmlns:mc="http://schemas.openxmlformats.org/markup-compatibility/2006">
      <mc:Choice Requires="x14">
        <oleObject progId="Equation.3" shapeId="15422" r:id="rId6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22" r:id="rId66"/>
      </mc:Fallback>
    </mc:AlternateContent>
    <mc:AlternateContent xmlns:mc="http://schemas.openxmlformats.org/markup-compatibility/2006">
      <mc:Choice Requires="x14">
        <oleObject progId="Equation.3" shapeId="15423" r:id="rId6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23" r:id="rId67"/>
      </mc:Fallback>
    </mc:AlternateContent>
    <mc:AlternateContent xmlns:mc="http://schemas.openxmlformats.org/markup-compatibility/2006">
      <mc:Choice Requires="x14">
        <oleObject progId="Equation.3" shapeId="15424" r:id="rId6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24" r:id="rId68"/>
      </mc:Fallback>
    </mc:AlternateContent>
    <mc:AlternateContent xmlns:mc="http://schemas.openxmlformats.org/markup-compatibility/2006">
      <mc:Choice Requires="x14">
        <oleObject progId="Equation.3" shapeId="15425" r:id="rId6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25" r:id="rId69"/>
      </mc:Fallback>
    </mc:AlternateContent>
    <mc:AlternateContent xmlns:mc="http://schemas.openxmlformats.org/markup-compatibility/2006">
      <mc:Choice Requires="x14">
        <oleObject progId="Equation.3" shapeId="15426" r:id="rId70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26" r:id="rId70"/>
      </mc:Fallback>
    </mc:AlternateContent>
    <mc:AlternateContent xmlns:mc="http://schemas.openxmlformats.org/markup-compatibility/2006">
      <mc:Choice Requires="x14">
        <oleObject progId="Equation.3" shapeId="15427" r:id="rId7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27" r:id="rId71"/>
      </mc:Fallback>
    </mc:AlternateContent>
    <mc:AlternateContent xmlns:mc="http://schemas.openxmlformats.org/markup-compatibility/2006">
      <mc:Choice Requires="x14">
        <oleObject progId="Equation.3" shapeId="15428" r:id="rId7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28" r:id="rId72"/>
      </mc:Fallback>
    </mc:AlternateContent>
    <mc:AlternateContent xmlns:mc="http://schemas.openxmlformats.org/markup-compatibility/2006">
      <mc:Choice Requires="x14">
        <oleObject progId="Equation.3" shapeId="15429" r:id="rId7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29" r:id="rId73"/>
      </mc:Fallback>
    </mc:AlternateContent>
    <mc:AlternateContent xmlns:mc="http://schemas.openxmlformats.org/markup-compatibility/2006">
      <mc:Choice Requires="x14">
        <oleObject progId="Equation.3" shapeId="15430" r:id="rId7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30" r:id="rId74"/>
      </mc:Fallback>
    </mc:AlternateContent>
    <mc:AlternateContent xmlns:mc="http://schemas.openxmlformats.org/markup-compatibility/2006">
      <mc:Choice Requires="x14">
        <oleObject progId="Equation.3" shapeId="15431" r:id="rId7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31" r:id="rId75"/>
      </mc:Fallback>
    </mc:AlternateContent>
    <mc:AlternateContent xmlns:mc="http://schemas.openxmlformats.org/markup-compatibility/2006">
      <mc:Choice Requires="x14">
        <oleObject progId="Equation.3" shapeId="15432" r:id="rId7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32" r:id="rId76"/>
      </mc:Fallback>
    </mc:AlternateContent>
    <mc:AlternateContent xmlns:mc="http://schemas.openxmlformats.org/markup-compatibility/2006">
      <mc:Choice Requires="x14">
        <oleObject progId="Equation.3" shapeId="15433" r:id="rId7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33" r:id="rId77"/>
      </mc:Fallback>
    </mc:AlternateContent>
    <mc:AlternateContent xmlns:mc="http://schemas.openxmlformats.org/markup-compatibility/2006">
      <mc:Choice Requires="x14">
        <oleObject progId="Equation.3" shapeId="15434" r:id="rId7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34" r:id="rId78"/>
      </mc:Fallback>
    </mc:AlternateContent>
    <mc:AlternateContent xmlns:mc="http://schemas.openxmlformats.org/markup-compatibility/2006">
      <mc:Choice Requires="x14">
        <oleObject progId="Equation.3" shapeId="15435" r:id="rId7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35" r:id="rId79"/>
      </mc:Fallback>
    </mc:AlternateContent>
    <mc:AlternateContent xmlns:mc="http://schemas.openxmlformats.org/markup-compatibility/2006">
      <mc:Choice Requires="x14">
        <oleObject progId="Equation.3" shapeId="15436" r:id="rId8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36" r:id="rId80"/>
      </mc:Fallback>
    </mc:AlternateContent>
    <mc:AlternateContent xmlns:mc="http://schemas.openxmlformats.org/markup-compatibility/2006">
      <mc:Choice Requires="x14">
        <oleObject progId="Equation.3" shapeId="15437" r:id="rId81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37" r:id="rId81"/>
      </mc:Fallback>
    </mc:AlternateContent>
    <mc:AlternateContent xmlns:mc="http://schemas.openxmlformats.org/markup-compatibility/2006">
      <mc:Choice Requires="x14">
        <oleObject progId="Equation.3" shapeId="15438" r:id="rId8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38" r:id="rId82"/>
      </mc:Fallback>
    </mc:AlternateContent>
    <mc:AlternateContent xmlns:mc="http://schemas.openxmlformats.org/markup-compatibility/2006">
      <mc:Choice Requires="x14">
        <oleObject progId="Equation.3" shapeId="15439" r:id="rId8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39" r:id="rId83"/>
      </mc:Fallback>
    </mc:AlternateContent>
    <mc:AlternateContent xmlns:mc="http://schemas.openxmlformats.org/markup-compatibility/2006">
      <mc:Choice Requires="x14">
        <oleObject progId="Equation.3" shapeId="15440" r:id="rId8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40" r:id="rId84"/>
      </mc:Fallback>
    </mc:AlternateContent>
    <mc:AlternateContent xmlns:mc="http://schemas.openxmlformats.org/markup-compatibility/2006">
      <mc:Choice Requires="x14">
        <oleObject progId="Equation.3" shapeId="15441" r:id="rId8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41" r:id="rId85"/>
      </mc:Fallback>
    </mc:AlternateContent>
    <mc:AlternateContent xmlns:mc="http://schemas.openxmlformats.org/markup-compatibility/2006">
      <mc:Choice Requires="x14">
        <oleObject progId="Equation.3" shapeId="15442" r:id="rId8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42" r:id="rId86"/>
      </mc:Fallback>
    </mc:AlternateContent>
    <mc:AlternateContent xmlns:mc="http://schemas.openxmlformats.org/markup-compatibility/2006">
      <mc:Choice Requires="x14">
        <oleObject progId="Equation.3" shapeId="15443" r:id="rId8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43" r:id="rId87"/>
      </mc:Fallback>
    </mc:AlternateContent>
    <mc:AlternateContent xmlns:mc="http://schemas.openxmlformats.org/markup-compatibility/2006">
      <mc:Choice Requires="x14">
        <oleObject progId="Equation.3" shapeId="15444" r:id="rId8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44" r:id="rId88"/>
      </mc:Fallback>
    </mc:AlternateContent>
    <mc:AlternateContent xmlns:mc="http://schemas.openxmlformats.org/markup-compatibility/2006">
      <mc:Choice Requires="x14">
        <oleObject progId="Equation.3" shapeId="15445" r:id="rId8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45" r:id="rId89"/>
      </mc:Fallback>
    </mc:AlternateContent>
    <mc:AlternateContent xmlns:mc="http://schemas.openxmlformats.org/markup-compatibility/2006">
      <mc:Choice Requires="x14">
        <oleObject progId="Equation.3" shapeId="15446" r:id="rId9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46" r:id="rId90"/>
      </mc:Fallback>
    </mc:AlternateContent>
    <mc:AlternateContent xmlns:mc="http://schemas.openxmlformats.org/markup-compatibility/2006">
      <mc:Choice Requires="x14">
        <oleObject progId="Equation.3" shapeId="15447" r:id="rId9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47" r:id="rId91"/>
      </mc:Fallback>
    </mc:AlternateContent>
    <mc:AlternateContent xmlns:mc="http://schemas.openxmlformats.org/markup-compatibility/2006">
      <mc:Choice Requires="x14">
        <oleObject progId="Equation.3" shapeId="15448" r:id="rId92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48" r:id="rId92"/>
      </mc:Fallback>
    </mc:AlternateContent>
    <mc:AlternateContent xmlns:mc="http://schemas.openxmlformats.org/markup-compatibility/2006">
      <mc:Choice Requires="x14">
        <oleObject progId="Equation.3" shapeId="15449" r:id="rId93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49" r:id="rId93"/>
      </mc:Fallback>
    </mc:AlternateContent>
    <mc:AlternateContent xmlns:mc="http://schemas.openxmlformats.org/markup-compatibility/2006">
      <mc:Choice Requires="x14">
        <oleObject progId="Equation.3" shapeId="15450" r:id="rId94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0" r:id="rId94"/>
      </mc:Fallback>
    </mc:AlternateContent>
    <mc:AlternateContent xmlns:mc="http://schemas.openxmlformats.org/markup-compatibility/2006">
      <mc:Choice Requires="x14">
        <oleObject progId="Equation.3" shapeId="15451" r:id="rId95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1" r:id="rId95"/>
      </mc:Fallback>
    </mc:AlternateContent>
    <mc:AlternateContent xmlns:mc="http://schemas.openxmlformats.org/markup-compatibility/2006">
      <mc:Choice Requires="x14">
        <oleObject progId="Equation.3" shapeId="15452" r:id="rId96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2" r:id="rId96"/>
      </mc:Fallback>
    </mc:AlternateContent>
    <mc:AlternateContent xmlns:mc="http://schemas.openxmlformats.org/markup-compatibility/2006">
      <mc:Choice Requires="x14">
        <oleObject progId="Equation.3" shapeId="15453" r:id="rId97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3" r:id="rId97"/>
      </mc:Fallback>
    </mc:AlternateContent>
    <mc:AlternateContent xmlns:mc="http://schemas.openxmlformats.org/markup-compatibility/2006">
      <mc:Choice Requires="x14">
        <oleObject progId="Equation.3" shapeId="15454" r:id="rId98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4" r:id="rId98"/>
      </mc:Fallback>
    </mc:AlternateContent>
    <mc:AlternateContent xmlns:mc="http://schemas.openxmlformats.org/markup-compatibility/2006">
      <mc:Choice Requires="x14">
        <oleObject progId="Equation.3" shapeId="15455" r:id="rId99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5" r:id="rId99"/>
      </mc:Fallback>
    </mc:AlternateContent>
    <mc:AlternateContent xmlns:mc="http://schemas.openxmlformats.org/markup-compatibility/2006">
      <mc:Choice Requires="x14">
        <oleObject progId="Equation.3" shapeId="15456" r:id="rId100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6" r:id="rId100"/>
      </mc:Fallback>
    </mc:AlternateContent>
    <mc:AlternateContent xmlns:mc="http://schemas.openxmlformats.org/markup-compatibility/2006">
      <mc:Choice Requires="x14">
        <oleObject progId="Equation.3" shapeId="15457" r:id="rId101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57" r:id="rId101"/>
      </mc:Fallback>
    </mc:AlternateContent>
    <mc:AlternateContent xmlns:mc="http://schemas.openxmlformats.org/markup-compatibility/2006">
      <mc:Choice Requires="x14">
        <oleObject progId="Equation.3" shapeId="15458" r:id="rId10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58" r:id="rId102"/>
      </mc:Fallback>
    </mc:AlternateContent>
    <mc:AlternateContent xmlns:mc="http://schemas.openxmlformats.org/markup-compatibility/2006">
      <mc:Choice Requires="x14">
        <oleObject progId="Equation.3" shapeId="15459" r:id="rId103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59" r:id="rId103"/>
      </mc:Fallback>
    </mc:AlternateContent>
    <mc:AlternateContent xmlns:mc="http://schemas.openxmlformats.org/markup-compatibility/2006">
      <mc:Choice Requires="x14">
        <oleObject progId="Equation.3" shapeId="15460" r:id="rId10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60" r:id="rId104"/>
      </mc:Fallback>
    </mc:AlternateContent>
    <mc:AlternateContent xmlns:mc="http://schemas.openxmlformats.org/markup-compatibility/2006">
      <mc:Choice Requires="x14">
        <oleObject progId="Equation.3" shapeId="15461" r:id="rId10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61" r:id="rId105"/>
      </mc:Fallback>
    </mc:AlternateContent>
    <mc:AlternateContent xmlns:mc="http://schemas.openxmlformats.org/markup-compatibility/2006">
      <mc:Choice Requires="x14">
        <oleObject progId="Equation.3" shapeId="15462" r:id="rId10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62" r:id="rId106"/>
      </mc:Fallback>
    </mc:AlternateContent>
    <mc:AlternateContent xmlns:mc="http://schemas.openxmlformats.org/markup-compatibility/2006">
      <mc:Choice Requires="x14">
        <oleObject progId="Equation.3" shapeId="15463" r:id="rId10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63" r:id="rId107"/>
      </mc:Fallback>
    </mc:AlternateContent>
    <mc:AlternateContent xmlns:mc="http://schemas.openxmlformats.org/markup-compatibility/2006">
      <mc:Choice Requires="x14">
        <oleObject progId="Equation.3" shapeId="15464" r:id="rId10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64" r:id="rId108"/>
      </mc:Fallback>
    </mc:AlternateContent>
    <mc:AlternateContent xmlns:mc="http://schemas.openxmlformats.org/markup-compatibility/2006">
      <mc:Choice Requires="x14">
        <oleObject progId="Equation.3" shapeId="15465" r:id="rId10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65" r:id="rId109"/>
      </mc:Fallback>
    </mc:AlternateContent>
    <mc:AlternateContent xmlns:mc="http://schemas.openxmlformats.org/markup-compatibility/2006">
      <mc:Choice Requires="x14">
        <oleObject progId="Equation.3" shapeId="15466" r:id="rId11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66" r:id="rId110"/>
      </mc:Fallback>
    </mc:AlternateContent>
    <mc:AlternateContent xmlns:mc="http://schemas.openxmlformats.org/markup-compatibility/2006">
      <mc:Choice Requires="x14">
        <oleObject progId="Equation.3" shapeId="15467" r:id="rId11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67" r:id="rId111"/>
      </mc:Fallback>
    </mc:AlternateContent>
    <mc:AlternateContent xmlns:mc="http://schemas.openxmlformats.org/markup-compatibility/2006">
      <mc:Choice Requires="x14">
        <oleObject progId="Equation.3" shapeId="15468" r:id="rId11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68" r:id="rId112"/>
      </mc:Fallback>
    </mc:AlternateContent>
    <mc:AlternateContent xmlns:mc="http://schemas.openxmlformats.org/markup-compatibility/2006">
      <mc:Choice Requires="x14">
        <oleObject progId="Equation.3" shapeId="15469" r:id="rId11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69" r:id="rId113"/>
      </mc:Fallback>
    </mc:AlternateContent>
    <mc:AlternateContent xmlns:mc="http://schemas.openxmlformats.org/markup-compatibility/2006">
      <mc:Choice Requires="x14">
        <oleObject progId="Equation.3" shapeId="15470" r:id="rId114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70" r:id="rId114"/>
      </mc:Fallback>
    </mc:AlternateContent>
    <mc:AlternateContent xmlns:mc="http://schemas.openxmlformats.org/markup-compatibility/2006">
      <mc:Choice Requires="x14">
        <oleObject progId="Equation.3" shapeId="15471" r:id="rId11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71" r:id="rId115"/>
      </mc:Fallback>
    </mc:AlternateContent>
    <mc:AlternateContent xmlns:mc="http://schemas.openxmlformats.org/markup-compatibility/2006">
      <mc:Choice Requires="x14">
        <oleObject progId="Equation.3" shapeId="15472" r:id="rId11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72" r:id="rId116"/>
      </mc:Fallback>
    </mc:AlternateContent>
    <mc:AlternateContent xmlns:mc="http://schemas.openxmlformats.org/markup-compatibility/2006">
      <mc:Choice Requires="x14">
        <oleObject progId="Equation.3" shapeId="15473" r:id="rId11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73" r:id="rId117"/>
      </mc:Fallback>
    </mc:AlternateContent>
    <mc:AlternateContent xmlns:mc="http://schemas.openxmlformats.org/markup-compatibility/2006">
      <mc:Choice Requires="x14">
        <oleObject progId="Equation.3" shapeId="15474" r:id="rId11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74" r:id="rId118"/>
      </mc:Fallback>
    </mc:AlternateContent>
    <mc:AlternateContent xmlns:mc="http://schemas.openxmlformats.org/markup-compatibility/2006">
      <mc:Choice Requires="x14">
        <oleObject progId="Equation.3" shapeId="15475" r:id="rId11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75" r:id="rId119"/>
      </mc:Fallback>
    </mc:AlternateContent>
    <mc:AlternateContent xmlns:mc="http://schemas.openxmlformats.org/markup-compatibility/2006">
      <mc:Choice Requires="x14">
        <oleObject progId="Equation.3" shapeId="15476" r:id="rId12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76" r:id="rId120"/>
      </mc:Fallback>
    </mc:AlternateContent>
    <mc:AlternateContent xmlns:mc="http://schemas.openxmlformats.org/markup-compatibility/2006">
      <mc:Choice Requires="x14">
        <oleObject progId="Equation.3" shapeId="15477" r:id="rId12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77" r:id="rId121"/>
      </mc:Fallback>
    </mc:AlternateContent>
    <mc:AlternateContent xmlns:mc="http://schemas.openxmlformats.org/markup-compatibility/2006">
      <mc:Choice Requires="x14">
        <oleObject progId="Equation.3" shapeId="15478" r:id="rId12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78" r:id="rId122"/>
      </mc:Fallback>
    </mc:AlternateContent>
    <mc:AlternateContent xmlns:mc="http://schemas.openxmlformats.org/markup-compatibility/2006">
      <mc:Choice Requires="x14">
        <oleObject progId="Equation.3" shapeId="15479" r:id="rId12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79" r:id="rId123"/>
      </mc:Fallback>
    </mc:AlternateContent>
    <mc:AlternateContent xmlns:mc="http://schemas.openxmlformats.org/markup-compatibility/2006">
      <mc:Choice Requires="x14">
        <oleObject progId="Equation.3" shapeId="15480" r:id="rId12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80" r:id="rId124"/>
      </mc:Fallback>
    </mc:AlternateContent>
    <mc:AlternateContent xmlns:mc="http://schemas.openxmlformats.org/markup-compatibility/2006">
      <mc:Choice Requires="x14">
        <oleObject progId="Equation.3" shapeId="15481" r:id="rId125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81" r:id="rId125"/>
      </mc:Fallback>
    </mc:AlternateContent>
    <mc:AlternateContent xmlns:mc="http://schemas.openxmlformats.org/markup-compatibility/2006">
      <mc:Choice Requires="x14">
        <oleObject progId="Equation.3" shapeId="15482" r:id="rId12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82" r:id="rId126"/>
      </mc:Fallback>
    </mc:AlternateContent>
    <mc:AlternateContent xmlns:mc="http://schemas.openxmlformats.org/markup-compatibility/2006">
      <mc:Choice Requires="x14">
        <oleObject progId="Equation.3" shapeId="15483" r:id="rId12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83" r:id="rId127"/>
      </mc:Fallback>
    </mc:AlternateContent>
    <mc:AlternateContent xmlns:mc="http://schemas.openxmlformats.org/markup-compatibility/2006">
      <mc:Choice Requires="x14">
        <oleObject progId="Equation.3" shapeId="15484" r:id="rId12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84" r:id="rId128"/>
      </mc:Fallback>
    </mc:AlternateContent>
    <mc:AlternateContent xmlns:mc="http://schemas.openxmlformats.org/markup-compatibility/2006">
      <mc:Choice Requires="x14">
        <oleObject progId="Equation.3" shapeId="15485" r:id="rId12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85" r:id="rId129"/>
      </mc:Fallback>
    </mc:AlternateContent>
    <mc:AlternateContent xmlns:mc="http://schemas.openxmlformats.org/markup-compatibility/2006">
      <mc:Choice Requires="x14">
        <oleObject progId="Equation.3" shapeId="15486" r:id="rId13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86" r:id="rId130"/>
      </mc:Fallback>
    </mc:AlternateContent>
    <mc:AlternateContent xmlns:mc="http://schemas.openxmlformats.org/markup-compatibility/2006">
      <mc:Choice Requires="x14">
        <oleObject progId="Equation.3" shapeId="15487" r:id="rId13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87" r:id="rId131"/>
      </mc:Fallback>
    </mc:AlternateContent>
    <mc:AlternateContent xmlns:mc="http://schemas.openxmlformats.org/markup-compatibility/2006">
      <mc:Choice Requires="x14">
        <oleObject progId="Equation.3" shapeId="15488" r:id="rId13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88" r:id="rId132"/>
      </mc:Fallback>
    </mc:AlternateContent>
    <mc:AlternateContent xmlns:mc="http://schemas.openxmlformats.org/markup-compatibility/2006">
      <mc:Choice Requires="x14">
        <oleObject progId="Equation.3" shapeId="15489" r:id="rId13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89" r:id="rId133"/>
      </mc:Fallback>
    </mc:AlternateContent>
    <mc:AlternateContent xmlns:mc="http://schemas.openxmlformats.org/markup-compatibility/2006">
      <mc:Choice Requires="x14">
        <oleObject progId="Equation.3" shapeId="15490" r:id="rId13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90" r:id="rId134"/>
      </mc:Fallback>
    </mc:AlternateContent>
    <mc:AlternateContent xmlns:mc="http://schemas.openxmlformats.org/markup-compatibility/2006">
      <mc:Choice Requires="x14">
        <oleObject progId="Equation.3" shapeId="15491" r:id="rId13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491" r:id="rId135"/>
      </mc:Fallback>
    </mc:AlternateContent>
    <mc:AlternateContent xmlns:mc="http://schemas.openxmlformats.org/markup-compatibility/2006">
      <mc:Choice Requires="x14">
        <oleObject progId="Equation.3" shapeId="15492" r:id="rId136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492" r:id="rId136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1AFE-0C72-49B2-A9EA-0A93D31E6514}">
  <dimension ref="A1:O60"/>
  <sheetViews>
    <sheetView view="pageBreakPreview" topLeftCell="A16" zoomScaleNormal="100" zoomScaleSheetLayoutView="100" workbookViewId="0">
      <selection activeCell="B54" sqref="B54"/>
    </sheetView>
  </sheetViews>
  <sheetFormatPr defaultColWidth="9.1796875" defaultRowHeight="12.5" x14ac:dyDescent="0.25"/>
  <cols>
    <col min="1" max="1" width="18.1796875" style="964" customWidth="1"/>
    <col min="2" max="2" width="26.1796875" style="964" customWidth="1"/>
    <col min="3" max="3" width="3.1796875" style="964" customWidth="1"/>
    <col min="4" max="4" width="11.54296875" style="964" customWidth="1"/>
    <col min="5" max="5" width="9.453125" style="964" customWidth="1"/>
    <col min="6" max="6" width="22.54296875" style="964" customWidth="1"/>
    <col min="7" max="7" width="9.1796875" style="964"/>
    <col min="8" max="8" width="18.81640625" style="964" customWidth="1"/>
    <col min="9" max="9" width="12.1796875" style="964" customWidth="1"/>
    <col min="10" max="16384" width="9.1796875" style="964"/>
  </cols>
  <sheetData>
    <row r="1" spans="1:15" x14ac:dyDescent="0.25">
      <c r="H1" s="965" t="str">
        <f>IF(PENYELIA!J66&lt;70,"TIDAK LAIK","LAIK")</f>
        <v>LAIK</v>
      </c>
      <c r="I1" s="966"/>
      <c r="J1" s="966"/>
    </row>
    <row r="2" spans="1:15" ht="30" x14ac:dyDescent="0.25">
      <c r="A2" s="1318" t="str">
        <f>B45</f>
        <v>SERTIFIKAT KALIBRASI</v>
      </c>
      <c r="B2" s="1318"/>
      <c r="C2" s="1318"/>
      <c r="D2" s="1318"/>
      <c r="E2" s="1318"/>
      <c r="F2" s="1318"/>
      <c r="H2" s="967"/>
      <c r="I2" s="1319"/>
      <c r="J2" s="1320"/>
    </row>
    <row r="3" spans="1:15" ht="14" x14ac:dyDescent="0.3">
      <c r="A3" s="1321" t="str">
        <f>"Nomor : 18 /"&amp;" "&amp;ID!I2</f>
        <v>Nomor : 18 / 1 / VIII - 22 / E - 008.27 DL</v>
      </c>
      <c r="B3" s="1321"/>
      <c r="C3" s="1321"/>
      <c r="D3" s="1321"/>
      <c r="E3" s="1321"/>
      <c r="F3" s="1321"/>
    </row>
    <row r="4" spans="1:15" ht="13" x14ac:dyDescent="0.3">
      <c r="C4" s="964" t="s">
        <v>494</v>
      </c>
      <c r="D4" s="1322" t="s">
        <v>495</v>
      </c>
      <c r="E4" s="1322"/>
      <c r="F4" s="1322"/>
      <c r="H4" s="968"/>
      <c r="I4" s="968"/>
      <c r="J4" s="968"/>
    </row>
    <row r="5" spans="1:15" ht="14.5" x14ac:dyDescent="0.35">
      <c r="H5" s="1323"/>
      <c r="I5" s="1323"/>
      <c r="J5" s="1323"/>
    </row>
    <row r="6" spans="1:15" ht="14" x14ac:dyDescent="0.25">
      <c r="A6" s="969" t="s">
        <v>496</v>
      </c>
      <c r="B6" s="970" t="s">
        <v>497</v>
      </c>
      <c r="C6" s="971"/>
      <c r="D6" s="1316" t="s">
        <v>498</v>
      </c>
      <c r="E6" s="1317"/>
      <c r="F6" s="972" t="str">
        <f>MID(A3,SEARCH("E - ",A3),LEN(A3))</f>
        <v>E - 008.27 DL</v>
      </c>
    </row>
    <row r="7" spans="1:15" ht="14" x14ac:dyDescent="0.25">
      <c r="A7" s="973"/>
      <c r="B7" s="973"/>
      <c r="C7" s="973"/>
    </row>
    <row r="8" spans="1:15" ht="14" x14ac:dyDescent="0.25">
      <c r="A8" s="1325" t="s">
        <v>52</v>
      </c>
      <c r="B8" s="1325"/>
      <c r="C8" s="974" t="s">
        <v>59</v>
      </c>
      <c r="D8" s="1325" t="str">
        <f>LH!E4</f>
        <v>-</v>
      </c>
      <c r="E8" s="1325"/>
      <c r="F8" s="1325"/>
      <c r="I8" s="1326"/>
      <c r="J8" s="1326"/>
    </row>
    <row r="9" spans="1:15" ht="14" x14ac:dyDescent="0.25">
      <c r="A9" s="1325" t="s">
        <v>499</v>
      </c>
      <c r="B9" s="1325"/>
      <c r="C9" s="974" t="s">
        <v>59</v>
      </c>
      <c r="D9" s="1325" t="str">
        <f>LH!E5</f>
        <v>80-1</v>
      </c>
      <c r="E9" s="1325"/>
      <c r="F9" s="1325"/>
      <c r="I9" s="1326"/>
      <c r="J9" s="1326"/>
    </row>
    <row r="10" spans="1:15" ht="14.5" x14ac:dyDescent="0.35">
      <c r="A10" s="1325" t="s">
        <v>500</v>
      </c>
      <c r="B10" s="1325"/>
      <c r="C10" s="974" t="s">
        <v>59</v>
      </c>
      <c r="D10" s="1325" t="str">
        <f>LH!E6</f>
        <v>-</v>
      </c>
      <c r="E10" s="1325"/>
      <c r="F10" s="1325"/>
      <c r="I10" s="1327"/>
      <c r="J10" s="1328"/>
      <c r="O10" s="975"/>
    </row>
    <row r="11" spans="1:15" s="966" customFormat="1" ht="14.5" x14ac:dyDescent="0.35">
      <c r="A11" s="1329" t="s">
        <v>56</v>
      </c>
      <c r="B11" s="1329"/>
      <c r="C11" s="976" t="s">
        <v>59</v>
      </c>
      <c r="D11" s="979"/>
      <c r="E11" s="979"/>
      <c r="F11" s="977"/>
      <c r="I11" s="980"/>
      <c r="J11" s="978"/>
      <c r="O11" s="978"/>
    </row>
    <row r="12" spans="1:15" ht="14.5" x14ac:dyDescent="0.35">
      <c r="A12" s="981"/>
      <c r="B12" s="981"/>
      <c r="C12" s="973"/>
      <c r="I12" s="1324"/>
      <c r="J12" s="1324"/>
      <c r="O12" s="975"/>
    </row>
    <row r="13" spans="1:15" ht="28.5" customHeight="1" x14ac:dyDescent="0.35">
      <c r="A13" s="982" t="s">
        <v>501</v>
      </c>
      <c r="B13" s="983"/>
      <c r="C13" s="973"/>
      <c r="D13" s="1316" t="s">
        <v>502</v>
      </c>
      <c r="E13" s="1317"/>
      <c r="F13" s="984"/>
      <c r="I13" s="1328"/>
      <c r="J13" s="1328"/>
      <c r="O13" s="975"/>
    </row>
    <row r="14" spans="1:15" ht="14.5" x14ac:dyDescent="0.25">
      <c r="A14" s="985"/>
      <c r="B14" s="973"/>
      <c r="C14" s="973"/>
      <c r="D14" s="973"/>
      <c r="E14" s="973"/>
      <c r="I14" s="1331"/>
      <c r="J14" s="1331"/>
    </row>
    <row r="15" spans="1:15" s="966" customFormat="1" ht="42.75" customHeight="1" x14ac:dyDescent="0.3">
      <c r="A15" s="1332" t="s">
        <v>503</v>
      </c>
      <c r="B15" s="1332"/>
      <c r="C15" s="986" t="s">
        <v>59</v>
      </c>
      <c r="D15" s="1333" t="s">
        <v>504</v>
      </c>
      <c r="E15" s="1333"/>
      <c r="F15" s="1333"/>
      <c r="H15" s="987"/>
      <c r="I15" s="1334"/>
      <c r="J15" s="1335"/>
    </row>
    <row r="16" spans="1:15" ht="14.5" x14ac:dyDescent="0.35">
      <c r="A16" s="1325" t="s">
        <v>62</v>
      </c>
      <c r="B16" s="1325"/>
      <c r="C16" s="974" t="s">
        <v>59</v>
      </c>
      <c r="D16" s="1336" t="str">
        <f>LH!E11</f>
        <v>-</v>
      </c>
      <c r="E16" s="1336"/>
      <c r="F16" s="1336"/>
      <c r="H16" s="1337"/>
      <c r="I16" s="1337"/>
      <c r="J16" s="1337"/>
    </row>
    <row r="17" spans="1:10" ht="14.5" x14ac:dyDescent="0.35">
      <c r="A17" s="1325" t="s">
        <v>58</v>
      </c>
      <c r="B17" s="1325"/>
      <c r="C17" s="974" t="s">
        <v>59</v>
      </c>
      <c r="D17" s="1330" t="str">
        <f>LH!E8</f>
        <v>2 Agustus 2022</v>
      </c>
      <c r="E17" s="1330"/>
      <c r="F17" s="1330"/>
      <c r="H17" s="988"/>
      <c r="I17" s="988"/>
      <c r="J17" s="988"/>
    </row>
    <row r="18" spans="1:10" ht="14.25" customHeight="1" x14ac:dyDescent="0.25">
      <c r="A18" s="1325" t="str">
        <f>"Tanggal "&amp;B49</f>
        <v>Tanggal Kalibrasi</v>
      </c>
      <c r="B18" s="1325"/>
      <c r="C18" s="974" t="s">
        <v>59</v>
      </c>
      <c r="D18" s="1330" t="str">
        <f>LH!E9</f>
        <v>2 Agustus 2022</v>
      </c>
      <c r="E18" s="1330"/>
      <c r="F18" s="1330"/>
    </row>
    <row r="19" spans="1:10" ht="14" x14ac:dyDescent="0.25">
      <c r="A19" s="1325" t="str">
        <f>"Penanggungjawab "&amp;B49</f>
        <v>Penanggungjawab Kalibrasi</v>
      </c>
      <c r="B19" s="1325"/>
      <c r="C19" s="974" t="s">
        <v>59</v>
      </c>
      <c r="D19" s="1325" t="str">
        <f>LH!B61</f>
        <v>Gusti Arya Dinata</v>
      </c>
      <c r="E19" s="1325"/>
      <c r="F19" s="1325"/>
    </row>
    <row r="20" spans="1:10" ht="14.5" x14ac:dyDescent="0.35">
      <c r="A20" s="1325" t="str">
        <f>"Lokasi "&amp;B49</f>
        <v>Lokasi Kalibrasi</v>
      </c>
      <c r="B20" s="1325"/>
      <c r="C20" s="974" t="s">
        <v>59</v>
      </c>
      <c r="D20" s="1336" t="str">
        <f>LH!E10</f>
        <v>Laboratorium Kalibrasi LPFK Banjarbaru</v>
      </c>
      <c r="E20" s="1336"/>
      <c r="F20" s="1336"/>
      <c r="H20" s="989"/>
    </row>
    <row r="21" spans="1:10" ht="31.5" customHeight="1" x14ac:dyDescent="0.25">
      <c r="A21" s="1336" t="str">
        <f>"Hasil "&amp;B49</f>
        <v>Hasil Kalibrasi</v>
      </c>
      <c r="B21" s="1336"/>
      <c r="C21" s="990" t="s">
        <v>59</v>
      </c>
      <c r="D21" s="1338" t="s">
        <v>505</v>
      </c>
      <c r="E21" s="1338"/>
      <c r="F21" s="1338"/>
    </row>
    <row r="22" spans="1:10" ht="14" x14ac:dyDescent="0.25">
      <c r="A22" s="1325" t="s">
        <v>135</v>
      </c>
      <c r="B22" s="1325"/>
      <c r="C22" s="974" t="s">
        <v>59</v>
      </c>
      <c r="D22" s="1325" t="str">
        <f>LH!E12</f>
        <v>MK 016-18</v>
      </c>
      <c r="E22" s="1325"/>
      <c r="F22" s="1325"/>
    </row>
    <row r="25" spans="1:10" ht="26.25" customHeight="1" x14ac:dyDescent="0.25">
      <c r="D25" s="991" t="s">
        <v>506</v>
      </c>
      <c r="E25" s="1340">
        <f ca="1">TODAY()</f>
        <v>45258</v>
      </c>
      <c r="F25" s="1340"/>
    </row>
    <row r="26" spans="1:10" ht="14" x14ac:dyDescent="0.25">
      <c r="D26" s="1325" t="s">
        <v>507</v>
      </c>
      <c r="E26" s="1325"/>
      <c r="F26" s="1325"/>
    </row>
    <row r="27" spans="1:10" ht="14" x14ac:dyDescent="0.25">
      <c r="D27" s="1325" t="s">
        <v>508</v>
      </c>
      <c r="E27" s="1325"/>
      <c r="F27" s="1325"/>
    </row>
    <row r="28" spans="1:10" ht="14" x14ac:dyDescent="0.25">
      <c r="D28" s="992"/>
      <c r="E28" s="992"/>
    </row>
    <row r="29" spans="1:10" ht="14" x14ac:dyDescent="0.25">
      <c r="D29" s="992"/>
      <c r="E29" s="992"/>
    </row>
    <row r="30" spans="1:10" ht="14" x14ac:dyDescent="0.25">
      <c r="D30" s="992"/>
      <c r="E30" s="992"/>
    </row>
    <row r="31" spans="1:10" ht="14" x14ac:dyDescent="0.25">
      <c r="D31" s="1325" t="s">
        <v>509</v>
      </c>
      <c r="E31" s="1325"/>
      <c r="F31" s="1325"/>
    </row>
    <row r="32" spans="1:10" ht="14" x14ac:dyDescent="0.25">
      <c r="D32" s="1339" t="s">
        <v>510</v>
      </c>
      <c r="E32" s="1339"/>
      <c r="F32" s="1339"/>
    </row>
    <row r="35" spans="1:6" ht="13" x14ac:dyDescent="0.25">
      <c r="A35" s="993"/>
      <c r="B35" s="993"/>
      <c r="C35" s="993"/>
      <c r="D35" s="993"/>
      <c r="E35" s="993"/>
      <c r="F35" s="993"/>
    </row>
    <row r="41" spans="1:6" ht="13" thickBot="1" x14ac:dyDescent="0.3"/>
    <row r="42" spans="1:6" ht="31.5" customHeight="1" x14ac:dyDescent="0.25">
      <c r="A42" s="994" t="s">
        <v>511</v>
      </c>
      <c r="B42" s="995" t="str">
        <f>MID([1]ID!I2,SEARCH("E - ",[1]ID!I2),LEN([1]ID!I2))</f>
        <v>E - 008.27 DL</v>
      </c>
    </row>
    <row r="43" spans="1:6" x14ac:dyDescent="0.25">
      <c r="A43" s="996"/>
      <c r="B43" s="997"/>
    </row>
    <row r="44" spans="1:6" ht="24" customHeight="1" x14ac:dyDescent="0.25">
      <c r="A44" s="998" t="s">
        <v>512</v>
      </c>
      <c r="B44" s="999" t="str">
        <f>[1]ID!A1</f>
        <v>Input Data Kalibrasi Centrifuge</v>
      </c>
    </row>
    <row r="45" spans="1:6" ht="39" customHeight="1" x14ac:dyDescent="0.25">
      <c r="A45" s="998" t="s">
        <v>513</v>
      </c>
      <c r="B45" s="1000" t="str">
        <f>IF(B44="INPUT DATA KALIBRASI Centrifuge",B46,B47)</f>
        <v>SERTIFIKAT KALIBRASI</v>
      </c>
    </row>
    <row r="46" spans="1:6" ht="22.5" customHeight="1" x14ac:dyDescent="0.25">
      <c r="A46" s="998" t="s">
        <v>514</v>
      </c>
      <c r="B46" s="997" t="s">
        <v>515</v>
      </c>
    </row>
    <row r="47" spans="1:6" x14ac:dyDescent="0.25">
      <c r="A47" s="996"/>
      <c r="B47" s="997" t="s">
        <v>516</v>
      </c>
    </row>
    <row r="48" spans="1:6" x14ac:dyDescent="0.25">
      <c r="A48" s="996"/>
      <c r="B48" s="997"/>
    </row>
    <row r="49" spans="1:2" ht="48" customHeight="1" x14ac:dyDescent="0.25">
      <c r="A49" s="998" t="s">
        <v>517</v>
      </c>
      <c r="B49" s="997" t="str">
        <f>IF(RIGHT(A2,10)=" KALIBRASI","Kalibrasi","Pengujian")</f>
        <v>Kalibrasi</v>
      </c>
    </row>
    <row r="50" spans="1:2" x14ac:dyDescent="0.25">
      <c r="A50" s="996"/>
      <c r="B50" s="997"/>
    </row>
    <row r="51" spans="1:2" s="1002" customFormat="1" ht="34.5" customHeight="1" x14ac:dyDescent="0.3">
      <c r="A51" s="998" t="s">
        <v>518</v>
      </c>
      <c r="B51" s="1001" t="s">
        <v>133</v>
      </c>
    </row>
    <row r="52" spans="1:2" x14ac:dyDescent="0.25">
      <c r="A52" s="996"/>
      <c r="B52" s="997"/>
    </row>
    <row r="53" spans="1:2" ht="50.25" customHeight="1" x14ac:dyDescent="0.3">
      <c r="A53" s="1003" t="s">
        <v>519</v>
      </c>
      <c r="B53" s="1004"/>
    </row>
    <row r="54" spans="1:2" ht="27" customHeight="1" x14ac:dyDescent="0.25">
      <c r="A54" s="998" t="s">
        <v>520</v>
      </c>
      <c r="B54" s="1005"/>
    </row>
    <row r="55" spans="1:2" x14ac:dyDescent="0.25">
      <c r="A55" s="996"/>
      <c r="B55" s="997"/>
    </row>
    <row r="56" spans="1:2" ht="30" customHeight="1" x14ac:dyDescent="0.3">
      <c r="A56" s="1003" t="s">
        <v>521</v>
      </c>
      <c r="B56" s="1006" t="str">
        <f>IF(B45=B46,B57,B58)</f>
        <v xml:space="preserve">Laik Pakai, disarankan untuk dikalibrasi ulang pada tanggal </v>
      </c>
    </row>
    <row r="57" spans="1:2" ht="28" x14ac:dyDescent="0.3">
      <c r="A57" s="996" t="s">
        <v>522</v>
      </c>
      <c r="B57" s="1007" t="str">
        <f>CONCATENATE(B59,B54)</f>
        <v xml:space="preserve">Laik Pakai, disarankan untuk dikalibrasi ulang pada tanggal </v>
      </c>
    </row>
    <row r="58" spans="1:2" ht="28" x14ac:dyDescent="0.3">
      <c r="A58" s="996"/>
      <c r="B58" s="1007" t="str">
        <f>CONCATENATE(B60,B54)</f>
        <v xml:space="preserve">Laik Pakai, disarankan untuk diuji ulang pada tanggal </v>
      </c>
    </row>
    <row r="59" spans="1:2" ht="42" customHeight="1" x14ac:dyDescent="0.3">
      <c r="A59" s="1008" t="s">
        <v>514</v>
      </c>
      <c r="B59" s="1007" t="s">
        <v>523</v>
      </c>
    </row>
    <row r="60" spans="1:2" ht="39.75" customHeight="1" thickBot="1" x14ac:dyDescent="0.35">
      <c r="A60" s="1009"/>
      <c r="B60" s="1010" t="s">
        <v>524</v>
      </c>
    </row>
  </sheetData>
  <mergeCells count="43">
    <mergeCell ref="D32:F32"/>
    <mergeCell ref="A22:B22"/>
    <mergeCell ref="D22:F22"/>
    <mergeCell ref="E25:F25"/>
    <mergeCell ref="D26:F26"/>
    <mergeCell ref="D27:F27"/>
    <mergeCell ref="D31:F31"/>
    <mergeCell ref="A19:B19"/>
    <mergeCell ref="D19:F19"/>
    <mergeCell ref="A20:B20"/>
    <mergeCell ref="D20:F20"/>
    <mergeCell ref="A21:B21"/>
    <mergeCell ref="D21:F21"/>
    <mergeCell ref="A18:B18"/>
    <mergeCell ref="D18:F18"/>
    <mergeCell ref="D13:E13"/>
    <mergeCell ref="I13:J13"/>
    <mergeCell ref="I14:J14"/>
    <mergeCell ref="A15:B15"/>
    <mergeCell ref="D15:F15"/>
    <mergeCell ref="I15:J15"/>
    <mergeCell ref="A16:B16"/>
    <mergeCell ref="D16:F16"/>
    <mergeCell ref="H16:J16"/>
    <mergeCell ref="A17:B17"/>
    <mergeCell ref="D17:F17"/>
    <mergeCell ref="I12:J12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D6:E6"/>
    <mergeCell ref="A2:F2"/>
    <mergeCell ref="I2:J2"/>
    <mergeCell ref="A3:F3"/>
    <mergeCell ref="D4:F4"/>
    <mergeCell ref="H5:J5"/>
  </mergeCells>
  <dataValidations count="2">
    <dataValidation type="list" allowBlank="1" showInputMessage="1" showErrorMessage="1" sqref="J11" xr:uid="{F58B9FFA-0786-45BE-AA49-2DFF1B477C3A}">
      <formula1>$O$9:$O$13</formula1>
    </dataValidation>
    <dataValidation type="list" allowBlank="1" showInputMessage="1" showErrorMessage="1" sqref="A2:F2" xr:uid="{D062DAB3-A13E-4CBA-AB43-CA0633D08D82}">
      <formula1>"SERTIFIKAT KALIBRASI,SERTIFIKAT PENGUJIAN"</formula1>
    </dataValidation>
  </dataValidations>
  <pageMargins left="0.7" right="0.7" top="0.75" bottom="0.75" header="0.3" footer="0.3"/>
  <pageSetup paperSize="9" scale="98" orientation="portrait" r:id="rId1"/>
  <colBreaks count="1" manualBreakCount="1">
    <brk id="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Riwayat Revisi</vt:lpstr>
      <vt:lpstr>LK</vt:lpstr>
      <vt:lpstr>ID</vt:lpstr>
      <vt:lpstr>UB RPM</vt:lpstr>
      <vt:lpstr>UB TIMER</vt:lpstr>
      <vt:lpstr>PENYELIA</vt:lpstr>
      <vt:lpstr>LH</vt:lpstr>
      <vt:lpstr>Laporan</vt:lpstr>
      <vt:lpstr>SERTIFIKAT</vt:lpstr>
      <vt:lpstr>DB TACHO</vt:lpstr>
      <vt:lpstr>DB Stopwatch</vt:lpstr>
      <vt:lpstr>DB ESA</vt:lpstr>
      <vt:lpstr>DB Suhu</vt:lpstr>
      <vt:lpstr>ID!Print_Area</vt:lpstr>
      <vt:lpstr>Laporan!Print_Area</vt:lpstr>
      <vt:lpstr>LH!Print_Area</vt:lpstr>
      <vt:lpstr>LK!Print_Area</vt:lpstr>
      <vt:lpstr>PENYELIA!Print_Area</vt:lpstr>
      <vt:lpstr>SERTIFIKAT!Print_Area</vt:lpstr>
      <vt:lpstr>'UB RPM'!Print_Area</vt:lpstr>
      <vt:lpstr>'UB TIMER'!Print_Area</vt:lpstr>
    </vt:vector>
  </TitlesOfParts>
  <Manager/>
  <Company>LPFKBJB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CENTRIFUGE 2019</dc:title>
  <dc:subject/>
  <dc:creator>DANNY</dc:creator>
  <cp:keywords/>
  <dc:description/>
  <cp:lastModifiedBy>MyBook PRO K5</cp:lastModifiedBy>
  <cp:revision/>
  <cp:lastPrinted>2023-06-08T01:06:57Z</cp:lastPrinted>
  <dcterms:created xsi:type="dcterms:W3CDTF">2015-02-16T06:59:49Z</dcterms:created>
  <dcterms:modified xsi:type="dcterms:W3CDTF">2023-11-28T03:04:01Z</dcterms:modified>
  <cp:category>TIMEFREKUENCY</cp:category>
  <cp:contentStatus/>
</cp:coreProperties>
</file>